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EKKER\Франшиза пакет документів\"/>
    </mc:Choice>
  </mc:AlternateContent>
  <xr:revisionPtr revIDLastSave="0" documentId="13_ncr:1_{6725A1F8-7DAE-4C1C-B542-59B1D45CF415}" xr6:coauthVersionLast="44" xr6:coauthVersionMax="44" xr10:uidLastSave="{00000000-0000-0000-0000-000000000000}"/>
  <bookViews>
    <workbookView xWindow="-108" yWindow="-108" windowWidth="23256" windowHeight="12576" activeTab="2" xr2:uid="{00000000-000D-0000-FFFF-FFFF00000000}"/>
  </bookViews>
  <sheets>
    <sheet name="Вхідні дані" sheetId="6" r:id="rId1"/>
    <sheet name="Інвестицій" sheetId="8" r:id="rId2"/>
    <sheet name="Узагальнений розрахунок" sheetId="7" r:id="rId3"/>
    <sheet name="Детальний розрахунок" sheetId="4" r:id="rId4"/>
    <sheet name="Графіки" sheetId="11" r:id="rId5"/>
    <sheet name="ИД Графики" sheetId="12" state="hidden" r:id="rId6"/>
  </sheets>
  <externalReferences>
    <externalReference r:id="rId7"/>
    <externalReference r:id="rId8"/>
    <externalReference r:id="rId9"/>
  </externalReferences>
  <definedNames>
    <definedName name="About_AI" localSheetId="0">#REF!</definedName>
    <definedName name="About_AI" localSheetId="1">#REF!</definedName>
    <definedName name="About_AI" localSheetId="2">#REF!</definedName>
    <definedName name="About_AI">#REF!</definedName>
    <definedName name="About_AI_Summ" localSheetId="0">#REF!</definedName>
    <definedName name="About_AI_Summ" localSheetId="1">#REF!</definedName>
    <definedName name="About_AI_Summ" localSheetId="2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Ddfdfd4">[2]Отчет!#REF!</definedName>
    <definedName name="EST_DATA" localSheetId="0">[1]Проект!#REF!</definedName>
    <definedName name="EST_DATA" localSheetId="2">[1]Проект!#REF!</definedName>
    <definedName name="EST_DATA">[1]Проект!#REF!</definedName>
    <definedName name="EST_FROM" localSheetId="0">[1]Проект!#REF!</definedName>
    <definedName name="EST_FROM" localSheetId="2">[1]Проект!#REF!</definedName>
    <definedName name="EST_FROM">[1]Проект!#REF!</definedName>
    <definedName name="EST_NumStages" localSheetId="0">[1]Проект!#REF!</definedName>
    <definedName name="EST_NumStages" localSheetId="2">[1]Проект!#REF!</definedName>
    <definedName name="EST_NumStages">[1]Проект!#REF!</definedName>
    <definedName name="EST_Obj_1" localSheetId="0">[1]Проект!#REF!</definedName>
    <definedName name="EST_Obj_1" localSheetId="2">[1]Проект!#REF!</definedName>
    <definedName name="EST_Obj_1">[1]Проект!#REF!</definedName>
    <definedName name="EST_Obj_10" localSheetId="0">[1]Проект!#REF!</definedName>
    <definedName name="EST_Obj_10" localSheetId="2">[1]Проект!#REF!</definedName>
    <definedName name="EST_Obj_10">[1]Проект!#REF!</definedName>
    <definedName name="EST_Obj_2" localSheetId="0">[1]Проект!#REF!</definedName>
    <definedName name="EST_Obj_2" localSheetId="2">[1]Проект!#REF!</definedName>
    <definedName name="EST_Obj_2">[1]Проект!#REF!</definedName>
    <definedName name="EST_Obj_3" localSheetId="0">[1]Проект!#REF!</definedName>
    <definedName name="EST_Obj_3" localSheetId="2">[1]Проект!#REF!</definedName>
    <definedName name="EST_Obj_3">[1]Проект!#REF!</definedName>
    <definedName name="EST_Obj_4" localSheetId="0">[1]Проект!#REF!</definedName>
    <definedName name="EST_Obj_4" localSheetId="2">[1]Проект!#REF!</definedName>
    <definedName name="EST_Obj_4">[1]Проект!#REF!</definedName>
    <definedName name="EST_Obj_5" localSheetId="0">[1]Проект!#REF!</definedName>
    <definedName name="EST_Obj_5" localSheetId="2">[1]Проект!#REF!</definedName>
    <definedName name="EST_Obj_5">[1]Проект!#REF!</definedName>
    <definedName name="EST_Obj_6" localSheetId="0">[1]Проект!#REF!</definedName>
    <definedName name="EST_Obj_6" localSheetId="2">[1]Проект!#REF!</definedName>
    <definedName name="EST_Obj_6">[1]Проект!#REF!</definedName>
    <definedName name="EST_Obj_7" localSheetId="0">[1]Проект!#REF!</definedName>
    <definedName name="EST_Obj_7" localSheetId="2">[1]Проект!#REF!</definedName>
    <definedName name="EST_Obj_7">[1]Проект!#REF!</definedName>
    <definedName name="EST_Obj_8" localSheetId="0">[1]Проект!#REF!</definedName>
    <definedName name="EST_Obj_8" localSheetId="2">[1]Проект!#REF!</definedName>
    <definedName name="EST_Obj_8">[1]Проект!#REF!</definedName>
    <definedName name="EST_Obj_9" localSheetId="0">[1]Проект!#REF!</definedName>
    <definedName name="EST_Obj_9" localSheetId="2">[1]Проект!#REF!</definedName>
    <definedName name="EST_Obj_9">[1]Проект!#REF!</definedName>
    <definedName name="EST_ProdNum" localSheetId="0">[1]Проект!#REF!</definedName>
    <definedName name="EST_ProdNum" localSheetId="2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'[3]1. Исходные данные'!#REF!</definedName>
    <definedName name="season" localSheetId="2">'[3]1. Исходные данные'!#REF!</definedName>
    <definedName name="season">'[3]1.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[2]Отчет!#REF!</definedName>
    <definedName name="апи" localSheetId="2">[2]Отчет!#REF!</definedName>
    <definedName name="апи">[2]Отчет!#REF!</definedName>
    <definedName name="длаодлаводло">[2]Отчет!#REF!</definedName>
    <definedName name="_xlnm.Print_Titles" localSheetId="3">'Детальний розрахунок'!$A:$B,'Детальний розрахунок'!$5:$5</definedName>
    <definedName name="_xlnm.Print_Titles" localSheetId="1">Інвестицій!$5:$5</definedName>
    <definedName name="и" localSheetId="0">[2]Отчет!#REF!</definedName>
    <definedName name="и" localSheetId="1">[2]Отчет!#REF!</definedName>
    <definedName name="и" localSheetId="2">[2]Отчет!#REF!</definedName>
    <definedName name="и">[2]Отчет!#REF!</definedName>
    <definedName name="_xlnm.Print_Area" localSheetId="0">'Вхідні дані'!$A$2:$K$109</definedName>
    <definedName name="_xlnm.Print_Area" localSheetId="3">'Детальний розрахунок'!$A$4:$AT$92</definedName>
    <definedName name="_xlnm.Print_Area" localSheetId="1">Інвестицій!$A$2:$O$54</definedName>
    <definedName name="_xlnm.Print_Area" localSheetId="2">'Узагальнений розрахунок'!$A$1:$I$64</definedName>
    <definedName name="п" localSheetId="0">[2]Отчет!#REF!</definedName>
    <definedName name="п" localSheetId="1">[2]Отчет!#REF!</definedName>
    <definedName name="п" localSheetId="2">[2]Отчет!#REF!</definedName>
    <definedName name="п">[2]Отчет!#REF!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44" i="6" l="1"/>
  <c r="F44" i="6"/>
  <c r="I44" i="6"/>
  <c r="B10" i="7" l="1"/>
  <c r="R8" i="7" l="1"/>
  <c r="H60" i="6" l="1"/>
  <c r="I15" i="6"/>
  <c r="E15" i="6" s="1"/>
  <c r="I16" i="6"/>
  <c r="E16" i="6" s="1"/>
  <c r="I14" i="6"/>
  <c r="E14" i="6" s="1"/>
  <c r="H78" i="6" l="1"/>
  <c r="S78" i="6" s="1"/>
  <c r="H77" i="6"/>
  <c r="S77" i="6" s="1"/>
  <c r="H76" i="6"/>
  <c r="S76" i="6" s="1"/>
  <c r="H70" i="6"/>
  <c r="S70" i="6" s="1"/>
  <c r="H69" i="6"/>
  <c r="H68" i="6"/>
  <c r="S68" i="6" s="1"/>
  <c r="H61" i="6"/>
  <c r="S61" i="6" s="1"/>
  <c r="H62" i="6"/>
  <c r="S62" i="6" s="1"/>
  <c r="S60" i="6"/>
  <c r="S69" i="6"/>
  <c r="N54" i="8" l="1"/>
  <c r="I54" i="8"/>
  <c r="D54" i="8"/>
  <c r="N53" i="8"/>
  <c r="I53" i="8"/>
  <c r="D53" i="8"/>
  <c r="N52" i="8"/>
  <c r="I52" i="8"/>
  <c r="D52" i="8"/>
  <c r="N51" i="8"/>
  <c r="I51" i="8"/>
  <c r="D51" i="8"/>
  <c r="N50" i="8"/>
  <c r="I50" i="8"/>
  <c r="D50" i="8"/>
  <c r="N49" i="8"/>
  <c r="I49" i="8"/>
  <c r="D49" i="8"/>
  <c r="N48" i="8"/>
  <c r="I48" i="8"/>
  <c r="D48" i="8"/>
  <c r="N47" i="8"/>
  <c r="I47" i="8"/>
  <c r="D47" i="8"/>
  <c r="N46" i="8"/>
  <c r="I46" i="8"/>
  <c r="D46" i="8"/>
  <c r="N45" i="8"/>
  <c r="I45" i="8"/>
  <c r="D45" i="8"/>
  <c r="N44" i="8"/>
  <c r="I44" i="8"/>
  <c r="D44" i="8"/>
  <c r="N43" i="8"/>
  <c r="I46" i="6" s="1"/>
  <c r="D43" i="8" l="1"/>
  <c r="C46" i="6" s="1"/>
  <c r="I43" i="8"/>
  <c r="F46" i="6" s="1"/>
  <c r="D3" i="7" l="1"/>
  <c r="D2" i="7"/>
  <c r="S1" i="6"/>
  <c r="M1" i="6"/>
  <c r="R70" i="6" l="1"/>
  <c r="R62" i="6"/>
  <c r="R78" i="6"/>
  <c r="R69" i="6"/>
  <c r="R60" i="6"/>
  <c r="R68" i="6"/>
  <c r="R77" i="6"/>
  <c r="R76" i="6"/>
  <c r="R61" i="6"/>
  <c r="B48" i="4"/>
  <c r="G66" i="6"/>
  <c r="G74" i="6"/>
  <c r="G58" i="6"/>
  <c r="P24" i="7" s="1"/>
  <c r="B46" i="4"/>
  <c r="B47" i="4"/>
  <c r="B93" i="6"/>
  <c r="B40" i="7" s="1"/>
  <c r="A47" i="4" s="1"/>
  <c r="B94" i="6"/>
  <c r="B41" i="7" s="1"/>
  <c r="A48" i="4" s="1"/>
  <c r="J93" i="6"/>
  <c r="D93" i="6"/>
  <c r="G93" i="6"/>
  <c r="A5" i="6"/>
  <c r="B13" i="7"/>
  <c r="B92" i="6"/>
  <c r="B39" i="7" s="1"/>
  <c r="A46" i="4" s="1"/>
  <c r="A43" i="8"/>
  <c r="F43" i="8" s="1"/>
  <c r="K43" i="8" s="1"/>
  <c r="Q11" i="7"/>
  <c r="R11" i="7"/>
  <c r="J44" i="8"/>
  <c r="O53" i="8"/>
  <c r="O52" i="8"/>
  <c r="E49" i="8"/>
  <c r="J54" i="8"/>
  <c r="O44" i="8"/>
  <c r="E44" i="8"/>
  <c r="J49" i="8"/>
  <c r="O54" i="8"/>
  <c r="E47" i="8"/>
  <c r="E46" i="8"/>
  <c r="E45" i="8"/>
  <c r="J50" i="8"/>
  <c r="O45" i="8"/>
  <c r="J47" i="8"/>
  <c r="J45" i="8"/>
  <c r="O50" i="8"/>
  <c r="O49" i="8"/>
  <c r="O48" i="8"/>
  <c r="J46" i="8"/>
  <c r="O51" i="8"/>
  <c r="J48" i="8"/>
  <c r="E50" i="8"/>
  <c r="O46" i="8"/>
  <c r="E52" i="8"/>
  <c r="E51" i="8"/>
  <c r="J51" i="8"/>
  <c r="O47" i="8"/>
  <c r="E53" i="8"/>
  <c r="J52" i="8"/>
  <c r="E54" i="8"/>
  <c r="E48" i="8"/>
  <c r="J53" i="8"/>
  <c r="G88" i="6"/>
  <c r="D88" i="6"/>
  <c r="J88" i="6"/>
  <c r="D86" i="6"/>
  <c r="J86" i="6"/>
  <c r="G86" i="6"/>
  <c r="U15" i="6"/>
  <c r="Q24" i="7"/>
  <c r="R24" i="7"/>
  <c r="T60" i="6"/>
  <c r="T62" i="6"/>
  <c r="A63" i="6"/>
  <c r="T61" i="6"/>
  <c r="B85" i="6"/>
  <c r="V15" i="6"/>
  <c r="B87" i="6"/>
  <c r="E12" i="6"/>
  <c r="G2" i="7"/>
  <c r="E13" i="6"/>
  <c r="F58" i="6" s="1"/>
  <c r="G3" i="7"/>
  <c r="A3" i="6"/>
  <c r="A4" i="6"/>
  <c r="F13" i="6" l="1"/>
  <c r="F74" i="6"/>
  <c r="F66" i="6"/>
  <c r="O43" i="8"/>
  <c r="J43" i="8"/>
  <c r="E43" i="8"/>
  <c r="A55" i="6"/>
  <c r="K55" i="6"/>
  <c r="J55" i="6"/>
  <c r="I55" i="6"/>
  <c r="H55" i="6"/>
  <c r="G55" i="6"/>
  <c r="F55" i="6"/>
  <c r="E55" i="6"/>
  <c r="D55" i="6"/>
  <c r="C55" i="6"/>
  <c r="B55" i="6"/>
  <c r="T76" i="6"/>
  <c r="T77" i="6"/>
  <c r="T78" i="6"/>
  <c r="A79" i="6"/>
  <c r="R9" i="7"/>
  <c r="Q9" i="7"/>
  <c r="E6" i="7"/>
  <c r="C6" i="7"/>
  <c r="R7" i="7"/>
  <c r="Q7" i="7"/>
  <c r="Q8" i="7"/>
  <c r="B19" i="7"/>
  <c r="J52" i="6"/>
  <c r="G52" i="6"/>
  <c r="D52" i="6"/>
  <c r="C43" i="6"/>
  <c r="A38" i="6"/>
  <c r="V43" i="6"/>
  <c r="U43" i="6"/>
  <c r="D43" i="6" l="1"/>
  <c r="A6" i="7"/>
  <c r="G12" i="6"/>
  <c r="C12" i="6"/>
  <c r="D16" i="6"/>
  <c r="D15" i="6"/>
  <c r="D14" i="6"/>
  <c r="V11" i="6"/>
  <c r="U11" i="6"/>
  <c r="D13" i="6" s="1"/>
  <c r="A61" i="4" l="1"/>
  <c r="B34" i="12" l="1"/>
  <c r="B33" i="12"/>
  <c r="B32" i="12"/>
  <c r="B31" i="12"/>
  <c r="B30" i="12"/>
  <c r="B24" i="12"/>
  <c r="B23" i="12"/>
  <c r="B22" i="12"/>
  <c r="B20" i="12"/>
  <c r="A8" i="12"/>
  <c r="A39" i="11" s="1"/>
  <c r="F1" i="12"/>
  <c r="A2" i="11" s="1"/>
  <c r="D1" i="12" l="1"/>
  <c r="K22" i="11" s="1"/>
  <c r="C1" i="12"/>
  <c r="F22" i="11" s="1"/>
  <c r="B1" i="12"/>
  <c r="A22" i="11" s="1"/>
  <c r="A34" i="12"/>
  <c r="F6" i="12" s="1"/>
  <c r="A33" i="12"/>
  <c r="F5" i="12" s="1"/>
  <c r="A32" i="12"/>
  <c r="F4" i="12" s="1"/>
  <c r="A31" i="12"/>
  <c r="F3" i="12" s="1"/>
  <c r="A30" i="12"/>
  <c r="F2" i="12" s="1"/>
  <c r="A24" i="12"/>
  <c r="A5" i="12" s="1"/>
  <c r="A23" i="12"/>
  <c r="A4" i="12" s="1"/>
  <c r="A22" i="12"/>
  <c r="A3" i="12" s="1"/>
  <c r="A20" i="12"/>
  <c r="A2" i="12" s="1"/>
  <c r="B25" i="4"/>
  <c r="V70" i="6" l="1"/>
  <c r="U70" i="6"/>
  <c r="T69" i="6"/>
  <c r="AR27" i="4"/>
  <c r="AD27" i="4"/>
  <c r="B27" i="4"/>
  <c r="I13" i="7"/>
  <c r="J46" i="6"/>
  <c r="G46" i="6"/>
  <c r="D46" i="6"/>
  <c r="B46" i="6" l="1"/>
  <c r="A27" i="4" s="1"/>
  <c r="A11" i="12" s="1"/>
  <c r="P16" i="4"/>
  <c r="AD16" i="4"/>
  <c r="AR16" i="4"/>
  <c r="I13" i="6"/>
  <c r="I12" i="6"/>
  <c r="J101" i="6" l="1"/>
  <c r="J100" i="6"/>
  <c r="J108" i="6"/>
  <c r="J105" i="6"/>
  <c r="J102" i="6"/>
  <c r="J99" i="6"/>
  <c r="J98" i="6"/>
  <c r="J97" i="6"/>
  <c r="J96" i="6"/>
  <c r="J95" i="6"/>
  <c r="J91" i="6"/>
  <c r="J90" i="6"/>
  <c r="J89" i="6"/>
  <c r="J53" i="6"/>
  <c r="J51" i="6"/>
  <c r="J50" i="6"/>
  <c r="J49" i="6"/>
  <c r="J48" i="6"/>
  <c r="J47" i="6"/>
  <c r="J44" i="6"/>
  <c r="A16" i="6"/>
  <c r="E20" i="6" l="1"/>
  <c r="K20" i="6" s="1"/>
  <c r="I83" i="6"/>
  <c r="I41" i="6"/>
  <c r="K4" i="8"/>
  <c r="N3" i="7"/>
  <c r="N42" i="8"/>
  <c r="O42" i="8" s="1"/>
  <c r="N41" i="8"/>
  <c r="O41" i="8" s="1"/>
  <c r="N40" i="8"/>
  <c r="O40" i="8" s="1"/>
  <c r="N39" i="8"/>
  <c r="O39" i="8" s="1"/>
  <c r="N38" i="8"/>
  <c r="O38" i="8" s="1"/>
  <c r="N37" i="8"/>
  <c r="O37" i="8" s="1"/>
  <c r="N36" i="8"/>
  <c r="O36" i="8" s="1"/>
  <c r="N35" i="8"/>
  <c r="O35" i="8" s="1"/>
  <c r="N34" i="8"/>
  <c r="O34" i="8" s="1"/>
  <c r="N33" i="8"/>
  <c r="O33" i="8" s="1"/>
  <c r="N32" i="8"/>
  <c r="O32" i="8" s="1"/>
  <c r="N31" i="8"/>
  <c r="O31" i="8" s="1"/>
  <c r="N30" i="8"/>
  <c r="O30" i="8" s="1"/>
  <c r="N29" i="8"/>
  <c r="O29" i="8" s="1"/>
  <c r="N28" i="8"/>
  <c r="O28" i="8" s="1"/>
  <c r="N27" i="8"/>
  <c r="O27" i="8" s="1"/>
  <c r="N26" i="8"/>
  <c r="O26" i="8" s="1"/>
  <c r="N25" i="8"/>
  <c r="O25" i="8" s="1"/>
  <c r="N24" i="8"/>
  <c r="O24" i="8" s="1"/>
  <c r="N23" i="8"/>
  <c r="O23" i="8" s="1"/>
  <c r="N22" i="8"/>
  <c r="O22" i="8" s="1"/>
  <c r="N21" i="8"/>
  <c r="O21" i="8" s="1"/>
  <c r="N20" i="8"/>
  <c r="O20" i="8" s="1"/>
  <c r="N19" i="8"/>
  <c r="O19" i="8" s="1"/>
  <c r="N18" i="8"/>
  <c r="O18" i="8" s="1"/>
  <c r="N17" i="8"/>
  <c r="O17" i="8" s="1"/>
  <c r="N16" i="8"/>
  <c r="O16" i="8" s="1"/>
  <c r="N15" i="8"/>
  <c r="O15" i="8" s="1"/>
  <c r="N14" i="8"/>
  <c r="O14" i="8" s="1"/>
  <c r="N13" i="8"/>
  <c r="O13" i="8" s="1"/>
  <c r="N12" i="8"/>
  <c r="O12" i="8" s="1"/>
  <c r="N11" i="8"/>
  <c r="O11" i="8" s="1"/>
  <c r="N10" i="8"/>
  <c r="O10" i="8" s="1"/>
  <c r="N9" i="8"/>
  <c r="O9" i="8" s="1"/>
  <c r="N8" i="8"/>
  <c r="O8" i="8" s="1"/>
  <c r="N7" i="8"/>
  <c r="N6" i="8" l="1"/>
  <c r="I45" i="6" s="1"/>
  <c r="J45" i="6" s="1"/>
  <c r="J54" i="6" s="1"/>
  <c r="A73" i="6"/>
  <c r="O7" i="8"/>
  <c r="O6" i="8" s="1"/>
  <c r="C6" i="4"/>
  <c r="A7" i="4"/>
  <c r="P2" i="7"/>
  <c r="D107" i="6"/>
  <c r="G107" i="6" s="1"/>
  <c r="J107" i="6" s="1"/>
  <c r="B107" i="6"/>
  <c r="B42" i="4"/>
  <c r="B35" i="7"/>
  <c r="A42" i="4" s="1"/>
  <c r="B42" i="7"/>
  <c r="G91" i="6" l="1"/>
  <c r="D91" i="6"/>
  <c r="G96" i="6"/>
  <c r="D96" i="6"/>
  <c r="A109" i="6"/>
  <c r="B89" i="6"/>
  <c r="T85" i="6"/>
  <c r="D85" i="6"/>
  <c r="D92" i="6" s="1"/>
  <c r="G92" i="6" s="1"/>
  <c r="J92" i="6" s="1"/>
  <c r="T86" i="6"/>
  <c r="C84" i="6"/>
  <c r="S86" i="6" l="1"/>
  <c r="S85" i="6"/>
  <c r="G85" i="6"/>
  <c r="J85" i="6" s="1"/>
  <c r="D106" i="6"/>
  <c r="G106" i="6" s="1"/>
  <c r="J106" i="6" s="1"/>
  <c r="D87" i="6"/>
  <c r="D94" i="6" s="1"/>
  <c r="G94" i="6" s="1"/>
  <c r="J94" i="6" s="1"/>
  <c r="AR29" i="4"/>
  <c r="AD29" i="4"/>
  <c r="B29" i="4"/>
  <c r="I15" i="7"/>
  <c r="T70" i="6"/>
  <c r="T68" i="6"/>
  <c r="A66" i="6"/>
  <c r="B48" i="6"/>
  <c r="B15" i="7" s="1"/>
  <c r="A29" i="4" s="1"/>
  <c r="A13" i="12" s="1"/>
  <c r="G48" i="6"/>
  <c r="D48" i="6"/>
  <c r="A15" i="6"/>
  <c r="A14" i="6"/>
  <c r="A8" i="6"/>
  <c r="C9" i="6"/>
  <c r="C8" i="6"/>
  <c r="A74" i="6" l="1"/>
  <c r="A58" i="6"/>
  <c r="C75" i="6"/>
  <c r="C59" i="6"/>
  <c r="A75" i="6"/>
  <c r="A59" i="6"/>
  <c r="F4" i="8"/>
  <c r="F83" i="6"/>
  <c r="C41" i="6"/>
  <c r="A57" i="6" s="1"/>
  <c r="C83" i="6"/>
  <c r="G87" i="6"/>
  <c r="J87" i="6"/>
  <c r="F41" i="6"/>
  <c r="N2" i="7"/>
  <c r="A67" i="6"/>
  <c r="C67" i="6"/>
  <c r="C20" i="6"/>
  <c r="D20" i="6"/>
  <c r="A4" i="8"/>
  <c r="N1" i="7"/>
  <c r="B34" i="7"/>
  <c r="A71" i="6"/>
  <c r="B50" i="7"/>
  <c r="G102" i="6"/>
  <c r="D102" i="6"/>
  <c r="M1" i="7" l="1"/>
  <c r="A65" i="6"/>
  <c r="A90" i="4"/>
  <c r="A91" i="4"/>
  <c r="A92" i="4"/>
  <c r="A82" i="4"/>
  <c r="A80" i="4"/>
  <c r="A78" i="4"/>
  <c r="A77" i="4"/>
  <c r="A76" i="4"/>
  <c r="A75" i="4"/>
  <c r="A74" i="4"/>
  <c r="A73" i="4"/>
  <c r="A72" i="4"/>
  <c r="A71" i="4"/>
  <c r="A69" i="4"/>
  <c r="A68" i="4"/>
  <c r="A67" i="4"/>
  <c r="A66" i="4"/>
  <c r="A65" i="4"/>
  <c r="A64" i="4"/>
  <c r="A63" i="4"/>
  <c r="A62" i="4"/>
  <c r="A37" i="4"/>
  <c r="AT15" i="4"/>
  <c r="AS16" i="4"/>
  <c r="AS20" i="4" s="1"/>
  <c r="AR20" i="4"/>
  <c r="AE16" i="4"/>
  <c r="AE20" i="4" s="1"/>
  <c r="AD20" i="4"/>
  <c r="Q16" i="4"/>
  <c r="Q20" i="4" s="1"/>
  <c r="P20" i="4"/>
  <c r="A24" i="4"/>
  <c r="A18" i="4"/>
  <c r="A22" i="4" s="1"/>
  <c r="A20" i="4"/>
  <c r="A17" i="4"/>
  <c r="A16" i="4"/>
  <c r="AF5" i="4"/>
  <c r="AF15" i="4" s="1"/>
  <c r="R5" i="4"/>
  <c r="R15" i="4" s="1"/>
  <c r="D5" i="4"/>
  <c r="D15" i="4" s="1"/>
  <c r="A6" i="4"/>
  <c r="A14" i="4"/>
  <c r="A13" i="4"/>
  <c r="A12" i="4"/>
  <c r="A11" i="4"/>
  <c r="A10" i="4"/>
  <c r="A9" i="4"/>
  <c r="A8" i="4"/>
  <c r="A61" i="7"/>
  <c r="AX72" i="4"/>
  <c r="AW72" i="4"/>
  <c r="AX71" i="4"/>
  <c r="A87" i="4" s="1"/>
  <c r="AW71" i="4"/>
  <c r="AX70" i="4"/>
  <c r="A86" i="4" s="1"/>
  <c r="AW70" i="4"/>
  <c r="AX69" i="4"/>
  <c r="A85" i="4" s="1"/>
  <c r="AW69" i="4"/>
  <c r="AX68" i="4"/>
  <c r="A84" i="4" s="1"/>
  <c r="AW68" i="4"/>
  <c r="A63" i="7"/>
  <c r="A59" i="7"/>
  <c r="A57" i="7"/>
  <c r="A55" i="7"/>
  <c r="B32" i="7"/>
  <c r="A21" i="4" s="1"/>
  <c r="B51" i="7"/>
  <c r="B33" i="7"/>
  <c r="B43" i="7"/>
  <c r="H54" i="7"/>
  <c r="H63" i="7"/>
  <c r="H61" i="7"/>
  <c r="G31" i="7"/>
  <c r="R31" i="7"/>
  <c r="Q31" i="7"/>
  <c r="I41" i="7" s="1"/>
  <c r="D31" i="7"/>
  <c r="B12" i="7"/>
  <c r="E24" i="7"/>
  <c r="A24" i="7"/>
  <c r="A8" i="7"/>
  <c r="D6" i="7"/>
  <c r="H6" i="7"/>
  <c r="F6" i="7"/>
  <c r="P1" i="7"/>
  <c r="D4" i="4"/>
  <c r="P3" i="7"/>
  <c r="A6" i="8"/>
  <c r="F6" i="8" s="1"/>
  <c r="K6" i="8" s="1"/>
  <c r="D5" i="8"/>
  <c r="C5" i="8"/>
  <c r="B5" i="8"/>
  <c r="A5" i="8"/>
  <c r="F5" i="8" s="1"/>
  <c r="K5" i="8" s="1"/>
  <c r="F2" i="8"/>
  <c r="K2" i="8" s="1"/>
  <c r="S7" i="8"/>
  <c r="R7" i="8"/>
  <c r="E5" i="8" s="1"/>
  <c r="B108" i="6"/>
  <c r="B100" i="6"/>
  <c r="B47" i="7" s="1"/>
  <c r="B101" i="6"/>
  <c r="B48" i="7" s="1"/>
  <c r="B106" i="6"/>
  <c r="D104" i="6"/>
  <c r="D103" i="6"/>
  <c r="B105" i="6"/>
  <c r="B102" i="6"/>
  <c r="B49" i="7" s="1"/>
  <c r="B91" i="6"/>
  <c r="B95" i="6"/>
  <c r="B96" i="6"/>
  <c r="B97" i="6"/>
  <c r="B44" i="7" s="1"/>
  <c r="B98" i="6"/>
  <c r="B45" i="7" s="1"/>
  <c r="B99" i="6"/>
  <c r="B46" i="7" s="1"/>
  <c r="B90" i="6"/>
  <c r="C82" i="6"/>
  <c r="A81" i="6"/>
  <c r="A30" i="7" s="1"/>
  <c r="K68" i="6"/>
  <c r="K66" i="6"/>
  <c r="J66" i="6"/>
  <c r="H67" i="6"/>
  <c r="H66" i="6"/>
  <c r="E66" i="6"/>
  <c r="B47" i="6"/>
  <c r="B49" i="6"/>
  <c r="B50" i="6"/>
  <c r="B51" i="6"/>
  <c r="B52" i="6"/>
  <c r="B53" i="6"/>
  <c r="B54" i="6"/>
  <c r="B21" i="7" s="1"/>
  <c r="B45" i="6"/>
  <c r="B44" i="6"/>
  <c r="B42" i="6"/>
  <c r="A40" i="6"/>
  <c r="A9" i="7" s="1"/>
  <c r="A39" i="6"/>
  <c r="J36" i="6"/>
  <c r="I36" i="6"/>
  <c r="H36" i="6"/>
  <c r="F36" i="6"/>
  <c r="E36" i="6"/>
  <c r="C36" i="6"/>
  <c r="A34" i="6"/>
  <c r="A37" i="6"/>
  <c r="A33" i="6" s="1"/>
  <c r="G20" i="6"/>
  <c r="G19" i="6"/>
  <c r="C19" i="6"/>
  <c r="A19" i="6"/>
  <c r="A18" i="6"/>
  <c r="A17" i="6"/>
  <c r="H12" i="6"/>
  <c r="A12" i="6"/>
  <c r="A11" i="6"/>
  <c r="A5" i="7" s="1"/>
  <c r="A6" i="6"/>
  <c r="A2" i="7"/>
  <c r="A1" i="6"/>
  <c r="D10" i="7" l="1"/>
  <c r="E10" i="7"/>
  <c r="B52" i="7"/>
  <c r="A28" i="7"/>
  <c r="P27" i="7"/>
  <c r="E26" i="7"/>
  <c r="P26" i="7"/>
  <c r="P25" i="7"/>
  <c r="E27" i="7"/>
  <c r="E25" i="7"/>
  <c r="K7" i="4"/>
  <c r="AQ47" i="4"/>
  <c r="AM47" i="4"/>
  <c r="AI47" i="4"/>
  <c r="AC47" i="4"/>
  <c r="Y47" i="4"/>
  <c r="U47" i="4"/>
  <c r="F47" i="4"/>
  <c r="J47" i="4"/>
  <c r="N47" i="4"/>
  <c r="L47" i="4"/>
  <c r="AN47" i="4"/>
  <c r="Z47" i="4"/>
  <c r="I47" i="4"/>
  <c r="AP47" i="4"/>
  <c r="AL47" i="4"/>
  <c r="AH47" i="4"/>
  <c r="AB47" i="4"/>
  <c r="X47" i="4"/>
  <c r="T47" i="4"/>
  <c r="G47" i="4"/>
  <c r="K47" i="4"/>
  <c r="O47" i="4"/>
  <c r="AO47" i="4"/>
  <c r="AK47" i="4"/>
  <c r="AG47" i="4"/>
  <c r="AA47" i="4"/>
  <c r="W47" i="4"/>
  <c r="H47" i="4"/>
  <c r="D47" i="4"/>
  <c r="AF47" i="4"/>
  <c r="R47" i="4"/>
  <c r="E47" i="4"/>
  <c r="S47" i="4"/>
  <c r="AJ47" i="4"/>
  <c r="V47" i="4"/>
  <c r="M47" i="4"/>
  <c r="I40" i="7"/>
  <c r="I39" i="7"/>
  <c r="W45" i="4"/>
  <c r="D26" i="7"/>
  <c r="D13" i="7"/>
  <c r="C27" i="4" s="1"/>
  <c r="P27" i="4" s="1"/>
  <c r="AT27" i="4" s="1"/>
  <c r="AM45" i="4"/>
  <c r="D15" i="7"/>
  <c r="C29" i="4" s="1"/>
  <c r="B13" i="12" s="1"/>
  <c r="W7" i="4"/>
  <c r="X45" i="4"/>
  <c r="AA45" i="4"/>
  <c r="AJ7" i="4"/>
  <c r="O45" i="4"/>
  <c r="V45" i="4"/>
  <c r="V7" i="4"/>
  <c r="AG45" i="4"/>
  <c r="AP45" i="4"/>
  <c r="AF45" i="4"/>
  <c r="H45" i="4"/>
  <c r="F7" i="4"/>
  <c r="I7" i="4"/>
  <c r="D25" i="7"/>
  <c r="AN45" i="4"/>
  <c r="D45" i="4"/>
  <c r="R50" i="4"/>
  <c r="D7" i="4"/>
  <c r="Y7" i="4"/>
  <c r="D27" i="7"/>
  <c r="M45" i="4"/>
  <c r="J7" i="4"/>
  <c r="S7" i="4"/>
  <c r="H7" i="4"/>
  <c r="N7" i="4"/>
  <c r="U7" i="4"/>
  <c r="AH45" i="4"/>
  <c r="F45" i="4"/>
  <c r="U45" i="4"/>
  <c r="N45" i="4"/>
  <c r="AB45" i="4"/>
  <c r="G7" i="4"/>
  <c r="AG7" i="4"/>
  <c r="Z7" i="4"/>
  <c r="E7" i="4"/>
  <c r="AI7" i="4"/>
  <c r="I45" i="4"/>
  <c r="D50" i="4"/>
  <c r="E45" i="4"/>
  <c r="Z45" i="4"/>
  <c r="G45" i="4"/>
  <c r="T45" i="4"/>
  <c r="AK45" i="4"/>
  <c r="S45" i="4"/>
  <c r="Y45" i="4"/>
  <c r="AJ45" i="4"/>
  <c r="X7" i="4"/>
  <c r="O7" i="4"/>
  <c r="AO7" i="4"/>
  <c r="AB7" i="4"/>
  <c r="L7" i="4"/>
  <c r="AF7" i="4"/>
  <c r="T7" i="4"/>
  <c r="M7" i="4"/>
  <c r="AQ7" i="4"/>
  <c r="A7" i="7"/>
  <c r="G25" i="7"/>
  <c r="A27" i="7"/>
  <c r="AC45" i="4"/>
  <c r="K45" i="4"/>
  <c r="AI45" i="4"/>
  <c r="R45" i="4"/>
  <c r="AL45" i="4"/>
  <c r="L45" i="4"/>
  <c r="J45" i="4"/>
  <c r="AO45" i="4"/>
  <c r="AQ45" i="4"/>
  <c r="AF50" i="4"/>
  <c r="AP7" i="4"/>
  <c r="AA7" i="4"/>
  <c r="AK7" i="4"/>
  <c r="AL7" i="4"/>
  <c r="R7" i="4"/>
  <c r="AN7" i="4"/>
  <c r="AH7" i="4"/>
  <c r="AC7" i="4"/>
  <c r="AM7" i="4"/>
  <c r="D19" i="7"/>
  <c r="A26" i="7"/>
  <c r="A25" i="7"/>
  <c r="E74" i="6"/>
  <c r="E58" i="6"/>
  <c r="H74" i="6"/>
  <c r="H58" i="6"/>
  <c r="K76" i="6"/>
  <c r="K60" i="6"/>
  <c r="I25" i="7" s="1"/>
  <c r="K74" i="6"/>
  <c r="K58" i="6"/>
  <c r="H75" i="6"/>
  <c r="H59" i="6"/>
  <c r="J74" i="6"/>
  <c r="J58" i="6"/>
  <c r="O1" i="7"/>
  <c r="G24" i="7"/>
  <c r="I24" i="7"/>
  <c r="R4" i="4"/>
  <c r="AF4" i="4" s="1"/>
  <c r="A1" i="11"/>
  <c r="L5" i="8"/>
  <c r="G5" i="8"/>
  <c r="G57" i="7"/>
  <c r="I35" i="7"/>
  <c r="I50" i="7"/>
  <c r="G59" i="7"/>
  <c r="I49" i="7"/>
  <c r="I43" i="7"/>
  <c r="I42" i="7"/>
  <c r="I34" i="7"/>
  <c r="A89" i="4"/>
  <c r="I47" i="7"/>
  <c r="I46" i="7"/>
  <c r="I38" i="7"/>
  <c r="I33" i="7"/>
  <c r="I52" i="7"/>
  <c r="I44" i="7"/>
  <c r="I36" i="7"/>
  <c r="G55" i="7"/>
  <c r="I48" i="7"/>
  <c r="I32" i="7"/>
  <c r="I51" i="7"/>
  <c r="I45" i="7"/>
  <c r="I37" i="7"/>
  <c r="A59" i="4"/>
  <c r="A35" i="4"/>
  <c r="B49" i="4"/>
  <c r="A49" i="4"/>
  <c r="G95" i="6"/>
  <c r="D95" i="6"/>
  <c r="V84" i="6"/>
  <c r="V19" i="6"/>
  <c r="U84" i="6"/>
  <c r="I67" i="6"/>
  <c r="P2" i="6"/>
  <c r="P3" i="6"/>
  <c r="P4" i="6"/>
  <c r="P5" i="6"/>
  <c r="P6" i="6"/>
  <c r="P7" i="6"/>
  <c r="P8" i="6"/>
  <c r="P9" i="6"/>
  <c r="P10" i="6"/>
  <c r="P11" i="6"/>
  <c r="P12" i="6"/>
  <c r="P1" i="6"/>
  <c r="D84" i="6" l="1"/>
  <c r="G84" i="6" s="1"/>
  <c r="J84" i="6" s="1"/>
  <c r="D28" i="7"/>
  <c r="B11" i="12"/>
  <c r="P29" i="4"/>
  <c r="AT29" i="4" s="1"/>
  <c r="I75" i="6"/>
  <c r="I59" i="6"/>
  <c r="A3" i="7"/>
  <c r="O1" i="6"/>
  <c r="AF49" i="4"/>
  <c r="AR49" i="4" s="1"/>
  <c r="AS49" i="4" s="1"/>
  <c r="R49" i="4"/>
  <c r="AD49" i="4" s="1"/>
  <c r="AE49" i="4" s="1"/>
  <c r="P49" i="4"/>
  <c r="AT49" i="4" l="1"/>
  <c r="Q49" i="4"/>
  <c r="G42" i="7" s="1"/>
  <c r="U19" i="6"/>
  <c r="J13" i="6" s="1"/>
  <c r="G43" i="6" s="1"/>
  <c r="J43" i="6" s="1"/>
  <c r="I16" i="7"/>
  <c r="B16" i="7"/>
  <c r="A30" i="4" s="1"/>
  <c r="A14" i="12" s="1"/>
  <c r="G105" i="6" l="1"/>
  <c r="D105" i="6"/>
  <c r="G49" i="6"/>
  <c r="D49" i="6"/>
  <c r="D16" i="7" s="1"/>
  <c r="I37" i="8"/>
  <c r="J37" i="8" s="1"/>
  <c r="D37" i="8"/>
  <c r="E37" i="8" s="1"/>
  <c r="I36" i="8"/>
  <c r="J36" i="8" s="1"/>
  <c r="D36" i="8"/>
  <c r="E36" i="8" s="1"/>
  <c r="I35" i="8"/>
  <c r="J35" i="8" s="1"/>
  <c r="D35" i="8"/>
  <c r="E35" i="8" s="1"/>
  <c r="I34" i="8"/>
  <c r="J34" i="8" s="1"/>
  <c r="D34" i="8"/>
  <c r="E34" i="8" s="1"/>
  <c r="I39" i="8"/>
  <c r="J39" i="8" s="1"/>
  <c r="D39" i="8"/>
  <c r="E39" i="8" s="1"/>
  <c r="I38" i="8"/>
  <c r="J38" i="8" s="1"/>
  <c r="D38" i="8"/>
  <c r="E38" i="8" s="1"/>
  <c r="AQ57" i="4" l="1"/>
  <c r="Y57" i="4"/>
  <c r="M57" i="4"/>
  <c r="AP57" i="4"/>
  <c r="X57" i="4"/>
  <c r="N57" i="4"/>
  <c r="AA57" i="4"/>
  <c r="K57" i="4"/>
  <c r="AN57" i="4"/>
  <c r="V57" i="4"/>
  <c r="D57" i="4"/>
  <c r="AM57" i="4"/>
  <c r="U57" i="4"/>
  <c r="AL57" i="4"/>
  <c r="T57" i="4"/>
  <c r="AO57" i="4"/>
  <c r="W57" i="4"/>
  <c r="O57" i="4"/>
  <c r="AJ57" i="4"/>
  <c r="R57" i="4"/>
  <c r="I57" i="4"/>
  <c r="AB57" i="4"/>
  <c r="J57" i="4"/>
  <c r="AG57" i="4"/>
  <c r="G57" i="4"/>
  <c r="Z57" i="4"/>
  <c r="AI57" i="4"/>
  <c r="E57" i="4"/>
  <c r="AH57" i="4"/>
  <c r="F57" i="4"/>
  <c r="AK57" i="4"/>
  <c r="S57" i="4"/>
  <c r="AF57" i="4"/>
  <c r="H57" i="4"/>
  <c r="AC57" i="4"/>
  <c r="L57" i="4"/>
  <c r="C30" i="4"/>
  <c r="B14" i="12" s="1"/>
  <c r="H5" i="8"/>
  <c r="M5" i="8" s="1"/>
  <c r="I5" i="8"/>
  <c r="N5" i="8" s="1"/>
  <c r="I7" i="8"/>
  <c r="J7" i="8" s="1"/>
  <c r="I8" i="8"/>
  <c r="J8" i="8" s="1"/>
  <c r="I9" i="8"/>
  <c r="J9" i="8" s="1"/>
  <c r="I10" i="8"/>
  <c r="J10" i="8" s="1"/>
  <c r="I11" i="8"/>
  <c r="J11" i="8" s="1"/>
  <c r="I12" i="8"/>
  <c r="J12" i="8" s="1"/>
  <c r="I13" i="8"/>
  <c r="J13" i="8" s="1"/>
  <c r="I14" i="8"/>
  <c r="J14" i="8" s="1"/>
  <c r="I15" i="8"/>
  <c r="J15" i="8" s="1"/>
  <c r="I16" i="8"/>
  <c r="J16" i="8" s="1"/>
  <c r="I17" i="8"/>
  <c r="J17" i="8" s="1"/>
  <c r="I18" i="8"/>
  <c r="J18" i="8" s="1"/>
  <c r="I19" i="8"/>
  <c r="J19" i="8" s="1"/>
  <c r="I20" i="8"/>
  <c r="J20" i="8" s="1"/>
  <c r="I21" i="8"/>
  <c r="J21" i="8" s="1"/>
  <c r="I22" i="8"/>
  <c r="J22" i="8" s="1"/>
  <c r="I23" i="8"/>
  <c r="J23" i="8" s="1"/>
  <c r="I24" i="8"/>
  <c r="J24" i="8" s="1"/>
  <c r="I25" i="8"/>
  <c r="J25" i="8" s="1"/>
  <c r="I26" i="8"/>
  <c r="J26" i="8" s="1"/>
  <c r="I27" i="8"/>
  <c r="J27" i="8" s="1"/>
  <c r="I28" i="8"/>
  <c r="J28" i="8" s="1"/>
  <c r="I29" i="8"/>
  <c r="J29" i="8" s="1"/>
  <c r="I30" i="8"/>
  <c r="J30" i="8" s="1"/>
  <c r="I31" i="8"/>
  <c r="J31" i="8" s="1"/>
  <c r="I32" i="8"/>
  <c r="J32" i="8" s="1"/>
  <c r="I33" i="8"/>
  <c r="I40" i="8"/>
  <c r="J40" i="8" s="1"/>
  <c r="I41" i="8"/>
  <c r="J41" i="8" s="1"/>
  <c r="I42" i="8"/>
  <c r="J42" i="8" s="1"/>
  <c r="A1" i="8"/>
  <c r="F1" i="8" s="1"/>
  <c r="K1" i="8" s="1"/>
  <c r="J33" i="8" l="1"/>
  <c r="J6" i="8" s="1"/>
  <c r="I6" i="8"/>
  <c r="F45" i="6" s="1"/>
  <c r="D42" i="8"/>
  <c r="E42" i="8" s="1"/>
  <c r="D41" i="8"/>
  <c r="E41" i="8" s="1"/>
  <c r="D40" i="8"/>
  <c r="E40" i="8" s="1"/>
  <c r="D33" i="8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D20" i="8"/>
  <c r="E20" i="8" s="1"/>
  <c r="D19" i="8"/>
  <c r="E19" i="8" s="1"/>
  <c r="D18" i="8"/>
  <c r="E18" i="8" s="1"/>
  <c r="D17" i="8"/>
  <c r="E17" i="8" s="1"/>
  <c r="D16" i="8"/>
  <c r="E16" i="8" s="1"/>
  <c r="D15" i="8"/>
  <c r="E15" i="8" s="1"/>
  <c r="D14" i="8"/>
  <c r="E14" i="8" s="1"/>
  <c r="D13" i="8"/>
  <c r="E13" i="8" s="1"/>
  <c r="D12" i="8"/>
  <c r="E12" i="8" s="1"/>
  <c r="D11" i="8"/>
  <c r="E11" i="8" s="1"/>
  <c r="D10" i="8"/>
  <c r="E10" i="8" s="1"/>
  <c r="D9" i="8"/>
  <c r="E9" i="8" s="1"/>
  <c r="D8" i="8"/>
  <c r="E8" i="8" s="1"/>
  <c r="D7" i="8"/>
  <c r="J5" i="8"/>
  <c r="O5" i="8" s="1"/>
  <c r="E33" i="8" l="1"/>
  <c r="E7" i="8"/>
  <c r="D6" i="8"/>
  <c r="C45" i="6" s="1"/>
  <c r="G45" i="6"/>
  <c r="D45" i="6" l="1"/>
  <c r="E6" i="8"/>
  <c r="B11" i="7"/>
  <c r="G89" i="6"/>
  <c r="D12" i="7" l="1"/>
  <c r="C26" i="4" s="1"/>
  <c r="B10" i="12" s="1"/>
  <c r="B43" i="4"/>
  <c r="AR30" i="4"/>
  <c r="AD30" i="4"/>
  <c r="B30" i="4"/>
  <c r="B20" i="7"/>
  <c r="B14" i="7"/>
  <c r="B17" i="7"/>
  <c r="B18" i="7"/>
  <c r="P30" i="4"/>
  <c r="AT30" i="4" l="1"/>
  <c r="D83" i="4" l="1"/>
  <c r="C63" i="4"/>
  <c r="C62" i="4"/>
  <c r="C72" i="4" s="1"/>
  <c r="C64" i="4" l="1"/>
  <c r="E83" i="4"/>
  <c r="F83" i="4" s="1"/>
  <c r="G83" i="4" s="1"/>
  <c r="H83" i="4" s="1"/>
  <c r="I83" i="4" s="1"/>
  <c r="J83" i="4" s="1"/>
  <c r="K83" i="4" s="1"/>
  <c r="L83" i="4" s="1"/>
  <c r="M83" i="4" s="1"/>
  <c r="N83" i="4" s="1"/>
  <c r="O83" i="4" s="1"/>
  <c r="R83" i="4" s="1"/>
  <c r="S83" i="4" s="1"/>
  <c r="T83" i="4" s="1"/>
  <c r="U83" i="4" s="1"/>
  <c r="V83" i="4" s="1"/>
  <c r="W83" i="4" s="1"/>
  <c r="X83" i="4" s="1"/>
  <c r="Y83" i="4" s="1"/>
  <c r="Z83" i="4" s="1"/>
  <c r="AA83" i="4" s="1"/>
  <c r="AB83" i="4" s="1"/>
  <c r="AC83" i="4" s="1"/>
  <c r="AF83" i="4" s="1"/>
  <c r="AG83" i="4" s="1"/>
  <c r="AH83" i="4" s="1"/>
  <c r="AI83" i="4" s="1"/>
  <c r="AJ83" i="4" s="1"/>
  <c r="AK83" i="4" s="1"/>
  <c r="AL83" i="4" s="1"/>
  <c r="AM83" i="4" s="1"/>
  <c r="AN83" i="4" s="1"/>
  <c r="AO83" i="4" s="1"/>
  <c r="AP83" i="4" s="1"/>
  <c r="AQ83" i="4" s="1"/>
  <c r="B21" i="4" l="1"/>
  <c r="AT20" i="4"/>
  <c r="B17" i="4"/>
  <c r="I11" i="7"/>
  <c r="A57" i="4" l="1"/>
  <c r="B57" i="4"/>
  <c r="G108" i="6" l="1"/>
  <c r="D108" i="6"/>
  <c r="A50" i="4" l="1"/>
  <c r="B37" i="7"/>
  <c r="B38" i="7"/>
  <c r="B36" i="7"/>
  <c r="A43" i="4" s="1"/>
  <c r="AR50" i="4" l="1"/>
  <c r="AS50" i="4" s="1"/>
  <c r="AD50" i="4"/>
  <c r="AE50" i="4" s="1"/>
  <c r="P50" i="4"/>
  <c r="Q50" i="4" s="1"/>
  <c r="G43" i="7" s="1"/>
  <c r="AT50" i="4" l="1"/>
  <c r="G100" i="6"/>
  <c r="G101" i="6"/>
  <c r="G90" i="6"/>
  <c r="G97" i="6"/>
  <c r="G98" i="6"/>
  <c r="G99" i="6"/>
  <c r="D100" i="6"/>
  <c r="D101" i="6"/>
  <c r="D90" i="6"/>
  <c r="D97" i="6"/>
  <c r="D98" i="6"/>
  <c r="D99" i="6"/>
  <c r="D89" i="6"/>
  <c r="G47" i="6"/>
  <c r="G50" i="6"/>
  <c r="G51" i="6"/>
  <c r="G53" i="6"/>
  <c r="G44" i="6"/>
  <c r="D47" i="6"/>
  <c r="D14" i="7" s="1"/>
  <c r="D50" i="6"/>
  <c r="D17" i="7" s="1"/>
  <c r="D51" i="6"/>
  <c r="D53" i="6"/>
  <c r="D20" i="7" s="1"/>
  <c r="D44" i="6"/>
  <c r="D18" i="7" l="1"/>
  <c r="C32" i="4" s="1"/>
  <c r="D11" i="7"/>
  <c r="C25" i="4" s="1"/>
  <c r="B9" i="12" s="1"/>
  <c r="D54" i="6"/>
  <c r="F43" i="4"/>
  <c r="J43" i="4"/>
  <c r="N43" i="4"/>
  <c r="L43" i="4"/>
  <c r="G43" i="4"/>
  <c r="K43" i="4"/>
  <c r="O43" i="4"/>
  <c r="H43" i="4"/>
  <c r="M43" i="4"/>
  <c r="E43" i="4"/>
  <c r="I43" i="4"/>
  <c r="G44" i="4"/>
  <c r="K44" i="4"/>
  <c r="O44" i="4"/>
  <c r="I44" i="4"/>
  <c r="H44" i="4"/>
  <c r="L44" i="4"/>
  <c r="E44" i="4"/>
  <c r="M44" i="4"/>
  <c r="F44" i="4"/>
  <c r="J44" i="4"/>
  <c r="N44" i="4"/>
  <c r="F52" i="4"/>
  <c r="J52" i="4"/>
  <c r="N52" i="4"/>
  <c r="H52" i="4"/>
  <c r="G52" i="4"/>
  <c r="K52" i="4"/>
  <c r="O52" i="4"/>
  <c r="L52" i="4"/>
  <c r="E52" i="4"/>
  <c r="I52" i="4"/>
  <c r="M52" i="4"/>
  <c r="AN54" i="4"/>
  <c r="AJ54" i="4"/>
  <c r="AF54" i="4"/>
  <c r="Z54" i="4"/>
  <c r="V54" i="4"/>
  <c r="R54" i="4"/>
  <c r="F54" i="4"/>
  <c r="J54" i="4"/>
  <c r="N54" i="4"/>
  <c r="AB54" i="4"/>
  <c r="H54" i="4"/>
  <c r="L54" i="4"/>
  <c r="AK54" i="4"/>
  <c r="AQ54" i="4"/>
  <c r="AM54" i="4"/>
  <c r="AI54" i="4"/>
  <c r="AC54" i="4"/>
  <c r="Y54" i="4"/>
  <c r="U54" i="4"/>
  <c r="G54" i="4"/>
  <c r="K54" i="4"/>
  <c r="O54" i="4"/>
  <c r="X54" i="4"/>
  <c r="T54" i="4"/>
  <c r="AO54" i="4"/>
  <c r="AG54" i="4"/>
  <c r="AP54" i="4"/>
  <c r="AL54" i="4"/>
  <c r="AH54" i="4"/>
  <c r="W54" i="4"/>
  <c r="E54" i="4"/>
  <c r="M54" i="4"/>
  <c r="S54" i="4"/>
  <c r="I54" i="4"/>
  <c r="AA54" i="4"/>
  <c r="G54" i="6"/>
  <c r="AN51" i="4"/>
  <c r="AJ51" i="4"/>
  <c r="AF51" i="4"/>
  <c r="Z51" i="4"/>
  <c r="V51" i="4"/>
  <c r="R51" i="4"/>
  <c r="E51" i="4"/>
  <c r="I51" i="4"/>
  <c r="M51" i="4"/>
  <c r="AP51" i="4"/>
  <c r="AH51" i="4"/>
  <c r="X51" i="4"/>
  <c r="K51" i="4"/>
  <c r="AK51" i="4"/>
  <c r="AQ51" i="4"/>
  <c r="AM51" i="4"/>
  <c r="AI51" i="4"/>
  <c r="AC51" i="4"/>
  <c r="Y51" i="4"/>
  <c r="U51" i="4"/>
  <c r="F51" i="4"/>
  <c r="J51" i="4"/>
  <c r="N51" i="4"/>
  <c r="AL51" i="4"/>
  <c r="AB51" i="4"/>
  <c r="T51" i="4"/>
  <c r="G51" i="4"/>
  <c r="O51" i="4"/>
  <c r="AO51" i="4"/>
  <c r="AG51" i="4"/>
  <c r="L51" i="4"/>
  <c r="H51" i="4"/>
  <c r="AA51" i="4"/>
  <c r="W51" i="4"/>
  <c r="S51" i="4"/>
  <c r="AN53" i="4"/>
  <c r="AJ53" i="4"/>
  <c r="AF53" i="4"/>
  <c r="Z53" i="4"/>
  <c r="V53" i="4"/>
  <c r="R53" i="4"/>
  <c r="G53" i="4"/>
  <c r="K53" i="4"/>
  <c r="O53" i="4"/>
  <c r="AB53" i="4"/>
  <c r="T53" i="4"/>
  <c r="E53" i="4"/>
  <c r="M53" i="4"/>
  <c r="AK53" i="4"/>
  <c r="AG53" i="4"/>
  <c r="AQ53" i="4"/>
  <c r="AM53" i="4"/>
  <c r="AI53" i="4"/>
  <c r="AC53" i="4"/>
  <c r="Y53" i="4"/>
  <c r="U53" i="4"/>
  <c r="H53" i="4"/>
  <c r="L53" i="4"/>
  <c r="X53" i="4"/>
  <c r="I53" i="4"/>
  <c r="AO53" i="4"/>
  <c r="AP53" i="4"/>
  <c r="AL53" i="4"/>
  <c r="AH53" i="4"/>
  <c r="S53" i="4"/>
  <c r="F53" i="4"/>
  <c r="N53" i="4"/>
  <c r="W53" i="4"/>
  <c r="J53" i="4"/>
  <c r="AA53" i="4"/>
  <c r="AN55" i="4"/>
  <c r="AJ55" i="4"/>
  <c r="AF55" i="4"/>
  <c r="Z55" i="4"/>
  <c r="V55" i="4"/>
  <c r="R55" i="4"/>
  <c r="G55" i="4"/>
  <c r="K55" i="4"/>
  <c r="O55" i="4"/>
  <c r="AB55" i="4"/>
  <c r="X55" i="4"/>
  <c r="E55" i="4"/>
  <c r="AK55" i="4"/>
  <c r="AG55" i="4"/>
  <c r="AQ55" i="4"/>
  <c r="AM55" i="4"/>
  <c r="AI55" i="4"/>
  <c r="AC55" i="4"/>
  <c r="Y55" i="4"/>
  <c r="U55" i="4"/>
  <c r="H55" i="4"/>
  <c r="L55" i="4"/>
  <c r="T55" i="4"/>
  <c r="I55" i="4"/>
  <c r="M55" i="4"/>
  <c r="AO55" i="4"/>
  <c r="AP55" i="4"/>
  <c r="AL55" i="4"/>
  <c r="AH55" i="4"/>
  <c r="AA55" i="4"/>
  <c r="J55" i="4"/>
  <c r="W55" i="4"/>
  <c r="N55" i="4"/>
  <c r="S55" i="4"/>
  <c r="F55" i="4"/>
  <c r="D52" i="4"/>
  <c r="D54" i="4"/>
  <c r="D44" i="4"/>
  <c r="C33" i="4"/>
  <c r="D51" i="4"/>
  <c r="C31" i="4"/>
  <c r="C34" i="4"/>
  <c r="C28" i="4"/>
  <c r="D53" i="4"/>
  <c r="D55" i="4"/>
  <c r="D43" i="4"/>
  <c r="P26" i="4"/>
  <c r="F43" i="6"/>
  <c r="I43" i="6" s="1"/>
  <c r="G22" i="6"/>
  <c r="G23" i="6"/>
  <c r="G24" i="6"/>
  <c r="G25" i="6"/>
  <c r="G26" i="6"/>
  <c r="G27" i="6"/>
  <c r="G28" i="6"/>
  <c r="G29" i="6"/>
  <c r="G30" i="6"/>
  <c r="G31" i="6"/>
  <c r="G32" i="6"/>
  <c r="G21" i="6"/>
  <c r="P33" i="4" l="1"/>
  <c r="B17" i="12"/>
  <c r="P28" i="4"/>
  <c r="B12" i="12"/>
  <c r="P32" i="4"/>
  <c r="B16" i="12"/>
  <c r="P34" i="4"/>
  <c r="B18" i="12"/>
  <c r="P31" i="4"/>
  <c r="B15" i="12"/>
  <c r="P43" i="4"/>
  <c r="Q43" i="4" s="1"/>
  <c r="G36" i="7" s="1"/>
  <c r="P44" i="4"/>
  <c r="Q44" i="4" s="1"/>
  <c r="G37" i="7" s="1"/>
  <c r="P52" i="4"/>
  <c r="Q52" i="4" s="1"/>
  <c r="G45" i="7" s="1"/>
  <c r="P55" i="4"/>
  <c r="Q55" i="4" s="1"/>
  <c r="G48" i="7" s="1"/>
  <c r="P51" i="4"/>
  <c r="Q51" i="4" s="1"/>
  <c r="G44" i="7" s="1"/>
  <c r="P54" i="4"/>
  <c r="Q54" i="4" s="1"/>
  <c r="G47" i="7" s="1"/>
  <c r="P53" i="4"/>
  <c r="Q53" i="4" s="1"/>
  <c r="G46" i="7" s="1"/>
  <c r="C35" i="4"/>
  <c r="P25" i="4"/>
  <c r="D21" i="7"/>
  <c r="N2" i="6"/>
  <c r="P57" i="4" l="1"/>
  <c r="Q57" i="4" s="1"/>
  <c r="G50" i="7" s="1"/>
  <c r="C76" i="4"/>
  <c r="P76" i="4" s="1"/>
  <c r="C75" i="4"/>
  <c r="P75" i="4" s="1"/>
  <c r="C65" i="4"/>
  <c r="P65" i="4" s="1"/>
  <c r="I14" i="7"/>
  <c r="I20" i="7"/>
  <c r="I18" i="7"/>
  <c r="B50" i="4"/>
  <c r="I19" i="7"/>
  <c r="I17" i="7"/>
  <c r="I21" i="7"/>
  <c r="I12" i="7"/>
  <c r="A26" i="4"/>
  <c r="A10" i="12" s="1"/>
  <c r="AG11" i="4"/>
  <c r="AG44" i="4" s="1"/>
  <c r="AH11" i="4"/>
  <c r="AH44" i="4" s="1"/>
  <c r="AI11" i="4"/>
  <c r="AI44" i="4" s="1"/>
  <c r="AJ11" i="4"/>
  <c r="AJ44" i="4" s="1"/>
  <c r="AK11" i="4"/>
  <c r="AK44" i="4" s="1"/>
  <c r="AL11" i="4"/>
  <c r="AL44" i="4" s="1"/>
  <c r="AM11" i="4"/>
  <c r="AM44" i="4" s="1"/>
  <c r="AN11" i="4"/>
  <c r="AN44" i="4" s="1"/>
  <c r="AO11" i="4"/>
  <c r="AO44" i="4" s="1"/>
  <c r="AP11" i="4"/>
  <c r="AP44" i="4" s="1"/>
  <c r="AQ11" i="4"/>
  <c r="AQ44" i="4" s="1"/>
  <c r="AG12" i="4"/>
  <c r="AG52" i="4" s="1"/>
  <c r="AH12" i="4"/>
  <c r="AH52" i="4" s="1"/>
  <c r="AI12" i="4"/>
  <c r="AI52" i="4" s="1"/>
  <c r="AJ12" i="4"/>
  <c r="AJ52" i="4" s="1"/>
  <c r="AK12" i="4"/>
  <c r="AK52" i="4" s="1"/>
  <c r="AL12" i="4"/>
  <c r="AL52" i="4" s="1"/>
  <c r="AM12" i="4"/>
  <c r="AM52" i="4" s="1"/>
  <c r="AN12" i="4"/>
  <c r="AN52" i="4" s="1"/>
  <c r="AO12" i="4"/>
  <c r="AO52" i="4" s="1"/>
  <c r="AP12" i="4"/>
  <c r="AP52" i="4" s="1"/>
  <c r="AQ12" i="4"/>
  <c r="AQ52" i="4" s="1"/>
  <c r="AG13" i="4"/>
  <c r="AH13" i="4"/>
  <c r="AI13" i="4"/>
  <c r="AJ13" i="4"/>
  <c r="AK13" i="4"/>
  <c r="AL13" i="4"/>
  <c r="AM13" i="4"/>
  <c r="AN13" i="4"/>
  <c r="AO13" i="4"/>
  <c r="AP13" i="4"/>
  <c r="AQ13" i="4"/>
  <c r="AF13" i="4"/>
  <c r="AF12" i="4"/>
  <c r="AF52" i="4" s="1"/>
  <c r="AF11" i="4"/>
  <c r="AF44" i="4" s="1"/>
  <c r="S11" i="4"/>
  <c r="S44" i="4" s="1"/>
  <c r="T11" i="4"/>
  <c r="T44" i="4" s="1"/>
  <c r="U11" i="4"/>
  <c r="U44" i="4" s="1"/>
  <c r="V11" i="4"/>
  <c r="V44" i="4" s="1"/>
  <c r="W11" i="4"/>
  <c r="W44" i="4" s="1"/>
  <c r="X11" i="4"/>
  <c r="X44" i="4" s="1"/>
  <c r="Y11" i="4"/>
  <c r="Y44" i="4" s="1"/>
  <c r="Z11" i="4"/>
  <c r="Z44" i="4" s="1"/>
  <c r="AA11" i="4"/>
  <c r="AA44" i="4" s="1"/>
  <c r="AB11" i="4"/>
  <c r="AB44" i="4" s="1"/>
  <c r="AC11" i="4"/>
  <c r="AC44" i="4" s="1"/>
  <c r="S12" i="4"/>
  <c r="S52" i="4" s="1"/>
  <c r="T12" i="4"/>
  <c r="T52" i="4" s="1"/>
  <c r="U12" i="4"/>
  <c r="U52" i="4" s="1"/>
  <c r="V12" i="4"/>
  <c r="V52" i="4" s="1"/>
  <c r="W12" i="4"/>
  <c r="W52" i="4" s="1"/>
  <c r="X12" i="4"/>
  <c r="X52" i="4" s="1"/>
  <c r="Y12" i="4"/>
  <c r="Y52" i="4" s="1"/>
  <c r="Z12" i="4"/>
  <c r="Z52" i="4" s="1"/>
  <c r="AA12" i="4"/>
  <c r="AA52" i="4" s="1"/>
  <c r="AB12" i="4"/>
  <c r="AB52" i="4" s="1"/>
  <c r="AC12" i="4"/>
  <c r="AC52" i="4" s="1"/>
  <c r="S13" i="4"/>
  <c r="T13" i="4"/>
  <c r="U13" i="4"/>
  <c r="V13" i="4"/>
  <c r="W13" i="4"/>
  <c r="X13" i="4"/>
  <c r="Y13" i="4"/>
  <c r="Z13" i="4"/>
  <c r="AA13" i="4"/>
  <c r="AB13" i="4"/>
  <c r="AC13" i="4"/>
  <c r="R13" i="4"/>
  <c r="R12" i="4"/>
  <c r="R52" i="4" s="1"/>
  <c r="R11" i="4"/>
  <c r="R44" i="4" s="1"/>
  <c r="C59" i="4" l="1"/>
  <c r="C66" i="4" s="1"/>
  <c r="C68" i="4" s="1"/>
  <c r="C84" i="4" s="1"/>
  <c r="AT24" i="4"/>
  <c r="AS24" i="4"/>
  <c r="AR24" i="4"/>
  <c r="AD24" i="4"/>
  <c r="AE24" i="4"/>
  <c r="Q24" i="4"/>
  <c r="P24" i="4"/>
  <c r="Q37" i="4"/>
  <c r="P37" i="4"/>
  <c r="Q61" i="4"/>
  <c r="P61" i="4"/>
  <c r="Q71" i="4"/>
  <c r="P71" i="4"/>
  <c r="G104" i="6"/>
  <c r="J104" i="6" s="1"/>
  <c r="G103" i="6"/>
  <c r="J103" i="6" s="1"/>
  <c r="C73" i="4" l="1"/>
  <c r="C74" i="4" s="1"/>
  <c r="C78" i="4" s="1"/>
  <c r="D77" i="4" s="1"/>
  <c r="C67" i="4"/>
  <c r="C85" i="4"/>
  <c r="D24" i="7"/>
  <c r="K6" i="7" l="1"/>
  <c r="F84" i="6"/>
  <c r="I84" i="6" s="1"/>
  <c r="B82" i="4" l="1"/>
  <c r="AO82" i="4" l="1"/>
  <c r="C82" i="4"/>
  <c r="C86" i="4" s="1"/>
  <c r="C87" i="4" s="1"/>
  <c r="D82" i="4"/>
  <c r="J82" i="4"/>
  <c r="X82" i="4"/>
  <c r="AB82" i="4"/>
  <c r="N82" i="4"/>
  <c r="F82" i="4"/>
  <c r="AH82" i="4"/>
  <c r="T82" i="4"/>
  <c r="AL82" i="4"/>
  <c r="M82" i="4"/>
  <c r="I82" i="4"/>
  <c r="E82" i="4"/>
  <c r="U82" i="4"/>
  <c r="Y82" i="4"/>
  <c r="AC82" i="4"/>
  <c r="AI82" i="4"/>
  <c r="AM82" i="4"/>
  <c r="AQ82" i="4"/>
  <c r="L82" i="4"/>
  <c r="H82" i="4"/>
  <c r="R82" i="4"/>
  <c r="V82" i="4"/>
  <c r="Z82" i="4"/>
  <c r="AF82" i="4"/>
  <c r="AJ82" i="4"/>
  <c r="AN82" i="4"/>
  <c r="AP82" i="4"/>
  <c r="O82" i="4"/>
  <c r="K82" i="4"/>
  <c r="G82" i="4"/>
  <c r="S82" i="4"/>
  <c r="W82" i="4"/>
  <c r="AA82" i="4"/>
  <c r="AG82" i="4"/>
  <c r="AK82" i="4"/>
  <c r="AG9" i="4" l="1"/>
  <c r="AH9" i="4"/>
  <c r="AI9" i="4"/>
  <c r="AJ9" i="4"/>
  <c r="AK9" i="4"/>
  <c r="AL9" i="4"/>
  <c r="AM9" i="4"/>
  <c r="AN9" i="4"/>
  <c r="AO9" i="4"/>
  <c r="AP9" i="4"/>
  <c r="AQ9" i="4"/>
  <c r="AG10" i="4"/>
  <c r="AG43" i="4" s="1"/>
  <c r="AH10" i="4"/>
  <c r="AH43" i="4" s="1"/>
  <c r="AI10" i="4"/>
  <c r="AI43" i="4" s="1"/>
  <c r="AJ10" i="4"/>
  <c r="AJ43" i="4" s="1"/>
  <c r="AK10" i="4"/>
  <c r="AK43" i="4" s="1"/>
  <c r="AL10" i="4"/>
  <c r="AL43" i="4" s="1"/>
  <c r="AM10" i="4"/>
  <c r="AM43" i="4" s="1"/>
  <c r="AN10" i="4"/>
  <c r="AN43" i="4" s="1"/>
  <c r="AO10" i="4"/>
  <c r="AO43" i="4" s="1"/>
  <c r="AP10" i="4"/>
  <c r="AP43" i="4" s="1"/>
  <c r="AQ10" i="4"/>
  <c r="AQ43" i="4" s="1"/>
  <c r="AF10" i="4"/>
  <c r="AF43" i="4" s="1"/>
  <c r="AF9" i="4"/>
  <c r="S9" i="4"/>
  <c r="T9" i="4"/>
  <c r="U9" i="4"/>
  <c r="V9" i="4"/>
  <c r="W9" i="4"/>
  <c r="X9" i="4"/>
  <c r="Y9" i="4"/>
  <c r="Z9" i="4"/>
  <c r="AA9" i="4"/>
  <c r="AB9" i="4"/>
  <c r="AC9" i="4"/>
  <c r="S10" i="4"/>
  <c r="S43" i="4" s="1"/>
  <c r="T10" i="4"/>
  <c r="T43" i="4" s="1"/>
  <c r="U10" i="4"/>
  <c r="U43" i="4" s="1"/>
  <c r="V10" i="4"/>
  <c r="V43" i="4" s="1"/>
  <c r="W10" i="4"/>
  <c r="W43" i="4" s="1"/>
  <c r="X10" i="4"/>
  <c r="X43" i="4" s="1"/>
  <c r="Y10" i="4"/>
  <c r="Y43" i="4" s="1"/>
  <c r="Z10" i="4"/>
  <c r="Z43" i="4" s="1"/>
  <c r="AA10" i="4"/>
  <c r="AA43" i="4" s="1"/>
  <c r="AB10" i="4"/>
  <c r="AB43" i="4" s="1"/>
  <c r="AC10" i="4"/>
  <c r="AC43" i="4" s="1"/>
  <c r="R10" i="4"/>
  <c r="R43" i="4" s="1"/>
  <c r="R9" i="4"/>
  <c r="J20" i="6"/>
  <c r="I20" i="6"/>
  <c r="AR43" i="4" l="1"/>
  <c r="AS43" i="4" s="1"/>
  <c r="AD43" i="4"/>
  <c r="A56" i="4"/>
  <c r="A41" i="4"/>
  <c r="A40" i="4"/>
  <c r="A34" i="4"/>
  <c r="A18" i="12" s="1"/>
  <c r="A33" i="4"/>
  <c r="A17" i="12" s="1"/>
  <c r="A32" i="4"/>
  <c r="A16" i="12" s="1"/>
  <c r="A31" i="4"/>
  <c r="A15" i="12" s="1"/>
  <c r="A28" i="4"/>
  <c r="A12" i="12" s="1"/>
  <c r="D2" i="4"/>
  <c r="A55" i="4"/>
  <c r="A54" i="4"/>
  <c r="A58" i="4"/>
  <c r="A53" i="4"/>
  <c r="A52" i="4"/>
  <c r="A51" i="4"/>
  <c r="A45" i="4"/>
  <c r="A44" i="4"/>
  <c r="AR32" i="4"/>
  <c r="AR28" i="4"/>
  <c r="AD32" i="4"/>
  <c r="AD28" i="4"/>
  <c r="A25" i="4"/>
  <c r="A9" i="12" s="1"/>
  <c r="N4" i="6"/>
  <c r="N3" i="6"/>
  <c r="AR26" i="4"/>
  <c r="AD26" i="4"/>
  <c r="AD25" i="4"/>
  <c r="AR25" i="4"/>
  <c r="P77" i="4"/>
  <c r="AT77" i="4" s="1"/>
  <c r="AT37" i="4"/>
  <c r="AT61" i="4" s="1"/>
  <c r="AT71" i="4" s="1"/>
  <c r="AS37" i="4"/>
  <c r="AS61" i="4" s="1"/>
  <c r="AS71" i="4" s="1"/>
  <c r="AR37" i="4"/>
  <c r="AR61" i="4" s="1"/>
  <c r="AR71" i="4" s="1"/>
  <c r="AE37" i="4"/>
  <c r="AE61" i="4" s="1"/>
  <c r="AE71" i="4" s="1"/>
  <c r="AD37" i="4"/>
  <c r="AD61" i="4" s="1"/>
  <c r="AD71" i="4" s="1"/>
  <c r="D1" i="4"/>
  <c r="AD33" i="4"/>
  <c r="AR33" i="4"/>
  <c r="D8" i="4" l="1"/>
  <c r="D3" i="4"/>
  <c r="AE43" i="4"/>
  <c r="AT43" i="4"/>
  <c r="C2" i="4"/>
  <c r="AR57" i="4"/>
  <c r="AS57" i="4" s="1"/>
  <c r="AD57" i="4"/>
  <c r="B22" i="4"/>
  <c r="B45" i="4"/>
  <c r="AT26" i="4"/>
  <c r="B34" i="4"/>
  <c r="B75" i="4"/>
  <c r="D6" i="4"/>
  <c r="B62" i="4"/>
  <c r="B26" i="4"/>
  <c r="B66" i="4"/>
  <c r="B35" i="4"/>
  <c r="B73" i="4"/>
  <c r="B78" i="4"/>
  <c r="B18" i="4"/>
  <c r="B28" i="4"/>
  <c r="B41" i="4"/>
  <c r="B63" i="4"/>
  <c r="B67" i="4"/>
  <c r="B74" i="4"/>
  <c r="B51" i="4"/>
  <c r="B52" i="4"/>
  <c r="B31" i="4"/>
  <c r="B54" i="4"/>
  <c r="B64" i="4"/>
  <c r="B68" i="4"/>
  <c r="B76" i="4"/>
  <c r="B58" i="4"/>
  <c r="B69" i="4"/>
  <c r="C69" i="4" s="1"/>
  <c r="B55" i="4"/>
  <c r="B33" i="4"/>
  <c r="B44" i="4"/>
  <c r="B59" i="4"/>
  <c r="B65" i="4"/>
  <c r="B72" i="4"/>
  <c r="B77" i="4"/>
  <c r="B53" i="4"/>
  <c r="B32" i="4"/>
  <c r="B40" i="4"/>
  <c r="AT33" i="4"/>
  <c r="AT28" i="4"/>
  <c r="AT32" i="4"/>
  <c r="B56" i="4"/>
  <c r="E2" i="4"/>
  <c r="E8" i="4" l="1"/>
  <c r="E3" i="4"/>
  <c r="D80" i="4"/>
  <c r="G1" i="12"/>
  <c r="C16" i="4"/>
  <c r="C80" i="4"/>
  <c r="C37" i="4"/>
  <c r="C20" i="4"/>
  <c r="C71" i="4"/>
  <c r="C61" i="4"/>
  <c r="C24" i="4"/>
  <c r="AE57" i="4"/>
  <c r="AT57" i="4"/>
  <c r="D71" i="4"/>
  <c r="D20" i="4"/>
  <c r="D37" i="4"/>
  <c r="D24" i="4"/>
  <c r="D61" i="4"/>
  <c r="D16" i="4"/>
  <c r="F2" i="4"/>
  <c r="E6" i="4"/>
  <c r="AR52" i="4"/>
  <c r="AS52" i="4" s="1"/>
  <c r="AD44" i="4"/>
  <c r="AE44" i="4" s="1"/>
  <c r="AD51" i="4"/>
  <c r="AR44" i="4"/>
  <c r="AS44" i="4" s="1"/>
  <c r="AR53" i="4"/>
  <c r="AS53" i="4" s="1"/>
  <c r="AR55" i="4"/>
  <c r="AS55" i="4" s="1"/>
  <c r="AR51" i="4"/>
  <c r="AS51" i="4" s="1"/>
  <c r="AT25" i="4"/>
  <c r="D35" i="4"/>
  <c r="D76" i="4" s="1"/>
  <c r="AD55" i="4"/>
  <c r="AE55" i="4" s="1"/>
  <c r="AR54" i="4"/>
  <c r="AS54" i="4" s="1"/>
  <c r="AD54" i="4"/>
  <c r="AE54" i="4" s="1"/>
  <c r="AD52" i="4"/>
  <c r="AE52" i="4" s="1"/>
  <c r="AD53" i="4"/>
  <c r="AE53" i="4" s="1"/>
  <c r="F8" i="4" l="1"/>
  <c r="F3" i="4"/>
  <c r="E20" i="4"/>
  <c r="H1" i="12"/>
  <c r="AT53" i="4"/>
  <c r="E24" i="4"/>
  <c r="E16" i="4"/>
  <c r="E80" i="4"/>
  <c r="E61" i="4"/>
  <c r="E71" i="4"/>
  <c r="E37" i="4"/>
  <c r="G2" i="4"/>
  <c r="F6" i="4"/>
  <c r="D75" i="4"/>
  <c r="D65" i="4"/>
  <c r="AE51" i="4"/>
  <c r="AT51" i="4"/>
  <c r="AT55" i="4"/>
  <c r="AT44" i="4"/>
  <c r="AT52" i="4"/>
  <c r="AT54" i="4"/>
  <c r="G8" i="4" l="1"/>
  <c r="G3" i="4"/>
  <c r="F20" i="4"/>
  <c r="I1" i="12"/>
  <c r="G6" i="4"/>
  <c r="H2" i="4"/>
  <c r="F71" i="4"/>
  <c r="F80" i="4"/>
  <c r="F37" i="4"/>
  <c r="F61" i="4"/>
  <c r="F16" i="4"/>
  <c r="F24" i="4"/>
  <c r="H8" i="4" l="1"/>
  <c r="H3" i="4"/>
  <c r="G20" i="4"/>
  <c r="J1" i="12"/>
  <c r="I2" i="4"/>
  <c r="H6" i="4"/>
  <c r="G80" i="4"/>
  <c r="G37" i="4"/>
  <c r="G61" i="4"/>
  <c r="G24" i="4"/>
  <c r="G16" i="4"/>
  <c r="G71" i="4"/>
  <c r="I8" i="4" l="1"/>
  <c r="I3" i="4"/>
  <c r="H20" i="4"/>
  <c r="K1" i="12"/>
  <c r="H24" i="4"/>
  <c r="H80" i="4"/>
  <c r="H37" i="4"/>
  <c r="H16" i="4"/>
  <c r="H61" i="4"/>
  <c r="H71" i="4"/>
  <c r="J2" i="4"/>
  <c r="I6" i="4"/>
  <c r="J8" i="4" l="1"/>
  <c r="J3" i="4"/>
  <c r="I20" i="4"/>
  <c r="L1" i="12"/>
  <c r="I80" i="4"/>
  <c r="I24" i="4"/>
  <c r="I37" i="4"/>
  <c r="I16" i="4"/>
  <c r="I61" i="4"/>
  <c r="I71" i="4"/>
  <c r="K2" i="4"/>
  <c r="J6" i="4"/>
  <c r="K8" i="4" l="1"/>
  <c r="K3" i="4"/>
  <c r="J20" i="4"/>
  <c r="M1" i="12"/>
  <c r="J24" i="4"/>
  <c r="J80" i="4"/>
  <c r="J16" i="4"/>
  <c r="J71" i="4"/>
  <c r="J37" i="4"/>
  <c r="J61" i="4"/>
  <c r="K6" i="4"/>
  <c r="L2" i="4"/>
  <c r="L8" i="4" l="1"/>
  <c r="L3" i="4"/>
  <c r="K20" i="4"/>
  <c r="N1" i="12"/>
  <c r="L6" i="4"/>
  <c r="M2" i="4"/>
  <c r="K71" i="4"/>
  <c r="K24" i="4"/>
  <c r="K16" i="4"/>
  <c r="K80" i="4"/>
  <c r="K37" i="4"/>
  <c r="K61" i="4"/>
  <c r="E35" i="4"/>
  <c r="E76" i="4" s="1"/>
  <c r="M8" i="4" l="1"/>
  <c r="M3" i="4"/>
  <c r="L20" i="4"/>
  <c r="O1" i="12"/>
  <c r="N2" i="4"/>
  <c r="M6" i="4"/>
  <c r="L80" i="4"/>
  <c r="L37" i="4"/>
  <c r="L16" i="4"/>
  <c r="L61" i="4"/>
  <c r="L71" i="4"/>
  <c r="L24" i="4"/>
  <c r="E75" i="4"/>
  <c r="E65" i="4"/>
  <c r="N8" i="4" l="1"/>
  <c r="N3" i="4"/>
  <c r="M20" i="4"/>
  <c r="P1" i="12"/>
  <c r="G35" i="4"/>
  <c r="G76" i="4" s="1"/>
  <c r="M24" i="4"/>
  <c r="M37" i="4"/>
  <c r="M16" i="4"/>
  <c r="M80" i="4"/>
  <c r="M71" i="4"/>
  <c r="M61" i="4"/>
  <c r="O2" i="4"/>
  <c r="N6" i="4"/>
  <c r="O8" i="4" l="1"/>
  <c r="P47" i="4" s="1"/>
  <c r="O3" i="4"/>
  <c r="N20" i="4"/>
  <c r="Q1" i="12"/>
  <c r="G75" i="4"/>
  <c r="G65" i="4"/>
  <c r="O6" i="4"/>
  <c r="R2" i="4"/>
  <c r="N61" i="4"/>
  <c r="N24" i="4"/>
  <c r="N71" i="4"/>
  <c r="N80" i="4"/>
  <c r="N16" i="4"/>
  <c r="N37" i="4"/>
  <c r="H35" i="4"/>
  <c r="H76" i="4" s="1"/>
  <c r="I35" i="4"/>
  <c r="I76" i="4" s="1"/>
  <c r="Q47" i="4" l="1"/>
  <c r="G40" i="7" s="1"/>
  <c r="P3" i="4"/>
  <c r="R8" i="4"/>
  <c r="R3" i="4"/>
  <c r="O20" i="4"/>
  <c r="R1" i="12"/>
  <c r="S2" i="4"/>
  <c r="R6" i="4"/>
  <c r="O71" i="4"/>
  <c r="O37" i="4"/>
  <c r="O24" i="4"/>
  <c r="O16" i="4"/>
  <c r="O80" i="4"/>
  <c r="O61" i="4"/>
  <c r="I75" i="4"/>
  <c r="I65" i="4"/>
  <c r="H65" i="4"/>
  <c r="H75" i="4"/>
  <c r="J35" i="4"/>
  <c r="J76" i="4" s="1"/>
  <c r="F16" i="6" l="1"/>
  <c r="F14" i="6"/>
  <c r="R17" i="4" s="1"/>
  <c r="R21" i="4" s="1"/>
  <c r="F15" i="6"/>
  <c r="D17" i="4" s="1"/>
  <c r="I60" i="6"/>
  <c r="I77" i="6"/>
  <c r="I62" i="6"/>
  <c r="I76" i="6"/>
  <c r="J14" i="6"/>
  <c r="J16" i="6"/>
  <c r="S8" i="4"/>
  <c r="S3" i="4"/>
  <c r="R20" i="4"/>
  <c r="S1" i="12"/>
  <c r="R37" i="4"/>
  <c r="R71" i="4"/>
  <c r="R16" i="4"/>
  <c r="R80" i="4"/>
  <c r="R61" i="4"/>
  <c r="R24" i="4"/>
  <c r="T2" i="4"/>
  <c r="S6" i="4"/>
  <c r="J75" i="4"/>
  <c r="J65" i="4"/>
  <c r="K35" i="4"/>
  <c r="K76" i="4" s="1"/>
  <c r="K94" i="6" l="1"/>
  <c r="K92" i="6"/>
  <c r="K87" i="6"/>
  <c r="K85" i="6"/>
  <c r="E94" i="6"/>
  <c r="E92" i="6"/>
  <c r="E87" i="6"/>
  <c r="E85" i="6"/>
  <c r="D21" i="4"/>
  <c r="E17" i="4"/>
  <c r="E21" i="4" s="1"/>
  <c r="F17" i="4"/>
  <c r="F21" i="4" s="1"/>
  <c r="G17" i="4"/>
  <c r="G21" i="4" s="1"/>
  <c r="H17" i="4"/>
  <c r="H21" i="4" s="1"/>
  <c r="I17" i="4"/>
  <c r="I21" i="4" s="1"/>
  <c r="J17" i="4"/>
  <c r="J21" i="4" s="1"/>
  <c r="K17" i="4"/>
  <c r="K21" i="4" s="1"/>
  <c r="L17" i="4"/>
  <c r="L21" i="4" s="1"/>
  <c r="M17" i="4"/>
  <c r="M21" i="4" s="1"/>
  <c r="N17" i="4"/>
  <c r="N21" i="4" s="1"/>
  <c r="O17" i="4"/>
  <c r="O21" i="4" s="1"/>
  <c r="J15" i="6"/>
  <c r="I61" i="6"/>
  <c r="I69" i="6"/>
  <c r="S79" i="6"/>
  <c r="H79" i="6" s="1"/>
  <c r="I79" i="6" s="1"/>
  <c r="I70" i="6"/>
  <c r="I68" i="6"/>
  <c r="I78" i="6"/>
  <c r="S71" i="6"/>
  <c r="H71" i="6" s="1"/>
  <c r="I71" i="6" s="1"/>
  <c r="S17" i="4"/>
  <c r="S21" i="4" s="1"/>
  <c r="T8" i="4"/>
  <c r="T3" i="4"/>
  <c r="S20" i="4"/>
  <c r="T1" i="12"/>
  <c r="U2" i="4"/>
  <c r="T6" i="4"/>
  <c r="S24" i="4"/>
  <c r="S61" i="4"/>
  <c r="S71" i="4"/>
  <c r="S37" i="4"/>
  <c r="S16" i="4"/>
  <c r="S80" i="4"/>
  <c r="L35" i="4"/>
  <c r="L76" i="4" s="1"/>
  <c r="K75" i="4"/>
  <c r="K65" i="4"/>
  <c r="H94" i="6" l="1"/>
  <c r="H92" i="6"/>
  <c r="H87" i="6"/>
  <c r="H85" i="6"/>
  <c r="S63" i="6"/>
  <c r="H63" i="6" s="1"/>
  <c r="I63" i="6" s="1"/>
  <c r="T17" i="4"/>
  <c r="T21" i="4" s="1"/>
  <c r="U8" i="4"/>
  <c r="U3" i="4"/>
  <c r="T20" i="4"/>
  <c r="U1" i="12"/>
  <c r="T24" i="4"/>
  <c r="T61" i="4"/>
  <c r="T80" i="4"/>
  <c r="T37" i="4"/>
  <c r="T16" i="4"/>
  <c r="T71" i="4"/>
  <c r="V2" i="4"/>
  <c r="U6" i="4"/>
  <c r="M35" i="4"/>
  <c r="M76" i="4" s="1"/>
  <c r="L65" i="4"/>
  <c r="L75" i="4"/>
  <c r="U17" i="4" l="1"/>
  <c r="U21" i="4" s="1"/>
  <c r="V8" i="4"/>
  <c r="V3" i="4"/>
  <c r="U20" i="4"/>
  <c r="V1" i="12"/>
  <c r="V6" i="4"/>
  <c r="W2" i="4"/>
  <c r="U61" i="4"/>
  <c r="U16" i="4"/>
  <c r="U80" i="4"/>
  <c r="U24" i="4"/>
  <c r="U71" i="4"/>
  <c r="U37" i="4"/>
  <c r="N35" i="4"/>
  <c r="N76" i="4" s="1"/>
  <c r="M75" i="4"/>
  <c r="M65" i="4"/>
  <c r="V17" i="4" l="1"/>
  <c r="V21" i="4" s="1"/>
  <c r="W8" i="4"/>
  <c r="W3" i="4"/>
  <c r="V20" i="4"/>
  <c r="W1" i="12"/>
  <c r="X2" i="4"/>
  <c r="W6" i="4"/>
  <c r="V24" i="4"/>
  <c r="V61" i="4"/>
  <c r="V37" i="4"/>
  <c r="V16" i="4"/>
  <c r="V80" i="4"/>
  <c r="V71" i="4"/>
  <c r="N65" i="4"/>
  <c r="N75" i="4"/>
  <c r="W17" i="4" l="1"/>
  <c r="W21" i="4" s="1"/>
  <c r="X8" i="4"/>
  <c r="X3" i="4"/>
  <c r="W20" i="4"/>
  <c r="X1" i="12"/>
  <c r="W61" i="4"/>
  <c r="W16" i="4"/>
  <c r="W80" i="4"/>
  <c r="W37" i="4"/>
  <c r="W24" i="4"/>
  <c r="W71" i="4"/>
  <c r="Y2" i="4"/>
  <c r="X6" i="4"/>
  <c r="O35" i="4"/>
  <c r="O76" i="4" s="1"/>
  <c r="X17" i="4" l="1"/>
  <c r="X21" i="4" s="1"/>
  <c r="Y8" i="4"/>
  <c r="Y3" i="4"/>
  <c r="X20" i="4"/>
  <c r="Y1" i="12"/>
  <c r="Z2" i="4"/>
  <c r="Y6" i="4"/>
  <c r="X37" i="4"/>
  <c r="X16" i="4"/>
  <c r="X24" i="4"/>
  <c r="X61" i="4"/>
  <c r="X80" i="4"/>
  <c r="X71" i="4"/>
  <c r="R35" i="4"/>
  <c r="R76" i="4" s="1"/>
  <c r="S35" i="4"/>
  <c r="S76" i="4" s="1"/>
  <c r="O75" i="4"/>
  <c r="O65" i="4"/>
  <c r="P35" i="4"/>
  <c r="Y17" i="4" l="1"/>
  <c r="Y21" i="4" s="1"/>
  <c r="Z8" i="4"/>
  <c r="Z3" i="4"/>
  <c r="Y20" i="4"/>
  <c r="Z1" i="12"/>
  <c r="Y24" i="4"/>
  <c r="Y80" i="4"/>
  <c r="Y37" i="4"/>
  <c r="Y71" i="4"/>
  <c r="Y61" i="4"/>
  <c r="Y16" i="4"/>
  <c r="Z6" i="4"/>
  <c r="AA2" i="4"/>
  <c r="R65" i="4"/>
  <c r="R75" i="4"/>
  <c r="S65" i="4"/>
  <c r="S75" i="4"/>
  <c r="Z17" i="4" l="1"/>
  <c r="Z21" i="4" s="1"/>
  <c r="AA8" i="4"/>
  <c r="AA3" i="4"/>
  <c r="Z20" i="4"/>
  <c r="AA1" i="12"/>
  <c r="Z16" i="4"/>
  <c r="Z80" i="4"/>
  <c r="Z61" i="4"/>
  <c r="Z71" i="4"/>
  <c r="Z37" i="4"/>
  <c r="Z24" i="4"/>
  <c r="AB2" i="4"/>
  <c r="AA6" i="4"/>
  <c r="T35" i="4"/>
  <c r="T76" i="4" s="1"/>
  <c r="U35" i="4"/>
  <c r="U76" i="4" s="1"/>
  <c r="AA17" i="4" l="1"/>
  <c r="AA21" i="4" s="1"/>
  <c r="AB8" i="4"/>
  <c r="AB3" i="4"/>
  <c r="AA20" i="4"/>
  <c r="AB1" i="12"/>
  <c r="AC2" i="4"/>
  <c r="AB6" i="4"/>
  <c r="AA71" i="4"/>
  <c r="AA61" i="4"/>
  <c r="AA37" i="4"/>
  <c r="AA24" i="4"/>
  <c r="AA80" i="4"/>
  <c r="AA16" i="4"/>
  <c r="U65" i="4"/>
  <c r="U75" i="4"/>
  <c r="T75" i="4"/>
  <c r="T65" i="4"/>
  <c r="AB17" i="4" l="1"/>
  <c r="AB21" i="4" s="1"/>
  <c r="AC8" i="4"/>
  <c r="AD47" i="4" s="1"/>
  <c r="AC3" i="4"/>
  <c r="AB20" i="4"/>
  <c r="AC1" i="12"/>
  <c r="AB61" i="4"/>
  <c r="AB24" i="4"/>
  <c r="AB80" i="4"/>
  <c r="AB37" i="4"/>
  <c r="AB71" i="4"/>
  <c r="AB16" i="4"/>
  <c r="AF2" i="4"/>
  <c r="AC6" i="4"/>
  <c r="V35" i="4"/>
  <c r="V76" i="4" s="1"/>
  <c r="W35" i="4"/>
  <c r="W76" i="4" s="1"/>
  <c r="AE47" i="4" l="1"/>
  <c r="AC17" i="4"/>
  <c r="AC21" i="4" s="1"/>
  <c r="AF8" i="4"/>
  <c r="AF3" i="4"/>
  <c r="AC20" i="4"/>
  <c r="AD1" i="12"/>
  <c r="AF6" i="4"/>
  <c r="AG2" i="4"/>
  <c r="AC61" i="4"/>
  <c r="AC71" i="4"/>
  <c r="AC16" i="4"/>
  <c r="AC24" i="4"/>
  <c r="AC37" i="4"/>
  <c r="AC80" i="4"/>
  <c r="V75" i="4"/>
  <c r="V65" i="4"/>
  <c r="W65" i="4"/>
  <c r="W75" i="4"/>
  <c r="X35" i="4"/>
  <c r="X76" i="4" s="1"/>
  <c r="AF17" i="4" l="1"/>
  <c r="AF21" i="4" s="1"/>
  <c r="AG8" i="4"/>
  <c r="AG3" i="4"/>
  <c r="AF20" i="4"/>
  <c r="AE1" i="12"/>
  <c r="AG6" i="4"/>
  <c r="AH2" i="4"/>
  <c r="AF71" i="4"/>
  <c r="AF80" i="4"/>
  <c r="AF37" i="4"/>
  <c r="AF24" i="4"/>
  <c r="AF16" i="4"/>
  <c r="AF61" i="4"/>
  <c r="X75" i="4"/>
  <c r="X65" i="4"/>
  <c r="Y35" i="4"/>
  <c r="Y76" i="4" s="1"/>
  <c r="AG17" i="4" l="1"/>
  <c r="AG21" i="4" s="1"/>
  <c r="AH8" i="4"/>
  <c r="AH3" i="4"/>
  <c r="AG20" i="4"/>
  <c r="AF1" i="12"/>
  <c r="AI2" i="4"/>
  <c r="AH6" i="4"/>
  <c r="AG80" i="4"/>
  <c r="AG24" i="4"/>
  <c r="AG37" i="4"/>
  <c r="AG16" i="4"/>
  <c r="AG61" i="4"/>
  <c r="AG71" i="4"/>
  <c r="Y65" i="4"/>
  <c r="Y75" i="4"/>
  <c r="Z35" i="4"/>
  <c r="Z76" i="4" s="1"/>
  <c r="AH17" i="4" l="1"/>
  <c r="AH21" i="4" s="1"/>
  <c r="AI8" i="4"/>
  <c r="AI3" i="4"/>
  <c r="AH20" i="4"/>
  <c r="AG1" i="12"/>
  <c r="AD34" i="4"/>
  <c r="AH61" i="4"/>
  <c r="AH71" i="4"/>
  <c r="AH16" i="4"/>
  <c r="AH37" i="4"/>
  <c r="AH24" i="4"/>
  <c r="AH80" i="4"/>
  <c r="AJ2" i="4"/>
  <c r="AI6" i="4"/>
  <c r="Z65" i="4"/>
  <c r="Z75" i="4"/>
  <c r="AA35" i="4"/>
  <c r="AA76" i="4" s="1"/>
  <c r="AI17" i="4" l="1"/>
  <c r="AI21" i="4" s="1"/>
  <c r="AJ8" i="4"/>
  <c r="AJ3" i="4"/>
  <c r="AI20" i="4"/>
  <c r="AH1" i="12"/>
  <c r="AJ6" i="4"/>
  <c r="AK2" i="4"/>
  <c r="AI80" i="4"/>
  <c r="AI37" i="4"/>
  <c r="AI61" i="4"/>
  <c r="AI16" i="4"/>
  <c r="AI71" i="4"/>
  <c r="AI24" i="4"/>
  <c r="AA65" i="4"/>
  <c r="AA75" i="4"/>
  <c r="AB35" i="4"/>
  <c r="AB76" i="4" s="1"/>
  <c r="AJ17" i="4" l="1"/>
  <c r="AJ21" i="4" s="1"/>
  <c r="AK8" i="4"/>
  <c r="AK3" i="4"/>
  <c r="AJ20" i="4"/>
  <c r="AI1" i="12"/>
  <c r="AL2" i="4"/>
  <c r="AK6" i="4"/>
  <c r="AJ71" i="4"/>
  <c r="AJ80" i="4"/>
  <c r="AJ16" i="4"/>
  <c r="AJ37" i="4"/>
  <c r="AJ61" i="4"/>
  <c r="AJ24" i="4"/>
  <c r="AB75" i="4"/>
  <c r="AB65" i="4"/>
  <c r="AK17" i="4" l="1"/>
  <c r="AK21" i="4" s="1"/>
  <c r="AL8" i="4"/>
  <c r="AL3" i="4"/>
  <c r="AK20" i="4"/>
  <c r="AJ1" i="12"/>
  <c r="AK71" i="4"/>
  <c r="AK61" i="4"/>
  <c r="AK24" i="4"/>
  <c r="AK80" i="4"/>
  <c r="AK37" i="4"/>
  <c r="AK16" i="4"/>
  <c r="AM2" i="4"/>
  <c r="AL6" i="4"/>
  <c r="AC35" i="4"/>
  <c r="AC76" i="4" s="1"/>
  <c r="AD31" i="4"/>
  <c r="AL17" i="4" l="1"/>
  <c r="AL21" i="4" s="1"/>
  <c r="AM8" i="4"/>
  <c r="AM3" i="4"/>
  <c r="AL20" i="4"/>
  <c r="AK1" i="12"/>
  <c r="AN2" i="4"/>
  <c r="AM6" i="4"/>
  <c r="AL80" i="4"/>
  <c r="AL61" i="4"/>
  <c r="AL24" i="4"/>
  <c r="AL37" i="4"/>
  <c r="AL16" i="4"/>
  <c r="AL71" i="4"/>
  <c r="AG35" i="4"/>
  <c r="AG76" i="4" s="1"/>
  <c r="AF35" i="4"/>
  <c r="AF76" i="4" s="1"/>
  <c r="AC65" i="4"/>
  <c r="AC75" i="4"/>
  <c r="AD35" i="4"/>
  <c r="AM17" i="4" l="1"/>
  <c r="AM21" i="4" s="1"/>
  <c r="AN8" i="4"/>
  <c r="AN3" i="4"/>
  <c r="AM20" i="4"/>
  <c r="AL1" i="12"/>
  <c r="AM24" i="4"/>
  <c r="AM37" i="4"/>
  <c r="AM80" i="4"/>
  <c r="AM16" i="4"/>
  <c r="AM71" i="4"/>
  <c r="AM61" i="4"/>
  <c r="AN6" i="4"/>
  <c r="AO2" i="4"/>
  <c r="AH35" i="4"/>
  <c r="AH76" i="4" s="1"/>
  <c r="AG75" i="4"/>
  <c r="AG65" i="4"/>
  <c r="AF65" i="4"/>
  <c r="AF75" i="4"/>
  <c r="AD65" i="4"/>
  <c r="AD76" i="4"/>
  <c r="AD75" i="4"/>
  <c r="AN17" i="4" l="1"/>
  <c r="AN21" i="4" s="1"/>
  <c r="AO8" i="4"/>
  <c r="AO3" i="4"/>
  <c r="AN20" i="4"/>
  <c r="AM1" i="12"/>
  <c r="AN61" i="4"/>
  <c r="AN71" i="4"/>
  <c r="AN80" i="4"/>
  <c r="AN16" i="4"/>
  <c r="AN24" i="4"/>
  <c r="AN37" i="4"/>
  <c r="AP2" i="4"/>
  <c r="AO6" i="4"/>
  <c r="AH75" i="4"/>
  <c r="AH65" i="4"/>
  <c r="AI35" i="4"/>
  <c r="AI76" i="4" s="1"/>
  <c r="AO17" i="4" l="1"/>
  <c r="AO21" i="4" s="1"/>
  <c r="AP8" i="4"/>
  <c r="AP3" i="4"/>
  <c r="AO20" i="4"/>
  <c r="AN1" i="12"/>
  <c r="AO80" i="4"/>
  <c r="AO24" i="4"/>
  <c r="AO61" i="4"/>
  <c r="AO16" i="4"/>
  <c r="AO37" i="4"/>
  <c r="AO71" i="4"/>
  <c r="AQ2" i="4"/>
  <c r="AP6" i="4"/>
  <c r="AJ35" i="4"/>
  <c r="AJ76" i="4" s="1"/>
  <c r="AI75" i="4"/>
  <c r="AI65" i="4"/>
  <c r="AP17" i="4" l="1"/>
  <c r="AP21" i="4" s="1"/>
  <c r="AQ8" i="4"/>
  <c r="AR47" i="4" s="1"/>
  <c r="AQ3" i="4"/>
  <c r="AP20" i="4"/>
  <c r="AO1" i="12"/>
  <c r="AQ6" i="4"/>
  <c r="AP1" i="12" s="1"/>
  <c r="AP61" i="4"/>
  <c r="AP37" i="4"/>
  <c r="AP80" i="4"/>
  <c r="AP24" i="4"/>
  <c r="AP16" i="4"/>
  <c r="AP71" i="4"/>
  <c r="AJ75" i="4"/>
  <c r="AJ65" i="4"/>
  <c r="AK35" i="4"/>
  <c r="AK76" i="4" s="1"/>
  <c r="AS47" i="4" l="1"/>
  <c r="AT47" i="4"/>
  <c r="AQ17" i="4"/>
  <c r="AQ21" i="4" s="1"/>
  <c r="AQ16" i="4"/>
  <c r="AQ20" i="4"/>
  <c r="AQ37" i="4"/>
  <c r="AQ61" i="4"/>
  <c r="AQ71" i="4"/>
  <c r="AQ80" i="4"/>
  <c r="AQ24" i="4"/>
  <c r="AK75" i="4"/>
  <c r="AK65" i="4"/>
  <c r="AL35" i="4"/>
  <c r="AL76" i="4" s="1"/>
  <c r="AM35" i="4" l="1"/>
  <c r="AM76" i="4" s="1"/>
  <c r="AL75" i="4"/>
  <c r="AL65" i="4"/>
  <c r="AM75" i="4" l="1"/>
  <c r="AM65" i="4"/>
  <c r="AN35" i="4"/>
  <c r="AN76" i="4" s="1"/>
  <c r="AR34" i="4" l="1"/>
  <c r="AT34" i="4" s="1"/>
  <c r="AO35" i="4"/>
  <c r="AO76" i="4" s="1"/>
  <c r="AN75" i="4"/>
  <c r="AN65" i="4"/>
  <c r="AO75" i="4" l="1"/>
  <c r="AO65" i="4"/>
  <c r="AP35" i="4"/>
  <c r="AP76" i="4" s="1"/>
  <c r="AP75" i="4" l="1"/>
  <c r="AP65" i="4"/>
  <c r="AQ35" i="4" l="1"/>
  <c r="AQ76" i="4" s="1"/>
  <c r="AR31" i="4"/>
  <c r="AR35" i="4" l="1"/>
  <c r="AT35" i="4" s="1"/>
  <c r="AT31" i="4"/>
  <c r="AQ75" i="4"/>
  <c r="AQ65" i="4"/>
  <c r="AR76" i="4" l="1"/>
  <c r="AR75" i="4"/>
  <c r="AR65" i="4"/>
  <c r="F35" i="4" l="1"/>
  <c r="F75" i="4" s="1"/>
  <c r="AT75" i="4" s="1"/>
  <c r="F65" i="4" l="1"/>
  <c r="AT65" i="4" s="1"/>
  <c r="F76" i="4"/>
  <c r="AT76" i="4" s="1"/>
  <c r="K7" i="7" l="1"/>
  <c r="S18" i="4"/>
  <c r="AG18" i="4"/>
  <c r="AG22" i="4"/>
  <c r="AG63" i="4" s="1"/>
  <c r="AF4" i="12" s="1"/>
  <c r="AN22" i="4"/>
  <c r="AN63" i="4" s="1"/>
  <c r="AM4" i="12" s="1"/>
  <c r="AN18" i="4"/>
  <c r="AO18" i="4"/>
  <c r="AI22" i="4"/>
  <c r="AI63" i="4" s="1"/>
  <c r="AH4" i="12" s="1"/>
  <c r="V18" i="4"/>
  <c r="V22" i="4"/>
  <c r="V63" i="4" s="1"/>
  <c r="W4" i="12" s="1"/>
  <c r="U18" i="4"/>
  <c r="U22" i="4"/>
  <c r="U63" i="4" s="1"/>
  <c r="V4" i="12" s="1"/>
  <c r="S22" i="4"/>
  <c r="S63" i="4" s="1"/>
  <c r="T4" i="12" s="1"/>
  <c r="O18" i="4"/>
  <c r="X22" i="4"/>
  <c r="X63" i="4" s="1"/>
  <c r="Y4" i="12" s="1"/>
  <c r="X18" i="4"/>
  <c r="AL18" i="4"/>
  <c r="AC18" i="4"/>
  <c r="AC22" i="4"/>
  <c r="AC63" i="4" s="1"/>
  <c r="AD4" i="12" s="1"/>
  <c r="W22" i="4"/>
  <c r="W63" i="4" s="1"/>
  <c r="X4" i="12" s="1"/>
  <c r="Y18" i="4"/>
  <c r="Y22" i="4"/>
  <c r="Y63" i="4" s="1"/>
  <c r="Z4" i="12" s="1"/>
  <c r="G18" i="4"/>
  <c r="G22" i="4"/>
  <c r="G63" i="4" s="1"/>
  <c r="J4" i="12" s="1"/>
  <c r="K18" i="4"/>
  <c r="K22" i="4"/>
  <c r="K63" i="4" s="1"/>
  <c r="N4" i="12" s="1"/>
  <c r="AQ22" i="4"/>
  <c r="AQ63" i="4" s="1"/>
  <c r="AP4" i="12" s="1"/>
  <c r="AD17" i="4"/>
  <c r="AE17" i="4" s="1"/>
  <c r="AE18" i="4" s="1"/>
  <c r="R18" i="4"/>
  <c r="F18" i="4"/>
  <c r="AB18" i="4"/>
  <c r="D18" i="4"/>
  <c r="D40" i="4" s="1"/>
  <c r="M18" i="4"/>
  <c r="M22" i="4"/>
  <c r="M63" i="4" s="1"/>
  <c r="P4" i="12" s="1"/>
  <c r="E18" i="4"/>
  <c r="AJ22" i="4"/>
  <c r="AJ63" i="4" s="1"/>
  <c r="AI4" i="12" s="1"/>
  <c r="AJ18" i="4"/>
  <c r="J18" i="4"/>
  <c r="J22" i="4"/>
  <c r="J63" i="4" s="1"/>
  <c r="M4" i="12" s="1"/>
  <c r="I18" i="4"/>
  <c r="I22" i="4"/>
  <c r="I63" i="4" s="1"/>
  <c r="L4" i="12" s="1"/>
  <c r="P17" i="4"/>
  <c r="Q17" i="4" s="1"/>
  <c r="Q18" i="4" s="1"/>
  <c r="J40" i="4" l="1"/>
  <c r="J42" i="4"/>
  <c r="J41" i="4"/>
  <c r="F40" i="4"/>
  <c r="F41" i="4"/>
  <c r="F42" i="4"/>
  <c r="AC40" i="4"/>
  <c r="AC42" i="4"/>
  <c r="AC41" i="4"/>
  <c r="O40" i="4"/>
  <c r="O42" i="4"/>
  <c r="O41" i="4"/>
  <c r="M40" i="4"/>
  <c r="M41" i="4"/>
  <c r="M42" i="4"/>
  <c r="R40" i="4"/>
  <c r="R42" i="4"/>
  <c r="R41" i="4"/>
  <c r="Y40" i="4"/>
  <c r="Y42" i="4"/>
  <c r="Y41" i="4"/>
  <c r="AL40" i="4"/>
  <c r="AL42" i="4"/>
  <c r="AL41" i="4"/>
  <c r="V40" i="4"/>
  <c r="V41" i="4"/>
  <c r="V42" i="4"/>
  <c r="X40" i="4"/>
  <c r="X41" i="4"/>
  <c r="X42" i="4"/>
  <c r="AN40" i="4"/>
  <c r="AN42" i="4"/>
  <c r="AN41" i="4"/>
  <c r="S40" i="4"/>
  <c r="S41" i="4"/>
  <c r="S42" i="4"/>
  <c r="AJ40" i="4"/>
  <c r="AJ42" i="4"/>
  <c r="AJ41" i="4"/>
  <c r="K40" i="4"/>
  <c r="K42" i="4"/>
  <c r="K41" i="4"/>
  <c r="I40" i="4"/>
  <c r="I41" i="4"/>
  <c r="I42" i="4"/>
  <c r="D42" i="4"/>
  <c r="D41" i="4"/>
  <c r="E40" i="4"/>
  <c r="E42" i="4"/>
  <c r="E41" i="4"/>
  <c r="AB40" i="4"/>
  <c r="AB41" i="4"/>
  <c r="AB42" i="4"/>
  <c r="G40" i="4"/>
  <c r="G41" i="4"/>
  <c r="G42" i="4"/>
  <c r="U40" i="4"/>
  <c r="U42" i="4"/>
  <c r="U41" i="4"/>
  <c r="AO40" i="4"/>
  <c r="AO41" i="4"/>
  <c r="AO42" i="4"/>
  <c r="AG40" i="4"/>
  <c r="AG41" i="4"/>
  <c r="AG42" i="4"/>
  <c r="I46" i="4"/>
  <c r="I48" i="4"/>
  <c r="D48" i="4"/>
  <c r="D46" i="4"/>
  <c r="X46" i="4"/>
  <c r="X48" i="4"/>
  <c r="E46" i="4"/>
  <c r="E48" i="4"/>
  <c r="AB46" i="4"/>
  <c r="AB48" i="4"/>
  <c r="G46" i="4"/>
  <c r="G48" i="4"/>
  <c r="U46" i="4"/>
  <c r="U48" i="4"/>
  <c r="AO46" i="4"/>
  <c r="AO48" i="4"/>
  <c r="AG46" i="4"/>
  <c r="AG48" i="4"/>
  <c r="J46" i="4"/>
  <c r="J48" i="4"/>
  <c r="F46" i="4"/>
  <c r="F48" i="4"/>
  <c r="AC46" i="4"/>
  <c r="AC48" i="4"/>
  <c r="O46" i="4"/>
  <c r="O48" i="4"/>
  <c r="AN46" i="4"/>
  <c r="AN48" i="4"/>
  <c r="S46" i="4"/>
  <c r="S48" i="4"/>
  <c r="AJ46" i="4"/>
  <c r="AJ48" i="4"/>
  <c r="M46" i="4"/>
  <c r="M48" i="4"/>
  <c r="R46" i="4"/>
  <c r="R48" i="4"/>
  <c r="K46" i="4"/>
  <c r="K48" i="4"/>
  <c r="Y46" i="4"/>
  <c r="Y48" i="4"/>
  <c r="AL46" i="4"/>
  <c r="AL48" i="4"/>
  <c r="V46" i="4"/>
  <c r="V48" i="4"/>
  <c r="I58" i="4"/>
  <c r="D58" i="4"/>
  <c r="X58" i="4"/>
  <c r="E58" i="4"/>
  <c r="AB58" i="4"/>
  <c r="G58" i="4"/>
  <c r="U58" i="4"/>
  <c r="AO58" i="4"/>
  <c r="AG58" i="4"/>
  <c r="J58" i="4"/>
  <c r="F58" i="4"/>
  <c r="AC58" i="4"/>
  <c r="O58" i="4"/>
  <c r="AN58" i="4"/>
  <c r="S58" i="4"/>
  <c r="AJ58" i="4"/>
  <c r="M58" i="4"/>
  <c r="R58" i="4"/>
  <c r="K58" i="4"/>
  <c r="Y58" i="4"/>
  <c r="AL58" i="4"/>
  <c r="V58" i="4"/>
  <c r="I56" i="4"/>
  <c r="X56" i="4"/>
  <c r="E56" i="4"/>
  <c r="AB56" i="4"/>
  <c r="G56" i="4"/>
  <c r="U56" i="4"/>
  <c r="AO56" i="4"/>
  <c r="AG56" i="4"/>
  <c r="J56" i="4"/>
  <c r="F56" i="4"/>
  <c r="AC56" i="4"/>
  <c r="O56" i="4"/>
  <c r="AN56" i="4"/>
  <c r="S56" i="4"/>
  <c r="AJ56" i="4"/>
  <c r="M56" i="4"/>
  <c r="R56" i="4"/>
  <c r="K56" i="4"/>
  <c r="Y56" i="4"/>
  <c r="AL56" i="4"/>
  <c r="V56" i="4"/>
  <c r="D56" i="4"/>
  <c r="AN62" i="4"/>
  <c r="AJ62" i="4"/>
  <c r="U62" i="4"/>
  <c r="AC62" i="4"/>
  <c r="K62" i="4"/>
  <c r="D37" i="7"/>
  <c r="E22" i="4"/>
  <c r="E63" i="4" s="1"/>
  <c r="H4" i="12" s="1"/>
  <c r="AI18" i="4"/>
  <c r="AO62" i="4"/>
  <c r="F22" i="4"/>
  <c r="F63" i="4" s="1"/>
  <c r="I4" i="12" s="1"/>
  <c r="W18" i="4"/>
  <c r="O22" i="4"/>
  <c r="O63" i="4" s="1"/>
  <c r="R4" i="12" s="1"/>
  <c r="AO22" i="4"/>
  <c r="AO63" i="4" s="1"/>
  <c r="AN4" i="12" s="1"/>
  <c r="AD18" i="4"/>
  <c r="O62" i="4"/>
  <c r="E62" i="4"/>
  <c r="H2" i="12" s="1"/>
  <c r="N18" i="4"/>
  <c r="N22" i="4"/>
  <c r="N63" i="4" s="1"/>
  <c r="Q4" i="12" s="1"/>
  <c r="R62" i="4"/>
  <c r="S2" i="12" s="1"/>
  <c r="T18" i="4"/>
  <c r="T22" i="4"/>
  <c r="T63" i="4" s="1"/>
  <c r="U4" i="12" s="1"/>
  <c r="G62" i="4"/>
  <c r="J2" i="12" s="1"/>
  <c r="J62" i="4"/>
  <c r="M2" i="12" s="1"/>
  <c r="L22" i="4"/>
  <c r="L63" i="4" s="1"/>
  <c r="O4" i="12" s="1"/>
  <c r="L18" i="4"/>
  <c r="D43" i="7"/>
  <c r="D45" i="7"/>
  <c r="D44" i="7"/>
  <c r="D48" i="7"/>
  <c r="D36" i="7"/>
  <c r="D50" i="7"/>
  <c r="D47" i="7"/>
  <c r="F7" i="7"/>
  <c r="D7" i="7" s="1"/>
  <c r="D46" i="7"/>
  <c r="AK18" i="4"/>
  <c r="AK22" i="4"/>
  <c r="AK63" i="4" s="1"/>
  <c r="AJ4" i="12" s="1"/>
  <c r="P18" i="4"/>
  <c r="D62" i="4"/>
  <c r="AF18" i="4"/>
  <c r="AR17" i="4"/>
  <c r="AT17" i="4" s="1"/>
  <c r="AT18" i="4" s="1"/>
  <c r="AA22" i="4"/>
  <c r="AA63" i="4" s="1"/>
  <c r="AB4" i="12" s="1"/>
  <c r="AA18" i="4"/>
  <c r="Z22" i="4"/>
  <c r="Z63" i="4" s="1"/>
  <c r="AA4" i="12" s="1"/>
  <c r="Z18" i="4"/>
  <c r="AB62" i="4"/>
  <c r="AC2" i="12" s="1"/>
  <c r="AB22" i="4"/>
  <c r="AB63" i="4" s="1"/>
  <c r="AC4" i="12" s="1"/>
  <c r="AG62" i="4"/>
  <c r="AF2" i="12" s="1"/>
  <c r="S62" i="4"/>
  <c r="T2" i="12" s="1"/>
  <c r="AM18" i="4"/>
  <c r="AM22" i="4"/>
  <c r="AM63" i="4" s="1"/>
  <c r="AL4" i="12" s="1"/>
  <c r="F62" i="4"/>
  <c r="I2" i="12" s="1"/>
  <c r="AL22" i="4"/>
  <c r="AL63" i="4" s="1"/>
  <c r="AK4" i="12" s="1"/>
  <c r="AP18" i="4"/>
  <c r="AP22" i="4"/>
  <c r="AP63" i="4" s="1"/>
  <c r="AO4" i="12" s="1"/>
  <c r="V62" i="4"/>
  <c r="W2" i="12" s="1"/>
  <c r="H18" i="4"/>
  <c r="H22" i="4"/>
  <c r="H63" i="4" s="1"/>
  <c r="K4" i="12" s="1"/>
  <c r="AL62" i="4"/>
  <c r="AK2" i="12" s="1"/>
  <c r="AQ18" i="4"/>
  <c r="D22" i="4"/>
  <c r="D63" i="4" s="1"/>
  <c r="P21" i="4"/>
  <c r="M62" i="4"/>
  <c r="P2" i="12" s="1"/>
  <c r="Y62" i="4"/>
  <c r="Z2" i="12" s="1"/>
  <c r="I62" i="4"/>
  <c r="L2" i="12" s="1"/>
  <c r="AH18" i="4"/>
  <c r="AH22" i="4"/>
  <c r="AH63" i="4" s="1"/>
  <c r="AG4" i="12" s="1"/>
  <c r="X62" i="4"/>
  <c r="Y2" i="12" s="1"/>
  <c r="AG38" i="4" l="1"/>
  <c r="K38" i="4"/>
  <c r="X38" i="4"/>
  <c r="G38" i="4"/>
  <c r="D38" i="4"/>
  <c r="I38" i="4"/>
  <c r="AN38" i="4"/>
  <c r="AL38" i="4"/>
  <c r="Y38" i="4"/>
  <c r="M38" i="4"/>
  <c r="O38" i="4"/>
  <c r="AC38" i="4"/>
  <c r="U38" i="4"/>
  <c r="S38" i="4"/>
  <c r="AJ38" i="4"/>
  <c r="V38" i="4"/>
  <c r="J38" i="4"/>
  <c r="AB38" i="4"/>
  <c r="F38" i="4"/>
  <c r="AO38" i="4"/>
  <c r="E38" i="4"/>
  <c r="H40" i="4"/>
  <c r="H42" i="4"/>
  <c r="H41" i="4"/>
  <c r="AQ40" i="4"/>
  <c r="AQ41" i="4"/>
  <c r="AQ42" i="4"/>
  <c r="AF40" i="4"/>
  <c r="AF41" i="4"/>
  <c r="AF42" i="4"/>
  <c r="AA40" i="4"/>
  <c r="AA41" i="4"/>
  <c r="AA42" i="4"/>
  <c r="T40" i="4"/>
  <c r="T41" i="4"/>
  <c r="T42" i="4"/>
  <c r="AI40" i="4"/>
  <c r="AI41" i="4"/>
  <c r="AI42" i="4"/>
  <c r="AK40" i="4"/>
  <c r="AK41" i="4"/>
  <c r="AK42" i="4"/>
  <c r="W40" i="4"/>
  <c r="W41" i="4"/>
  <c r="W42" i="4"/>
  <c r="AH40" i="4"/>
  <c r="AH42" i="4"/>
  <c r="AH41" i="4"/>
  <c r="AP40" i="4"/>
  <c r="AP41" i="4"/>
  <c r="AP42" i="4"/>
  <c r="AM40" i="4"/>
  <c r="AM42" i="4"/>
  <c r="AM41" i="4"/>
  <c r="L40" i="4"/>
  <c r="L42" i="4"/>
  <c r="L41" i="4"/>
  <c r="N40" i="4"/>
  <c r="N42" i="4"/>
  <c r="N41" i="4"/>
  <c r="Z40" i="4"/>
  <c r="Z41" i="4"/>
  <c r="Z42" i="4"/>
  <c r="AH46" i="4"/>
  <c r="AH48" i="4"/>
  <c r="AP46" i="4"/>
  <c r="AP48" i="4"/>
  <c r="N46" i="4"/>
  <c r="N48" i="4"/>
  <c r="H46" i="4"/>
  <c r="H48" i="4"/>
  <c r="G2" i="12"/>
  <c r="AM46" i="4"/>
  <c r="AM48" i="4"/>
  <c r="L46" i="4"/>
  <c r="L48" i="4"/>
  <c r="G4" i="12"/>
  <c r="P63" i="4"/>
  <c r="Z46" i="4"/>
  <c r="Z48" i="4"/>
  <c r="T46" i="4"/>
  <c r="T48" i="4"/>
  <c r="AI46" i="4"/>
  <c r="AI48" i="4"/>
  <c r="AQ46" i="4"/>
  <c r="AQ48" i="4"/>
  <c r="AF46" i="4"/>
  <c r="AF48" i="4"/>
  <c r="AK46" i="4"/>
  <c r="AK48" i="4"/>
  <c r="W46" i="4"/>
  <c r="W48" i="4"/>
  <c r="AA46" i="4"/>
  <c r="AA48" i="4"/>
  <c r="Z58" i="4"/>
  <c r="AQ58" i="4"/>
  <c r="AF58" i="4"/>
  <c r="AK58" i="4"/>
  <c r="W58" i="4"/>
  <c r="AA58" i="4"/>
  <c r="H58" i="4"/>
  <c r="T58" i="4"/>
  <c r="AI58" i="4"/>
  <c r="AH58" i="4"/>
  <c r="AP58" i="4"/>
  <c r="AM58" i="4"/>
  <c r="L58" i="4"/>
  <c r="N58" i="4"/>
  <c r="AA56" i="4"/>
  <c r="AH56" i="4"/>
  <c r="AP56" i="4"/>
  <c r="AM56" i="4"/>
  <c r="L56" i="4"/>
  <c r="N56" i="4"/>
  <c r="H56" i="4"/>
  <c r="Z56" i="4"/>
  <c r="T56" i="4"/>
  <c r="AI56" i="4"/>
  <c r="AQ56" i="4"/>
  <c r="AF56" i="4"/>
  <c r="AK56" i="4"/>
  <c r="W56" i="4"/>
  <c r="E7" i="7"/>
  <c r="C7" i="7" s="1"/>
  <c r="O72" i="4"/>
  <c r="R2" i="12"/>
  <c r="AO72" i="4"/>
  <c r="AN2" i="12"/>
  <c r="K72" i="4"/>
  <c r="N2" i="12"/>
  <c r="AN72" i="4"/>
  <c r="AM2" i="12"/>
  <c r="U72" i="4"/>
  <c r="V2" i="12"/>
  <c r="AJ72" i="4"/>
  <c r="AI2" i="12"/>
  <c r="AC64" i="4"/>
  <c r="AD2" i="12"/>
  <c r="G59" i="4"/>
  <c r="G73" i="4" s="1"/>
  <c r="K59" i="4"/>
  <c r="K73" i="4" s="1"/>
  <c r="S59" i="4"/>
  <c r="S73" i="4" s="1"/>
  <c r="I59" i="4"/>
  <c r="I66" i="4" s="1"/>
  <c r="L5" i="12" s="1"/>
  <c r="L3" i="12" s="1"/>
  <c r="L6" i="12" s="1"/>
  <c r="X59" i="4"/>
  <c r="X66" i="4" s="1"/>
  <c r="Y5" i="12" s="1"/>
  <c r="Y3" i="12" s="1"/>
  <c r="Y6" i="12" s="1"/>
  <c r="AN59" i="4"/>
  <c r="AN73" i="4" s="1"/>
  <c r="Y59" i="4"/>
  <c r="Y73" i="4" s="1"/>
  <c r="M59" i="4"/>
  <c r="M73" i="4" s="1"/>
  <c r="J59" i="4"/>
  <c r="J73" i="4" s="1"/>
  <c r="V59" i="4"/>
  <c r="V73" i="4" s="1"/>
  <c r="AC59" i="4"/>
  <c r="AC66" i="4" s="1"/>
  <c r="AG59" i="4"/>
  <c r="AG66" i="4" s="1"/>
  <c r="AF5" i="12" s="1"/>
  <c r="AF3" i="12" s="1"/>
  <c r="AF6" i="12" s="1"/>
  <c r="AL59" i="4"/>
  <c r="AL73" i="4" s="1"/>
  <c r="AO59" i="4"/>
  <c r="AO66" i="4" s="1"/>
  <c r="AN5" i="12" s="1"/>
  <c r="AN3" i="12" s="1"/>
  <c r="F59" i="4"/>
  <c r="F66" i="4" s="1"/>
  <c r="I5" i="12" s="1"/>
  <c r="I3" i="12" s="1"/>
  <c r="I6" i="12" s="1"/>
  <c r="AB59" i="4"/>
  <c r="AB73" i="4" s="1"/>
  <c r="D59" i="4"/>
  <c r="O59" i="4"/>
  <c r="O66" i="4" s="1"/>
  <c r="R5" i="12" s="1"/>
  <c r="R3" i="12" s="1"/>
  <c r="E59" i="4"/>
  <c r="E66" i="4" s="1"/>
  <c r="H5" i="12" s="1"/>
  <c r="H3" i="12" s="1"/>
  <c r="H6" i="12" s="1"/>
  <c r="AC72" i="4"/>
  <c r="U64" i="4"/>
  <c r="K64" i="4"/>
  <c r="AN64" i="4"/>
  <c r="AJ59" i="4"/>
  <c r="AJ66" i="4" s="1"/>
  <c r="AI5" i="12" s="1"/>
  <c r="AI3" i="12" s="1"/>
  <c r="AJ64" i="4"/>
  <c r="U59" i="4"/>
  <c r="U66" i="4" s="1"/>
  <c r="V5" i="12" s="1"/>
  <c r="V3" i="12" s="1"/>
  <c r="AO64" i="4"/>
  <c r="AI62" i="4"/>
  <c r="W62" i="4"/>
  <c r="X2" i="12" s="1"/>
  <c r="O64" i="4"/>
  <c r="AH62" i="4"/>
  <c r="AG2" i="12" s="1"/>
  <c r="H62" i="4"/>
  <c r="K2" i="12" s="1"/>
  <c r="N62" i="4"/>
  <c r="Q2" i="12" s="1"/>
  <c r="P22" i="4"/>
  <c r="Q21" i="4"/>
  <c r="Q22" i="4" s="1"/>
  <c r="AL72" i="4"/>
  <c r="AL64" i="4"/>
  <c r="V72" i="4"/>
  <c r="V64" i="4"/>
  <c r="AB72" i="4"/>
  <c r="AB64" i="4"/>
  <c r="AR21" i="4"/>
  <c r="AF22" i="4"/>
  <c r="AF63" i="4" s="1"/>
  <c r="L62" i="4"/>
  <c r="O2" i="12" s="1"/>
  <c r="J64" i="4"/>
  <c r="J72" i="4"/>
  <c r="R72" i="4"/>
  <c r="Y72" i="4"/>
  <c r="Y64" i="4"/>
  <c r="AP62" i="4"/>
  <c r="AO2" i="12" s="1"/>
  <c r="F64" i="4"/>
  <c r="F72" i="4"/>
  <c r="AM62" i="4"/>
  <c r="AL2" i="12" s="1"/>
  <c r="Z62" i="4"/>
  <c r="AA2" i="12" s="1"/>
  <c r="AR18" i="4"/>
  <c r="AS17" i="4"/>
  <c r="AS18" i="4" s="1"/>
  <c r="G72" i="4"/>
  <c r="G64" i="4"/>
  <c r="T62" i="4"/>
  <c r="U2" i="12" s="1"/>
  <c r="X64" i="4"/>
  <c r="X72" i="4"/>
  <c r="I64" i="4"/>
  <c r="I72" i="4"/>
  <c r="M72" i="4"/>
  <c r="M64" i="4"/>
  <c r="AQ62" i="4"/>
  <c r="AP2" i="12" s="1"/>
  <c r="AD21" i="4"/>
  <c r="R22" i="4"/>
  <c r="S64" i="4"/>
  <c r="S72" i="4"/>
  <c r="AG64" i="4"/>
  <c r="AG72" i="4"/>
  <c r="AA62" i="4"/>
  <c r="AB2" i="12" s="1"/>
  <c r="AF62" i="4"/>
  <c r="AE2" i="12" s="1"/>
  <c r="D72" i="4"/>
  <c r="D64" i="4"/>
  <c r="AK62" i="4"/>
  <c r="AJ2" i="12" s="1"/>
  <c r="E72" i="4"/>
  <c r="E64" i="4"/>
  <c r="P42" i="4" l="1"/>
  <c r="Q42" i="4" s="1"/>
  <c r="G35" i="7" s="1"/>
  <c r="D35" i="7" s="1"/>
  <c r="AD42" i="4"/>
  <c r="AE42" i="4" s="1"/>
  <c r="AM38" i="4"/>
  <c r="AK38" i="4"/>
  <c r="L38" i="4"/>
  <c r="W38" i="4"/>
  <c r="AA38" i="4"/>
  <c r="N38" i="4"/>
  <c r="AH38" i="4"/>
  <c r="T38" i="4"/>
  <c r="H38" i="4"/>
  <c r="Z38" i="4"/>
  <c r="AP38" i="4"/>
  <c r="AI38" i="4"/>
  <c r="AQ38" i="4"/>
  <c r="R59" i="4"/>
  <c r="R73" i="4" s="1"/>
  <c r="R38" i="4"/>
  <c r="AF38" i="4"/>
  <c r="AR42" i="4"/>
  <c r="AS42" i="4" s="1"/>
  <c r="P46" i="4"/>
  <c r="Q46" i="4" s="1"/>
  <c r="G39" i="7" s="1"/>
  <c r="D39" i="7" s="1"/>
  <c r="AR46" i="4"/>
  <c r="AS46" i="4" s="1"/>
  <c r="P48" i="4"/>
  <c r="Q48" i="4" s="1"/>
  <c r="G41" i="7" s="1"/>
  <c r="D41" i="7" s="1"/>
  <c r="AD48" i="4"/>
  <c r="AE48" i="4" s="1"/>
  <c r="AD46" i="4"/>
  <c r="AE46" i="4" s="1"/>
  <c r="AR48" i="4"/>
  <c r="AS48" i="4" s="1"/>
  <c r="P62" i="4"/>
  <c r="AN74" i="4"/>
  <c r="V6" i="12"/>
  <c r="K74" i="4"/>
  <c r="R6" i="12"/>
  <c r="AI6" i="12"/>
  <c r="Q63" i="4"/>
  <c r="B3" i="12"/>
  <c r="AI72" i="4"/>
  <c r="AH2" i="12"/>
  <c r="AN6" i="12"/>
  <c r="AR63" i="4"/>
  <c r="AS63" i="4" s="1"/>
  <c r="D3" i="12" s="1"/>
  <c r="AE4" i="12"/>
  <c r="AC68" i="4"/>
  <c r="AC84" i="4" s="1"/>
  <c r="AC86" i="4" s="1"/>
  <c r="AD5" i="12"/>
  <c r="AD3" i="12" s="1"/>
  <c r="AD6" i="12" s="1"/>
  <c r="AM59" i="4"/>
  <c r="AM73" i="4" s="1"/>
  <c r="AQ59" i="4"/>
  <c r="AQ66" i="4" s="1"/>
  <c r="AP5" i="12" s="1"/>
  <c r="AP3" i="12" s="1"/>
  <c r="AP6" i="12" s="1"/>
  <c r="N59" i="4"/>
  <c r="N73" i="4" s="1"/>
  <c r="T59" i="4"/>
  <c r="T73" i="4" s="1"/>
  <c r="H59" i="4"/>
  <c r="H73" i="4" s="1"/>
  <c r="L59" i="4"/>
  <c r="L73" i="4" s="1"/>
  <c r="AA59" i="4"/>
  <c r="AA73" i="4" s="1"/>
  <c r="Z59" i="4"/>
  <c r="Z73" i="4" s="1"/>
  <c r="AK59" i="4"/>
  <c r="AK73" i="4" s="1"/>
  <c r="AP59" i="4"/>
  <c r="AP66" i="4" s="1"/>
  <c r="AO5" i="12" s="1"/>
  <c r="AO3" i="12" s="1"/>
  <c r="AO6" i="12" s="1"/>
  <c r="AH59" i="4"/>
  <c r="AH66" i="4" s="1"/>
  <c r="AG5" i="12" s="1"/>
  <c r="AG3" i="12" s="1"/>
  <c r="AG6" i="12" s="1"/>
  <c r="AF59" i="4"/>
  <c r="AD45" i="4"/>
  <c r="AE45" i="4" s="1"/>
  <c r="P45" i="4"/>
  <c r="Q45" i="4" s="1"/>
  <c r="G38" i="7" s="1"/>
  <c r="AR45" i="4"/>
  <c r="AS45" i="4" s="1"/>
  <c r="O73" i="4"/>
  <c r="O74" i="4" s="1"/>
  <c r="G66" i="4"/>
  <c r="AG73" i="4"/>
  <c r="AG74" i="4" s="1"/>
  <c r="F73" i="4"/>
  <c r="F74" i="4" s="1"/>
  <c r="U73" i="4"/>
  <c r="U74" i="4" s="1"/>
  <c r="K66" i="4"/>
  <c r="U68" i="4"/>
  <c r="U84" i="4" s="1"/>
  <c r="U86" i="4" s="1"/>
  <c r="AO67" i="4"/>
  <c r="AB66" i="4"/>
  <c r="AJ73" i="4"/>
  <c r="AJ74" i="4" s="1"/>
  <c r="E73" i="4"/>
  <c r="E74" i="4" s="1"/>
  <c r="AN66" i="4"/>
  <c r="AJ67" i="4"/>
  <c r="M66" i="4"/>
  <c r="J66" i="4"/>
  <c r="O68" i="4"/>
  <c r="O84" i="4" s="1"/>
  <c r="O86" i="4" s="1"/>
  <c r="AD40" i="4"/>
  <c r="AE40" i="4" s="1"/>
  <c r="AO73" i="4"/>
  <c r="AO74" i="4" s="1"/>
  <c r="I73" i="4"/>
  <c r="I74" i="4" s="1"/>
  <c r="AL66" i="4"/>
  <c r="X73" i="4"/>
  <c r="X74" i="4" s="1"/>
  <c r="Y66" i="4"/>
  <c r="AI59" i="4"/>
  <c r="AI73" i="4" s="1"/>
  <c r="AC73" i="4"/>
  <c r="AC74" i="4" s="1"/>
  <c r="V66" i="4"/>
  <c r="S66" i="4"/>
  <c r="Y74" i="4"/>
  <c r="P40" i="4"/>
  <c r="Q40" i="4" s="1"/>
  <c r="M74" i="4"/>
  <c r="AI64" i="4"/>
  <c r="S74" i="4"/>
  <c r="AD62" i="4"/>
  <c r="AD56" i="4"/>
  <c r="AE56" i="4" s="1"/>
  <c r="G74" i="4"/>
  <c r="O67" i="4"/>
  <c r="P41" i="4"/>
  <c r="Q41" i="4" s="1"/>
  <c r="G34" i="7" s="1"/>
  <c r="P56" i="4"/>
  <c r="Q56" i="4" s="1"/>
  <c r="G49" i="7" s="1"/>
  <c r="AD41" i="4"/>
  <c r="AE41" i="4" s="1"/>
  <c r="AR41" i="4"/>
  <c r="AS41" i="4" s="1"/>
  <c r="AL74" i="4"/>
  <c r="AO68" i="4"/>
  <c r="AO84" i="4" s="1"/>
  <c r="AO86" i="4" s="1"/>
  <c r="AR56" i="4"/>
  <c r="AS56" i="4" s="1"/>
  <c r="AC67" i="4"/>
  <c r="AB74" i="4"/>
  <c r="V74" i="4"/>
  <c r="J74" i="4"/>
  <c r="W72" i="4"/>
  <c r="W64" i="4"/>
  <c r="W59" i="4"/>
  <c r="U67" i="4"/>
  <c r="AR22" i="4"/>
  <c r="AS21" i="4"/>
  <c r="AS22" i="4" s="1"/>
  <c r="N64" i="4"/>
  <c r="N72" i="4"/>
  <c r="AR40" i="4"/>
  <c r="AR62" i="4"/>
  <c r="AS62" i="4" s="1"/>
  <c r="D2" i="12" s="1"/>
  <c r="AF72" i="4"/>
  <c r="AF64" i="4"/>
  <c r="R63" i="4"/>
  <c r="S4" i="12" s="1"/>
  <c r="T64" i="4"/>
  <c r="T72" i="4"/>
  <c r="AJ68" i="4"/>
  <c r="AP72" i="4"/>
  <c r="AP64" i="4"/>
  <c r="D66" i="4"/>
  <c r="D73" i="4"/>
  <c r="H72" i="4"/>
  <c r="H64" i="4"/>
  <c r="AH72" i="4"/>
  <c r="AH64" i="4"/>
  <c r="E67" i="4"/>
  <c r="E68" i="4"/>
  <c r="Z64" i="4"/>
  <c r="Z72" i="4"/>
  <c r="AM72" i="4"/>
  <c r="AM64" i="4"/>
  <c r="F68" i="4"/>
  <c r="F67" i="4"/>
  <c r="G32" i="7"/>
  <c r="H7" i="7"/>
  <c r="I68" i="4"/>
  <c r="I67" i="4"/>
  <c r="AG68" i="4"/>
  <c r="AG67" i="4"/>
  <c r="AD22" i="4"/>
  <c r="AE21" i="4"/>
  <c r="AE22" i="4" s="1"/>
  <c r="X67" i="4"/>
  <c r="X68" i="4"/>
  <c r="AK64" i="4"/>
  <c r="AK72" i="4"/>
  <c r="AA64" i="4"/>
  <c r="AA72" i="4"/>
  <c r="AQ64" i="4"/>
  <c r="AQ72" i="4"/>
  <c r="L72" i="4"/>
  <c r="L64" i="4"/>
  <c r="AT21" i="4"/>
  <c r="AT22" i="4" s="1"/>
  <c r="R66" i="4" l="1"/>
  <c r="S5" i="12" s="1"/>
  <c r="AT42" i="4"/>
  <c r="P64" i="4"/>
  <c r="Q64" i="4" s="1"/>
  <c r="AT46" i="4"/>
  <c r="P72" i="4"/>
  <c r="Q72" i="4" s="1"/>
  <c r="AT48" i="4"/>
  <c r="G5" i="12"/>
  <c r="G3" i="12" s="1"/>
  <c r="G6" i="12" s="1"/>
  <c r="P73" i="4"/>
  <c r="Q73" i="4" s="1"/>
  <c r="D40" i="7"/>
  <c r="AI74" i="4"/>
  <c r="J67" i="4"/>
  <c r="M5" i="12"/>
  <c r="M3" i="12" s="1"/>
  <c r="M6" i="12" s="1"/>
  <c r="AE62" i="4"/>
  <c r="C2" i="12"/>
  <c r="AL68" i="4"/>
  <c r="AL84" i="4" s="1"/>
  <c r="AL86" i="4" s="1"/>
  <c r="AK5" i="12"/>
  <c r="AK3" i="12" s="1"/>
  <c r="AK6" i="12" s="1"/>
  <c r="AN67" i="4"/>
  <c r="AM5" i="12"/>
  <c r="AM3" i="12" s="1"/>
  <c r="AM6" i="12" s="1"/>
  <c r="S67" i="4"/>
  <c r="T5" i="12"/>
  <c r="T3" i="12" s="1"/>
  <c r="T6" i="12" s="1"/>
  <c r="Y68" i="4"/>
  <c r="Y84" i="4" s="1"/>
  <c r="Y86" i="4" s="1"/>
  <c r="Z5" i="12"/>
  <c r="Z3" i="12" s="1"/>
  <c r="Z6" i="12" s="1"/>
  <c r="M67" i="4"/>
  <c r="P5" i="12"/>
  <c r="P3" i="12" s="1"/>
  <c r="P6" i="12" s="1"/>
  <c r="K68" i="4"/>
  <c r="K84" i="4" s="1"/>
  <c r="K86" i="4" s="1"/>
  <c r="N5" i="12"/>
  <c r="N3" i="12" s="1"/>
  <c r="N6" i="12" s="1"/>
  <c r="G67" i="4"/>
  <c r="J5" i="12"/>
  <c r="J3" i="12" s="1"/>
  <c r="J6" i="12" s="1"/>
  <c r="S3" i="12"/>
  <c r="S6" i="12" s="1"/>
  <c r="Q62" i="4"/>
  <c r="B2" i="12"/>
  <c r="V67" i="4"/>
  <c r="W5" i="12"/>
  <c r="W3" i="12" s="1"/>
  <c r="W6" i="12" s="1"/>
  <c r="AB68" i="4"/>
  <c r="AB84" i="4" s="1"/>
  <c r="AB86" i="4" s="1"/>
  <c r="AC5" i="12"/>
  <c r="AC3" i="12" s="1"/>
  <c r="AC6" i="12" s="1"/>
  <c r="AD58" i="4"/>
  <c r="AE58" i="4" s="1"/>
  <c r="AE59" i="4" s="1"/>
  <c r="P58" i="4"/>
  <c r="AR58" i="4"/>
  <c r="AS58" i="4" s="1"/>
  <c r="AK66" i="4"/>
  <c r="K67" i="4"/>
  <c r="G68" i="4"/>
  <c r="G84" i="4" s="1"/>
  <c r="G86" i="4" s="1"/>
  <c r="AT45" i="4"/>
  <c r="D38" i="7"/>
  <c r="D42" i="7"/>
  <c r="Y67" i="4"/>
  <c r="J68" i="4"/>
  <c r="J84" i="4" s="1"/>
  <c r="J86" i="4" s="1"/>
  <c r="AB67" i="4"/>
  <c r="AT40" i="4"/>
  <c r="AN68" i="4"/>
  <c r="AN84" i="4" s="1"/>
  <c r="AN86" i="4" s="1"/>
  <c r="AL67" i="4"/>
  <c r="AH73" i="4"/>
  <c r="AH74" i="4" s="1"/>
  <c r="M68" i="4"/>
  <c r="M84" i="4" s="1"/>
  <c r="M86" i="4" s="1"/>
  <c r="AA66" i="4"/>
  <c r="L66" i="4"/>
  <c r="AQ73" i="4"/>
  <c r="AQ74" i="4" s="1"/>
  <c r="AM66" i="4"/>
  <c r="AI66" i="4"/>
  <c r="H66" i="4"/>
  <c r="K5" i="12" s="1"/>
  <c r="K3" i="12" s="1"/>
  <c r="K6" i="12" s="1"/>
  <c r="AP73" i="4"/>
  <c r="AP74" i="4" s="1"/>
  <c r="Z66" i="4"/>
  <c r="N66" i="4"/>
  <c r="D49" i="7"/>
  <c r="D34" i="7"/>
  <c r="V68" i="4"/>
  <c r="V84" i="4" s="1"/>
  <c r="V86" i="4" s="1"/>
  <c r="T66" i="4"/>
  <c r="S68" i="4"/>
  <c r="S84" i="4" s="1"/>
  <c r="S86" i="4" s="1"/>
  <c r="AT62" i="4"/>
  <c r="AM74" i="4"/>
  <c r="AK74" i="4"/>
  <c r="AT41" i="4"/>
  <c r="AT56" i="4"/>
  <c r="AA74" i="4"/>
  <c r="Z74" i="4"/>
  <c r="AD72" i="4"/>
  <c r="AE72" i="4" s="1"/>
  <c r="R74" i="4"/>
  <c r="T74" i="4"/>
  <c r="L74" i="4"/>
  <c r="H74" i="4"/>
  <c r="N74" i="4"/>
  <c r="W66" i="4"/>
  <c r="W73" i="4"/>
  <c r="W74" i="4" s="1"/>
  <c r="D74" i="4"/>
  <c r="I84" i="4"/>
  <c r="I86" i="4" s="1"/>
  <c r="AR64" i="4"/>
  <c r="AS64" i="4" s="1"/>
  <c r="AF66" i="4"/>
  <c r="AE5" i="12" s="1"/>
  <c r="AE3" i="12" s="1"/>
  <c r="AE6" i="12" s="1"/>
  <c r="AF73" i="4"/>
  <c r="G33" i="7"/>
  <c r="D33" i="7" s="1"/>
  <c r="D32" i="7"/>
  <c r="AJ84" i="4"/>
  <c r="AJ86" i="4" s="1"/>
  <c r="AR72" i="4"/>
  <c r="AS72" i="4" s="1"/>
  <c r="D68" i="4"/>
  <c r="AH67" i="4"/>
  <c r="AH68" i="4"/>
  <c r="E84" i="4"/>
  <c r="E86" i="4" s="1"/>
  <c r="AP68" i="4"/>
  <c r="AP67" i="4"/>
  <c r="AD63" i="4"/>
  <c r="C3" i="12" s="1"/>
  <c r="R64" i="4"/>
  <c r="AG84" i="4"/>
  <c r="AG86" i="4" s="1"/>
  <c r="AQ67" i="4"/>
  <c r="AQ68" i="4"/>
  <c r="X84" i="4"/>
  <c r="X86" i="4" s="1"/>
  <c r="F84" i="4"/>
  <c r="F86" i="4" s="1"/>
  <c r="AS40" i="4"/>
  <c r="D67" i="4"/>
  <c r="D78" i="4" l="1"/>
  <c r="E77" i="4" s="1"/>
  <c r="E78" i="4" s="1"/>
  <c r="F77" i="4" s="1"/>
  <c r="F78" i="4" s="1"/>
  <c r="G77" i="4" s="1"/>
  <c r="G78" i="4" s="1"/>
  <c r="H77" i="4" s="1"/>
  <c r="H78" i="4" s="1"/>
  <c r="I77" i="4" s="1"/>
  <c r="I78" i="4" s="1"/>
  <c r="J77" i="4" s="1"/>
  <c r="J78" i="4" s="1"/>
  <c r="K77" i="4" s="1"/>
  <c r="K78" i="4" s="1"/>
  <c r="L77" i="4" s="1"/>
  <c r="L78" i="4" s="1"/>
  <c r="M77" i="4" s="1"/>
  <c r="M78" i="4" s="1"/>
  <c r="N77" i="4" s="1"/>
  <c r="N78" i="4" s="1"/>
  <c r="O77" i="4" s="1"/>
  <c r="O78" i="4" s="1"/>
  <c r="P78" i="4" s="1"/>
  <c r="P74" i="4"/>
  <c r="Q74" i="4" s="1"/>
  <c r="P66" i="4"/>
  <c r="N67" i="4"/>
  <c r="Q5" i="12"/>
  <c r="Q3" i="12" s="1"/>
  <c r="Q6" i="12" s="1"/>
  <c r="Z68" i="4"/>
  <c r="Z84" i="4" s="1"/>
  <c r="Z86" i="4" s="1"/>
  <c r="AA5" i="12"/>
  <c r="AA3" i="12" s="1"/>
  <c r="AA6" i="12" s="1"/>
  <c r="AM68" i="4"/>
  <c r="AM84" i="4" s="1"/>
  <c r="AM86" i="4" s="1"/>
  <c r="AL5" i="12"/>
  <c r="AL3" i="12" s="1"/>
  <c r="AL6" i="12" s="1"/>
  <c r="W68" i="4"/>
  <c r="W84" i="4" s="1"/>
  <c r="W86" i="4" s="1"/>
  <c r="X5" i="12"/>
  <c r="X3" i="12" s="1"/>
  <c r="X6" i="12" s="1"/>
  <c r="AK68" i="4"/>
  <c r="AK84" i="4" s="1"/>
  <c r="AK86" i="4" s="1"/>
  <c r="AJ5" i="12"/>
  <c r="AJ3" i="12" s="1"/>
  <c r="AJ6" i="12" s="1"/>
  <c r="T67" i="4"/>
  <c r="U5" i="12"/>
  <c r="U3" i="12" s="1"/>
  <c r="U6" i="12" s="1"/>
  <c r="AI68" i="4"/>
  <c r="AI84" i="4" s="1"/>
  <c r="AI86" i="4" s="1"/>
  <c r="AH5" i="12"/>
  <c r="AH3" i="12" s="1"/>
  <c r="AH6" i="12" s="1"/>
  <c r="AA68" i="4"/>
  <c r="AA84" i="4" s="1"/>
  <c r="AA86" i="4" s="1"/>
  <c r="AB5" i="12"/>
  <c r="AB3" i="12" s="1"/>
  <c r="AB6" i="12" s="1"/>
  <c r="L67" i="4"/>
  <c r="O5" i="12"/>
  <c r="O3" i="12" s="1"/>
  <c r="O6" i="12" s="1"/>
  <c r="AS59" i="4"/>
  <c r="AR59" i="4"/>
  <c r="AD59" i="4"/>
  <c r="AT58" i="4"/>
  <c r="AT59" i="4" s="1"/>
  <c r="Q58" i="4"/>
  <c r="G51" i="7" s="1"/>
  <c r="P59" i="4"/>
  <c r="AK67" i="4"/>
  <c r="AA67" i="4"/>
  <c r="AR73" i="4"/>
  <c r="AS73" i="4" s="1"/>
  <c r="L68" i="4"/>
  <c r="L84" i="4" s="1"/>
  <c r="L86" i="4" s="1"/>
  <c r="N68" i="4"/>
  <c r="N84" i="4" s="1"/>
  <c r="N86" i="4" s="1"/>
  <c r="AR66" i="4"/>
  <c r="AS66" i="4" s="1"/>
  <c r="D4" i="12" s="1"/>
  <c r="AM67" i="4"/>
  <c r="Z67" i="4"/>
  <c r="H68" i="4"/>
  <c r="H67" i="4"/>
  <c r="AI67" i="4"/>
  <c r="T68" i="4"/>
  <c r="T84" i="4" s="1"/>
  <c r="T86" i="4" s="1"/>
  <c r="AD74" i="4"/>
  <c r="AE74" i="4" s="1"/>
  <c r="AD73" i="4"/>
  <c r="AE73" i="4" s="1"/>
  <c r="AD66" i="4"/>
  <c r="AF74" i="4"/>
  <c r="AR74" i="4" s="1"/>
  <c r="AS74" i="4" s="1"/>
  <c r="AF68" i="4"/>
  <c r="AF84" i="4" s="1"/>
  <c r="AF86" i="4" s="1"/>
  <c r="AT72" i="4"/>
  <c r="W67" i="4"/>
  <c r="AE63" i="4"/>
  <c r="AT63" i="4"/>
  <c r="AP84" i="4"/>
  <c r="AP86" i="4" s="1"/>
  <c r="D69" i="4"/>
  <c r="AH84" i="4"/>
  <c r="AH86" i="4" s="1"/>
  <c r="AF67" i="4"/>
  <c r="AQ84" i="4"/>
  <c r="AQ86" i="4" s="1"/>
  <c r="R68" i="4"/>
  <c r="R67" i="4"/>
  <c r="AD64" i="4"/>
  <c r="D95" i="4"/>
  <c r="D84" i="4"/>
  <c r="P67" i="4" l="1"/>
  <c r="Q67" i="4" s="1"/>
  <c r="P68" i="4"/>
  <c r="D51" i="7"/>
  <c r="D52" i="7" s="1"/>
  <c r="AE66" i="4"/>
  <c r="C4" i="12"/>
  <c r="Q66" i="4"/>
  <c r="B4" i="12"/>
  <c r="Q59" i="4"/>
  <c r="H84" i="4"/>
  <c r="H86" i="4" s="1"/>
  <c r="AT73" i="4"/>
  <c r="AT66" i="4"/>
  <c r="AR68" i="4"/>
  <c r="AS68" i="4" s="1"/>
  <c r="R77" i="4"/>
  <c r="AD77" i="4" s="1"/>
  <c r="E95" i="4"/>
  <c r="F95" i="4" s="1"/>
  <c r="G95" i="4" s="1"/>
  <c r="H95" i="4" s="1"/>
  <c r="I95" i="4" s="1"/>
  <c r="J95" i="4" s="1"/>
  <c r="K95" i="4" s="1"/>
  <c r="L95" i="4" s="1"/>
  <c r="M95" i="4" s="1"/>
  <c r="N95" i="4" s="1"/>
  <c r="O95" i="4" s="1"/>
  <c r="R95" i="4" s="1"/>
  <c r="S95" i="4" s="1"/>
  <c r="T95" i="4" s="1"/>
  <c r="U95" i="4" s="1"/>
  <c r="V95" i="4" s="1"/>
  <c r="W95" i="4" s="1"/>
  <c r="X95" i="4" s="1"/>
  <c r="Y95" i="4" s="1"/>
  <c r="Z95" i="4" s="1"/>
  <c r="AA95" i="4" s="1"/>
  <c r="AB95" i="4" s="1"/>
  <c r="AC95" i="4" s="1"/>
  <c r="AF95" i="4" s="1"/>
  <c r="AG95" i="4" s="1"/>
  <c r="AH95" i="4" s="1"/>
  <c r="AI95" i="4" s="1"/>
  <c r="AJ95" i="4" s="1"/>
  <c r="AK95" i="4" s="1"/>
  <c r="AL95" i="4" s="1"/>
  <c r="AM95" i="4" s="1"/>
  <c r="AN95" i="4" s="1"/>
  <c r="AO95" i="4" s="1"/>
  <c r="AP95" i="4" s="1"/>
  <c r="AQ95" i="4" s="1"/>
  <c r="AD68" i="4"/>
  <c r="R84" i="4"/>
  <c r="R86" i="4" s="1"/>
  <c r="D94" i="4"/>
  <c r="E69" i="4"/>
  <c r="D85" i="4"/>
  <c r="E85" i="4" s="1"/>
  <c r="F85" i="4" s="1"/>
  <c r="G85" i="4" s="1"/>
  <c r="D86" i="4"/>
  <c r="D87" i="4" s="1"/>
  <c r="E87" i="4" s="1"/>
  <c r="F87" i="4" s="1"/>
  <c r="G87" i="4" s="1"/>
  <c r="AE64" i="4"/>
  <c r="AT64" i="4"/>
  <c r="AD67" i="4"/>
  <c r="AE67" i="4" s="1"/>
  <c r="AT74" i="4"/>
  <c r="AR67" i="4"/>
  <c r="AS67" i="4" s="1"/>
  <c r="G52" i="7" l="1"/>
  <c r="H85" i="4"/>
  <c r="I85" i="4" s="1"/>
  <c r="J85" i="4" s="1"/>
  <c r="K85" i="4" s="1"/>
  <c r="L85" i="4" s="1"/>
  <c r="M85" i="4" s="1"/>
  <c r="N85" i="4" s="1"/>
  <c r="O85" i="4" s="1"/>
  <c r="R85" i="4" s="1"/>
  <c r="S85" i="4" s="1"/>
  <c r="T85" i="4" s="1"/>
  <c r="U85" i="4" s="1"/>
  <c r="V85" i="4" s="1"/>
  <c r="W85" i="4" s="1"/>
  <c r="X85" i="4" s="1"/>
  <c r="Y85" i="4" s="1"/>
  <c r="Z85" i="4" s="1"/>
  <c r="AA85" i="4" s="1"/>
  <c r="AB85" i="4" s="1"/>
  <c r="AC85" i="4" s="1"/>
  <c r="AF85" i="4" s="1"/>
  <c r="AG85" i="4" s="1"/>
  <c r="AH85" i="4" s="1"/>
  <c r="AI85" i="4" s="1"/>
  <c r="AJ85" i="4" s="1"/>
  <c r="AK85" i="4" s="1"/>
  <c r="AL85" i="4" s="1"/>
  <c r="AM85" i="4" s="1"/>
  <c r="AN85" i="4" s="1"/>
  <c r="AO85" i="4" s="1"/>
  <c r="AP85" i="4" s="1"/>
  <c r="AQ85" i="4" s="1"/>
  <c r="D59" i="7"/>
  <c r="K3" i="7" s="1"/>
  <c r="D5" i="12"/>
  <c r="AE68" i="4"/>
  <c r="D57" i="7" s="1"/>
  <c r="K2" i="7" s="1"/>
  <c r="C5" i="12"/>
  <c r="Q68" i="4"/>
  <c r="H55" i="7" s="1"/>
  <c r="L1" i="7" s="1"/>
  <c r="B5" i="12"/>
  <c r="H87" i="4"/>
  <c r="I87" i="4" s="1"/>
  <c r="J87" i="4" s="1"/>
  <c r="K87" i="4" s="1"/>
  <c r="L87" i="4" s="1"/>
  <c r="M87" i="4" s="1"/>
  <c r="N87" i="4" s="1"/>
  <c r="O87" i="4" s="1"/>
  <c r="R87" i="4" s="1"/>
  <c r="S87" i="4" s="1"/>
  <c r="T87" i="4" s="1"/>
  <c r="U87" i="4" s="1"/>
  <c r="V87" i="4" s="1"/>
  <c r="W87" i="4" s="1"/>
  <c r="X87" i="4" s="1"/>
  <c r="Y87" i="4" s="1"/>
  <c r="Z87" i="4" s="1"/>
  <c r="AA87" i="4" s="1"/>
  <c r="AB87" i="4" s="1"/>
  <c r="AC87" i="4" s="1"/>
  <c r="AF87" i="4" s="1"/>
  <c r="AG87" i="4" s="1"/>
  <c r="AH87" i="4" s="1"/>
  <c r="AI87" i="4" s="1"/>
  <c r="AJ87" i="4" s="1"/>
  <c r="AK87" i="4" s="1"/>
  <c r="AL87" i="4" s="1"/>
  <c r="AM87" i="4" s="1"/>
  <c r="AN87" i="4" s="1"/>
  <c r="AO87" i="4" s="1"/>
  <c r="AP87" i="4" s="1"/>
  <c r="AQ87" i="4" s="1"/>
  <c r="AT95" i="4"/>
  <c r="AT97" i="4" s="1"/>
  <c r="B92" i="4" s="1"/>
  <c r="D61" i="7" s="1"/>
  <c r="K4" i="7" s="1"/>
  <c r="R78" i="4"/>
  <c r="S77" i="4" s="1"/>
  <c r="S78" i="4" s="1"/>
  <c r="T77" i="4" s="1"/>
  <c r="T78" i="4" s="1"/>
  <c r="U77" i="4" s="1"/>
  <c r="U78" i="4" s="1"/>
  <c r="V77" i="4" s="1"/>
  <c r="V78" i="4" s="1"/>
  <c r="W77" i="4" s="1"/>
  <c r="W78" i="4" s="1"/>
  <c r="X77" i="4" s="1"/>
  <c r="X78" i="4" s="1"/>
  <c r="Y77" i="4" s="1"/>
  <c r="Y78" i="4" s="1"/>
  <c r="Z77" i="4" s="1"/>
  <c r="Z78" i="4" s="1"/>
  <c r="AA77" i="4" s="1"/>
  <c r="AA78" i="4" s="1"/>
  <c r="AB77" i="4" s="1"/>
  <c r="AB78" i="4" s="1"/>
  <c r="AC77" i="4" s="1"/>
  <c r="AC78" i="4" s="1"/>
  <c r="AF77" i="4" s="1"/>
  <c r="H59" i="7"/>
  <c r="L3" i="7" s="1"/>
  <c r="AT67" i="4"/>
  <c r="E94" i="4"/>
  <c r="F69" i="4"/>
  <c r="H57" i="7" l="1"/>
  <c r="L2" i="7" s="1"/>
  <c r="D55" i="7"/>
  <c r="K1" i="7" s="1"/>
  <c r="AD78" i="4"/>
  <c r="F94" i="4"/>
  <c r="G69" i="4"/>
  <c r="AR77" i="4"/>
  <c r="AF78" i="4"/>
  <c r="AG77" i="4" s="1"/>
  <c r="AG78" i="4" s="1"/>
  <c r="AH77" i="4" s="1"/>
  <c r="AH78" i="4" s="1"/>
  <c r="AI77" i="4" s="1"/>
  <c r="AI78" i="4" s="1"/>
  <c r="AJ77" i="4" s="1"/>
  <c r="AJ78" i="4" s="1"/>
  <c r="AK77" i="4" s="1"/>
  <c r="AK78" i="4" s="1"/>
  <c r="AL77" i="4" s="1"/>
  <c r="AL78" i="4" s="1"/>
  <c r="AM77" i="4" s="1"/>
  <c r="AM78" i="4" s="1"/>
  <c r="AN77" i="4" s="1"/>
  <c r="AN78" i="4" s="1"/>
  <c r="AO77" i="4" s="1"/>
  <c r="AO78" i="4" s="1"/>
  <c r="AP77" i="4" s="1"/>
  <c r="AP78" i="4" s="1"/>
  <c r="AQ77" i="4" s="1"/>
  <c r="AQ78" i="4" s="1"/>
  <c r="AR78" i="4" s="1"/>
  <c r="AT78" i="4" s="1"/>
  <c r="B90" i="4"/>
  <c r="B89" i="4"/>
  <c r="G94" i="4" l="1"/>
  <c r="H69" i="4"/>
  <c r="H94" i="4" l="1"/>
  <c r="I69" i="4"/>
  <c r="I94" i="4" l="1"/>
  <c r="J69" i="4"/>
  <c r="J94" i="4" l="1"/>
  <c r="K69" i="4"/>
  <c r="K94" i="4" l="1"/>
  <c r="L69" i="4"/>
  <c r="L94" i="4" l="1"/>
  <c r="M69" i="4"/>
  <c r="M94" i="4" l="1"/>
  <c r="N69" i="4"/>
  <c r="N94" i="4" l="1"/>
  <c r="O69" i="4"/>
  <c r="P69" i="4" l="1"/>
  <c r="O94" i="4"/>
  <c r="R69" i="4"/>
  <c r="R94" i="4" l="1"/>
  <c r="S69" i="4"/>
  <c r="S94" i="4" l="1"/>
  <c r="T69" i="4"/>
  <c r="T94" i="4" l="1"/>
  <c r="U69" i="4"/>
  <c r="U94" i="4" l="1"/>
  <c r="V69" i="4"/>
  <c r="V94" i="4" l="1"/>
  <c r="W69" i="4"/>
  <c r="W94" i="4" l="1"/>
  <c r="X69" i="4"/>
  <c r="X94" i="4" l="1"/>
  <c r="Y69" i="4"/>
  <c r="Y94" i="4" l="1"/>
  <c r="Z69" i="4"/>
  <c r="Z94" i="4" l="1"/>
  <c r="AA69" i="4"/>
  <c r="AA94" i="4" l="1"/>
  <c r="AB69" i="4"/>
  <c r="AB94" i="4" l="1"/>
  <c r="AC69" i="4"/>
  <c r="AD69" i="4" l="1"/>
  <c r="AC94" i="4"/>
  <c r="AF69" i="4"/>
  <c r="AF94" i="4" l="1"/>
  <c r="AG69" i="4"/>
  <c r="AG94" i="4" l="1"/>
  <c r="AH69" i="4"/>
  <c r="AH94" i="4" l="1"/>
  <c r="AI69" i="4"/>
  <c r="AI94" i="4" l="1"/>
  <c r="AJ69" i="4"/>
  <c r="AJ94" i="4" l="1"/>
  <c r="AK69" i="4"/>
  <c r="AK94" i="4" l="1"/>
  <c r="AL69" i="4"/>
  <c r="AL94" i="4" l="1"/>
  <c r="AM69" i="4"/>
  <c r="AM94" i="4" l="1"/>
  <c r="AN69" i="4"/>
  <c r="AN94" i="4" l="1"/>
  <c r="AO69" i="4"/>
  <c r="AO94" i="4" l="1"/>
  <c r="AP69" i="4"/>
  <c r="AP94" i="4" l="1"/>
  <c r="AQ69" i="4"/>
  <c r="AQ94" i="4" l="1"/>
  <c r="AT94" i="4" s="1"/>
  <c r="AT96" i="4" s="1"/>
  <c r="B91" i="4" s="1"/>
  <c r="AR69" i="4"/>
  <c r="D63" i="7" l="1"/>
  <c r="K5" i="7" s="1"/>
  <c r="E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Яна Мирская</author>
  </authors>
  <commentList>
    <comment ref="A67" authorId="0" shapeId="0" xr:uid="{24B7B550-0AAC-4301-978B-38E2461BFEDE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 - инвестиции , т.е. чистая прибыль - инвестиции</t>
        </r>
      </text>
    </comment>
    <comment ref="A68" authorId="0" shapeId="0" xr:uid="{F4B2F411-F4E1-4E8E-B26B-445188111C77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= чистая прибыль</t>
        </r>
      </text>
    </comment>
    <comment ref="A69" authorId="0" shapeId="0" xr:uid="{02DD58DB-1A27-4469-8446-F00FA5C677AC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- инвестиции.
Показывает с какого месяца проект окупился.</t>
        </r>
      </text>
    </comment>
    <comment ref="A72" authorId="0" shapeId="0" xr:uid="{9A14C7FF-07A7-4DE6-AE24-869DBCB2856E}">
      <text>
        <r>
          <rPr>
            <b/>
            <sz val="9"/>
            <color indexed="81"/>
            <rFont val="Tahoma"/>
            <family val="2"/>
            <charset val="204"/>
          </rPr>
          <t>Выручка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73" authorId="0" shapeId="0" xr:uid="{D8685AF7-E2BF-42CF-A574-A0E5240C60F6}">
      <text>
        <r>
          <rPr>
            <b/>
            <sz val="9"/>
            <color indexed="81"/>
            <rFont val="Tahoma"/>
            <family val="2"/>
            <charset val="204"/>
          </rPr>
          <t>Себестоимость + текущие затраты</t>
        </r>
      </text>
    </comment>
    <comment ref="A74" authorId="0" shapeId="0" xr:uid="{583E2909-0E63-4DEB-A60F-0D944E8FB106}">
      <text>
        <r>
          <rPr>
            <b/>
            <sz val="9"/>
            <color indexed="81"/>
            <rFont val="Tahoma"/>
            <family val="2"/>
            <charset val="204"/>
          </rPr>
          <t>чистая прибыль</t>
        </r>
      </text>
    </comment>
    <comment ref="A75" authorId="0" shapeId="0" xr:uid="{95EE7183-187C-4FC5-88EC-C98BAA2F0142}">
      <text>
        <r>
          <rPr>
            <b/>
            <sz val="9"/>
            <color indexed="81"/>
            <rFont val="Tahoma"/>
            <family val="2"/>
            <charset val="204"/>
          </rPr>
          <t>инвестиции</t>
        </r>
      </text>
    </comment>
    <comment ref="A76" authorId="0" shapeId="0" xr:uid="{CDBD52B2-DD49-497E-9578-AC89EC35E65D}">
      <text>
        <r>
          <rPr>
            <b/>
            <sz val="9"/>
            <color indexed="81"/>
            <rFont val="Tahoma"/>
            <family val="2"/>
            <charset val="204"/>
          </rPr>
          <t>привлечение средств для осуществления инвестиций</t>
        </r>
      </text>
    </comment>
    <comment ref="A77" authorId="0" shapeId="0" xr:uid="{7395C29F-0F11-4A6B-97F7-5EA511C110E2}">
      <text>
        <r>
          <rPr>
            <b/>
            <sz val="9"/>
            <color indexed="81"/>
            <rFont val="Tahoma"/>
            <family val="2"/>
            <charset val="204"/>
          </rPr>
          <t>Деньги на начало месяца (накопленная чистая прибыль за прошлые месяцы)</t>
        </r>
      </text>
    </comment>
    <comment ref="A78" authorId="0" shapeId="0" xr:uid="{FFF5FB8B-F4EA-408B-BC06-371FD91F01D6}">
      <text>
        <r>
          <rPr>
            <b/>
            <sz val="9"/>
            <color indexed="81"/>
            <rFont val="Tahoma"/>
            <family val="2"/>
            <charset val="204"/>
          </rPr>
          <t>Деньги на конец месяца (накопленная чистая прибыль за прошлые месяцы с учетом текущего месяца)</t>
        </r>
      </text>
    </comment>
    <comment ref="A82" authorId="0" shapeId="0" xr:uid="{1653C1A5-7888-4B53-A28B-954507B5F795}">
      <text>
        <r>
          <rPr>
            <b/>
            <sz val="9"/>
            <color indexed="81"/>
            <rFont val="Tahoma"/>
            <family val="2"/>
            <charset val="204"/>
          </rPr>
          <t>коэффициент обесценивания денег</t>
        </r>
      </text>
    </comment>
    <comment ref="A84" authorId="0" shapeId="0" xr:uid="{F16484C2-A4FA-4FB3-993A-F199F11B1F98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</t>
        </r>
      </text>
    </comment>
    <comment ref="A85" authorId="0" shapeId="0" xr:uid="{BB94159C-B5F7-4F75-BF2C-D67633786CCE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</t>
        </r>
      </text>
    </comment>
    <comment ref="A86" authorId="0" shapeId="0" xr:uid="{E44F176C-3DDF-4E0D-A726-C6D4C142AF9B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 с учетом применения дисконтрования (обесценивания денег)</t>
        </r>
      </text>
    </comment>
    <comment ref="A87" authorId="0" shapeId="0" xr:uid="{FA469599-B311-47D9-BBB3-DA3F015F09E9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 с учетом применения дисконтрования (обесценивания денег)</t>
        </r>
      </text>
    </comment>
    <comment ref="A89" authorId="0" shapeId="0" xr:uid="{57BEF8F9-08C6-4F77-8C52-27A8ACCACA49}">
      <text>
        <r>
          <rPr>
            <b/>
            <sz val="9"/>
            <color indexed="81"/>
            <rFont val="Tahoma"/>
            <family val="2"/>
            <charset val="204"/>
          </rPr>
          <t>Дисконтированная чистая прибыль суммарно за 3 года - инвестиции</t>
        </r>
      </text>
    </comment>
    <comment ref="A90" authorId="0" shapeId="0" xr:uid="{25DAA6AE-F2FA-4F6C-837C-F10DA2968DAD}">
      <text>
        <r>
          <rPr>
            <b/>
            <sz val="9"/>
            <color indexed="81"/>
            <rFont val="Tahoma"/>
            <family val="2"/>
            <charset val="204"/>
          </rPr>
          <t>Во сколько раз дисконтированная чистая прибыль суммарно за 3 года превышает инвестиции. Должен быль больше 1</t>
        </r>
      </text>
    </comment>
    <comment ref="A91" authorId="0" shapeId="0" xr:uid="{AFE05D10-8360-4EC8-880D-6BFABE426C42}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месяцев, за которые накопленная (суммарная) чистая прибыль превысит размер инвестиций </t>
        </r>
      </text>
    </comment>
    <comment ref="A92" authorId="0" shapeId="0" xr:uid="{13BC99F4-F359-4B31-B7B2-DA10E03CE413}">
      <text>
        <r>
          <rPr>
            <b/>
            <sz val="9"/>
            <color indexed="81"/>
            <rFont val="Tahoma"/>
            <family val="2"/>
            <charset val="204"/>
          </rPr>
          <t>Количество месяцев, за которые появится чистая прибыль, т.е выручка - текущие затраты &gt;0</t>
        </r>
      </text>
    </comment>
  </commentList>
</comments>
</file>

<file path=xl/sharedStrings.xml><?xml version="1.0" encoding="utf-8"?>
<sst xmlns="http://schemas.openxmlformats.org/spreadsheetml/2006/main" count="492" uniqueCount="398">
  <si>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</si>
  <si>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</si>
  <si>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</si>
  <si>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</si>
  <si>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</si>
  <si>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</si>
  <si>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</si>
  <si>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</si>
  <si>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ТЕКУЩИЕ ЗАТРАТЫ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</si>
  <si>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</si>
  <si>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</si>
  <si>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</si>
  <si>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</si>
  <si>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</si>
  <si>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</si>
  <si>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</si>
  <si>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</si>
  <si>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</si>
  <si>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Индекс прибыльности проекта (PI)</t>
  </si>
  <si>
    <t>Паушальный взнос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</si>
  <si>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</si>
  <si>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</si>
  <si>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</si>
  <si>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</si>
  <si>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</si>
  <si>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</si>
  <si>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</si>
  <si>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</si>
  <si>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</si>
  <si>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</si>
  <si>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</si>
  <si>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</si>
  <si>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</si>
  <si>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</si>
  <si>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</si>
  <si>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</si>
  <si>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</si>
  <si>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</si>
  <si>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</si>
  <si>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</si>
  <si>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Ремонт помещения</t>
  </si>
  <si>
    <t>Зарплата персонала</t>
  </si>
  <si>
    <t>самоокупаемость</t>
  </si>
  <si>
    <t>Срок выхода на самоокупаемость проекта, мес.:</t>
  </si>
  <si>
    <t>Валюта, в которой производится расчет</t>
  </si>
  <si>
    <t>Финансовые параметры</t>
  </si>
  <si>
    <t>март</t>
  </si>
  <si>
    <t>апрель</t>
  </si>
  <si>
    <t>май</t>
  </si>
  <si>
    <t>Сигнализация (охранная и пожарная)</t>
  </si>
  <si>
    <t>Инвестиции в открытие</t>
  </si>
  <si>
    <t>Видеонаблюдение</t>
  </si>
  <si>
    <t>Аренда</t>
  </si>
  <si>
    <t>Коммунальные платежи</t>
  </si>
  <si>
    <t>USD</t>
  </si>
  <si>
    <t>EUR</t>
  </si>
  <si>
    <t>RUB</t>
  </si>
  <si>
    <t>Рекламная кампания</t>
  </si>
  <si>
    <t>Персонал</t>
  </si>
  <si>
    <t>Должностные единицы</t>
  </si>
  <si>
    <t>Услуги связи и интернет</t>
  </si>
  <si>
    <t>Охрана</t>
  </si>
  <si>
    <t>Удельный вес в объеме выручки за 1-й год работы</t>
  </si>
  <si>
    <t>Налоги</t>
  </si>
  <si>
    <t>июнь</t>
  </si>
  <si>
    <t>Выход продаж на плановые показатели и дальнейший рост объемов*</t>
  </si>
  <si>
    <t>Рост арендной платы*</t>
  </si>
  <si>
    <t>Рост заработной платы (фиксированного оклада)*</t>
  </si>
  <si>
    <t xml:space="preserve"> * - по сравнения с данными, указанными на странице "Исходные данные".</t>
  </si>
  <si>
    <t>Роялти</t>
  </si>
  <si>
    <t>Среднемесячная сумма затрат за 1-й год работы</t>
  </si>
  <si>
    <t>Формат сотрудничества</t>
  </si>
  <si>
    <t>ИНВЕСТИЦИИ</t>
  </si>
  <si>
    <t xml:space="preserve"> * - База начисления бонуса</t>
  </si>
  <si>
    <t>Среднемесячная сумма затрат</t>
  </si>
  <si>
    <t>Форматы сотрудничества (название)</t>
  </si>
  <si>
    <t>Первоначальная закупка товара</t>
  </si>
  <si>
    <t>Банковское обслуживание</t>
  </si>
  <si>
    <t>Процент выхода продаж на плановые показатели*, %</t>
  </si>
  <si>
    <t>Рост заработной платы (фиксированного оклада)**, %</t>
  </si>
  <si>
    <t>Рост арендной платы**, %</t>
  </si>
  <si>
    <t>Коэффициент дисконтирования, % годовых</t>
  </si>
  <si>
    <t>Ведение бухгалтерского учета</t>
  </si>
  <si>
    <t>Рентабельность (чистая прибыль/выручка), %</t>
  </si>
  <si>
    <t>% от выручки, который проходит по безналичному расчету</t>
  </si>
  <si>
    <t>Срок окупаемости проекта с учетом инвестиций, мес.: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</si>
  <si>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</si>
  <si>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</si>
  <si>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</si>
  <si>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Процент роста выручки*, %</t>
  </si>
  <si>
    <t>Рост коммунальных платежей**, %</t>
  </si>
  <si>
    <t>Рост затрат на услуги связи и интернет**, %</t>
  </si>
  <si>
    <t>Рост затрат на налоги**, %</t>
  </si>
  <si>
    <t>Рост коммунальных платежей*</t>
  </si>
  <si>
    <t>Рост затрат на услуги связи и интернет*</t>
  </si>
  <si>
    <t>Рост затрат на налоги*</t>
  </si>
  <si>
    <t>ДИНАМИКА СЕБЕСТОИМОСТИ</t>
  </si>
  <si>
    <t>Форматы сотрудничества</t>
  </si>
  <si>
    <t>Параметры сезонности и выхода продаж на плановые показатели и дальнейший рост объемов продаж</t>
  </si>
  <si>
    <t>Процент влияния сезона на плановые показатели по выручке*, %</t>
  </si>
  <si>
    <t>Название месяца</t>
  </si>
  <si>
    <t>Процент влияния сезонности на плановые показатели по выручке*</t>
  </si>
  <si>
    <t>Униформа персонала</t>
  </si>
  <si>
    <t>% от общей выручки</t>
  </si>
  <si>
    <t>фиксированная сумма</t>
  </si>
  <si>
    <t>Вид налогообложения</t>
  </si>
  <si>
    <t xml:space="preserve"> * - без учета динамики выхода продаж на плановые показатели, которые указываются на странице "Исходные данные" в разделе "Параметры сезонности и выхода продаж на плановые показатели и дальнейший рост объемов продаж".</t>
  </si>
  <si>
    <t>Хозяйственные нужды</t>
  </si>
  <si>
    <t>общая выручка</t>
  </si>
  <si>
    <t>кв.м.</t>
  </si>
  <si>
    <t>Наименование</t>
  </si>
  <si>
    <t>Количество, шт.</t>
  </si>
  <si>
    <t>Стоимость единицы, UAH</t>
  </si>
  <si>
    <t>Общая стоимость, UAH</t>
  </si>
  <si>
    <t>Язык</t>
  </si>
  <si>
    <t>Русский</t>
  </si>
  <si>
    <t>Українська</t>
  </si>
  <si>
    <t>UAH</t>
  </si>
  <si>
    <t>UAH/мес.</t>
  </si>
  <si>
    <t>UAH/мес.* или %</t>
  </si>
  <si>
    <t>Відеоспостереження</t>
  </si>
  <si>
    <t>Авансовый платеж по аренде</t>
  </si>
  <si>
    <t>Налоги на зарплату сотрудников</t>
  </si>
  <si>
    <t>Выручка (товарооборот)</t>
  </si>
  <si>
    <t>Курс валют (1 единица валюты = указанному количеству гривен)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</si>
  <si>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</si>
  <si>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</si>
  <si>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</si>
  <si>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</si>
  <si>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</si>
  <si>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</si>
  <si>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</si>
  <si>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</si>
  <si>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</si>
  <si>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</si>
  <si>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</si>
  <si>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</si>
  <si>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размер банковской комиссии, %</t>
  </si>
  <si>
    <t>Зміни необхідно вносити тільки в комірки, які окрашені в сірий колір</t>
  </si>
  <si>
    <t>Валюта, в якій виконується розрахунок</t>
  </si>
  <si>
    <t>Місяць, з якого починається робота</t>
  </si>
  <si>
    <t>Курс валют (1 одиниця валюти = вказаній кількості гривень)</t>
  </si>
  <si>
    <t>Мова</t>
  </si>
  <si>
    <t>Формати співробітництва (назви)</t>
  </si>
  <si>
    <t>Фінансові параметри</t>
  </si>
  <si>
    <t>Формати співробітництва</t>
  </si>
  <si>
    <t>UAH/міс.</t>
  </si>
  <si>
    <t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</si>
  <si>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Параметри сезонності та виходу продажів на планові показники та подальший ріст обсягів продажів</t>
  </si>
  <si>
    <t>Порядковий номер місяцю від початку роботи</t>
  </si>
  <si>
    <t>Відсоток виходу продажів на планові показники*, %</t>
  </si>
  <si>
    <t>Процент впливу сезону на планові показники по виручці*, %</t>
  </si>
  <si>
    <t>Назва місяцю</t>
  </si>
  <si>
    <t>2-й рік роботи</t>
  </si>
  <si>
    <t>3-й рік роботи</t>
  </si>
  <si>
    <t>Відсоток росту виручки*, %</t>
  </si>
  <si>
    <t>Ріст заробітної плати (фіксованого окладу)**, %</t>
  </si>
  <si>
    <t>Ріст орендної плати**, %</t>
  </si>
  <si>
    <t>Ріст комунальних платежів**, %</t>
  </si>
  <si>
    <t>Ріст витрат на послуги зв'язку та інтернет**, %</t>
  </si>
  <si>
    <t>Ріст витрат на податки**, %</t>
  </si>
  <si>
    <t>Коефіцієнт дисконтування, % річних</t>
  </si>
  <si>
    <t>Інвестиції у відкриття</t>
  </si>
  <si>
    <t>Сигналізація (охоронна та пожежна)</t>
  </si>
  <si>
    <t>Первісний закуп товару</t>
  </si>
  <si>
    <t>Ремонт приміщення</t>
  </si>
  <si>
    <t>Авансовий платіж по оренді</t>
  </si>
  <si>
    <t>Паушальний внесок</t>
  </si>
  <si>
    <t>Інше</t>
  </si>
  <si>
    <t>Разом:</t>
  </si>
  <si>
    <t>Рекламна кампанія</t>
  </si>
  <si>
    <t>Посадові одиниці</t>
  </si>
  <si>
    <t xml:space="preserve"> * - База нарахування бонусу</t>
  </si>
  <si>
    <t>загальна виручка</t>
  </si>
  <si>
    <t>Поточні витрати</t>
  </si>
  <si>
    <t>Середньомісячна сума витрат</t>
  </si>
  <si>
    <t>UAH/міс.* або %</t>
  </si>
  <si>
    <t>% від загальної виручки</t>
  </si>
  <si>
    <t>Роялті</t>
  </si>
  <si>
    <t>Оренда</t>
  </si>
  <si>
    <t>Комунальні платежі</t>
  </si>
  <si>
    <t>Господарські потреби</t>
  </si>
  <si>
    <t>Охорона</t>
  </si>
  <si>
    <t>Послуги зв'язку та інтернет</t>
  </si>
  <si>
    <t>Ведення бухгалтерського обліку</t>
  </si>
  <si>
    <t>Банковське обслуговування</t>
  </si>
  <si>
    <t>Сервісне обслуговування техніки та обладнання*</t>
  </si>
  <si>
    <t>Сервисное обслуживание техники и оборудования*</t>
  </si>
  <si>
    <t>Сервисное обслуживание техники и оборудования</t>
  </si>
  <si>
    <t>% виручки, який проходить по безготівковому розрахунку</t>
  </si>
  <si>
    <t>розмір банківської комісії,%</t>
  </si>
  <si>
    <t>Податки на зарплату співробітників</t>
  </si>
  <si>
    <t>Найменування</t>
  </si>
  <si>
    <t>Кількість, од.</t>
  </si>
  <si>
    <t>Вартість одиниці, UAH</t>
  </si>
  <si>
    <t>Загальна вартість, UAH</t>
  </si>
  <si>
    <t>Формат співробітництва</t>
  </si>
  <si>
    <t>Вид оподаткування</t>
  </si>
  <si>
    <t>Зарплата персоналу</t>
  </si>
  <si>
    <t>Питома вага в обсязі виручки за 1-й рік роботи</t>
  </si>
  <si>
    <t>Середньомісячна сума витрат за 1-й рік роботи</t>
  </si>
  <si>
    <t>міс.</t>
  </si>
  <si>
    <t>Уніформа персоналу</t>
  </si>
  <si>
    <t>Податки</t>
  </si>
  <si>
    <t>Середньомісячний чистий прибуток 
за 1-й рік роботи</t>
  </si>
  <si>
    <t>Середньомісячний чистий прибуток 
за 2-й рік роботи</t>
  </si>
  <si>
    <t>Середньомісячний чистий прибуток 
за 3-й рік роботи</t>
  </si>
  <si>
    <t>Окупність інвестицій</t>
  </si>
  <si>
    <t>Окупаемость инвестиций</t>
  </si>
  <si>
    <t>- Себестоимость</t>
  </si>
  <si>
    <t>- Инвестиции</t>
  </si>
  <si>
    <t>- Текущие затраты</t>
  </si>
  <si>
    <t xml:space="preserve">Чистая прибыль (убыток) с учетом инвестиций </t>
  </si>
  <si>
    <t>Чистая прибыль (убыток) без учета инвестиций</t>
  </si>
  <si>
    <t>- Прибыль (убытки) накопительным итогом</t>
  </si>
  <si>
    <t>ЗАВАНТАЖЕННЯ</t>
  </si>
  <si>
    <t>Вихід продажів на планові показники та подальше збільшення обсягів*</t>
  </si>
  <si>
    <t>Ріст заробітної плати (фіксованого окладу)*</t>
  </si>
  <si>
    <t>Ріст орендної плати*</t>
  </si>
  <si>
    <t>Ріст комунальних платежів*</t>
  </si>
  <si>
    <t>Ріст витрат на послуги зв'язку та інтернет*</t>
  </si>
  <si>
    <t>Ріст витрат на податки*</t>
  </si>
  <si>
    <t xml:space="preserve"> * - по відношенню до даних, що вказані на сторінці "Вхідні дані".</t>
  </si>
  <si>
    <t>Процент впливу сезону на планові показники по виручці*</t>
  </si>
  <si>
    <t>1-й рік роботи</t>
  </si>
  <si>
    <t>Разом за 1-й рік</t>
  </si>
  <si>
    <t>Середньомісячно за 1-й рік</t>
  </si>
  <si>
    <t>Разом за 2-й рік</t>
  </si>
  <si>
    <t>Разом за 3-й рік</t>
  </si>
  <si>
    <t>Середньомісячно за 2-й рік</t>
  </si>
  <si>
    <t>Середньомісячно за 3-й рік</t>
  </si>
  <si>
    <t>Разом за три роки</t>
  </si>
  <si>
    <t>ДИНАМІКА ПРОДАЖІВ</t>
  </si>
  <si>
    <t>Виручка</t>
  </si>
  <si>
    <t>Разом</t>
  </si>
  <si>
    <t>Виручка (товарообіг)</t>
  </si>
  <si>
    <t>ДИНАМІКА СОБІВАРТОСТІ</t>
  </si>
  <si>
    <t>ІНВЕСТИЦІЇ</t>
  </si>
  <si>
    <t>ПОТОЧНІ ВИТРАТИ</t>
  </si>
  <si>
    <t>- Собівартість</t>
  </si>
  <si>
    <t>Валовий прибуток</t>
  </si>
  <si>
    <t>- Інвестиції</t>
  </si>
  <si>
    <t>- Поточні витрати</t>
  </si>
  <si>
    <t>- Прибуток (збиток) накопичувальним підсумком</t>
  </si>
  <si>
    <t>РУХ ГРОШОВИХ КОШТІВ (КЕШ-ФЛО)</t>
  </si>
  <si>
    <t>Надходження від основної діяльності</t>
  </si>
  <si>
    <t>Кеш-фло від інвестиційної діяльності</t>
  </si>
  <si>
    <t>Кеш-фло від фінансової діяльності</t>
  </si>
  <si>
    <t>Баланс готівки на початок періоду</t>
  </si>
  <si>
    <t>Баланс готівки на кінець періоду</t>
  </si>
  <si>
    <t>ОКУПНІСТЬ ПРОЕКТУ</t>
  </si>
  <si>
    <t>Індекс прибутковості проекту (PI)</t>
  </si>
  <si>
    <t>Строк окупності проекту з урахуванням інвестицій, міс.:</t>
  </si>
  <si>
    <t>Строк виходу на самоокупність проекту, міс.:</t>
  </si>
  <si>
    <t>Налоги на зарплату за 1-го сотрудника</t>
  </si>
  <si>
    <t>Податки на зарплату за 1-го співробітника</t>
  </si>
  <si>
    <t>Количество официально оформленных сотрудников</t>
  </si>
  <si>
    <t>Кількість офіційно оформлених співробітників</t>
  </si>
  <si>
    <t>Порядковый номер месяца от начала работы</t>
  </si>
  <si>
    <t>Базовый размер бонуса для всех сотрудников, % от базы начисления*</t>
  </si>
  <si>
    <t>Базовий розмір бонусу для всіх співробітників, % від бази нарахування*</t>
  </si>
  <si>
    <t>фіксована сума</t>
  </si>
  <si>
    <t>Налоги**, % от общей выручки</t>
  </si>
  <si>
    <t>Налоги**, фиксированная сумма</t>
  </si>
  <si>
    <t>Податки**, % від загальної виручки</t>
  </si>
  <si>
    <t>Податки**, фіксована сума</t>
  </si>
  <si>
    <t>Сервісне обслуговування техніки та обладнання</t>
  </si>
  <si>
    <t>Маркетинговые отчисления</t>
  </si>
  <si>
    <t>Маркетингові відрахування</t>
  </si>
  <si>
    <t>Налоги**, % от общей выручки - расходы</t>
  </si>
  <si>
    <t>Податки**, % від загальної виручки - витрати</t>
  </si>
  <si>
    <t>% от общей выручки - расходы</t>
  </si>
  <si>
    <t>% від загальної виручки - витрати</t>
  </si>
  <si>
    <t>доход - расход</t>
  </si>
  <si>
    <t>Нулевой период</t>
  </si>
  <si>
    <t>Нульовий період</t>
  </si>
  <si>
    <t xml:space="preserve">Чистий прибуток (збиток) з урахуванням інвестицій </t>
  </si>
  <si>
    <t xml:space="preserve">Чистий прибуток (збиток) без урахуванням інвестицій </t>
  </si>
  <si>
    <t>Рентабельність (чистий прибуток/виручка), %</t>
  </si>
  <si>
    <t>Плановая среднемесячная выручка (товарооборот)*</t>
  </si>
  <si>
    <t>Планова середньомісячна виручка (товарообіг)*</t>
  </si>
  <si>
    <t xml:space="preserve"> * - с учетом динамики выхода продаж на плановые показатели, которые указываются на странице "Исходные данные" в разделе "Параметры сезонности и выхода продаж на плановые показатели и дальнейший рост объемов продаж".</t>
  </si>
  <si>
    <t xml:space="preserve"> * - 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</si>
  <si>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Структура выручки за 1-й год работы</t>
  </si>
  <si>
    <t>Структура выручки за 2-й год работы</t>
  </si>
  <si>
    <t>Структура выручки за 3-й год работы</t>
  </si>
  <si>
    <t>ДИНАМІКА РУХУ ГРОШОВИХ КОШТІВ</t>
  </si>
  <si>
    <t>ДИНАМИКА ДВИЖЕНИЯ ДЕНЕЖНЫХ СРЕДСТВ</t>
  </si>
  <si>
    <t>Структура виручки за 1-й рік роботи</t>
  </si>
  <si>
    <t>Структура виручки за 3-й рік роботи</t>
  </si>
  <si>
    <t>Структура виручки за 2-й рік роботи</t>
  </si>
  <si>
    <t>СТРУКТУРА ІНВЕСТИЦІЙ</t>
  </si>
  <si>
    <t>СТРУКТУРА ИНВЕСТИЦИЙ</t>
  </si>
  <si>
    <t>ОТЧЕТ О ПРИБЫЛЯХ И УБЫТКАХ</t>
  </si>
  <si>
    <t>ЗВІТ ПРО ПРИБУТКИ ТА ЗБИТКИ</t>
  </si>
  <si>
    <t>Средний чек</t>
  </si>
  <si>
    <t>Середній чек</t>
  </si>
  <si>
    <t>Среднее количество чеков в месяц*, шт./мес.</t>
  </si>
  <si>
    <t>Середня кількість чеків на місяць*, од./міс.</t>
  </si>
  <si>
    <t xml:space="preserve"> * - процент по отношению к данным о плановой выручке,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t>
  </si>
  <si>
    <t xml:space="preserve"> * - відсоток по відношенню до даних про планову виручку, вказаних в розділі "Фінансові параметри" на сторінці "Вхідні дані".
 ** - по відношенню до даних, вказаних в розділах "Персонал" та "Поточні витрати" на сторінці "Вхідні дані".</t>
  </si>
  <si>
    <t>Паушальный взнос, USD</t>
  </si>
  <si>
    <t>Паушальний внесок, USD</t>
  </si>
  <si>
    <t>Среднее количество чеков в день за 1-й год работы*, шт./день</t>
  </si>
  <si>
    <t>Середня кількість чеків на день за 1-й рік роботи*, од./день</t>
  </si>
  <si>
    <t>Среднее количество чеков в месяц за 1-й год работы*, шт./мес.</t>
  </si>
  <si>
    <t>Середня кількість чеків на місяць за 1-й рік роботи*, од./міс.</t>
  </si>
  <si>
    <t>Униформа персонала*</t>
  </si>
  <si>
    <t>Уніформа персоналу*</t>
  </si>
  <si>
    <t xml:space="preserve"> * - затраты на "Сервисное обслуживание техники и оборудования" и  "Униформу персонала" осуществляются в указанной сумме раз в год.
 ** - налог, который применяется в расчете, выбирается на странице "Обобщенный расчет".</t>
  </si>
  <si>
    <t xml:space="preserve"> * - витрати на "Сервісне обслуговування техніки та обладнання" та "Уніформу персоналу" здійснюються у вказаній сумі раз на рік.
 ** - податок, який використовується в розрахунку, вибирається на сторінці "Узагальнений розрахунок".</t>
  </si>
  <si>
    <t>Мебель и оборудование</t>
  </si>
  <si>
    <t>Меблі та обладнання</t>
  </si>
  <si>
    <t>Компьютеры, офисная техника, кассы</t>
  </si>
  <si>
    <t>Комп'ютери, офісна техніка та каси</t>
  </si>
  <si>
    <t>Средняя выручка (товарооборот) в день*</t>
  </si>
  <si>
    <t>UAH/день</t>
  </si>
  <si>
    <t>Середня виручка (товарообіг) на день*</t>
  </si>
  <si>
    <t>Роялти, в расчет принимается:</t>
  </si>
  <si>
    <t>Маркетинговые отчисления, в расчет принимается:</t>
  </si>
  <si>
    <t>Роялті, до розрахунку приймається:</t>
  </si>
  <si>
    <t>Маркетингові відрахування, до розрахунку приймається:</t>
  </si>
  <si>
    <t>Часть себестоимости в выручке (food cost), % от выручки</t>
  </si>
  <si>
    <t>Частина собівартості у виручці (food cost), % від виручки</t>
  </si>
  <si>
    <t>Себестоимость (food cost)</t>
  </si>
  <si>
    <t>Собівартість (food cost)</t>
  </si>
  <si>
    <t>Мебель и оборудование*</t>
  </si>
  <si>
    <t>Меблі та обладнання*</t>
  </si>
  <si>
    <t>Комп'ютери, офісна техніка та каси*</t>
  </si>
  <si>
    <t>Компьютеры, офисная техника, кассы*</t>
  </si>
  <si>
    <t xml:space="preserve"> * - инвестиции в "Мебель и оборудование", "Компьютеры, офисная техника, кассы" указываются на странице "Инвестиции".</t>
  </si>
  <si>
    <t xml:space="preserve"> * - інвестиції в "Меблі та обладнання", "Комп'ютери, офісна техніка та каси" вказуються на сторінці "Інвестиції".</t>
  </si>
  <si>
    <t>Площадь заведения</t>
  </si>
  <si>
    <t>Площа закладу</t>
  </si>
  <si>
    <t>Пекарь</t>
  </si>
  <si>
    <t>Пекар</t>
  </si>
  <si>
    <t>Списания</t>
  </si>
  <si>
    <t>Списання</t>
  </si>
  <si>
    <t>Харчування персоналу</t>
  </si>
  <si>
    <t>Питание персонала</t>
  </si>
  <si>
    <t>Общее количество сотрудников, чел.</t>
  </si>
  <si>
    <t>Загальна кількість співробітників, чол.</t>
  </si>
  <si>
    <t>Фиксированный оклад в день (смену)</t>
  </si>
  <si>
    <t>Фіксований оклад на день (зміну)</t>
  </si>
  <si>
    <t>Зарплата одного сотрудника в месяц</t>
  </si>
  <si>
    <t>Зарплата одного співробітника на місяць</t>
  </si>
  <si>
    <t>Количество смен в месяц, шт./мес.</t>
  </si>
  <si>
    <t>Кількість змін на місяць, од./міс.</t>
  </si>
  <si>
    <t>Кэш-фло от операционной деятельности</t>
  </si>
  <si>
    <t>Кеш-фло від операційної діяльності</t>
  </si>
  <si>
    <t>Исходные данные для финансовой модели франшизы "Гренка"</t>
  </si>
  <si>
    <t>Вхідні дані для фінансової моделі франшизи "Грінка"</t>
  </si>
  <si>
    <t>Инвестиции для запуска франчайзинговой точки "Гренка"</t>
  </si>
  <si>
    <t>Інвестиції для запуску франчайзингової точки "Грінка"</t>
  </si>
  <si>
    <t>Финансовая модель франшизы "Гренка"</t>
  </si>
  <si>
    <t>Фінансова модель франшизи "Грінка"</t>
  </si>
  <si>
    <t>Мини</t>
  </si>
  <si>
    <t>Міні</t>
  </si>
  <si>
    <t>Стандарт</t>
  </si>
  <si>
    <t>Кафе</t>
  </si>
  <si>
    <t>UAH, крім Паушального внеску, який в USD</t>
  </si>
  <si>
    <t>Продавец</t>
  </si>
  <si>
    <t>Продавець</t>
  </si>
  <si>
    <t>Транспортні витрати</t>
  </si>
  <si>
    <t>Локальная реклама</t>
  </si>
  <si>
    <t>Локальна реклама</t>
  </si>
  <si>
    <t xml:space="preserve">UAH, кроме Паушального взноса, который в USD </t>
  </si>
  <si>
    <t>Транспортные расходы</t>
  </si>
  <si>
    <t>Выход на самоокупаемость (точку безубыточности) с</t>
  </si>
  <si>
    <t>Вихід на самоокупність (точку беззбитковості) з</t>
  </si>
  <si>
    <t>піч конвекційна</t>
  </si>
  <si>
    <t>шафа розтійна</t>
  </si>
  <si>
    <t>тістоміс</t>
  </si>
  <si>
    <t>бойлер</t>
  </si>
  <si>
    <t>противень алюмінієвий</t>
  </si>
  <si>
    <t>противень для багет</t>
  </si>
  <si>
    <t>холодильна шафа</t>
  </si>
  <si>
    <t>індукціцйна плита</t>
  </si>
  <si>
    <t>морозильна камера</t>
  </si>
  <si>
    <t>мікрохвильова піч</t>
  </si>
  <si>
    <t>міксер</t>
  </si>
  <si>
    <t>стіл виробничий з нержавіючої сталі</t>
  </si>
  <si>
    <t>мийка односекційна з нержавіючої сталі</t>
  </si>
  <si>
    <t>шпилька із нержавіючої сталі</t>
  </si>
  <si>
    <t>полка навісна з нержавіючої сталі</t>
  </si>
  <si>
    <t>витяжка з нержавіючої сталі</t>
  </si>
  <si>
    <t>вага</t>
  </si>
  <si>
    <t>Планшет Sumsung Galaxy Tab A 10.1</t>
  </si>
  <si>
    <t>Принтер чеків Sam4s</t>
  </si>
  <si>
    <t>Роутер Keeenetic Omni</t>
  </si>
  <si>
    <t>Підставка для планшету Poster</t>
  </si>
  <si>
    <t>Середній кешбокс</t>
  </si>
  <si>
    <t>30-40</t>
  </si>
  <si>
    <t>40-70</t>
  </si>
  <si>
    <t>70-100</t>
  </si>
  <si>
    <t>Вхідні дані для фінансової моделі франшизи "PEKKER"</t>
  </si>
  <si>
    <t>Інвестиції для запуску франчайзингової точки "PEKKER"</t>
  </si>
  <si>
    <t>Фінансова модель франшизи "PEKKER"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</si>
</sst>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  <numFmt numFmtId="169" formatCode="[$-419]0%"/>
    <numFmt numFmtId="170" formatCode="[$-419]#,##0"/>
    <numFmt numFmtId="171" formatCode="0.000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4F6228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b/>
      <sz val="18"/>
      <color rgb="FF0070C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rgb="FF0070C0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sz val="16"/>
      <color indexed="9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i/>
      <sz val="16"/>
      <color indexed="9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i/>
      <sz val="16"/>
      <color rgb="FF0070C0"/>
      <name val="Calibri"/>
      <family val="2"/>
      <charset val="204"/>
      <scheme val="minor"/>
    </font>
    <font>
      <sz val="16"/>
      <color indexed="8"/>
      <name val="Calibri"/>
      <family val="2"/>
      <charset val="204"/>
      <scheme val="minor"/>
    </font>
    <font>
      <sz val="16"/>
      <color theme="3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B613D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0" borderId="0"/>
    <xf numFmtId="169" fontId="33" fillId="0" borderId="0"/>
  </cellStyleXfs>
  <cellXfs count="444">
    <xf numFmtId="0" fontId="0" fillId="0" borderId="0" xfId="0"/>
    <xf numFmtId="0" fontId="13" fillId="6" borderId="0" xfId="0" applyFont="1" applyFill="1" applyProtection="1">
      <protection locked="0"/>
    </xf>
    <xf numFmtId="166" fontId="7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 wrapText="1"/>
    </xf>
    <xf numFmtId="0" fontId="13" fillId="0" borderId="0" xfId="0" applyFont="1" applyProtection="1"/>
    <xf numFmtId="0" fontId="19" fillId="0" borderId="0" xfId="0" applyFont="1" applyProtection="1"/>
    <xf numFmtId="0" fontId="0" fillId="0" borderId="0" xfId="0" applyProtection="1"/>
    <xf numFmtId="0" fontId="12" fillId="0" borderId="0" xfId="0" applyFont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 wrapText="1"/>
    </xf>
    <xf numFmtId="0" fontId="16" fillId="6" borderId="0" xfId="0" applyFont="1" applyFill="1" applyAlignment="1" applyProtection="1">
      <alignment vertical="center"/>
    </xf>
    <xf numFmtId="0" fontId="0" fillId="0" borderId="0" xfId="0" applyAlignment="1" applyProtection="1">
      <alignment horizontal="left" indent="1"/>
    </xf>
    <xf numFmtId="0" fontId="0" fillId="6" borderId="0" xfId="0" applyFill="1" applyBorder="1" applyProtection="1"/>
    <xf numFmtId="0" fontId="3" fillId="0" borderId="0" xfId="0" applyFont="1" applyBorder="1" applyAlignment="1" applyProtection="1">
      <alignment vertical="center" wrapText="1"/>
    </xf>
    <xf numFmtId="3" fontId="8" fillId="6" borderId="0" xfId="1" applyNumberFormat="1" applyFont="1" applyFill="1" applyBorder="1" applyAlignment="1" applyProtection="1">
      <alignment vertical="center"/>
    </xf>
    <xf numFmtId="0" fontId="18" fillId="0" borderId="0" xfId="0" applyFont="1" applyProtection="1"/>
    <xf numFmtId="0" fontId="2" fillId="6" borderId="0" xfId="0" applyFont="1" applyFill="1" applyBorder="1" applyProtection="1"/>
    <xf numFmtId="0" fontId="20" fillId="6" borderId="0" xfId="0" applyFont="1" applyFill="1" applyBorder="1" applyAlignment="1" applyProtection="1">
      <alignment horizontal="left" wrapText="1"/>
    </xf>
    <xf numFmtId="0" fontId="18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vertical="center" wrapText="1"/>
    </xf>
    <xf numFmtId="3" fontId="9" fillId="6" borderId="0" xfId="1" applyNumberFormat="1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9" fontId="8" fillId="6" borderId="0" xfId="2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" fillId="0" borderId="7" xfId="0" applyFont="1" applyBorder="1" applyAlignment="1" applyProtection="1">
      <alignment vertical="center" wrapText="1"/>
    </xf>
    <xf numFmtId="0" fontId="3" fillId="0" borderId="3" xfId="0" applyFont="1" applyBorder="1" applyAlignment="1" applyProtection="1">
      <alignment vertical="center" wrapText="1"/>
    </xf>
    <xf numFmtId="0" fontId="0" fillId="6" borderId="0" xfId="0" applyFill="1" applyProtection="1"/>
    <xf numFmtId="0" fontId="0" fillId="0" borderId="0" xfId="0" applyBorder="1" applyAlignment="1" applyProtection="1"/>
    <xf numFmtId="0" fontId="0" fillId="0" borderId="0" xfId="0" applyBorder="1" applyAlignment="1" applyProtection="1">
      <alignment horizontal="left" indent="1"/>
    </xf>
    <xf numFmtId="9" fontId="9" fillId="0" borderId="0" xfId="2" applyFont="1" applyBorder="1" applyAlignment="1" applyProtection="1">
      <alignment horizontal="left" vertical="center" indent="1"/>
    </xf>
    <xf numFmtId="0" fontId="0" fillId="0" borderId="5" xfId="0" applyBorder="1" applyAlignment="1" applyProtection="1">
      <alignment vertical="center"/>
    </xf>
    <xf numFmtId="0" fontId="0" fillId="0" borderId="5" xfId="0" applyBorder="1" applyProtection="1"/>
    <xf numFmtId="0" fontId="0" fillId="0" borderId="5" xfId="0" applyBorder="1" applyAlignment="1" applyProtection="1">
      <alignment horizontal="left" indent="1"/>
    </xf>
    <xf numFmtId="0" fontId="13" fillId="0" borderId="0" xfId="0" applyFont="1" applyProtection="1">
      <protection locked="0"/>
    </xf>
    <xf numFmtId="0" fontId="19" fillId="0" borderId="0" xfId="0" applyFont="1" applyProtection="1">
      <protection locked="0"/>
    </xf>
    <xf numFmtId="0" fontId="2" fillId="6" borderId="0" xfId="0" applyFont="1" applyFill="1" applyBorder="1" applyAlignment="1" applyProtection="1"/>
    <xf numFmtId="0" fontId="19" fillId="6" borderId="0" xfId="0" applyFont="1" applyFill="1" applyProtection="1"/>
    <xf numFmtId="0" fontId="14" fillId="0" borderId="0" xfId="0" applyFont="1" applyAlignment="1" applyProtection="1">
      <alignment horizontal="right" vertical="center"/>
    </xf>
    <xf numFmtId="9" fontId="9" fillId="6" borderId="0" xfId="2" applyFont="1" applyFill="1" applyBorder="1" applyAlignment="1" applyProtection="1">
      <alignment horizontal="left" vertical="center" indent="1"/>
    </xf>
    <xf numFmtId="10" fontId="13" fillId="0" borderId="0" xfId="2" applyNumberFormat="1" applyFont="1" applyProtection="1"/>
    <xf numFmtId="0" fontId="0" fillId="6" borderId="0" xfId="0" applyFill="1" applyAlignment="1" applyProtection="1">
      <alignment vertical="center"/>
    </xf>
    <xf numFmtId="0" fontId="16" fillId="0" borderId="0" xfId="0" applyFont="1" applyAlignment="1" applyProtection="1">
      <alignment horizontal="left" vertical="center"/>
    </xf>
    <xf numFmtId="0" fontId="18" fillId="0" borderId="0" xfId="0" applyFont="1" applyBorder="1" applyProtection="1"/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8" fillId="0" borderId="0" xfId="0" applyFont="1" applyProtection="1">
      <protection locked="0"/>
    </xf>
    <xf numFmtId="10" fontId="13" fillId="0" borderId="0" xfId="2" applyNumberFormat="1" applyFont="1" applyProtection="1"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3" fontId="7" fillId="6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3" fontId="0" fillId="0" borderId="0" xfId="0" applyNumberFormat="1" applyProtection="1">
      <protection locked="0"/>
    </xf>
    <xf numFmtId="3" fontId="8" fillId="6" borderId="0" xfId="1" applyNumberFormat="1" applyFont="1" applyFill="1" applyBorder="1" applyAlignment="1" applyProtection="1">
      <alignment vertical="center"/>
      <protection locked="0"/>
    </xf>
    <xf numFmtId="9" fontId="18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6" borderId="0" xfId="0" applyFill="1" applyBorder="1" applyProtection="1">
      <protection locked="0"/>
    </xf>
    <xf numFmtId="3" fontId="24" fillId="2" borderId="1" xfId="1" applyNumberFormat="1" applyFont="1" applyFill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32" fillId="8" borderId="1" xfId="6" applyFont="1" applyFill="1" applyBorder="1" applyAlignment="1">
      <alignment wrapText="1"/>
    </xf>
    <xf numFmtId="3" fontId="7" fillId="6" borderId="14" xfId="2" applyNumberFormat="1" applyFont="1" applyFill="1" applyBorder="1" applyAlignment="1" applyProtection="1">
      <alignment horizontal="center" vertical="center"/>
      <protection locked="0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14" xfId="2" applyNumberFormat="1" applyFont="1" applyFill="1" applyBorder="1" applyAlignment="1" applyProtection="1">
      <alignment horizontal="center" vertical="center"/>
      <protection locked="0"/>
    </xf>
    <xf numFmtId="170" fontId="34" fillId="9" borderId="1" xfId="7" applyNumberFormat="1" applyFont="1" applyFill="1" applyBorder="1" applyAlignment="1" applyProtection="1">
      <alignment horizontal="center" vertical="center"/>
      <protection locked="0"/>
    </xf>
    <xf numFmtId="170" fontId="34" fillId="9" borderId="16" xfId="7" applyNumberFormat="1" applyFont="1" applyFill="1" applyBorder="1" applyAlignment="1" applyProtection="1">
      <alignment horizontal="center" vertical="center"/>
      <protection locked="0"/>
    </xf>
    <xf numFmtId="3" fontId="8" fillId="6" borderId="16" xfId="2" applyNumberFormat="1" applyFont="1" applyFill="1" applyBorder="1" applyAlignment="1" applyProtection="1">
      <alignment horizontal="center" vertical="center"/>
      <protection locked="0"/>
    </xf>
    <xf numFmtId="3" fontId="8" fillId="6" borderId="17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31" fillId="7" borderId="0" xfId="6" applyFont="1" applyFill="1" applyBorder="1" applyAlignment="1">
      <alignment horizontal="center" wrapText="1"/>
    </xf>
    <xf numFmtId="0" fontId="19" fillId="0" borderId="1" xfId="0" applyFont="1" applyBorder="1" applyAlignment="1" applyProtection="1">
      <alignment vertical="top" wrapText="1"/>
    </xf>
    <xf numFmtId="0" fontId="19" fillId="0" borderId="1" xfId="0" applyFont="1" applyBorder="1" applyAlignment="1"/>
    <xf numFmtId="0" fontId="13" fillId="0" borderId="1" xfId="0" applyFont="1" applyBorder="1" applyProtection="1"/>
    <xf numFmtId="0" fontId="13" fillId="0" borderId="1" xfId="0" applyFont="1" applyBorder="1" applyAlignment="1" applyProtection="1">
      <alignment wrapText="1"/>
    </xf>
    <xf numFmtId="0" fontId="18" fillId="6" borderId="0" xfId="0" applyFont="1" applyFill="1" applyAlignment="1" applyProtection="1">
      <alignment vertical="center"/>
    </xf>
    <xf numFmtId="0" fontId="19" fillId="6" borderId="1" xfId="0" applyFont="1" applyFill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center" vertical="center" wrapText="1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right" vertical="center"/>
    </xf>
    <xf numFmtId="3" fontId="7" fillId="2" borderId="13" xfId="1" applyNumberFormat="1" applyFont="1" applyFill="1" applyBorder="1" applyAlignment="1" applyProtection="1">
      <alignment horizontal="center" vertical="center"/>
      <protection locked="0"/>
    </xf>
    <xf numFmtId="9" fontId="8" fillId="0" borderId="2" xfId="2" applyFont="1" applyBorder="1" applyAlignment="1" applyProtection="1">
      <alignment vertical="center" wrapText="1"/>
    </xf>
    <xf numFmtId="9" fontId="7" fillId="2" borderId="13" xfId="2" applyFont="1" applyFill="1" applyBorder="1" applyAlignment="1" applyProtection="1">
      <alignment horizontal="center" vertical="center"/>
      <protection locked="0"/>
    </xf>
    <xf numFmtId="167" fontId="7" fillId="2" borderId="13" xfId="2" applyNumberFormat="1" applyFont="1" applyFill="1" applyBorder="1" applyAlignment="1" applyProtection="1">
      <alignment horizontal="center" vertical="center"/>
      <protection locked="0"/>
    </xf>
    <xf numFmtId="3" fontId="15" fillId="6" borderId="15" xfId="1" applyNumberFormat="1" applyFont="1" applyFill="1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3" fontId="7" fillId="2" borderId="15" xfId="1" applyNumberFormat="1" applyFont="1" applyFill="1" applyBorder="1" applyAlignment="1" applyProtection="1">
      <alignment horizontal="center" vertical="center"/>
      <protection locked="0"/>
    </xf>
    <xf numFmtId="0" fontId="31" fillId="7" borderId="0" xfId="6" applyFont="1" applyFill="1" applyBorder="1" applyAlignment="1">
      <alignment horizontal="center" wrapText="1"/>
    </xf>
    <xf numFmtId="165" fontId="16" fillId="6" borderId="0" xfId="0" applyNumberFormat="1" applyFont="1" applyFill="1" applyAlignment="1" applyProtection="1">
      <alignment horizontal="left" vertical="center"/>
    </xf>
    <xf numFmtId="0" fontId="20" fillId="6" borderId="0" xfId="0" applyFont="1" applyFill="1" applyBorder="1" applyAlignment="1" applyProtection="1">
      <alignment vertical="center" wrapText="1"/>
    </xf>
    <xf numFmtId="0" fontId="4" fillId="0" borderId="0" xfId="0" applyFont="1" applyAlignment="1">
      <alignment vertical="center"/>
    </xf>
    <xf numFmtId="167" fontId="7" fillId="2" borderId="10" xfId="2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/>
    <xf numFmtId="0" fontId="0" fillId="6" borderId="0" xfId="0" applyFill="1"/>
    <xf numFmtId="166" fontId="22" fillId="0" borderId="28" xfId="0" applyNumberFormat="1" applyFont="1" applyBorder="1" applyAlignment="1" applyProtection="1">
      <alignment horizontal="center" vertical="center" wrapText="1"/>
    </xf>
    <xf numFmtId="3" fontId="7" fillId="2" borderId="30" xfId="1" applyNumberFormat="1" applyFont="1" applyFill="1" applyBorder="1" applyAlignment="1" applyProtection="1">
      <alignment horizontal="center" vertical="center"/>
      <protection locked="0"/>
    </xf>
    <xf numFmtId="9" fontId="8" fillId="0" borderId="26" xfId="2" applyFont="1" applyBorder="1" applyAlignment="1" applyProtection="1">
      <alignment vertical="center" wrapText="1"/>
    </xf>
    <xf numFmtId="3" fontId="7" fillId="2" borderId="10" xfId="1" applyNumberFormat="1" applyFont="1" applyFill="1" applyBorder="1" applyAlignment="1" applyProtection="1">
      <alignment horizontal="center" vertical="center"/>
      <protection locked="0"/>
    </xf>
    <xf numFmtId="9" fontId="8" fillId="0" borderId="24" xfId="2" applyFont="1" applyBorder="1" applyAlignment="1" applyProtection="1">
      <alignment vertical="center" wrapText="1"/>
    </xf>
    <xf numFmtId="167" fontId="7" fillId="2" borderId="15" xfId="2" applyNumberFormat="1" applyFont="1" applyFill="1" applyBorder="1" applyAlignment="1" applyProtection="1">
      <alignment horizontal="center" vertical="center"/>
      <protection locked="0"/>
    </xf>
    <xf numFmtId="0" fontId="3" fillId="6" borderId="0" xfId="0" applyFont="1" applyFill="1" applyBorder="1" applyAlignment="1" applyProtection="1">
      <alignment vertical="center" wrapText="1"/>
    </xf>
    <xf numFmtId="10" fontId="7" fillId="6" borderId="0" xfId="2" applyNumberFormat="1" applyFont="1" applyFill="1" applyBorder="1" applyAlignment="1" applyProtection="1">
      <alignment vertical="center"/>
      <protection locked="0"/>
    </xf>
    <xf numFmtId="9" fontId="8" fillId="6" borderId="2" xfId="2" applyFont="1" applyFill="1" applyBorder="1" applyAlignment="1" applyProtection="1">
      <alignment vertical="center" wrapText="1"/>
    </xf>
    <xf numFmtId="9" fontId="8" fillId="0" borderId="27" xfId="2" applyFont="1" applyBorder="1" applyAlignment="1" applyProtection="1">
      <alignment vertical="center" wrapText="1"/>
    </xf>
    <xf numFmtId="9" fontId="8" fillId="0" borderId="21" xfId="2" applyFont="1" applyBorder="1" applyAlignment="1" applyProtection="1">
      <alignment vertical="center" wrapText="1"/>
    </xf>
    <xf numFmtId="9" fontId="8" fillId="0" borderId="18" xfId="2" applyFont="1" applyBorder="1" applyAlignment="1" applyProtection="1">
      <alignment vertical="center" wrapText="1"/>
    </xf>
    <xf numFmtId="9" fontId="8" fillId="0" borderId="35" xfId="2" applyFont="1" applyBorder="1" applyAlignment="1" applyProtection="1">
      <alignment vertical="center" wrapText="1"/>
    </xf>
    <xf numFmtId="9" fontId="8" fillId="6" borderId="2" xfId="2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3" fontId="0" fillId="0" borderId="0" xfId="0" applyNumberFormat="1"/>
    <xf numFmtId="9" fontId="0" fillId="0" borderId="0" xfId="0" applyNumberFormat="1" applyAlignment="1">
      <alignment wrapText="1"/>
    </xf>
    <xf numFmtId="3" fontId="0" fillId="6" borderId="0" xfId="0" applyNumberFormat="1" applyFill="1"/>
    <xf numFmtId="0" fontId="19" fillId="0" borderId="0" xfId="0" applyFont="1" applyAlignment="1">
      <alignment wrapText="1"/>
    </xf>
    <xf numFmtId="0" fontId="19" fillId="0" borderId="1" xfId="0" applyFont="1" applyBorder="1" applyAlignment="1">
      <alignment vertical="top" wrapText="1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/>
    <xf numFmtId="0" fontId="3" fillId="0" borderId="1" xfId="0" applyFont="1" applyBorder="1" applyAlignment="1" applyProtection="1">
      <alignment horizontal="center" vertical="center" wrapText="1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</xf>
    <xf numFmtId="3" fontId="24" fillId="6" borderId="1" xfId="1" applyNumberFormat="1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3" fontId="7" fillId="6" borderId="1" xfId="2" applyNumberFormat="1" applyFont="1" applyFill="1" applyBorder="1" applyAlignment="1" applyProtection="1">
      <alignment horizontal="center" vertical="center"/>
    </xf>
    <xf numFmtId="165" fontId="4" fillId="0" borderId="1" xfId="0" applyNumberFormat="1" applyFont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vertical="top"/>
    </xf>
    <xf numFmtId="3" fontId="7" fillId="6" borderId="13" xfId="1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 wrapText="1"/>
    </xf>
    <xf numFmtId="0" fontId="20" fillId="6" borderId="1" xfId="0" applyFont="1" applyFill="1" applyBorder="1" applyAlignment="1" applyProtection="1">
      <alignment horizontal="center" vertical="center" wrapText="1"/>
    </xf>
    <xf numFmtId="3" fontId="7" fillId="6" borderId="1" xfId="2" applyNumberFormat="1" applyFont="1" applyFill="1" applyBorder="1" applyAlignment="1" applyProtection="1">
      <alignment horizontal="center" vertical="center"/>
    </xf>
    <xf numFmtId="3" fontId="7" fillId="2" borderId="1" xfId="2" applyNumberFormat="1" applyFont="1" applyFill="1" applyBorder="1" applyAlignment="1" applyProtection="1">
      <alignment horizontal="center" vertical="center"/>
      <protection locked="0"/>
    </xf>
    <xf numFmtId="0" fontId="36" fillId="0" borderId="25" xfId="0" applyFont="1" applyBorder="1" applyAlignment="1" applyProtection="1">
      <alignment horizontal="left" vertical="center"/>
    </xf>
    <xf numFmtId="0" fontId="14" fillId="0" borderId="2" xfId="0" applyFont="1" applyBorder="1" applyAlignment="1" applyProtection="1">
      <alignment vertical="center"/>
    </xf>
    <xf numFmtId="0" fontId="4" fillId="6" borderId="3" xfId="0" applyFont="1" applyFill="1" applyBorder="1" applyAlignment="1" applyProtection="1">
      <alignment vertical="center"/>
    </xf>
    <xf numFmtId="0" fontId="0" fillId="0" borderId="3" xfId="0" applyBorder="1" applyProtection="1"/>
    <xf numFmtId="0" fontId="14" fillId="2" borderId="19" xfId="0" applyFont="1" applyFill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</xf>
    <xf numFmtId="0" fontId="14" fillId="0" borderId="0" xfId="0" applyFont="1" applyBorder="1" applyAlignment="1" applyProtection="1">
      <alignment horizontal="left" vertical="center"/>
    </xf>
    <xf numFmtId="9" fontId="8" fillId="6" borderId="33" xfId="2" applyFont="1" applyFill="1" applyBorder="1" applyAlignment="1" applyProtection="1">
      <alignment vertical="top" wrapText="1"/>
    </xf>
    <xf numFmtId="9" fontId="36" fillId="6" borderId="34" xfId="2" applyFont="1" applyFill="1" applyBorder="1" applyAlignment="1" applyProtection="1">
      <alignment horizontal="center" vertical="center" wrapText="1"/>
    </xf>
    <xf numFmtId="49" fontId="7" fillId="2" borderId="13" xfId="1" applyNumberFormat="1" applyFont="1" applyFill="1" applyBorder="1" applyAlignment="1" applyProtection="1">
      <alignment horizontal="center" vertical="center"/>
      <protection locked="0"/>
    </xf>
    <xf numFmtId="3" fontId="18" fillId="0" borderId="0" xfId="0" applyNumberFormat="1" applyFont="1" applyAlignment="1" applyProtection="1">
      <alignment vertical="center"/>
    </xf>
    <xf numFmtId="3" fontId="24" fillId="6" borderId="1" xfId="1" applyNumberFormat="1" applyFont="1" applyFill="1" applyBorder="1" applyAlignment="1" applyProtection="1">
      <alignment horizontal="center" vertical="center"/>
      <protection locked="0"/>
    </xf>
    <xf numFmtId="10" fontId="24" fillId="6" borderId="1" xfId="2" applyNumberFormat="1" applyFont="1" applyFill="1" applyBorder="1" applyAlignment="1" applyProtection="1">
      <alignment horizontal="center" vertical="center"/>
      <protection locked="0"/>
    </xf>
    <xf numFmtId="9" fontId="7" fillId="2" borderId="1" xfId="2" applyFont="1" applyFill="1" applyBorder="1" applyAlignment="1" applyProtection="1">
      <alignment horizontal="center" vertical="center"/>
      <protection locked="0"/>
    </xf>
    <xf numFmtId="0" fontId="37" fillId="3" borderId="0" xfId="3" applyFont="1" applyFill="1" applyBorder="1" applyAlignment="1" applyProtection="1">
      <alignment vertical="center"/>
    </xf>
    <xf numFmtId="0" fontId="37" fillId="3" borderId="0" xfId="3" applyFont="1" applyFill="1" applyBorder="1" applyAlignment="1" applyProtection="1">
      <alignment vertical="center" wrapText="1"/>
    </xf>
    <xf numFmtId="0" fontId="37" fillId="3" borderId="0" xfId="3" applyFont="1" applyFill="1" applyBorder="1" applyAlignment="1" applyProtection="1">
      <alignment horizontal="right" vertical="center"/>
    </xf>
    <xf numFmtId="1" fontId="37" fillId="3" borderId="0" xfId="3" applyNumberFormat="1" applyFont="1" applyFill="1" applyBorder="1" applyAlignment="1" applyProtection="1">
      <alignment horizontal="left" vertical="center"/>
    </xf>
    <xf numFmtId="0" fontId="38" fillId="3" borderId="0" xfId="3" applyFont="1" applyFill="1" applyProtection="1"/>
    <xf numFmtId="0" fontId="37" fillId="3" borderId="0" xfId="3" applyFont="1" applyFill="1" applyProtection="1"/>
    <xf numFmtId="0" fontId="37" fillId="3" borderId="0" xfId="3" applyFont="1" applyFill="1" applyBorder="1" applyAlignment="1" applyProtection="1">
      <alignment horizontal="left" vertical="center"/>
    </xf>
    <xf numFmtId="0" fontId="38" fillId="0" borderId="0" xfId="3" applyFont="1" applyProtection="1"/>
    <xf numFmtId="0" fontId="39" fillId="0" borderId="1" xfId="3" applyFont="1" applyBorder="1" applyProtection="1"/>
    <xf numFmtId="0" fontId="39" fillId="0" borderId="0" xfId="3" applyFont="1" applyProtection="1"/>
    <xf numFmtId="0" fontId="40" fillId="0" borderId="0" xfId="3" applyFont="1" applyProtection="1"/>
    <xf numFmtId="171" fontId="40" fillId="0" borderId="0" xfId="3" applyNumberFormat="1" applyFont="1" applyProtection="1"/>
    <xf numFmtId="0" fontId="38" fillId="6" borderId="0" xfId="3" applyFont="1" applyFill="1" applyBorder="1" applyProtection="1"/>
    <xf numFmtId="9" fontId="38" fillId="6" borderId="0" xfId="3" applyNumberFormat="1" applyFont="1" applyFill="1" applyBorder="1" applyAlignment="1" applyProtection="1">
      <alignment horizontal="center" vertical="center"/>
    </xf>
    <xf numFmtId="0" fontId="38" fillId="0" borderId="0" xfId="3" applyFont="1" applyBorder="1" applyAlignment="1" applyProtection="1">
      <alignment horizontal="left" vertical="center" wrapText="1"/>
    </xf>
    <xf numFmtId="0" fontId="41" fillId="4" borderId="6" xfId="3" applyFont="1" applyFill="1" applyBorder="1" applyAlignment="1" applyProtection="1">
      <alignment vertical="center"/>
    </xf>
    <xf numFmtId="0" fontId="41" fillId="4" borderId="6" xfId="0" applyFont="1" applyFill="1" applyBorder="1" applyAlignment="1" applyProtection="1">
      <alignment horizontal="center" vertical="center"/>
    </xf>
    <xf numFmtId="0" fontId="41" fillId="4" borderId="9" xfId="3" applyFont="1" applyFill="1" applyBorder="1" applyAlignment="1" applyProtection="1">
      <alignment horizontal="center" vertical="center"/>
    </xf>
    <xf numFmtId="0" fontId="42" fillId="4" borderId="9" xfId="3" applyFont="1" applyFill="1" applyBorder="1" applyAlignment="1" applyProtection="1">
      <alignment horizontal="center" vertical="center" wrapText="1"/>
    </xf>
    <xf numFmtId="165" fontId="43" fillId="4" borderId="6" xfId="3" applyNumberFormat="1" applyFont="1" applyFill="1" applyBorder="1" applyAlignment="1" applyProtection="1">
      <alignment horizontal="center" vertical="center"/>
    </xf>
    <xf numFmtId="0" fontId="38" fillId="6" borderId="0" xfId="3" applyFont="1" applyFill="1" applyBorder="1" applyAlignment="1" applyProtection="1">
      <alignment horizontal="left" vertical="center"/>
    </xf>
    <xf numFmtId="0" fontId="38" fillId="6" borderId="0" xfId="3" applyFont="1" applyFill="1" applyBorder="1" applyAlignment="1" applyProtection="1">
      <alignment horizontal="center" vertical="center"/>
    </xf>
    <xf numFmtId="9" fontId="37" fillId="6" borderId="0" xfId="3" applyNumberFormat="1" applyFont="1" applyFill="1" applyBorder="1" applyAlignment="1" applyProtection="1">
      <alignment horizontal="center" vertical="center"/>
    </xf>
    <xf numFmtId="0" fontId="38" fillId="6" borderId="0" xfId="3" applyFont="1" applyFill="1" applyProtection="1"/>
    <xf numFmtId="0" fontId="37" fillId="0" borderId="0" xfId="3" applyFont="1" applyProtection="1"/>
    <xf numFmtId="0" fontId="41" fillId="4" borderId="6" xfId="0" applyFont="1" applyFill="1" applyBorder="1" applyAlignment="1" applyProtection="1">
      <alignment vertical="center"/>
    </xf>
    <xf numFmtId="0" fontId="41" fillId="4" borderId="9" xfId="0" applyFont="1" applyFill="1" applyBorder="1" applyAlignment="1" applyProtection="1">
      <alignment horizontal="center" vertical="center"/>
    </xf>
    <xf numFmtId="0" fontId="42" fillId="4" borderId="9" xfId="0" applyFont="1" applyFill="1" applyBorder="1" applyAlignment="1" applyProtection="1">
      <alignment horizontal="center" vertical="center" wrapText="1"/>
    </xf>
    <xf numFmtId="0" fontId="38" fillId="0" borderId="0" xfId="0" applyFont="1" applyProtection="1"/>
    <xf numFmtId="9" fontId="38" fillId="5" borderId="0" xfId="0" applyNumberFormat="1" applyFont="1" applyFill="1" applyBorder="1" applyAlignment="1" applyProtection="1">
      <alignment horizontal="left" vertical="center"/>
    </xf>
    <xf numFmtId="0" fontId="38" fillId="5" borderId="0" xfId="0" applyFont="1" applyFill="1" applyBorder="1" applyAlignment="1" applyProtection="1">
      <alignment horizontal="center" vertical="center"/>
    </xf>
    <xf numFmtId="3" fontId="38" fillId="5" borderId="0" xfId="0" applyNumberFormat="1" applyFont="1" applyFill="1" applyBorder="1" applyAlignment="1" applyProtection="1">
      <alignment vertical="center"/>
    </xf>
    <xf numFmtId="3" fontId="37" fillId="5" borderId="0" xfId="0" applyNumberFormat="1" applyFont="1" applyFill="1" applyBorder="1" applyAlignment="1" applyProtection="1">
      <alignment vertical="center"/>
    </xf>
    <xf numFmtId="3" fontId="44" fillId="6" borderId="0" xfId="0" applyNumberFormat="1" applyFont="1" applyFill="1" applyBorder="1" applyAlignment="1" applyProtection="1">
      <alignment vertical="center"/>
    </xf>
    <xf numFmtId="3" fontId="38" fillId="0" borderId="0" xfId="4" applyNumberFormat="1" applyFont="1" applyProtection="1"/>
    <xf numFmtId="3" fontId="38" fillId="0" borderId="0" xfId="0" applyNumberFormat="1" applyFont="1" applyProtection="1"/>
    <xf numFmtId="0" fontId="37" fillId="0" borderId="7" xfId="0" applyFont="1" applyFill="1" applyBorder="1" applyAlignment="1" applyProtection="1">
      <alignment vertical="center"/>
    </xf>
    <xf numFmtId="0" fontId="38" fillId="0" borderId="7" xfId="0" applyFont="1" applyFill="1" applyBorder="1" applyAlignment="1" applyProtection="1">
      <alignment horizontal="center" vertical="center"/>
    </xf>
    <xf numFmtId="3" fontId="37" fillId="0" borderId="7" xfId="0" applyNumberFormat="1" applyFont="1" applyFill="1" applyBorder="1" applyAlignment="1" applyProtection="1">
      <alignment vertical="center"/>
    </xf>
    <xf numFmtId="9" fontId="38" fillId="0" borderId="0" xfId="4" applyFont="1" applyFill="1" applyProtection="1"/>
    <xf numFmtId="0" fontId="38" fillId="0" borderId="0" xfId="0" applyFont="1" applyFill="1" applyProtection="1"/>
    <xf numFmtId="0" fontId="38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center" vertical="center"/>
    </xf>
    <xf numFmtId="4" fontId="38" fillId="0" borderId="0" xfId="0" applyNumberFormat="1" applyFont="1" applyAlignment="1" applyProtection="1">
      <alignment vertical="center"/>
    </xf>
    <xf numFmtId="0" fontId="37" fillId="0" borderId="0" xfId="0" applyFont="1" applyProtection="1"/>
    <xf numFmtId="0" fontId="41" fillId="4" borderId="6" xfId="3" applyFont="1" applyFill="1" applyBorder="1" applyAlignment="1" applyProtection="1">
      <alignment horizontal="center" vertical="center"/>
    </xf>
    <xf numFmtId="0" fontId="42" fillId="4" borderId="6" xfId="0" applyFont="1" applyFill="1" applyBorder="1" applyAlignment="1" applyProtection="1">
      <alignment horizontal="center" vertical="center" wrapText="1"/>
    </xf>
    <xf numFmtId="165" fontId="42" fillId="4" borderId="6" xfId="3" applyNumberFormat="1" applyFont="1" applyFill="1" applyBorder="1" applyAlignment="1" applyProtection="1">
      <alignment horizontal="center" vertical="center" wrapText="1"/>
    </xf>
    <xf numFmtId="9" fontId="38" fillId="0" borderId="0" xfId="0" applyNumberFormat="1" applyFont="1" applyFill="1" applyBorder="1" applyAlignment="1" applyProtection="1">
      <alignment horizontal="left" vertical="center"/>
    </xf>
    <xf numFmtId="0" fontId="38" fillId="0" borderId="0" xfId="0" applyFont="1" applyFill="1" applyBorder="1" applyAlignment="1" applyProtection="1">
      <alignment horizontal="center" vertical="center"/>
    </xf>
    <xf numFmtId="3" fontId="38" fillId="0" borderId="0" xfId="0" applyNumberFormat="1" applyFont="1" applyFill="1" applyBorder="1" applyAlignment="1" applyProtection="1">
      <alignment vertical="center"/>
    </xf>
    <xf numFmtId="3" fontId="37" fillId="0" borderId="0" xfId="0" applyNumberFormat="1" applyFont="1" applyFill="1" applyBorder="1" applyAlignment="1" applyProtection="1">
      <alignment vertical="center"/>
    </xf>
    <xf numFmtId="3" fontId="38" fillId="0" borderId="0" xfId="4" applyNumberFormat="1" applyFont="1" applyFill="1" applyProtection="1"/>
    <xf numFmtId="3" fontId="38" fillId="0" borderId="0" xfId="0" applyNumberFormat="1" applyFont="1" applyFill="1" applyProtection="1"/>
    <xf numFmtId="3" fontId="37" fillId="6" borderId="7" xfId="0" applyNumberFormat="1" applyFont="1" applyFill="1" applyBorder="1" applyAlignment="1" applyProtection="1">
      <alignment vertical="center"/>
    </xf>
    <xf numFmtId="0" fontId="40" fillId="6" borderId="0" xfId="3" applyFont="1" applyFill="1" applyBorder="1" applyAlignment="1" applyProtection="1">
      <alignment horizontal="left" vertical="center"/>
    </xf>
    <xf numFmtId="0" fontId="39" fillId="6" borderId="0" xfId="3" applyFont="1" applyFill="1" applyBorder="1" applyAlignment="1" applyProtection="1">
      <alignment horizontal="center" vertical="center"/>
    </xf>
    <xf numFmtId="4" fontId="40" fillId="6" borderId="0" xfId="3" applyNumberFormat="1" applyFont="1" applyFill="1" applyBorder="1" applyAlignment="1" applyProtection="1">
      <alignment vertical="center"/>
    </xf>
    <xf numFmtId="4" fontId="45" fillId="6" borderId="0" xfId="0" applyNumberFormat="1" applyFont="1" applyFill="1" applyBorder="1" applyAlignment="1" applyProtection="1">
      <alignment vertical="center"/>
    </xf>
    <xf numFmtId="0" fontId="39" fillId="6" borderId="0" xfId="3" applyFont="1" applyFill="1" applyProtection="1"/>
    <xf numFmtId="0" fontId="39" fillId="6" borderId="0" xfId="3" applyFont="1" applyFill="1" applyBorder="1" applyAlignment="1" applyProtection="1">
      <alignment vertical="center"/>
    </xf>
    <xf numFmtId="0" fontId="39" fillId="6" borderId="0" xfId="0" applyFont="1" applyFill="1" applyBorder="1" applyAlignment="1" applyProtection="1">
      <alignment horizontal="center" vertical="center"/>
    </xf>
    <xf numFmtId="3" fontId="39" fillId="6" borderId="0" xfId="0" applyNumberFormat="1" applyFont="1" applyFill="1" applyBorder="1" applyAlignment="1" applyProtection="1">
      <alignment horizontal="center" vertical="center"/>
    </xf>
    <xf numFmtId="0" fontId="40" fillId="6" borderId="0" xfId="0" applyFont="1" applyFill="1" applyBorder="1" applyAlignment="1" applyProtection="1">
      <alignment horizontal="center" vertical="center" wrapText="1"/>
    </xf>
    <xf numFmtId="165" fontId="40" fillId="6" borderId="0" xfId="3" applyNumberFormat="1" applyFont="1" applyFill="1" applyBorder="1" applyAlignment="1" applyProtection="1">
      <alignment horizontal="center" vertical="center" wrapText="1"/>
    </xf>
    <xf numFmtId="0" fontId="37" fillId="6" borderId="7" xfId="3" applyFont="1" applyFill="1" applyBorder="1" applyAlignment="1" applyProtection="1">
      <alignment horizontal="left" vertical="center"/>
    </xf>
    <xf numFmtId="0" fontId="38" fillId="6" borderId="7" xfId="3" applyFont="1" applyFill="1" applyBorder="1" applyAlignment="1" applyProtection="1">
      <alignment horizontal="center" vertical="center"/>
    </xf>
    <xf numFmtId="3" fontId="37" fillId="6" borderId="7" xfId="3" applyNumberFormat="1" applyFont="1" applyFill="1" applyBorder="1" applyAlignment="1" applyProtection="1">
      <alignment vertical="center"/>
    </xf>
    <xf numFmtId="0" fontId="38" fillId="0" borderId="0" xfId="3" applyFont="1" applyBorder="1" applyAlignment="1" applyProtection="1">
      <alignment vertical="center"/>
    </xf>
    <xf numFmtId="0" fontId="38" fillId="0" borderId="0" xfId="3" applyFont="1" applyBorder="1" applyAlignment="1" applyProtection="1">
      <alignment horizontal="center" vertical="center"/>
    </xf>
    <xf numFmtId="0" fontId="38" fillId="0" borderId="0" xfId="3" applyFont="1" applyFill="1" applyBorder="1" applyAlignment="1" applyProtection="1">
      <alignment vertical="center"/>
    </xf>
    <xf numFmtId="0" fontId="37" fillId="0" borderId="0" xfId="3" applyFont="1" applyBorder="1" applyAlignment="1" applyProtection="1">
      <alignment vertical="center"/>
    </xf>
    <xf numFmtId="165" fontId="42" fillId="4" borderId="6" xfId="0" applyNumberFormat="1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 applyProtection="1">
      <alignment horizontal="left" vertical="center"/>
    </xf>
    <xf numFmtId="168" fontId="38" fillId="0" borderId="0" xfId="0" applyNumberFormat="1" applyFont="1" applyFill="1" applyBorder="1" applyAlignment="1" applyProtection="1">
      <alignment vertical="center"/>
    </xf>
    <xf numFmtId="168" fontId="37" fillId="0" borderId="0" xfId="0" applyNumberFormat="1" applyFont="1" applyFill="1" applyBorder="1" applyAlignment="1" applyProtection="1">
      <alignment vertical="center"/>
    </xf>
    <xf numFmtId="168" fontId="44" fillId="6" borderId="0" xfId="3" applyNumberFormat="1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horizontal="left" vertical="center"/>
    </xf>
    <xf numFmtId="0" fontId="38" fillId="6" borderId="0" xfId="0" applyFont="1" applyFill="1" applyBorder="1" applyAlignment="1" applyProtection="1">
      <alignment horizontal="left" vertical="center"/>
    </xf>
    <xf numFmtId="0" fontId="38" fillId="6" borderId="0" xfId="0" applyFont="1" applyFill="1" applyBorder="1" applyAlignment="1" applyProtection="1">
      <alignment horizontal="center" vertical="center"/>
    </xf>
    <xf numFmtId="168" fontId="38" fillId="6" borderId="0" xfId="0" applyNumberFormat="1" applyFont="1" applyFill="1" applyBorder="1" applyAlignment="1" applyProtection="1">
      <alignment vertical="center"/>
    </xf>
    <xf numFmtId="0" fontId="38" fillId="6" borderId="0" xfId="0" applyFont="1" applyFill="1" applyProtection="1"/>
    <xf numFmtId="0" fontId="37" fillId="6" borderId="0" xfId="0" applyFont="1" applyFill="1" applyBorder="1" applyAlignment="1" applyProtection="1">
      <alignment horizontal="left" vertical="center" wrapText="1"/>
    </xf>
    <xf numFmtId="0" fontId="37" fillId="6" borderId="0" xfId="0" applyFont="1" applyFill="1" applyBorder="1" applyAlignment="1" applyProtection="1">
      <alignment horizontal="left" vertical="center"/>
    </xf>
    <xf numFmtId="168" fontId="44" fillId="0" borderId="0" xfId="3" applyNumberFormat="1" applyFont="1" applyFill="1" applyBorder="1" applyAlignment="1" applyProtection="1">
      <alignment vertical="center"/>
    </xf>
    <xf numFmtId="168" fontId="38" fillId="0" borderId="0" xfId="0" applyNumberFormat="1" applyFont="1" applyFill="1" applyBorder="1" applyAlignment="1" applyProtection="1">
      <alignment horizontal="right" vertical="center"/>
    </xf>
    <xf numFmtId="3" fontId="38" fillId="6" borderId="0" xfId="0" applyNumberFormat="1" applyFont="1" applyFill="1" applyBorder="1" applyAlignment="1" applyProtection="1">
      <alignment horizontal="left" vertical="center"/>
    </xf>
    <xf numFmtId="3" fontId="44" fillId="0" borderId="0" xfId="3" applyNumberFormat="1" applyFont="1" applyFill="1" applyBorder="1" applyAlignment="1" applyProtection="1">
      <alignment vertical="center"/>
    </xf>
    <xf numFmtId="3" fontId="38" fillId="0" borderId="0" xfId="0" applyNumberFormat="1" applyFont="1" applyBorder="1" applyAlignment="1" applyProtection="1">
      <alignment vertical="center"/>
    </xf>
    <xf numFmtId="3" fontId="38" fillId="6" borderId="0" xfId="0" applyNumberFormat="1" applyFont="1" applyFill="1" applyBorder="1" applyAlignment="1" applyProtection="1">
      <alignment vertical="center"/>
    </xf>
    <xf numFmtId="3" fontId="44" fillId="6" borderId="0" xfId="3" applyNumberFormat="1" applyFont="1" applyFill="1" applyBorder="1" applyAlignment="1" applyProtection="1">
      <alignment vertical="center"/>
    </xf>
    <xf numFmtId="3" fontId="38" fillId="6" borderId="0" xfId="0" applyNumberFormat="1" applyFont="1" applyFill="1" applyProtection="1"/>
    <xf numFmtId="0" fontId="38" fillId="0" borderId="0" xfId="0" applyFont="1" applyFill="1" applyBorder="1" applyAlignment="1" applyProtection="1">
      <alignment horizontal="right" vertical="center"/>
    </xf>
    <xf numFmtId="3" fontId="37" fillId="0" borderId="0" xfId="0" applyNumberFormat="1" applyFont="1" applyBorder="1" applyAlignment="1" applyProtection="1">
      <alignment vertical="center"/>
    </xf>
    <xf numFmtId="0" fontId="42" fillId="4" borderId="6" xfId="0" applyFont="1" applyFill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left" vertical="center" wrapText="1"/>
    </xf>
    <xf numFmtId="0" fontId="38" fillId="0" borderId="0" xfId="0" applyFont="1" applyBorder="1" applyAlignment="1" applyProtection="1">
      <alignment vertical="center"/>
    </xf>
    <xf numFmtId="10" fontId="44" fillId="0" borderId="0" xfId="0" applyNumberFormat="1" applyFont="1" applyBorder="1" applyAlignment="1" applyProtection="1">
      <alignment vertical="center"/>
    </xf>
    <xf numFmtId="166" fontId="38" fillId="0" borderId="0" xfId="0" applyNumberFormat="1" applyFont="1" applyFill="1" applyBorder="1" applyAlignment="1" applyProtection="1">
      <alignment horizontal="left" vertical="center"/>
    </xf>
    <xf numFmtId="9" fontId="38" fillId="6" borderId="0" xfId="2" applyFont="1" applyFill="1" applyBorder="1" applyAlignment="1" applyProtection="1">
      <alignment horizontal="center" vertical="center"/>
    </xf>
    <xf numFmtId="9" fontId="38" fillId="6" borderId="0" xfId="2" applyFont="1" applyFill="1" applyBorder="1" applyAlignment="1" applyProtection="1">
      <alignment vertical="center"/>
    </xf>
    <xf numFmtId="166" fontId="37" fillId="0" borderId="0" xfId="0" applyNumberFormat="1" applyFont="1" applyFill="1" applyBorder="1" applyAlignment="1" applyProtection="1">
      <alignment vertical="center"/>
    </xf>
    <xf numFmtId="166" fontId="44" fillId="0" borderId="0" xfId="0" applyNumberFormat="1" applyFont="1" applyFill="1" applyBorder="1" applyAlignment="1" applyProtection="1">
      <alignment vertical="center"/>
    </xf>
    <xf numFmtId="166" fontId="38" fillId="0" borderId="0" xfId="0" applyNumberFormat="1" applyFont="1" applyProtection="1"/>
    <xf numFmtId="166" fontId="38" fillId="6" borderId="0" xfId="0" applyNumberFormat="1" applyFont="1" applyFill="1" applyBorder="1" applyAlignment="1" applyProtection="1">
      <alignment horizontal="left" vertical="center"/>
    </xf>
    <xf numFmtId="168" fontId="39" fillId="6" borderId="0" xfId="0" applyNumberFormat="1" applyFont="1" applyFill="1" applyProtection="1"/>
    <xf numFmtId="166" fontId="37" fillId="6" borderId="0" xfId="0" applyNumberFormat="1" applyFont="1" applyFill="1" applyBorder="1" applyAlignment="1" applyProtection="1">
      <alignment vertical="center"/>
    </xf>
    <xf numFmtId="166" fontId="44" fillId="6" borderId="0" xfId="0" applyNumberFormat="1" applyFont="1" applyFill="1" applyBorder="1" applyAlignment="1" applyProtection="1">
      <alignment vertical="center"/>
    </xf>
    <xf numFmtId="166" fontId="38" fillId="6" borderId="0" xfId="0" applyNumberFormat="1" applyFont="1" applyFill="1" applyProtection="1"/>
    <xf numFmtId="4" fontId="38" fillId="0" borderId="0" xfId="0" applyNumberFormat="1" applyFont="1" applyFill="1" applyBorder="1" applyAlignment="1" applyProtection="1">
      <alignment vertical="center"/>
    </xf>
    <xf numFmtId="4" fontId="37" fillId="0" borderId="0" xfId="0" applyNumberFormat="1" applyFont="1" applyFill="1" applyBorder="1" applyAlignment="1" applyProtection="1">
      <alignment vertical="center"/>
    </xf>
    <xf numFmtId="4" fontId="38" fillId="0" borderId="0" xfId="0" applyNumberFormat="1" applyFont="1" applyFill="1" applyBorder="1" applyAlignment="1" applyProtection="1">
      <alignment horizontal="center" vertical="center"/>
    </xf>
    <xf numFmtId="4" fontId="44" fillId="0" borderId="0" xfId="0" applyNumberFormat="1" applyFont="1" applyFill="1" applyBorder="1" applyAlignment="1" applyProtection="1">
      <alignment vertical="center"/>
    </xf>
    <xf numFmtId="0" fontId="37" fillId="6" borderId="0" xfId="0" applyFont="1" applyFill="1" applyBorder="1" applyAlignment="1" applyProtection="1">
      <alignment horizontal="right"/>
    </xf>
    <xf numFmtId="4" fontId="37" fillId="0" borderId="1" xfId="0" applyNumberFormat="1" applyFont="1" applyFill="1" applyBorder="1" applyAlignment="1" applyProtection="1">
      <alignment vertical="center"/>
    </xf>
    <xf numFmtId="1" fontId="37" fillId="0" borderId="1" xfId="0" applyNumberFormat="1" applyFont="1" applyFill="1" applyBorder="1" applyProtection="1"/>
    <xf numFmtId="1" fontId="37" fillId="0" borderId="0" xfId="0" applyNumberFormat="1" applyFont="1" applyFill="1" applyBorder="1" applyProtection="1"/>
    <xf numFmtId="4" fontId="38" fillId="0" borderId="0" xfId="3" applyNumberFormat="1" applyFont="1" applyFill="1" applyBorder="1" applyAlignment="1" applyProtection="1">
      <alignment vertical="center"/>
    </xf>
    <xf numFmtId="4" fontId="38" fillId="0" borderId="0" xfId="0" applyNumberFormat="1" applyFont="1" applyFill="1" applyProtection="1"/>
    <xf numFmtId="4" fontId="37" fillId="0" borderId="0" xfId="0" applyNumberFormat="1" applyFont="1" applyProtection="1"/>
    <xf numFmtId="0" fontId="47" fillId="0" borderId="0" xfId="0" applyFont="1" applyProtection="1"/>
    <xf numFmtId="0" fontId="47" fillId="0" borderId="0" xfId="0" applyFont="1" applyFill="1" applyProtection="1"/>
    <xf numFmtId="0" fontId="48" fillId="0" borderId="0" xfId="0" applyFont="1" applyFill="1" applyProtection="1"/>
    <xf numFmtId="0" fontId="46" fillId="0" borderId="0" xfId="0" applyFont="1" applyProtection="1"/>
    <xf numFmtId="0" fontId="49" fillId="0" borderId="0" xfId="0" applyFont="1" applyProtection="1"/>
    <xf numFmtId="0" fontId="39" fillId="0" borderId="0" xfId="0" applyFont="1" applyProtection="1"/>
    <xf numFmtId="3" fontId="39" fillId="0" borderId="0" xfId="0" applyNumberFormat="1" applyFont="1" applyBorder="1" applyAlignment="1" applyProtection="1">
      <alignment vertical="center"/>
    </xf>
    <xf numFmtId="168" fontId="40" fillId="0" borderId="0" xfId="0" applyNumberFormat="1" applyFont="1" applyFill="1" applyBorder="1" applyAlignment="1" applyProtection="1">
      <alignment vertical="center"/>
    </xf>
    <xf numFmtId="0" fontId="40" fillId="0" borderId="0" xfId="0" applyFont="1" applyProtection="1"/>
    <xf numFmtId="166" fontId="22" fillId="0" borderId="11" xfId="0" applyNumberFormat="1" applyFont="1" applyBorder="1" applyAlignment="1">
      <alignment horizontal="center" vertical="center" wrapText="1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0" fontId="32" fillId="8" borderId="11" xfId="6" applyFont="1" applyFill="1" applyBorder="1" applyAlignment="1">
      <alignment wrapText="1"/>
    </xf>
    <xf numFmtId="3" fontId="7" fillId="6" borderId="11" xfId="2" applyNumberFormat="1" applyFont="1" applyFill="1" applyBorder="1" applyAlignment="1" applyProtection="1">
      <alignment horizontal="center" vertical="center"/>
      <protection locked="0"/>
    </xf>
    <xf numFmtId="3" fontId="7" fillId="6" borderId="12" xfId="2" applyNumberFormat="1" applyFont="1" applyFill="1" applyBorder="1" applyAlignment="1" applyProtection="1">
      <alignment horizontal="center" vertical="center"/>
      <protection locked="0"/>
    </xf>
    <xf numFmtId="167" fontId="7" fillId="2" borderId="30" xfId="2" applyNumberFormat="1" applyFont="1" applyFill="1" applyBorder="1" applyAlignment="1" applyProtection="1">
      <alignment horizontal="center" vertical="center"/>
      <protection locked="0"/>
    </xf>
    <xf numFmtId="166" fontId="22" fillId="0" borderId="19" xfId="0" applyNumberFormat="1" applyFont="1" applyBorder="1" applyAlignment="1">
      <alignment horizontal="center" vertical="center" wrapText="1"/>
    </xf>
    <xf numFmtId="3" fontId="24" fillId="6" borderId="11" xfId="1" applyNumberFormat="1" applyFont="1" applyFill="1" applyBorder="1" applyAlignment="1" applyProtection="1">
      <alignment horizontal="center" vertical="center"/>
    </xf>
    <xf numFmtId="3" fontId="24" fillId="6" borderId="12" xfId="1" applyNumberFormat="1" applyFont="1" applyFill="1" applyBorder="1" applyAlignment="1" applyProtection="1">
      <alignment horizontal="center" vertical="center"/>
    </xf>
    <xf numFmtId="3" fontId="24" fillId="6" borderId="14" xfId="1" applyNumberFormat="1" applyFont="1" applyFill="1" applyBorder="1" applyAlignment="1" applyProtection="1">
      <alignment horizontal="center" vertical="center"/>
    </xf>
    <xf numFmtId="9" fontId="8" fillId="0" borderId="12" xfId="2" applyFont="1" applyBorder="1" applyAlignment="1" applyProtection="1">
      <alignment vertical="center" wrapText="1"/>
    </xf>
    <xf numFmtId="0" fontId="20" fillId="6" borderId="1" xfId="0" applyFont="1" applyFill="1" applyBorder="1" applyAlignment="1" applyProtection="1">
      <alignment horizontal="center" vertical="center" wrapText="1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32" fillId="8" borderId="4" xfId="6" applyFont="1" applyFill="1" applyBorder="1" applyAlignment="1">
      <alignment wrapText="1"/>
    </xf>
    <xf numFmtId="170" fontId="34" fillId="9" borderId="4" xfId="7" applyNumberFormat="1" applyFont="1" applyFill="1" applyBorder="1" applyAlignment="1" applyProtection="1">
      <alignment horizontal="center" vertical="center"/>
      <protection locked="0"/>
    </xf>
    <xf numFmtId="170" fontId="34" fillId="9" borderId="36" xfId="7" applyNumberFormat="1" applyFont="1" applyFill="1" applyBorder="1" applyAlignment="1" applyProtection="1">
      <alignment horizontal="center" vertical="center"/>
      <protection locked="0"/>
    </xf>
    <xf numFmtId="0" fontId="32" fillId="8" borderId="37" xfId="6" applyFont="1" applyFill="1" applyBorder="1" applyAlignment="1">
      <alignment wrapText="1"/>
    </xf>
    <xf numFmtId="0" fontId="14" fillId="0" borderId="13" xfId="0" applyFont="1" applyBorder="1" applyAlignment="1" applyProtection="1">
      <alignment horizontal="center" vertical="center" wrapText="1"/>
    </xf>
    <xf numFmtId="165" fontId="34" fillId="9" borderId="38" xfId="7" applyNumberFormat="1" applyFont="1" applyFill="1" applyBorder="1" applyAlignment="1" applyProtection="1">
      <alignment vertical="center" wrapText="1"/>
      <protection locked="0"/>
    </xf>
    <xf numFmtId="165" fontId="34" fillId="9" borderId="39" xfId="7" applyNumberFormat="1" applyFont="1" applyFill="1" applyBorder="1" applyAlignment="1" applyProtection="1">
      <alignment vertical="center" wrapText="1"/>
      <protection locked="0"/>
    </xf>
    <xf numFmtId="0" fontId="14" fillId="0" borderId="10" xfId="0" applyFont="1" applyBorder="1" applyAlignment="1" applyProtection="1">
      <alignment horizontal="center" vertical="center" wrapText="1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" xfId="1" applyNumberFormat="1" applyFont="1" applyFill="1" applyBorder="1" applyAlignment="1" applyProtection="1">
      <alignment horizontal="center" vertical="center"/>
    </xf>
    <xf numFmtId="3" fontId="7" fillId="6" borderId="0" xfId="1" applyNumberFormat="1" applyFont="1" applyFill="1" applyBorder="1" applyAlignment="1" applyProtection="1">
      <alignment vertical="center"/>
    </xf>
    <xf numFmtId="3" fontId="50" fillId="0" borderId="0" xfId="0" applyNumberFormat="1" applyFont="1" applyProtection="1">
      <protection locked="0"/>
    </xf>
    <xf numFmtId="9" fontId="50" fillId="0" borderId="0" xfId="0" applyNumberFormat="1" applyFont="1" applyProtection="1">
      <protection locked="0"/>
    </xf>
    <xf numFmtId="0" fontId="50" fillId="0" borderId="0" xfId="0" applyFont="1" applyProtection="1">
      <protection locked="0"/>
    </xf>
    <xf numFmtId="0" fontId="51" fillId="0" borderId="0" xfId="0" applyFont="1" applyAlignment="1" applyProtection="1">
      <alignment vertical="center"/>
      <protection locked="0"/>
    </xf>
    <xf numFmtId="3" fontId="7" fillId="2" borderId="40" xfId="1" applyNumberFormat="1" applyFont="1" applyFill="1" applyBorder="1" applyAlignment="1" applyProtection="1">
      <alignment horizontal="center" vertical="center"/>
      <protection locked="0"/>
    </xf>
    <xf numFmtId="3" fontId="7" fillId="6" borderId="19" xfId="1" applyNumberFormat="1" applyFont="1" applyFill="1" applyBorder="1" applyAlignment="1" applyProtection="1">
      <alignment horizontal="center" vertical="center"/>
    </xf>
    <xf numFmtId="3" fontId="7" fillId="6" borderId="31" xfId="1" applyNumberFormat="1" applyFont="1" applyFill="1" applyBorder="1" applyAlignment="1" applyProtection="1">
      <alignment horizontal="center" vertical="center"/>
    </xf>
    <xf numFmtId="3" fontId="7" fillId="6" borderId="1" xfId="1" applyNumberFormat="1" applyFont="1" applyFill="1" applyBorder="1" applyAlignment="1" applyProtection="1">
      <alignment horizontal="center" vertical="center"/>
    </xf>
    <xf numFmtId="3" fontId="7" fillId="6" borderId="14" xfId="1" applyNumberFormat="1" applyFont="1" applyFill="1" applyBorder="1" applyAlignment="1" applyProtection="1">
      <alignment horizontal="center" vertical="center"/>
    </xf>
    <xf numFmtId="0" fontId="20" fillId="6" borderId="3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</xf>
    <xf numFmtId="3" fontId="7" fillId="6" borderId="1" xfId="2" applyNumberFormat="1" applyFont="1" applyFill="1" applyBorder="1" applyAlignment="1" applyProtection="1">
      <alignment horizontal="center" vertical="center"/>
    </xf>
    <xf numFmtId="0" fontId="3" fillId="6" borderId="20" xfId="0" applyFont="1" applyFill="1" applyBorder="1" applyAlignment="1" applyProtection="1">
      <alignment horizontal="center" vertical="center" wrapText="1"/>
    </xf>
    <xf numFmtId="0" fontId="3" fillId="6" borderId="19" xfId="0" applyFont="1" applyFill="1" applyBorder="1" applyAlignment="1" applyProtection="1">
      <alignment horizontal="center" vertical="center" wrapText="1"/>
    </xf>
    <xf numFmtId="165" fontId="14" fillId="0" borderId="10" xfId="0" applyNumberFormat="1" applyFont="1" applyBorder="1" applyAlignment="1" applyProtection="1">
      <alignment horizontal="center" vertical="center" wrapText="1"/>
    </xf>
    <xf numFmtId="165" fontId="14" fillId="0" borderId="11" xfId="0" applyNumberFormat="1" applyFont="1" applyBorder="1" applyAlignment="1" applyProtection="1">
      <alignment horizontal="center" vertical="center" wrapText="1"/>
    </xf>
    <xf numFmtId="165" fontId="14" fillId="0" borderId="12" xfId="0" applyNumberFormat="1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 wrapText="1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1" xfId="1" applyNumberFormat="1" applyFont="1" applyFill="1" applyBorder="1" applyAlignment="1" applyProtection="1">
      <alignment horizontal="center" vertical="center"/>
    </xf>
    <xf numFmtId="3" fontId="7" fillId="6" borderId="12" xfId="1" applyNumberFormat="1" applyFont="1" applyFill="1" applyBorder="1" applyAlignment="1" applyProtection="1">
      <alignment horizontal="center" vertical="center"/>
    </xf>
    <xf numFmtId="166" fontId="22" fillId="0" borderId="20" xfId="0" applyNumberFormat="1" applyFont="1" applyBorder="1" applyAlignment="1" applyProtection="1">
      <alignment horizontal="center" vertical="center" wrapText="1"/>
    </xf>
    <xf numFmtId="166" fontId="22" fillId="0" borderId="29" xfId="0" applyNumberFormat="1" applyFont="1" applyBorder="1" applyAlignment="1" applyProtection="1">
      <alignment horizontal="center" vertical="center" wrapText="1"/>
    </xf>
    <xf numFmtId="0" fontId="20" fillId="6" borderId="1" xfId="0" applyFont="1" applyFill="1" applyBorder="1" applyAlignment="1" applyProtection="1">
      <alignment horizontal="center" vertical="center" wrapText="1"/>
    </xf>
    <xf numFmtId="0" fontId="7" fillId="2" borderId="2" xfId="2" applyNumberFormat="1" applyFont="1" applyFill="1" applyBorder="1" applyAlignment="1" applyProtection="1">
      <alignment horizontal="center" vertical="center"/>
      <protection locked="0"/>
    </xf>
    <xf numFmtId="0" fontId="7" fillId="2" borderId="3" xfId="2" applyNumberFormat="1" applyFont="1" applyFill="1" applyBorder="1" applyAlignment="1" applyProtection="1">
      <alignment horizontal="center" vertical="center"/>
      <protection locked="0"/>
    </xf>
    <xf numFmtId="0" fontId="7" fillId="2" borderId="4" xfId="2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</xf>
    <xf numFmtId="9" fontId="8" fillId="0" borderId="33" xfId="2" applyFont="1" applyBorder="1" applyAlignment="1" applyProtection="1">
      <alignment horizontal="left" vertical="center" wrapText="1"/>
    </xf>
    <xf numFmtId="9" fontId="8" fillId="0" borderId="32" xfId="2" applyFont="1" applyBorder="1" applyAlignment="1" applyProtection="1">
      <alignment horizontal="left" vertical="center" wrapText="1"/>
    </xf>
    <xf numFmtId="9" fontId="8" fillId="0" borderId="34" xfId="2" applyFont="1" applyBorder="1" applyAlignment="1" applyProtection="1">
      <alignment horizontal="left" vertical="center" wrapText="1"/>
    </xf>
    <xf numFmtId="165" fontId="28" fillId="0" borderId="30" xfId="0" applyNumberFormat="1" applyFont="1" applyBorder="1" applyAlignment="1" applyProtection="1">
      <alignment horizontal="center" vertical="center" wrapText="1"/>
    </xf>
    <xf numFmtId="0" fontId="28" fillId="0" borderId="19" xfId="0" applyNumberFormat="1" applyFont="1" applyBorder="1" applyAlignment="1" applyProtection="1">
      <alignment horizontal="center" vertical="center" wrapText="1"/>
    </xf>
    <xf numFmtId="0" fontId="28" fillId="0" borderId="31" xfId="0" applyNumberFormat="1" applyFont="1" applyBorder="1" applyAlignment="1" applyProtection="1">
      <alignment horizontal="center" vertical="center" wrapText="1"/>
    </xf>
    <xf numFmtId="3" fontId="7" fillId="6" borderId="16" xfId="1" applyNumberFormat="1" applyFont="1" applyFill="1" applyBorder="1" applyAlignment="1" applyProtection="1">
      <alignment horizontal="center" vertical="center"/>
    </xf>
    <xf numFmtId="3" fontId="7" fillId="6" borderId="17" xfId="1" applyNumberFormat="1" applyFont="1" applyFill="1" applyBorder="1" applyAlignment="1" applyProtection="1">
      <alignment horizontal="center" vertical="center"/>
    </xf>
    <xf numFmtId="166" fontId="22" fillId="0" borderId="16" xfId="0" applyNumberFormat="1" applyFont="1" applyBorder="1" applyAlignment="1" applyProtection="1">
      <alignment horizontal="center" vertical="center" wrapText="1"/>
    </xf>
    <xf numFmtId="166" fontId="22" fillId="0" borderId="17" xfId="0" applyNumberFormat="1" applyFont="1" applyBorder="1" applyAlignment="1" applyProtection="1">
      <alignment horizontal="center" vertical="center" wrapText="1"/>
    </xf>
    <xf numFmtId="166" fontId="22" fillId="0" borderId="1" xfId="0" applyNumberFormat="1" applyFont="1" applyBorder="1" applyAlignment="1" applyProtection="1">
      <alignment horizontal="center" vertical="center" wrapText="1"/>
    </xf>
    <xf numFmtId="166" fontId="22" fillId="0" borderId="14" xfId="0" applyNumberFormat="1" applyFont="1" applyBorder="1" applyAlignment="1" applyProtection="1">
      <alignment horizontal="center" vertical="center" wrapText="1"/>
    </xf>
    <xf numFmtId="165" fontId="8" fillId="6" borderId="1" xfId="2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 wrapText="1"/>
    </xf>
    <xf numFmtId="9" fontId="23" fillId="2" borderId="2" xfId="2" applyFont="1" applyFill="1" applyBorder="1" applyAlignment="1" applyProtection="1">
      <alignment vertical="center" wrapText="1"/>
      <protection locked="0"/>
    </xf>
    <xf numFmtId="9" fontId="23" fillId="2" borderId="4" xfId="2" applyFont="1" applyFill="1" applyBorder="1" applyAlignment="1" applyProtection="1">
      <alignment vertical="center" wrapText="1"/>
      <protection locked="0"/>
    </xf>
    <xf numFmtId="10" fontId="24" fillId="2" borderId="1" xfId="2" applyNumberFormat="1" applyFont="1" applyFill="1" applyBorder="1" applyAlignment="1" applyProtection="1">
      <alignment horizontal="center" vertical="center"/>
      <protection locked="0"/>
    </xf>
    <xf numFmtId="0" fontId="23" fillId="6" borderId="1" xfId="2" applyNumberFormat="1" applyFont="1" applyFill="1" applyBorder="1" applyAlignment="1" applyProtection="1">
      <alignment horizontal="center" vertical="center" wrapText="1"/>
      <protection locked="0"/>
    </xf>
    <xf numFmtId="0" fontId="16" fillId="0" borderId="16" xfId="0" applyFont="1" applyBorder="1" applyAlignment="1" applyProtection="1">
      <alignment horizontal="center" vertical="center"/>
    </xf>
    <xf numFmtId="0" fontId="22" fillId="6" borderId="1" xfId="0" applyFont="1" applyFill="1" applyBorder="1" applyAlignment="1" applyProtection="1">
      <alignment horizontal="center" vertical="center" wrapText="1"/>
    </xf>
    <xf numFmtId="0" fontId="22" fillId="6" borderId="20" xfId="0" applyFont="1" applyFill="1" applyBorder="1" applyAlignment="1" applyProtection="1">
      <alignment horizontal="center" vertical="center" wrapText="1"/>
    </xf>
    <xf numFmtId="0" fontId="22" fillId="6" borderId="19" xfId="0" applyFont="1" applyFill="1" applyBorder="1" applyAlignment="1" applyProtection="1">
      <alignment horizontal="center" vertical="center" wrapText="1"/>
    </xf>
    <xf numFmtId="3" fontId="15" fillId="6" borderId="16" xfId="1" applyNumberFormat="1" applyFont="1" applyFill="1" applyBorder="1" applyAlignment="1" applyProtection="1">
      <alignment horizontal="center" vertical="center"/>
    </xf>
    <xf numFmtId="3" fontId="15" fillId="6" borderId="17" xfId="1" applyNumberFormat="1" applyFont="1" applyFill="1" applyBorder="1" applyAlignment="1" applyProtection="1">
      <alignment horizontal="center" vertical="center"/>
    </xf>
    <xf numFmtId="0" fontId="27" fillId="6" borderId="5" xfId="0" applyFont="1" applyFill="1" applyBorder="1" applyAlignment="1" applyProtection="1">
      <alignment horizontal="left" vertical="center" wrapText="1"/>
    </xf>
    <xf numFmtId="0" fontId="17" fillId="6" borderId="1" xfId="2" applyNumberFormat="1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35" fillId="2" borderId="0" xfId="0" applyFont="1" applyFill="1" applyAlignment="1" applyProtection="1">
      <alignment horizontal="center" vertical="center"/>
    </xf>
    <xf numFmtId="0" fontId="20" fillId="6" borderId="5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center" vertical="center" wrapText="1"/>
    </xf>
    <xf numFmtId="0" fontId="14" fillId="0" borderId="0" xfId="0" applyFont="1" applyAlignment="1" applyProtection="1">
      <alignment horizontal="left" vertical="center" wrapText="1"/>
    </xf>
    <xf numFmtId="0" fontId="14" fillId="0" borderId="8" xfId="0" applyFont="1" applyBorder="1" applyAlignment="1" applyProtection="1">
      <alignment horizontal="left" vertical="center" wrapText="1"/>
    </xf>
    <xf numFmtId="0" fontId="14" fillId="2" borderId="2" xfId="0" applyFont="1" applyFill="1" applyBorder="1" applyAlignment="1" applyProtection="1">
      <alignment horizontal="center" vertical="center"/>
      <protection locked="0"/>
    </xf>
    <xf numFmtId="0" fontId="14" fillId="2" borderId="4" xfId="0" applyFont="1" applyFill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center" vertical="center" wrapText="1"/>
    </xf>
    <xf numFmtId="0" fontId="7" fillId="2" borderId="1" xfId="2" applyNumberFormat="1" applyFont="1" applyFill="1" applyBorder="1" applyAlignment="1" applyProtection="1">
      <alignment horizontal="center" vertical="center"/>
      <protection locked="0"/>
    </xf>
    <xf numFmtId="166" fontId="22" fillId="0" borderId="11" xfId="0" applyNumberFormat="1" applyFont="1" applyBorder="1" applyAlignment="1" applyProtection="1">
      <alignment horizontal="center" vertical="center" wrapText="1"/>
    </xf>
    <xf numFmtId="166" fontId="22" fillId="0" borderId="12" xfId="0" applyNumberFormat="1" applyFont="1" applyBorder="1" applyAlignment="1" applyProtection="1">
      <alignment horizontal="center" vertical="center" wrapText="1"/>
    </xf>
    <xf numFmtId="3" fontId="7" fillId="6" borderId="41" xfId="1" applyNumberFormat="1" applyFont="1" applyFill="1" applyBorder="1" applyAlignment="1" applyProtection="1">
      <alignment horizontal="center" vertical="center"/>
    </xf>
    <xf numFmtId="3" fontId="7" fillId="6" borderId="42" xfId="1" applyNumberFormat="1" applyFont="1" applyFill="1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left" vertical="center"/>
    </xf>
    <xf numFmtId="0" fontId="14" fillId="0" borderId="7" xfId="0" applyFont="1" applyBorder="1" applyAlignment="1" applyProtection="1">
      <alignment horizontal="left" vertical="center"/>
    </xf>
    <xf numFmtId="0" fontId="36" fillId="0" borderId="3" xfId="0" applyFont="1" applyBorder="1" applyAlignment="1" applyProtection="1">
      <alignment horizontal="left" vertical="center"/>
    </xf>
    <xf numFmtId="0" fontId="36" fillId="0" borderId="4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3" fillId="0" borderId="19" xfId="0" applyFont="1" applyBorder="1" applyAlignment="1" applyProtection="1">
      <alignment horizontal="center" vertical="center" wrapText="1"/>
    </xf>
    <xf numFmtId="0" fontId="8" fillId="6" borderId="1" xfId="2" applyNumberFormat="1" applyFont="1" applyFill="1" applyBorder="1" applyAlignment="1" applyProtection="1">
      <alignment vertical="center" wrapText="1"/>
    </xf>
    <xf numFmtId="0" fontId="21" fillId="2" borderId="0" xfId="0" applyFont="1" applyFill="1" applyAlignment="1" applyProtection="1">
      <alignment horizontal="center" vertical="center"/>
    </xf>
    <xf numFmtId="0" fontId="16" fillId="0" borderId="0" xfId="0" applyFont="1" applyAlignment="1" applyProtection="1">
      <alignment horizontal="center" vertical="center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30" fillId="7" borderId="0" xfId="6" applyFont="1" applyFill="1" applyBorder="1" applyAlignment="1">
      <alignment horizontal="center" wrapText="1"/>
    </xf>
    <xf numFmtId="0" fontId="31" fillId="7" borderId="0" xfId="6" applyFont="1" applyFill="1" applyBorder="1" applyAlignment="1">
      <alignment horizontal="center" wrapText="1"/>
    </xf>
    <xf numFmtId="9" fontId="23" fillId="6" borderId="1" xfId="2" applyNumberFormat="1" applyFont="1" applyFill="1" applyBorder="1" applyAlignment="1" applyProtection="1">
      <alignment horizontal="center" vertical="center" wrapText="1"/>
    </xf>
    <xf numFmtId="0" fontId="23" fillId="6" borderId="1" xfId="2" applyNumberFormat="1" applyFont="1" applyFill="1" applyBorder="1" applyAlignment="1" applyProtection="1">
      <alignment horizontal="center" vertical="center" wrapText="1"/>
    </xf>
    <xf numFmtId="3" fontId="24" fillId="6" borderId="1" xfId="1" applyNumberFormat="1" applyFont="1" applyFill="1" applyBorder="1" applyAlignment="1" applyProtection="1">
      <alignment horizontal="center" vertical="center"/>
    </xf>
    <xf numFmtId="10" fontId="24" fillId="6" borderId="2" xfId="2" applyNumberFormat="1" applyFont="1" applyFill="1" applyBorder="1" applyAlignment="1" applyProtection="1">
      <alignment horizontal="center" vertical="center"/>
    </xf>
    <xf numFmtId="10" fontId="24" fillId="6" borderId="4" xfId="2" applyNumberFormat="1" applyFont="1" applyFill="1" applyBorder="1" applyAlignment="1" applyProtection="1">
      <alignment horizontal="center" vertical="center"/>
    </xf>
    <xf numFmtId="9" fontId="8" fillId="0" borderId="0" xfId="2" applyFont="1" applyBorder="1" applyAlignment="1" applyProtection="1">
      <alignment vertical="center" wrapText="1"/>
    </xf>
    <xf numFmtId="9" fontId="8" fillId="0" borderId="8" xfId="2" applyFont="1" applyBorder="1" applyAlignment="1" applyProtection="1">
      <alignment vertical="center" wrapText="1"/>
    </xf>
    <xf numFmtId="167" fontId="7" fillId="6" borderId="1" xfId="2" applyNumberFormat="1" applyFont="1" applyFill="1" applyBorder="1" applyAlignment="1" applyProtection="1">
      <alignment horizontal="center" vertical="center"/>
    </xf>
    <xf numFmtId="3" fontId="7" fillId="6" borderId="2" xfId="1" applyNumberFormat="1" applyFont="1" applyFill="1" applyBorder="1" applyAlignment="1" applyProtection="1">
      <alignment horizontal="center" vertical="center"/>
    </xf>
    <xf numFmtId="3" fontId="7" fillId="6" borderId="4" xfId="1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9" fontId="7" fillId="0" borderId="0" xfId="2" applyFont="1" applyBorder="1" applyAlignment="1" applyProtection="1">
      <alignment horizontal="center" vertical="center" wrapText="1"/>
    </xf>
    <xf numFmtId="167" fontId="15" fillId="6" borderId="0" xfId="2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Border="1" applyAlignment="1" applyProtection="1">
      <alignment horizontal="center" vertical="center"/>
    </xf>
    <xf numFmtId="3" fontId="6" fillId="0" borderId="3" xfId="1" applyNumberFormat="1" applyFont="1" applyBorder="1" applyAlignment="1" applyProtection="1">
      <alignment horizontal="center" vertical="center"/>
    </xf>
    <xf numFmtId="3" fontId="6" fillId="0" borderId="4" xfId="1" applyNumberFormat="1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0" fontId="3" fillId="0" borderId="3" xfId="0" applyFont="1" applyBorder="1" applyAlignment="1" applyProtection="1">
      <alignment horizontal="center" vertical="center" wrapText="1"/>
    </xf>
    <xf numFmtId="9" fontId="6" fillId="0" borderId="1" xfId="2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3" fontId="6" fillId="6" borderId="1" xfId="1" applyNumberFormat="1" applyFont="1" applyFill="1" applyBorder="1" applyAlignment="1" applyProtection="1">
      <alignment horizontal="center" vertical="center"/>
    </xf>
    <xf numFmtId="9" fontId="8" fillId="0" borderId="0" xfId="2" applyFont="1" applyBorder="1" applyAlignment="1" applyProtection="1">
      <alignment horizontal="left" vertical="center" wrapText="1"/>
    </xf>
    <xf numFmtId="9" fontId="8" fillId="0" borderId="8" xfId="2" applyFont="1" applyBorder="1" applyAlignment="1" applyProtection="1">
      <alignment horizontal="left" vertical="center" wrapText="1"/>
    </xf>
    <xf numFmtId="0" fontId="20" fillId="6" borderId="3" xfId="0" applyFont="1" applyFill="1" applyBorder="1" applyAlignment="1" applyProtection="1">
      <alignment horizontal="left" wrapText="1"/>
    </xf>
    <xf numFmtId="0" fontId="37" fillId="0" borderId="1" xfId="0" applyFont="1" applyBorder="1" applyAlignment="1" applyProtection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 wrapText="1"/>
    </xf>
    <xf numFmtId="3" fontId="6" fillId="0" borderId="1" xfId="1" applyNumberFormat="1" applyFont="1" applyBorder="1" applyAlignment="1" applyProtection="1">
      <alignment horizontal="center" vertical="center"/>
    </xf>
    <xf numFmtId="3" fontId="15" fillId="6" borderId="7" xfId="1" applyNumberFormat="1" applyFont="1" applyFill="1" applyBorder="1" applyAlignment="1" applyProtection="1">
      <alignment horizontal="center" vertical="center"/>
    </xf>
    <xf numFmtId="3" fontId="15" fillId="6" borderId="1" xfId="1" applyNumberFormat="1" applyFont="1" applyFill="1" applyBorder="1" applyAlignment="1" applyProtection="1">
      <alignment horizontal="center" vertical="center"/>
    </xf>
    <xf numFmtId="0" fontId="20" fillId="6" borderId="5" xfId="0" applyFont="1" applyFill="1" applyBorder="1" applyAlignment="1" applyProtection="1">
      <alignment horizontal="left" wrapText="1"/>
    </xf>
    <xf numFmtId="0" fontId="36" fillId="0" borderId="0" xfId="0" applyFont="1" applyBorder="1" applyAlignment="1" applyProtection="1">
      <alignment horizontal="left" vertical="center"/>
    </xf>
    <xf numFmtId="0" fontId="8" fillId="0" borderId="0" xfId="2" applyNumberFormat="1" applyFont="1" applyBorder="1" applyAlignment="1" applyProtection="1">
      <alignment horizontal="left" vertical="center" wrapText="1"/>
    </xf>
    <xf numFmtId="0" fontId="8" fillId="0" borderId="8" xfId="2" applyNumberFormat="1" applyFont="1" applyBorder="1" applyAlignment="1" applyProtection="1">
      <alignment horizontal="left" vertical="center" wrapText="1"/>
    </xf>
    <xf numFmtId="10" fontId="24" fillId="6" borderId="1" xfId="2" applyNumberFormat="1" applyFont="1" applyFill="1" applyBorder="1" applyAlignment="1" applyProtection="1">
      <alignment horizontal="center" vertical="center"/>
    </xf>
    <xf numFmtId="0" fontId="37" fillId="6" borderId="2" xfId="3" applyFont="1" applyFill="1" applyBorder="1" applyAlignment="1" applyProtection="1">
      <alignment horizontal="center" vertical="center" wrapText="1"/>
    </xf>
    <xf numFmtId="0" fontId="37" fillId="6" borderId="3" xfId="3" applyFont="1" applyFill="1" applyBorder="1" applyAlignment="1" applyProtection="1">
      <alignment horizontal="center" vertical="center" wrapText="1"/>
    </xf>
    <xf numFmtId="0" fontId="37" fillId="6" borderId="4" xfId="3" applyFont="1" applyFill="1" applyBorder="1" applyAlignment="1" applyProtection="1">
      <alignment horizontal="center" vertical="center" wrapText="1"/>
    </xf>
    <xf numFmtId="0" fontId="37" fillId="0" borderId="2" xfId="3" applyFont="1" applyBorder="1" applyAlignment="1" applyProtection="1">
      <alignment horizontal="center" vertical="center" wrapText="1"/>
    </xf>
    <xf numFmtId="0" fontId="37" fillId="0" borderId="3" xfId="3" applyFont="1" applyBorder="1" applyAlignment="1" applyProtection="1">
      <alignment horizontal="center" vertical="center" wrapText="1"/>
    </xf>
    <xf numFmtId="0" fontId="37" fillId="0" borderId="4" xfId="3" applyFont="1" applyBorder="1" applyAlignment="1" applyProtection="1">
      <alignment horizontal="center" vertical="center" wrapText="1"/>
    </xf>
    <xf numFmtId="0" fontId="37" fillId="0" borderId="1" xfId="3" applyFont="1" applyBorder="1" applyAlignment="1" applyProtection="1">
      <alignment horizontal="center" vertical="center" wrapText="1"/>
    </xf>
    <xf numFmtId="0" fontId="42" fillId="4" borderId="0" xfId="0" applyFont="1" applyFill="1" applyBorder="1" applyAlignment="1" applyProtection="1">
      <alignment horizontal="center" vertical="center" wrapText="1"/>
    </xf>
    <xf numFmtId="0" fontId="42" fillId="4" borderId="9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8">
    <cellStyle name="Excel Built-in Percent" xfId="7" xr:uid="{C18440C9-7989-4F94-836D-264BD0653A4E}"/>
    <cellStyle name="Обычный" xfId="0" builtinId="0"/>
    <cellStyle name="Обычный 2" xfId="6" xr:uid="{C7181535-6DE3-4FEA-83C0-23C73A830FF3}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3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'ИД Графики'!$F$2</c:f>
              <c:strCache>
                <c:ptCount val="1"/>
                <c:pt idx="0">
                  <c:v>ДИНАМІКА ПРОДАЖІВ, UAH/міс.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'ИД Графики'!$G$1:$AP$1</c:f>
              <c:strCache>
                <c:ptCount val="36"/>
                <c:pt idx="0">
                  <c:v>січень</c:v>
                </c:pt>
                <c:pt idx="1">
                  <c:v>лютий</c:v>
                </c:pt>
                <c:pt idx="2">
                  <c:v>березень</c:v>
                </c:pt>
                <c:pt idx="3">
                  <c:v>квітень</c:v>
                </c:pt>
                <c:pt idx="4">
                  <c:v>травень</c:v>
                </c:pt>
                <c:pt idx="5">
                  <c:v>червень</c:v>
                </c:pt>
                <c:pt idx="6">
                  <c:v>липень</c:v>
                </c:pt>
                <c:pt idx="7">
                  <c:v>серпень</c:v>
                </c:pt>
                <c:pt idx="8">
                  <c:v>вересень</c:v>
                </c:pt>
                <c:pt idx="9">
                  <c:v>жовтень</c:v>
                </c:pt>
                <c:pt idx="10">
                  <c:v>листопад</c:v>
                </c:pt>
                <c:pt idx="11">
                  <c:v>грудень</c:v>
                </c:pt>
                <c:pt idx="12">
                  <c:v>січень</c:v>
                </c:pt>
                <c:pt idx="13">
                  <c:v>лютий</c:v>
                </c:pt>
                <c:pt idx="14">
                  <c:v>березень</c:v>
                </c:pt>
                <c:pt idx="15">
                  <c:v>квітень</c:v>
                </c:pt>
                <c:pt idx="16">
                  <c:v>травень</c:v>
                </c:pt>
                <c:pt idx="17">
                  <c:v>червень</c:v>
                </c:pt>
                <c:pt idx="18">
                  <c:v>липень</c:v>
                </c:pt>
                <c:pt idx="19">
                  <c:v>серпень</c:v>
                </c:pt>
                <c:pt idx="20">
                  <c:v>вересень</c:v>
                </c:pt>
                <c:pt idx="21">
                  <c:v>жовтень</c:v>
                </c:pt>
                <c:pt idx="22">
                  <c:v>листопад</c:v>
                </c:pt>
                <c:pt idx="23">
                  <c:v>грудень</c:v>
                </c:pt>
                <c:pt idx="24">
                  <c:v>січень</c:v>
                </c:pt>
                <c:pt idx="25">
                  <c:v>лютий</c:v>
                </c:pt>
                <c:pt idx="26">
                  <c:v>березень</c:v>
                </c:pt>
                <c:pt idx="27">
                  <c:v>квітень</c:v>
                </c:pt>
                <c:pt idx="28">
                  <c:v>травень</c:v>
                </c:pt>
                <c:pt idx="29">
                  <c:v>червень</c:v>
                </c:pt>
                <c:pt idx="30">
                  <c:v>липень</c:v>
                </c:pt>
                <c:pt idx="31">
                  <c:v>серпень</c:v>
                </c:pt>
                <c:pt idx="32">
                  <c:v>вересень</c:v>
                </c:pt>
                <c:pt idx="33">
                  <c:v>жовтень</c:v>
                </c:pt>
                <c:pt idx="34">
                  <c:v>листопад</c:v>
                </c:pt>
                <c:pt idx="35">
                  <c:v>грудень</c:v>
                </c:pt>
              </c:strCache>
            </c:strRef>
          </c:cat>
          <c:val>
            <c:numRef>
              <c:f>'ИД Графики'!$G$2:$AP$2</c:f>
              <c:numCache>
                <c:formatCode>#,##0</c:formatCode>
                <c:ptCount val="36"/>
                <c:pt idx="0">
                  <c:v>186000</c:v>
                </c:pt>
                <c:pt idx="1">
                  <c:v>210000</c:v>
                </c:pt>
                <c:pt idx="2">
                  <c:v>232500</c:v>
                </c:pt>
                <c:pt idx="3">
                  <c:v>225000</c:v>
                </c:pt>
                <c:pt idx="4">
                  <c:v>232500</c:v>
                </c:pt>
                <c:pt idx="5">
                  <c:v>225000</c:v>
                </c:pt>
                <c:pt idx="6">
                  <c:v>232500</c:v>
                </c:pt>
                <c:pt idx="7">
                  <c:v>232500</c:v>
                </c:pt>
                <c:pt idx="8">
                  <c:v>225000</c:v>
                </c:pt>
                <c:pt idx="9">
                  <c:v>232500</c:v>
                </c:pt>
                <c:pt idx="10">
                  <c:v>225000</c:v>
                </c:pt>
                <c:pt idx="11">
                  <c:v>232500</c:v>
                </c:pt>
                <c:pt idx="12">
                  <c:v>279000</c:v>
                </c:pt>
                <c:pt idx="13">
                  <c:v>252000</c:v>
                </c:pt>
                <c:pt idx="14">
                  <c:v>279000</c:v>
                </c:pt>
                <c:pt idx="15">
                  <c:v>270000</c:v>
                </c:pt>
                <c:pt idx="16">
                  <c:v>279000</c:v>
                </c:pt>
                <c:pt idx="17">
                  <c:v>270000</c:v>
                </c:pt>
                <c:pt idx="18">
                  <c:v>279000</c:v>
                </c:pt>
                <c:pt idx="19">
                  <c:v>279000</c:v>
                </c:pt>
                <c:pt idx="20">
                  <c:v>270000</c:v>
                </c:pt>
                <c:pt idx="21">
                  <c:v>279000</c:v>
                </c:pt>
                <c:pt idx="22">
                  <c:v>270000</c:v>
                </c:pt>
                <c:pt idx="23">
                  <c:v>279000</c:v>
                </c:pt>
                <c:pt idx="24">
                  <c:v>302250</c:v>
                </c:pt>
                <c:pt idx="25">
                  <c:v>273000</c:v>
                </c:pt>
                <c:pt idx="26">
                  <c:v>302250</c:v>
                </c:pt>
                <c:pt idx="27">
                  <c:v>292500</c:v>
                </c:pt>
                <c:pt idx="28">
                  <c:v>302250</c:v>
                </c:pt>
                <c:pt idx="29">
                  <c:v>292500</c:v>
                </c:pt>
                <c:pt idx="30">
                  <c:v>302250</c:v>
                </c:pt>
                <c:pt idx="31">
                  <c:v>302250</c:v>
                </c:pt>
                <c:pt idx="32">
                  <c:v>292500</c:v>
                </c:pt>
                <c:pt idx="33">
                  <c:v>302250</c:v>
                </c:pt>
                <c:pt idx="34">
                  <c:v>292500</c:v>
                </c:pt>
                <c:pt idx="35">
                  <c:v>302250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2-4429-A00E-FB79D6C59407}"/>
            </c:ext>
          </c:extLst>
        </c:ser>
        <c:ser>
          <c:idx val="1"/>
          <c:order val="1"/>
          <c:tx>
            <c:strRef>
              <c:f>'ИД Графики'!$F$3</c:f>
              <c:strCache>
                <c:ptCount val="1"/>
                <c:pt idx="0">
                  <c:v>ДИНАМІКА ВИТРАТ, UAH/міс.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'ИД Графики'!$G$1:$AP$1</c:f>
              <c:strCache>
                <c:ptCount val="36"/>
                <c:pt idx="0">
                  <c:v>січень</c:v>
                </c:pt>
                <c:pt idx="1">
                  <c:v>лютий</c:v>
                </c:pt>
                <c:pt idx="2">
                  <c:v>березень</c:v>
                </c:pt>
                <c:pt idx="3">
                  <c:v>квітень</c:v>
                </c:pt>
                <c:pt idx="4">
                  <c:v>травень</c:v>
                </c:pt>
                <c:pt idx="5">
                  <c:v>червень</c:v>
                </c:pt>
                <c:pt idx="6">
                  <c:v>липень</c:v>
                </c:pt>
                <c:pt idx="7">
                  <c:v>серпень</c:v>
                </c:pt>
                <c:pt idx="8">
                  <c:v>вересень</c:v>
                </c:pt>
                <c:pt idx="9">
                  <c:v>жовтень</c:v>
                </c:pt>
                <c:pt idx="10">
                  <c:v>листопад</c:v>
                </c:pt>
                <c:pt idx="11">
                  <c:v>грудень</c:v>
                </c:pt>
                <c:pt idx="12">
                  <c:v>січень</c:v>
                </c:pt>
                <c:pt idx="13">
                  <c:v>лютий</c:v>
                </c:pt>
                <c:pt idx="14">
                  <c:v>березень</c:v>
                </c:pt>
                <c:pt idx="15">
                  <c:v>квітень</c:v>
                </c:pt>
                <c:pt idx="16">
                  <c:v>травень</c:v>
                </c:pt>
                <c:pt idx="17">
                  <c:v>червень</c:v>
                </c:pt>
                <c:pt idx="18">
                  <c:v>липень</c:v>
                </c:pt>
                <c:pt idx="19">
                  <c:v>серпень</c:v>
                </c:pt>
                <c:pt idx="20">
                  <c:v>вересень</c:v>
                </c:pt>
                <c:pt idx="21">
                  <c:v>жовтень</c:v>
                </c:pt>
                <c:pt idx="22">
                  <c:v>листопад</c:v>
                </c:pt>
                <c:pt idx="23">
                  <c:v>грудень</c:v>
                </c:pt>
                <c:pt idx="24">
                  <c:v>січень</c:v>
                </c:pt>
                <c:pt idx="25">
                  <c:v>лютий</c:v>
                </c:pt>
                <c:pt idx="26">
                  <c:v>березень</c:v>
                </c:pt>
                <c:pt idx="27">
                  <c:v>квітень</c:v>
                </c:pt>
                <c:pt idx="28">
                  <c:v>травень</c:v>
                </c:pt>
                <c:pt idx="29">
                  <c:v>червень</c:v>
                </c:pt>
                <c:pt idx="30">
                  <c:v>липень</c:v>
                </c:pt>
                <c:pt idx="31">
                  <c:v>серпень</c:v>
                </c:pt>
                <c:pt idx="32">
                  <c:v>вересень</c:v>
                </c:pt>
                <c:pt idx="33">
                  <c:v>жовтень</c:v>
                </c:pt>
                <c:pt idx="34">
                  <c:v>листопад</c:v>
                </c:pt>
                <c:pt idx="35">
                  <c:v>грудень</c:v>
                </c:pt>
              </c:strCache>
            </c:strRef>
          </c:cat>
          <c:val>
            <c:numRef>
              <c:f>'ИД Графики'!$G$3:$AP$3</c:f>
              <c:numCache>
                <c:formatCode>#,##0</c:formatCode>
                <c:ptCount val="36"/>
                <c:pt idx="0">
                  <c:v>154560</c:v>
                </c:pt>
                <c:pt idx="1">
                  <c:v>161100</c:v>
                </c:pt>
                <c:pt idx="2">
                  <c:v>174787.5</c:v>
                </c:pt>
                <c:pt idx="3">
                  <c:v>170225</c:v>
                </c:pt>
                <c:pt idx="4">
                  <c:v>174787.5</c:v>
                </c:pt>
                <c:pt idx="5">
                  <c:v>170225</c:v>
                </c:pt>
                <c:pt idx="6">
                  <c:v>174787.5</c:v>
                </c:pt>
                <c:pt idx="7">
                  <c:v>174787.5</c:v>
                </c:pt>
                <c:pt idx="8">
                  <c:v>170225</c:v>
                </c:pt>
                <c:pt idx="9">
                  <c:v>174787.5</c:v>
                </c:pt>
                <c:pt idx="10">
                  <c:v>170225</c:v>
                </c:pt>
                <c:pt idx="11">
                  <c:v>174787.5</c:v>
                </c:pt>
                <c:pt idx="12">
                  <c:v>195015</c:v>
                </c:pt>
                <c:pt idx="13">
                  <c:v>179370</c:v>
                </c:pt>
                <c:pt idx="14">
                  <c:v>195015</c:v>
                </c:pt>
                <c:pt idx="15">
                  <c:v>189800</c:v>
                </c:pt>
                <c:pt idx="16">
                  <c:v>195015</c:v>
                </c:pt>
                <c:pt idx="17">
                  <c:v>189800</c:v>
                </c:pt>
                <c:pt idx="18">
                  <c:v>195015</c:v>
                </c:pt>
                <c:pt idx="19">
                  <c:v>195015</c:v>
                </c:pt>
                <c:pt idx="20">
                  <c:v>189800</c:v>
                </c:pt>
                <c:pt idx="21">
                  <c:v>195015</c:v>
                </c:pt>
                <c:pt idx="22">
                  <c:v>189800</c:v>
                </c:pt>
                <c:pt idx="23">
                  <c:v>195015</c:v>
                </c:pt>
                <c:pt idx="24">
                  <c:v>205128.75</c:v>
                </c:pt>
                <c:pt idx="25">
                  <c:v>188505</c:v>
                </c:pt>
                <c:pt idx="26">
                  <c:v>205128.75</c:v>
                </c:pt>
                <c:pt idx="27">
                  <c:v>199587.5</c:v>
                </c:pt>
                <c:pt idx="28">
                  <c:v>205128.75</c:v>
                </c:pt>
                <c:pt idx="29">
                  <c:v>199587.5</c:v>
                </c:pt>
                <c:pt idx="30">
                  <c:v>205128.75</c:v>
                </c:pt>
                <c:pt idx="31">
                  <c:v>205128.75</c:v>
                </c:pt>
                <c:pt idx="32">
                  <c:v>199587.5</c:v>
                </c:pt>
                <c:pt idx="33">
                  <c:v>205128.75</c:v>
                </c:pt>
                <c:pt idx="34">
                  <c:v>199587.5</c:v>
                </c:pt>
                <c:pt idx="35">
                  <c:v>205128.75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2-4429-A00E-FB79D6C59407}"/>
            </c:ext>
          </c:extLst>
        </c:ser>
        <c:ser>
          <c:idx val="4"/>
          <c:order val="4"/>
          <c:tx>
            <c:strRef>
              <c:f>'ИД Графики'!$F$6</c:f>
              <c:strCache>
                <c:ptCount val="1"/>
                <c:pt idx="0">
                  <c:v>ЧИСТИЙ ПРИБУТОК, UAH/міс.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'ИД Графики'!$G$1:$AP$1</c:f>
              <c:strCache>
                <c:ptCount val="36"/>
                <c:pt idx="0">
                  <c:v>січень</c:v>
                </c:pt>
                <c:pt idx="1">
                  <c:v>лютий</c:v>
                </c:pt>
                <c:pt idx="2">
                  <c:v>березень</c:v>
                </c:pt>
                <c:pt idx="3">
                  <c:v>квітень</c:v>
                </c:pt>
                <c:pt idx="4">
                  <c:v>травень</c:v>
                </c:pt>
                <c:pt idx="5">
                  <c:v>червень</c:v>
                </c:pt>
                <c:pt idx="6">
                  <c:v>липень</c:v>
                </c:pt>
                <c:pt idx="7">
                  <c:v>серпень</c:v>
                </c:pt>
                <c:pt idx="8">
                  <c:v>вересень</c:v>
                </c:pt>
                <c:pt idx="9">
                  <c:v>жовтень</c:v>
                </c:pt>
                <c:pt idx="10">
                  <c:v>листопад</c:v>
                </c:pt>
                <c:pt idx="11">
                  <c:v>грудень</c:v>
                </c:pt>
                <c:pt idx="12">
                  <c:v>січень</c:v>
                </c:pt>
                <c:pt idx="13">
                  <c:v>лютий</c:v>
                </c:pt>
                <c:pt idx="14">
                  <c:v>березень</c:v>
                </c:pt>
                <c:pt idx="15">
                  <c:v>квітень</c:v>
                </c:pt>
                <c:pt idx="16">
                  <c:v>травень</c:v>
                </c:pt>
                <c:pt idx="17">
                  <c:v>червень</c:v>
                </c:pt>
                <c:pt idx="18">
                  <c:v>липень</c:v>
                </c:pt>
                <c:pt idx="19">
                  <c:v>серпень</c:v>
                </c:pt>
                <c:pt idx="20">
                  <c:v>вересень</c:v>
                </c:pt>
                <c:pt idx="21">
                  <c:v>жовтень</c:v>
                </c:pt>
                <c:pt idx="22">
                  <c:v>листопад</c:v>
                </c:pt>
                <c:pt idx="23">
                  <c:v>грудень</c:v>
                </c:pt>
                <c:pt idx="24">
                  <c:v>січень</c:v>
                </c:pt>
                <c:pt idx="25">
                  <c:v>лютий</c:v>
                </c:pt>
                <c:pt idx="26">
                  <c:v>березень</c:v>
                </c:pt>
                <c:pt idx="27">
                  <c:v>квітень</c:v>
                </c:pt>
                <c:pt idx="28">
                  <c:v>травень</c:v>
                </c:pt>
                <c:pt idx="29">
                  <c:v>червень</c:v>
                </c:pt>
                <c:pt idx="30">
                  <c:v>липень</c:v>
                </c:pt>
                <c:pt idx="31">
                  <c:v>серпень</c:v>
                </c:pt>
                <c:pt idx="32">
                  <c:v>вересень</c:v>
                </c:pt>
                <c:pt idx="33">
                  <c:v>жовтень</c:v>
                </c:pt>
                <c:pt idx="34">
                  <c:v>листопад</c:v>
                </c:pt>
                <c:pt idx="35">
                  <c:v>грудень</c:v>
                </c:pt>
              </c:strCache>
            </c:strRef>
          </c:cat>
          <c:val>
            <c:numRef>
              <c:f>'ИД Графики'!$G$6:$AP$6</c:f>
              <c:numCache>
                <c:formatCode>#,##0</c:formatCode>
                <c:ptCount val="36"/>
                <c:pt idx="0">
                  <c:v>31440</c:v>
                </c:pt>
                <c:pt idx="1">
                  <c:v>48900</c:v>
                </c:pt>
                <c:pt idx="2">
                  <c:v>57712.5</c:v>
                </c:pt>
                <c:pt idx="3">
                  <c:v>54775</c:v>
                </c:pt>
                <c:pt idx="4">
                  <c:v>57712.5</c:v>
                </c:pt>
                <c:pt idx="5">
                  <c:v>54775</c:v>
                </c:pt>
                <c:pt idx="6">
                  <c:v>57712.5</c:v>
                </c:pt>
                <c:pt idx="7">
                  <c:v>57712.5</c:v>
                </c:pt>
                <c:pt idx="8">
                  <c:v>54775</c:v>
                </c:pt>
                <c:pt idx="9">
                  <c:v>57712.5</c:v>
                </c:pt>
                <c:pt idx="10">
                  <c:v>54775</c:v>
                </c:pt>
                <c:pt idx="11">
                  <c:v>57712.5</c:v>
                </c:pt>
                <c:pt idx="12">
                  <c:v>83985</c:v>
                </c:pt>
                <c:pt idx="13">
                  <c:v>72630</c:v>
                </c:pt>
                <c:pt idx="14">
                  <c:v>83985</c:v>
                </c:pt>
                <c:pt idx="15">
                  <c:v>80200</c:v>
                </c:pt>
                <c:pt idx="16">
                  <c:v>83985</c:v>
                </c:pt>
                <c:pt idx="17">
                  <c:v>80200</c:v>
                </c:pt>
                <c:pt idx="18">
                  <c:v>83985</c:v>
                </c:pt>
                <c:pt idx="19">
                  <c:v>83985</c:v>
                </c:pt>
                <c:pt idx="20">
                  <c:v>80200</c:v>
                </c:pt>
                <c:pt idx="21">
                  <c:v>83985</c:v>
                </c:pt>
                <c:pt idx="22">
                  <c:v>80200</c:v>
                </c:pt>
                <c:pt idx="23">
                  <c:v>83985</c:v>
                </c:pt>
                <c:pt idx="24">
                  <c:v>97121.25</c:v>
                </c:pt>
                <c:pt idx="25">
                  <c:v>84495</c:v>
                </c:pt>
                <c:pt idx="26">
                  <c:v>97121.25</c:v>
                </c:pt>
                <c:pt idx="27">
                  <c:v>92912.5</c:v>
                </c:pt>
                <c:pt idx="28">
                  <c:v>97121.25</c:v>
                </c:pt>
                <c:pt idx="29">
                  <c:v>92912.5</c:v>
                </c:pt>
                <c:pt idx="30">
                  <c:v>97121.25</c:v>
                </c:pt>
                <c:pt idx="31">
                  <c:v>97121.25</c:v>
                </c:pt>
                <c:pt idx="32">
                  <c:v>92912.5</c:v>
                </c:pt>
                <c:pt idx="33">
                  <c:v>97121.25</c:v>
                </c:pt>
                <c:pt idx="34">
                  <c:v>92912.5</c:v>
                </c:pt>
                <c:pt idx="35">
                  <c:v>97121.25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62-4429-A00E-FB79D6C5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46952"/>
        <c:axId val="43018636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'ИД Графики'!$F$4</c15:sqref>
                        </c15:formulaRef>
                      </c:ext>
                    </c:extLst>
                    <c:strCache>
                      <c:ptCount val="1"/>
                      <c:pt idx="0">
                        <c:v>ДИНАМІКА СОБІВАРТОСТІ, UAH/міс.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'ИД Графики'!$G$1:$AP$1</c15:sqref>
                        </c15:formulaRef>
                      </c:ext>
                    </c:extLst>
                    <c:strCache>
                      <c:ptCount val="36"/>
                      <c:pt idx="0">
                        <c:v>січень</c:v>
                      </c:pt>
                      <c:pt idx="1">
                        <c:v>лютий</c:v>
                      </c:pt>
                      <c:pt idx="2">
                        <c:v>березень</c:v>
                      </c:pt>
                      <c:pt idx="3">
                        <c:v>квітень</c:v>
                      </c:pt>
                      <c:pt idx="4">
                        <c:v>травень</c:v>
                      </c:pt>
                      <c:pt idx="5">
                        <c:v>червень</c:v>
                      </c:pt>
                      <c:pt idx="6">
                        <c:v>липень</c:v>
                      </c:pt>
                      <c:pt idx="7">
                        <c:v>серпень</c:v>
                      </c:pt>
                      <c:pt idx="8">
                        <c:v>вересень</c:v>
                      </c:pt>
                      <c:pt idx="9">
                        <c:v>жовтень</c:v>
                      </c:pt>
                      <c:pt idx="10">
                        <c:v>листопад</c:v>
                      </c:pt>
                      <c:pt idx="11">
                        <c:v>грудень</c:v>
                      </c:pt>
                      <c:pt idx="12">
                        <c:v>січень</c:v>
                      </c:pt>
                      <c:pt idx="13">
                        <c:v>лютий</c:v>
                      </c:pt>
                      <c:pt idx="14">
                        <c:v>березень</c:v>
                      </c:pt>
                      <c:pt idx="15">
                        <c:v>квітень</c:v>
                      </c:pt>
                      <c:pt idx="16">
                        <c:v>травень</c:v>
                      </c:pt>
                      <c:pt idx="17">
                        <c:v>червень</c:v>
                      </c:pt>
                      <c:pt idx="18">
                        <c:v>липень</c:v>
                      </c:pt>
                      <c:pt idx="19">
                        <c:v>серпень</c:v>
                      </c:pt>
                      <c:pt idx="20">
                        <c:v>вересень</c:v>
                      </c:pt>
                      <c:pt idx="21">
                        <c:v>жовтень</c:v>
                      </c:pt>
                      <c:pt idx="22">
                        <c:v>листопад</c:v>
                      </c:pt>
                      <c:pt idx="23">
                        <c:v>грудень</c:v>
                      </c:pt>
                      <c:pt idx="24">
                        <c:v>січень</c:v>
                      </c:pt>
                      <c:pt idx="25">
                        <c:v>лютий</c:v>
                      </c:pt>
                      <c:pt idx="26">
                        <c:v>березень</c:v>
                      </c:pt>
                      <c:pt idx="27">
                        <c:v>квітень</c:v>
                      </c:pt>
                      <c:pt idx="28">
                        <c:v>травень</c:v>
                      </c:pt>
                      <c:pt idx="29">
                        <c:v>червень</c:v>
                      </c:pt>
                      <c:pt idx="30">
                        <c:v>липень</c:v>
                      </c:pt>
                      <c:pt idx="31">
                        <c:v>серпень</c:v>
                      </c:pt>
                      <c:pt idx="32">
                        <c:v>вересень</c:v>
                      </c:pt>
                      <c:pt idx="33">
                        <c:v>жовтень</c:v>
                      </c:pt>
                      <c:pt idx="34">
                        <c:v>листопад</c:v>
                      </c:pt>
                      <c:pt idx="35">
                        <c:v>грудень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'ИД Графики'!$G$4:$AP$4</c15:sqref>
                        </c15:formulaRef>
                      </c:ext>
                    </c:extLst>
                    <c:numCache>
                      <c:formatCode>#,##0</c:formatCode>
                      <c:ptCount val="36"/>
                      <c:pt idx="0">
                        <c:v>74400</c:v>
                      </c:pt>
                      <c:pt idx="1">
                        <c:v>84000</c:v>
                      </c:pt>
                      <c:pt idx="2">
                        <c:v>93000</c:v>
                      </c:pt>
                      <c:pt idx="3">
                        <c:v>90000</c:v>
                      </c:pt>
                      <c:pt idx="4">
                        <c:v>93000</c:v>
                      </c:pt>
                      <c:pt idx="5">
                        <c:v>90000</c:v>
                      </c:pt>
                      <c:pt idx="6">
                        <c:v>93000</c:v>
                      </c:pt>
                      <c:pt idx="7">
                        <c:v>93000</c:v>
                      </c:pt>
                      <c:pt idx="8">
                        <c:v>90000</c:v>
                      </c:pt>
                      <c:pt idx="9">
                        <c:v>93000</c:v>
                      </c:pt>
                      <c:pt idx="10">
                        <c:v>90000</c:v>
                      </c:pt>
                      <c:pt idx="11">
                        <c:v>93000</c:v>
                      </c:pt>
                      <c:pt idx="12">
                        <c:v>111600</c:v>
                      </c:pt>
                      <c:pt idx="13">
                        <c:v>100800</c:v>
                      </c:pt>
                      <c:pt idx="14">
                        <c:v>111600</c:v>
                      </c:pt>
                      <c:pt idx="15">
                        <c:v>108000</c:v>
                      </c:pt>
                      <c:pt idx="16">
                        <c:v>111600</c:v>
                      </c:pt>
                      <c:pt idx="17">
                        <c:v>108000</c:v>
                      </c:pt>
                      <c:pt idx="18">
                        <c:v>111600</c:v>
                      </c:pt>
                      <c:pt idx="19">
                        <c:v>111600</c:v>
                      </c:pt>
                      <c:pt idx="20">
                        <c:v>108000</c:v>
                      </c:pt>
                      <c:pt idx="21">
                        <c:v>111600</c:v>
                      </c:pt>
                      <c:pt idx="22">
                        <c:v>108000</c:v>
                      </c:pt>
                      <c:pt idx="23">
                        <c:v>111600</c:v>
                      </c:pt>
                      <c:pt idx="24">
                        <c:v>120900</c:v>
                      </c:pt>
                      <c:pt idx="25">
                        <c:v>109200</c:v>
                      </c:pt>
                      <c:pt idx="26">
                        <c:v>120900</c:v>
                      </c:pt>
                      <c:pt idx="27">
                        <c:v>117000</c:v>
                      </c:pt>
                      <c:pt idx="28">
                        <c:v>120900</c:v>
                      </c:pt>
                      <c:pt idx="29">
                        <c:v>117000</c:v>
                      </c:pt>
                      <c:pt idx="30">
                        <c:v>120900</c:v>
                      </c:pt>
                      <c:pt idx="31">
                        <c:v>120900</c:v>
                      </c:pt>
                      <c:pt idx="32">
                        <c:v>117000</c:v>
                      </c:pt>
                      <c:pt idx="33">
                        <c:v>120900</c:v>
                      </c:pt>
                      <c:pt idx="34">
                        <c:v>117000</c:v>
                      </c:pt>
                      <c:pt idx="35">
                        <c:v>120900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A62-4429-A00E-FB79D6C5940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'ИД Графики'!$F$5</c15:sqref>
                        </c15:formulaRef>
                      </c:ext>
                    </c:extLst>
                    <c:strCache>
                      <c:ptCount val="1"/>
                      <c:pt idx="0">
                        <c:v>ПОТОЧНІ ВИТРАТИ, UAH/міс.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'ИД Графики'!$G$1:$AP$1</c15:sqref>
                        </c15:formulaRef>
                      </c:ext>
                    </c:extLst>
                    <c:strCache>
                      <c:ptCount val="36"/>
                      <c:pt idx="0">
                        <c:v>січень</c:v>
                      </c:pt>
                      <c:pt idx="1">
                        <c:v>лютий</c:v>
                      </c:pt>
                      <c:pt idx="2">
                        <c:v>березень</c:v>
                      </c:pt>
                      <c:pt idx="3">
                        <c:v>квітень</c:v>
                      </c:pt>
                      <c:pt idx="4">
                        <c:v>травень</c:v>
                      </c:pt>
                      <c:pt idx="5">
                        <c:v>червень</c:v>
                      </c:pt>
                      <c:pt idx="6">
                        <c:v>липень</c:v>
                      </c:pt>
                      <c:pt idx="7">
                        <c:v>серпень</c:v>
                      </c:pt>
                      <c:pt idx="8">
                        <c:v>вересень</c:v>
                      </c:pt>
                      <c:pt idx="9">
                        <c:v>жовтень</c:v>
                      </c:pt>
                      <c:pt idx="10">
                        <c:v>листопад</c:v>
                      </c:pt>
                      <c:pt idx="11">
                        <c:v>грудень</c:v>
                      </c:pt>
                      <c:pt idx="12">
                        <c:v>січень</c:v>
                      </c:pt>
                      <c:pt idx="13">
                        <c:v>лютий</c:v>
                      </c:pt>
                      <c:pt idx="14">
                        <c:v>березень</c:v>
                      </c:pt>
                      <c:pt idx="15">
                        <c:v>квітень</c:v>
                      </c:pt>
                      <c:pt idx="16">
                        <c:v>травень</c:v>
                      </c:pt>
                      <c:pt idx="17">
                        <c:v>червень</c:v>
                      </c:pt>
                      <c:pt idx="18">
                        <c:v>липень</c:v>
                      </c:pt>
                      <c:pt idx="19">
                        <c:v>серпень</c:v>
                      </c:pt>
                      <c:pt idx="20">
                        <c:v>вересень</c:v>
                      </c:pt>
                      <c:pt idx="21">
                        <c:v>жовтень</c:v>
                      </c:pt>
                      <c:pt idx="22">
                        <c:v>листопад</c:v>
                      </c:pt>
                      <c:pt idx="23">
                        <c:v>грудень</c:v>
                      </c:pt>
                      <c:pt idx="24">
                        <c:v>січень</c:v>
                      </c:pt>
                      <c:pt idx="25">
                        <c:v>лютий</c:v>
                      </c:pt>
                      <c:pt idx="26">
                        <c:v>березень</c:v>
                      </c:pt>
                      <c:pt idx="27">
                        <c:v>квітень</c:v>
                      </c:pt>
                      <c:pt idx="28">
                        <c:v>травень</c:v>
                      </c:pt>
                      <c:pt idx="29">
                        <c:v>червень</c:v>
                      </c:pt>
                      <c:pt idx="30">
                        <c:v>липень</c:v>
                      </c:pt>
                      <c:pt idx="31">
                        <c:v>серпень</c:v>
                      </c:pt>
                      <c:pt idx="32">
                        <c:v>вересень</c:v>
                      </c:pt>
                      <c:pt idx="33">
                        <c:v>жовтень</c:v>
                      </c:pt>
                      <c:pt idx="34">
                        <c:v>листопад</c:v>
                      </c:pt>
                      <c:pt idx="35">
                        <c:v>грудень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'ИД Графики'!$G$5:$AP$5</c15:sqref>
                        </c15:formulaRef>
                      </c:ext>
                    </c:extLst>
                    <c:numCache>
                      <c:formatCode>#,##0</c:formatCode>
                      <c:ptCount val="36"/>
                      <c:pt idx="0">
                        <c:v>80160</c:v>
                      </c:pt>
                      <c:pt idx="1">
                        <c:v>77100</c:v>
                      </c:pt>
                      <c:pt idx="2">
                        <c:v>81787.5</c:v>
                      </c:pt>
                      <c:pt idx="3">
                        <c:v>80225</c:v>
                      </c:pt>
                      <c:pt idx="4">
                        <c:v>81787.5</c:v>
                      </c:pt>
                      <c:pt idx="5">
                        <c:v>80225</c:v>
                      </c:pt>
                      <c:pt idx="6">
                        <c:v>81787.5</c:v>
                      </c:pt>
                      <c:pt idx="7">
                        <c:v>81787.5</c:v>
                      </c:pt>
                      <c:pt idx="8">
                        <c:v>80225</c:v>
                      </c:pt>
                      <c:pt idx="9">
                        <c:v>81787.5</c:v>
                      </c:pt>
                      <c:pt idx="10">
                        <c:v>80225</c:v>
                      </c:pt>
                      <c:pt idx="11">
                        <c:v>81787.5</c:v>
                      </c:pt>
                      <c:pt idx="12">
                        <c:v>83415</c:v>
                      </c:pt>
                      <c:pt idx="13">
                        <c:v>78570</c:v>
                      </c:pt>
                      <c:pt idx="14">
                        <c:v>83415</c:v>
                      </c:pt>
                      <c:pt idx="15">
                        <c:v>81800</c:v>
                      </c:pt>
                      <c:pt idx="16">
                        <c:v>83415</c:v>
                      </c:pt>
                      <c:pt idx="17">
                        <c:v>81800</c:v>
                      </c:pt>
                      <c:pt idx="18">
                        <c:v>83415</c:v>
                      </c:pt>
                      <c:pt idx="19">
                        <c:v>83415</c:v>
                      </c:pt>
                      <c:pt idx="20">
                        <c:v>81800</c:v>
                      </c:pt>
                      <c:pt idx="21">
                        <c:v>83415</c:v>
                      </c:pt>
                      <c:pt idx="22">
                        <c:v>81800</c:v>
                      </c:pt>
                      <c:pt idx="23">
                        <c:v>83415</c:v>
                      </c:pt>
                      <c:pt idx="24">
                        <c:v>84228.75</c:v>
                      </c:pt>
                      <c:pt idx="25">
                        <c:v>79305</c:v>
                      </c:pt>
                      <c:pt idx="26">
                        <c:v>84228.75</c:v>
                      </c:pt>
                      <c:pt idx="27">
                        <c:v>82587.5</c:v>
                      </c:pt>
                      <c:pt idx="28">
                        <c:v>84228.75</c:v>
                      </c:pt>
                      <c:pt idx="29">
                        <c:v>82587.5</c:v>
                      </c:pt>
                      <c:pt idx="30">
                        <c:v>84228.75</c:v>
                      </c:pt>
                      <c:pt idx="31">
                        <c:v>84228.75</c:v>
                      </c:pt>
                      <c:pt idx="32">
                        <c:v>82587.5</c:v>
                      </c:pt>
                      <c:pt idx="33">
                        <c:v>84228.75</c:v>
                      </c:pt>
                      <c:pt idx="34">
                        <c:v>82587.5</c:v>
                      </c:pt>
                      <c:pt idx="35">
                        <c:v>84228.75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A62-4429-A00E-FB79D6C59407}"/>
                  </c:ext>
                </c:extLst>
              </c15:ser>
            </c15:filteredLineSeries>
          </c:ext>
        </c:extLst>
      </c:lineChart>
      <c:catAx>
        <c:axId val="39374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30186368"/>
        <c:crosses val="autoZero"/>
        <c:auto val="1"/>
        <c:lblAlgn val="ctr"/>
        <c:lblOffset val="100"/>
        <c:noMultiLvlLbl val="0"/>
      </c:catAx>
      <c:valAx>
        <c:axId val="4301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9374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9D-485F-8D0B-3236062912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12-4BAE-AEC2-D99A34375C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12-4BAE-AEC2-D99A34375CF9}"/>
              </c:ext>
            </c:extLst>
          </c:dPt>
          <c:dLbls>
            <c:dLbl>
              <c:idx val="0"/>
              <c:layout>
                <c:manualLayout>
                  <c:x val="0.12010676156583647"/>
                  <c:y val="2.695417789757412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D-485F-8D0B-3236062912F2}"/>
                </c:ext>
              </c:extLst>
            </c:dLbl>
            <c:dLbl>
              <c:idx val="1"/>
              <c:layout>
                <c:manualLayout>
                  <c:x val="-0.11171399949561465"/>
                  <c:y val="4.56098648046352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2-4BAE-AEC2-D99A34375CF9}"/>
                </c:ext>
              </c:extLst>
            </c:dLbl>
            <c:dLbl>
              <c:idx val="2"/>
              <c:layout>
                <c:manualLayout>
                  <c:x val="-0.17789636282119539"/>
                  <c:y val="-1.51007067512787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2-4BAE-AEC2-D99A34375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'ИД Графики'!$A$3:$A$5</c:f>
              <c:strCache>
                <c:ptCount val="3"/>
                <c:pt idx="0">
                  <c:v>Собівартість, UAH/рік</c:v>
                </c:pt>
                <c:pt idx="1">
                  <c:v>Поточні витрати, UAH/рік</c:v>
                </c:pt>
                <c:pt idx="2">
                  <c:v>Чистий прибуток, UAH/рік</c:v>
                </c:pt>
              </c:strCache>
            </c:strRef>
          </c:cat>
          <c:val>
            <c:numRef>
              <c:f>'ИД Графики'!$B$3:$B$5</c:f>
              <c:numCache>
                <c:formatCode>#,##0</c:formatCode>
                <c:ptCount val="3"/>
                <c:pt idx="0">
                  <c:v>1076400</c:v>
                </c:pt>
                <c:pt idx="1">
                  <c:v>968885</c:v>
                </c:pt>
                <c:pt idx="2">
                  <c:v>645715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12-4BAE-AEC2-D99A34375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3-454C-A5C5-D118D424B0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3-4338-AEA7-20BF4612B0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F3-4338-AEA7-20BF4612B0BB}"/>
              </c:ext>
            </c:extLst>
          </c:dPt>
          <c:dLbls>
            <c:dLbl>
              <c:idx val="0"/>
              <c:layout>
                <c:manualLayout>
                  <c:x val="0.13339261894175189"/>
                  <c:y val="1.34770889487869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F3-454C-A5C5-D118D424B0FF}"/>
                </c:ext>
              </c:extLst>
            </c:dLbl>
            <c:dLbl>
              <c:idx val="1"/>
              <c:layout>
                <c:manualLayout>
                  <c:x val="-7.6118869978958281E-2"/>
                  <c:y val="6.357931673635135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F3-4338-AEA7-20BF4612B0BB}"/>
                </c:ext>
              </c:extLst>
            </c:dLbl>
            <c:dLbl>
              <c:idx val="2"/>
              <c:layout>
                <c:manualLayout>
                  <c:x val="-0.15115869520311745"/>
                  <c:y val="1.19670182736591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3-4338-AEA7-20BF4612B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'ИД Графики'!$A$3:$A$5</c:f>
              <c:strCache>
                <c:ptCount val="3"/>
                <c:pt idx="0">
                  <c:v>Собівартість, UAH/рік</c:v>
                </c:pt>
                <c:pt idx="1">
                  <c:v>Поточні витрати, UAH/рік</c:v>
                </c:pt>
                <c:pt idx="2">
                  <c:v>Чистий прибуток, UAH/рік</c:v>
                </c:pt>
              </c:strCache>
            </c:strRef>
          </c:cat>
          <c:val>
            <c:numRef>
              <c:f>'ИД Графики'!$C$3:$C$5</c:f>
              <c:numCache>
                <c:formatCode>#,##0</c:formatCode>
                <c:ptCount val="3"/>
                <c:pt idx="0">
                  <c:v>1314000</c:v>
                </c:pt>
                <c:pt idx="1">
                  <c:v>989675</c:v>
                </c:pt>
                <c:pt idx="2">
                  <c:v>981325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F3-4338-AEA7-20BF4612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90-488A-B5F6-1B2C4C127B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A3-4065-8390-B4A73736C3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A3-4065-8390-B4A73736C3FB}"/>
              </c:ext>
            </c:extLst>
          </c:dPt>
          <c:dLbls>
            <c:dLbl>
              <c:idx val="0"/>
              <c:layout>
                <c:manualLayout>
                  <c:x val="0.10461245839277224"/>
                  <c:y val="-4.49236298292902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0-488A-B5F6-1B2C4C127BDA}"/>
                </c:ext>
              </c:extLst>
            </c:dLbl>
            <c:dLbl>
              <c:idx val="1"/>
              <c:layout>
                <c:manualLayout>
                  <c:x val="-9.3611675858634641E-2"/>
                  <c:y val="6.807167971928036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3-4065-8390-B4A73736C3FB}"/>
                </c:ext>
              </c:extLst>
            </c:dLbl>
            <c:dLbl>
              <c:idx val="2"/>
              <c:layout>
                <c:manualLayout>
                  <c:x val="-0.19568995712724527"/>
                  <c:y val="1.19670182736591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3-4065-8390-B4A73736C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'ИД Графики'!$A$3:$A$5</c:f>
              <c:strCache>
                <c:ptCount val="3"/>
                <c:pt idx="0">
                  <c:v>Собівартість, UAH/рік</c:v>
                </c:pt>
                <c:pt idx="1">
                  <c:v>Поточні витрати, UAH/рік</c:v>
                </c:pt>
                <c:pt idx="2">
                  <c:v>Чистий прибуток, UAH/рік</c:v>
                </c:pt>
              </c:strCache>
            </c:strRef>
          </c:cat>
          <c:val>
            <c:numRef>
              <c:f>'ИД Графики'!$D$3:$D$5</c:f>
              <c:numCache>
                <c:formatCode>#,##0</c:formatCode>
                <c:ptCount val="3"/>
                <c:pt idx="0">
                  <c:v>118625</c:v>
                </c:pt>
                <c:pt idx="1">
                  <c:v>83271.354166666672</c:v>
                </c:pt>
                <c:pt idx="2">
                  <c:v>94666.145833333328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A3-4065-8390-B4A73736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322659135693146"/>
          <c:y val="0.15682335162650124"/>
          <c:w val="0.29933648111615224"/>
          <c:h val="0.696335268697473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3-4A6F-B277-F3B7A4ECAD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13-4A6F-B277-F3B7A4ECAD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713-4A6F-B277-F3B7A4ECAD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3-4A6F-B277-F3B7A4ECAD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713-4A6F-B277-F3B7A4ECAD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713-4A6F-B277-F3B7A4ECAD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713-4A6F-B277-F3B7A4ECAD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713-4A6F-B277-F3B7A4ECAD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713-4A6F-B277-F3B7A4ECAD70}"/>
              </c:ext>
            </c:extLst>
          </c:dPt>
          <c:dLbls>
            <c:dLbl>
              <c:idx val="0"/>
              <c:layout>
                <c:manualLayout>
                  <c:x val="2.3245042697930235E-2"/>
                  <c:y val="7.155014714069832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13-4A6F-B277-F3B7A4ECAD70}"/>
                </c:ext>
              </c:extLst>
            </c:dLbl>
            <c:dLbl>
              <c:idx val="1"/>
              <c:layout>
                <c:manualLayout>
                  <c:x val="1.4036011456014807E-2"/>
                  <c:y val="-1.38887563297012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13-4A6F-B277-F3B7A4ECAD70}"/>
                </c:ext>
              </c:extLst>
            </c:dLbl>
            <c:dLbl>
              <c:idx val="2"/>
              <c:layout>
                <c:manualLayout>
                  <c:x val="3.3193039319933033E-3"/>
                  <c:y val="-7.154749595694477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3-4A6F-B277-F3B7A4ECAD70}"/>
                </c:ext>
              </c:extLst>
            </c:dLbl>
            <c:dLbl>
              <c:idx val="3"/>
              <c:layout>
                <c:manualLayout>
                  <c:x val="-4.3421623968736434E-3"/>
                  <c:y val="1.01010101010101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13-4A6F-B277-F3B7A4ECAD70}"/>
                </c:ext>
              </c:extLst>
            </c:dLbl>
            <c:dLbl>
              <c:idx val="4"/>
              <c:layout>
                <c:manualLayout>
                  <c:x val="-8.6843247937472869E-3"/>
                  <c:y val="6.73400673400667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3-4A6F-B277-F3B7A4ECAD70}"/>
                </c:ext>
              </c:extLst>
            </c:dLbl>
            <c:dLbl>
              <c:idx val="5"/>
              <c:layout>
                <c:manualLayout>
                  <c:x val="1.4473874656244945E-3"/>
                  <c:y val="-3.367003367003366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3-4A6F-B277-F3B7A4ECAD70}"/>
                </c:ext>
              </c:extLst>
            </c:dLbl>
            <c:dLbl>
              <c:idx val="6"/>
              <c:layout>
                <c:manualLayout>
                  <c:x val="-4.3421623968736434E-3"/>
                  <c:y val="-6.734006734006733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13-4A6F-B277-F3B7A4ECAD70}"/>
                </c:ext>
              </c:extLst>
            </c:dLbl>
            <c:dLbl>
              <c:idx val="7"/>
              <c:layout>
                <c:manualLayout>
                  <c:x val="3.4628232261240899E-2"/>
                  <c:y val="8.164055250669424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13-4A6F-B277-F3B7A4ECAD70}"/>
                </c:ext>
              </c:extLst>
            </c:dLbl>
            <c:dLbl>
              <c:idx val="8"/>
              <c:layout>
                <c:manualLayout>
                  <c:x val="4.3421623968736434E-3"/>
                  <c:y val="-1.346801346801346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13-4A6F-B277-F3B7A4ECA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'ИД Графики'!$A$9:$A$17</c:f>
              <c:strCache>
                <c:ptCount val="9"/>
                <c:pt idx="0">
                  <c:v>Ремонт приміщення</c:v>
                </c:pt>
                <c:pt idx="1">
                  <c:v>Меблі та обладнання</c:v>
                </c:pt>
                <c:pt idx="2">
                  <c:v>Комп'ютери, офісна техніка та каси</c:v>
                </c:pt>
                <c:pt idx="3">
                  <c:v>Сигналізація (охоронна та пожежна)</c:v>
                </c:pt>
                <c:pt idx="4">
                  <c:v>Відеоспостереження</c:v>
                </c:pt>
                <c:pt idx="5">
                  <c:v>Первісний закуп товару</c:v>
                </c:pt>
                <c:pt idx="6">
                  <c:v>Авансовий платіж по оренді</c:v>
                </c:pt>
                <c:pt idx="7">
                  <c:v>Рекламна кампанія</c:v>
                </c:pt>
                <c:pt idx="8">
                  <c:v>Паушальний внесок</c:v>
                </c:pt>
              </c:strCache>
            </c:strRef>
          </c:cat>
          <c:val>
            <c:numRef>
              <c:f>'ИД Графики'!$B$9:$B$17</c:f>
              <c:numCache>
                <c:formatCode>#,##0</c:formatCode>
                <c:ptCount val="9"/>
                <c:pt idx="0">
                  <c:v>205200</c:v>
                </c:pt>
                <c:pt idx="1">
                  <c:v>218913</c:v>
                </c:pt>
                <c:pt idx="2">
                  <c:v>14020</c:v>
                </c:pt>
                <c:pt idx="3">
                  <c:v>0</c:v>
                </c:pt>
                <c:pt idx="4">
                  <c:v>3000</c:v>
                </c:pt>
                <c:pt idx="5">
                  <c:v>10000</c:v>
                </c:pt>
                <c:pt idx="6">
                  <c:v>0</c:v>
                </c:pt>
                <c:pt idx="7">
                  <c:v>0</c:v>
                </c:pt>
                <c:pt idx="8">
                  <c:v>81000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713-4A6F-B277-F3B7A4ECA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428856347363894E-2"/>
          <c:y val="0.86826480023330421"/>
          <c:w val="0.92674715052715662"/>
          <c:h val="0.11153317956467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9.png"/><Relationship Id="rId3" Type="http://schemas.openxmlformats.org/officeDocument/2006/relationships/image" Target="../media/image18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7.png"/><Relationship Id="rId2" Type="http://schemas.openxmlformats.org/officeDocument/2006/relationships/image" Target="../media/image13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2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5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99</xdr:row>
      <xdr:rowOff>26175</xdr:rowOff>
    </xdr:from>
    <xdr:to>
      <xdr:col>0</xdr:col>
      <xdr:colOff>543370</xdr:colOff>
      <xdr:row>99</xdr:row>
      <xdr:rowOff>523825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100</xdr:row>
      <xdr:rowOff>21300</xdr:rowOff>
    </xdr:from>
    <xdr:to>
      <xdr:col>0</xdr:col>
      <xdr:colOff>553875</xdr:colOff>
      <xdr:row>100</xdr:row>
      <xdr:rowOff>524030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53</xdr:row>
      <xdr:rowOff>28578</xdr:rowOff>
    </xdr:from>
    <xdr:to>
      <xdr:col>0</xdr:col>
      <xdr:colOff>543057</xdr:colOff>
      <xdr:row>54</xdr:row>
      <xdr:rowOff>766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47622</xdr:colOff>
      <xdr:row>51</xdr:row>
      <xdr:rowOff>12814</xdr:rowOff>
    </xdr:from>
    <xdr:to>
      <xdr:col>0</xdr:col>
      <xdr:colOff>551622</xdr:colOff>
      <xdr:row>51</xdr:row>
      <xdr:rowOff>524435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52</xdr:row>
      <xdr:rowOff>23815</xdr:rowOff>
    </xdr:from>
    <xdr:to>
      <xdr:col>0</xdr:col>
      <xdr:colOff>562046</xdr:colOff>
      <xdr:row>52</xdr:row>
      <xdr:rowOff>524601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55244</xdr:colOff>
      <xdr:row>43</xdr:row>
      <xdr:rowOff>0</xdr:rowOff>
    </xdr:from>
    <xdr:to>
      <xdr:col>0</xdr:col>
      <xdr:colOff>563054</xdr:colOff>
      <xdr:row>43</xdr:row>
      <xdr:rowOff>505270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" y="2116328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50</xdr:row>
      <xdr:rowOff>90</xdr:rowOff>
    </xdr:from>
    <xdr:to>
      <xdr:col>0</xdr:col>
      <xdr:colOff>551623</xdr:colOff>
      <xdr:row>50</xdr:row>
      <xdr:rowOff>505361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97</xdr:row>
      <xdr:rowOff>19050</xdr:rowOff>
    </xdr:from>
    <xdr:to>
      <xdr:col>0</xdr:col>
      <xdr:colOff>551625</xdr:colOff>
      <xdr:row>97</xdr:row>
      <xdr:rowOff>524320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90</xdr:row>
      <xdr:rowOff>22412</xdr:rowOff>
    </xdr:from>
    <xdr:to>
      <xdr:col>0</xdr:col>
      <xdr:colOff>542474</xdr:colOff>
      <xdr:row>90</xdr:row>
      <xdr:rowOff>525142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46</xdr:row>
      <xdr:rowOff>0</xdr:rowOff>
    </xdr:from>
    <xdr:to>
      <xdr:col>0</xdr:col>
      <xdr:colOff>561300</xdr:colOff>
      <xdr:row>46</xdr:row>
      <xdr:rowOff>505831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030" y="11107830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89</xdr:row>
      <xdr:rowOff>0</xdr:rowOff>
    </xdr:from>
    <xdr:to>
      <xdr:col>0</xdr:col>
      <xdr:colOff>551630</xdr:colOff>
      <xdr:row>89</xdr:row>
      <xdr:rowOff>505451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twoCellAnchor editAs="oneCell">
    <xdr:from>
      <xdr:col>0</xdr:col>
      <xdr:colOff>70490</xdr:colOff>
      <xdr:row>88</xdr:row>
      <xdr:rowOff>0</xdr:rowOff>
    </xdr:from>
    <xdr:to>
      <xdr:col>1</xdr:col>
      <xdr:colOff>2990</xdr:colOff>
      <xdr:row>88</xdr:row>
      <xdr:rowOff>505452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0490" y="48085693"/>
          <a:ext cx="504000" cy="50926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96</xdr:row>
      <xdr:rowOff>0</xdr:rowOff>
    </xdr:from>
    <xdr:to>
      <xdr:col>0</xdr:col>
      <xdr:colOff>562743</xdr:colOff>
      <xdr:row>96</xdr:row>
      <xdr:rowOff>505831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98</xdr:row>
      <xdr:rowOff>0</xdr:rowOff>
    </xdr:from>
    <xdr:to>
      <xdr:col>0</xdr:col>
      <xdr:colOff>543371</xdr:colOff>
      <xdr:row>98</xdr:row>
      <xdr:rowOff>505270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2777914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53341</xdr:colOff>
      <xdr:row>102</xdr:row>
      <xdr:rowOff>88900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1" y="5175250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31750</xdr:colOff>
      <xdr:row>44</xdr:row>
      <xdr:rowOff>25400</xdr:rowOff>
    </xdr:from>
    <xdr:to>
      <xdr:col>0</xdr:col>
      <xdr:colOff>543370</xdr:colOff>
      <xdr:row>44</xdr:row>
      <xdr:rowOff>523646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0027900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95</xdr:row>
      <xdr:rowOff>6350</xdr:rowOff>
    </xdr:from>
    <xdr:to>
      <xdr:col>0</xdr:col>
      <xdr:colOff>560890</xdr:colOff>
      <xdr:row>95</xdr:row>
      <xdr:rowOff>504000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150" y="43980100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51004</xdr:colOff>
      <xdr:row>104</xdr:row>
      <xdr:rowOff>24970</xdr:rowOff>
    </xdr:from>
    <xdr:ext cx="504000" cy="50400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4" y="5493977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44450</xdr:colOff>
      <xdr:row>49</xdr:row>
      <xdr:rowOff>12700</xdr:rowOff>
    </xdr:from>
    <xdr:to>
      <xdr:col>0</xdr:col>
      <xdr:colOff>542100</xdr:colOff>
      <xdr:row>49</xdr:row>
      <xdr:rowOff>504596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2148800"/>
          <a:ext cx="504000" cy="499516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94</xdr:row>
      <xdr:rowOff>15240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4161282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47</xdr:row>
      <xdr:rowOff>527957</xdr:rowOff>
    </xdr:from>
    <xdr:ext cx="504000" cy="499516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2351637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30480</xdr:colOff>
      <xdr:row>47</xdr:row>
      <xdr:rowOff>7620</xdr:rowOff>
    </xdr:from>
    <xdr:ext cx="517622" cy="506721"/>
    <xdr:pic>
      <xdr:nvPicPr>
        <xdr:cNvPr id="40" name="Рисунок 2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2364700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47625</xdr:colOff>
      <xdr:row>84</xdr:row>
      <xdr:rowOff>38100</xdr:rowOff>
    </xdr:from>
    <xdr:to>
      <xdr:col>0</xdr:col>
      <xdr:colOff>551625</xdr:colOff>
      <xdr:row>84</xdr:row>
      <xdr:rowOff>543370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352680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60325</xdr:colOff>
      <xdr:row>86</xdr:row>
      <xdr:rowOff>295275</xdr:rowOff>
    </xdr:from>
    <xdr:ext cx="504000" cy="504000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65789175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45</xdr:row>
      <xdr:rowOff>15240</xdr:rowOff>
    </xdr:from>
    <xdr:to>
      <xdr:col>0</xdr:col>
      <xdr:colOff>543370</xdr:colOff>
      <xdr:row>45</xdr:row>
      <xdr:rowOff>523052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732240"/>
          <a:ext cx="504000" cy="504002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91</xdr:row>
      <xdr:rowOff>0</xdr:rowOff>
    </xdr:from>
    <xdr:ext cx="504000" cy="504000"/>
    <xdr:pic>
      <xdr:nvPicPr>
        <xdr:cNvPr id="32" name="Рисунок 31">
          <a:extLst>
            <a:ext uri="{FF2B5EF4-FFF2-40B4-BE49-F238E27FC236}">
              <a16:creationId xmlns:a16="http://schemas.microsoft.com/office/drawing/2014/main" id="{EB477467-E92F-4779-B3B1-250E0A150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04571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92</xdr:row>
      <xdr:rowOff>0</xdr:rowOff>
    </xdr:from>
    <xdr:ext cx="504000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BC18A199-6AD7-47A6-BF43-7215E5A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773930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39370</xdr:colOff>
      <xdr:row>93</xdr:row>
      <xdr:rowOff>0</xdr:rowOff>
    </xdr:from>
    <xdr:to>
      <xdr:col>0</xdr:col>
      <xdr:colOff>542100</xdr:colOff>
      <xdr:row>93</xdr:row>
      <xdr:rowOff>504000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B6885620-A00D-4201-874B-0DF14C83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370" y="48844200"/>
          <a:ext cx="501460" cy="501460"/>
        </a:xfrm>
        <a:prstGeom prst="rect">
          <a:avLst/>
        </a:prstGeom>
      </xdr:spPr>
    </xdr:pic>
    <xdr:clientData/>
  </xdr:twoCellAnchor>
  <xdr:oneCellAnchor>
    <xdr:from>
      <xdr:col>0</xdr:col>
      <xdr:colOff>50800</xdr:colOff>
      <xdr:row>105</xdr:row>
      <xdr:rowOff>0</xdr:rowOff>
    </xdr:from>
    <xdr:ext cx="504000" cy="504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1FF7E3D6-8D1C-4816-A5F8-5A00D276E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54609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106</xdr:row>
      <xdr:rowOff>0</xdr:rowOff>
    </xdr:from>
    <xdr:ext cx="504000" cy="504000"/>
    <xdr:pic>
      <xdr:nvPicPr>
        <xdr:cNvPr id="52" name="Рисунок 51">
          <a:extLst>
            <a:ext uri="{FF2B5EF4-FFF2-40B4-BE49-F238E27FC236}">
              <a16:creationId xmlns:a16="http://schemas.microsoft.com/office/drawing/2014/main" id="{3F477B00-09F0-42C9-B846-51B5D4373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60070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107</xdr:row>
      <xdr:rowOff>0</xdr:rowOff>
    </xdr:from>
    <xdr:ext cx="504000" cy="504000"/>
    <xdr:pic>
      <xdr:nvPicPr>
        <xdr:cNvPr id="55" name="Рисунок 54">
          <a:extLst>
            <a:ext uri="{FF2B5EF4-FFF2-40B4-BE49-F238E27FC236}">
              <a16:creationId xmlns:a16="http://schemas.microsoft.com/office/drawing/2014/main" id="{CF589283-B5E7-48F7-AED8-AA905964D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6553100"/>
          <a:ext cx="504000" cy="504000"/>
        </a:xfrm>
        <a:prstGeom prst="rect">
          <a:avLst/>
        </a:prstGeom>
      </xdr:spPr>
    </xdr:pic>
    <xdr:clientData/>
  </xdr:oneCellAnchor>
  <xdr:twoCellAnchor>
    <xdr:from>
      <xdr:col>23</xdr:col>
      <xdr:colOff>0</xdr:colOff>
      <xdr:row>0</xdr:row>
      <xdr:rowOff>0</xdr:rowOff>
    </xdr:from>
    <xdr:to>
      <xdr:col>35</xdr:col>
      <xdr:colOff>198120</xdr:colOff>
      <xdr:row>18</xdr:row>
      <xdr:rowOff>114300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869D139-F8CD-49F9-8806-E60E90D3FB6E}"/>
            </a:ext>
          </a:extLst>
        </xdr:cNvPr>
        <xdr:cNvSpPr txBox="1"/>
      </xdr:nvSpPr>
      <xdr:spPr>
        <a:xfrm>
          <a:off x="19494500" y="0"/>
          <a:ext cx="7665720" cy="9702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Основні пояснення на фінансовій моделі: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1. У всі клітинки, що виділені сірим кольором, можуть вноситись зміни. Якщо ви будете вносити зміни до решти клітинок (які не виділені сірим кольором), це може призвести до видалення формул і спотворення обчислень.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 b="1">
              <a:solidFill>
                <a:srgbClr val="0070C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У всіх клітинках, де напис синього кольору, необхідно натиснути на стрілочку та зробити вибір.  Перш за все необхідно вибрати мову фінмоделі, а потім зробити вибір у всіх інших клітинах синього кольору (на сторінці "Вхідні дані" - валюта, місяць, роялті, маркетингові відрахування, на сторінці "Узагальнений розрахунок" - формати співробітництва та оподаткування).</a:t>
          </a:r>
          <a:r>
            <a:rPr lang="ru-RU" sz="1600" b="1">
              <a:solidFill>
                <a:srgbClr val="0070C0"/>
              </a:solidFill>
              <a:latin typeface="+mn-lt"/>
              <a:cs typeface="Arial" panose="020B0604020202020204" pitchFamily="34" charset="0"/>
            </a:rPr>
            <a:t> </a:t>
          </a:r>
          <a:br>
            <a:rPr lang="ru-RU" sz="1600" b="1">
              <a:solidFill>
                <a:srgbClr val="0070C0"/>
              </a:solidFill>
              <a:latin typeface="+mn-lt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2. </a:t>
          </a: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Сірі клітини розташовані на сторінці «Вхідні дані» та «Інвестицій». Всі вхідні дані вводяться на сторінках «Вхідні дані» та «Інвестицій».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3. Валюта, в якій вказані всі дані - гривня. Ви можете вибрати валюту, в якій буде проводитися розрахунок, валюта вибирається на сторінці «Вхідні дані», при цьому усі дані, що вказані в гривнях, будуть переобчислені за курсом, вказаним у рядку 5 на сторінці «Вхідні дані». Курси валют та перелік валют (назви валют) у рядку 5 на сторінці «Вхідні дані», в які буде здійснено перерахунок, можна змінити.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4. </a:t>
          </a: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Всі вихідні дані вводяться на сторінці «Вхідні дані», а сторінці «Узагальнений розрахунок» необхідно вибрати один з форматів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і розрахунок на сторінках «Узагальнений розрахунок» та «Детальний розрахунок» буде зроблений для обраного формату.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5. Роялті та маркетингові відрахування можна вказати як відсоток від виручки (обороту), так і фіксовану суму. Якщо ви не будете відслідковувати дохід ваших партнерів, ми рекомендуємо використовувати фіксовану суму роялті та маркетингових відрахувань.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6. </a:t>
          </a: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Необхідний вид оподаткування слід вибрати на сторінці «Узагальнений розрахунок», 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а дані для цього виду оподаткування, що вказані на сторінці «Вхідні дані» в розділі «Поточні витрати», будуть використовуватися в обчисленні.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7. </a:t>
          </a: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Ми радимо вашим партнерів надавати сторінки «Узагальнений розрахунок» та «Детальний розрахунок» у форматі </a:t>
          </a:r>
          <a:r>
            <a:rPr lang="en-US" sz="1600" b="1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PDF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 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Ви можете зробити це перебуваючи послідовно на сторінках «Узагальнений розрахунок» та «Детальний розрахунок», натиснувши кнопку «Зберегти як» та вибравши тип файлу 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PDF.</a:t>
          </a:r>
          <a:b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Щоб заблокувати сторінки та заборонити введення даних у всі клітинки за винятком сірих комірок, на кожному аркуші потрібно виконати такі дії: натисніть кнопку «Захистити аркуш» на вкладці «Рецензування» та введіть пароль 2 рази. Щоб відмінити пароль на вкладці «Рецензування», натисніть кнопку «Зняти захист із аркуша» та введіть пароль 2 рази.</a:t>
          </a:r>
          <a:endParaRPr lang="ru-RU" sz="1600">
            <a:latin typeface="+mn-lt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46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49875</xdr:colOff>
      <xdr:row>47</xdr:row>
      <xdr:rowOff>21300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1757778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33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20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18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19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10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17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44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37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13</xdr:row>
      <xdr:rowOff>0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36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35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43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45</xdr:row>
      <xdr:rowOff>0</xdr:rowOff>
    </xdr:from>
    <xdr:ext cx="504000" cy="5040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352425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48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6388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11</xdr:row>
      <xdr:rowOff>0</xdr:rowOff>
    </xdr:from>
    <xdr:ext cx="504000" cy="499516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9780814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39008</xdr:colOff>
      <xdr:row>42</xdr:row>
      <xdr:rowOff>5443</xdr:rowOff>
    </xdr:from>
    <xdr:to>
      <xdr:col>0</xdr:col>
      <xdr:colOff>544018</xdr:colOff>
      <xdr:row>42</xdr:row>
      <xdr:rowOff>504363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008" y="26599243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43544</xdr:colOff>
      <xdr:row>31</xdr:row>
      <xdr:rowOff>0</xdr:rowOff>
    </xdr:from>
    <xdr:ext cx="504000" cy="504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1513658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59873</xdr:colOff>
      <xdr:row>32</xdr:row>
      <xdr:rowOff>0</xdr:rowOff>
    </xdr:from>
    <xdr:ext cx="479937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" y="1596390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21772</xdr:colOff>
      <xdr:row>16</xdr:row>
      <xdr:rowOff>0</xdr:rowOff>
    </xdr:from>
    <xdr:ext cx="504000" cy="499516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2" y="7478486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41</xdr:row>
      <xdr:rowOff>0</xdr:rowOff>
    </xdr:from>
    <xdr:ext cx="504000" cy="504000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658" y="181519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14</xdr:row>
      <xdr:rowOff>527957</xdr:rowOff>
    </xdr:from>
    <xdr:ext cx="504000" cy="499516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6410597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22860</xdr:colOff>
      <xdr:row>14</xdr:row>
      <xdr:rowOff>0</xdr:rowOff>
    </xdr:from>
    <xdr:ext cx="517622" cy="506721"/>
    <xdr:pic>
      <xdr:nvPicPr>
        <xdr:cNvPr id="38" name="Рисунок 2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6416040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34</xdr:row>
      <xdr:rowOff>9525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767685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45720</xdr:colOff>
      <xdr:row>12</xdr:row>
      <xdr:rowOff>0</xdr:rowOff>
    </xdr:from>
    <xdr:to>
      <xdr:col>0</xdr:col>
      <xdr:colOff>543370</xdr:colOff>
      <xdr:row>12</xdr:row>
      <xdr:rowOff>504002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5524500"/>
          <a:ext cx="504000" cy="504002"/>
        </a:xfrm>
        <a:prstGeom prst="rect">
          <a:avLst/>
        </a:prstGeom>
      </xdr:spPr>
    </xdr:pic>
    <xdr:clientData/>
  </xdr:twoCellAnchor>
  <xdr:oneCellAnchor>
    <xdr:from>
      <xdr:col>0</xdr:col>
      <xdr:colOff>32658</xdr:colOff>
      <xdr:row>38</xdr:row>
      <xdr:rowOff>0</xdr:rowOff>
    </xdr:from>
    <xdr:ext cx="504000" cy="504000"/>
    <xdr:pic>
      <xdr:nvPicPr>
        <xdr:cNvPr id="30" name="Рисунок 29">
          <a:extLst>
            <a:ext uri="{FF2B5EF4-FFF2-40B4-BE49-F238E27FC236}">
              <a16:creationId xmlns:a16="http://schemas.microsoft.com/office/drawing/2014/main" id="{245157A1-020D-48D1-AD22-3487680C9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21361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39</xdr:row>
      <xdr:rowOff>0</xdr:rowOff>
    </xdr:from>
    <xdr:ext cx="504000" cy="504000"/>
    <xdr:pic>
      <xdr:nvPicPr>
        <xdr:cNvPr id="31" name="Рисунок 30">
          <a:extLst>
            <a:ext uri="{FF2B5EF4-FFF2-40B4-BE49-F238E27FC236}">
              <a16:creationId xmlns:a16="http://schemas.microsoft.com/office/drawing/2014/main" id="{44B36507-73D1-4837-AC8E-707EE5C4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26695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49</xdr:row>
      <xdr:rowOff>0</xdr:rowOff>
    </xdr:from>
    <xdr:ext cx="504000" cy="504000"/>
    <xdr:pic>
      <xdr:nvPicPr>
        <xdr:cNvPr id="33" name="Рисунок 32">
          <a:extLst>
            <a:ext uri="{FF2B5EF4-FFF2-40B4-BE49-F238E27FC236}">
              <a16:creationId xmlns:a16="http://schemas.microsoft.com/office/drawing/2014/main" id="{E7645A5A-94AC-409F-BADE-1BB81AC4F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409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50</xdr:row>
      <xdr:rowOff>12700</xdr:rowOff>
    </xdr:from>
    <xdr:ext cx="504000" cy="504000"/>
    <xdr:pic>
      <xdr:nvPicPr>
        <xdr:cNvPr id="44" name="Рисунок 43">
          <a:extLst>
            <a:ext uri="{FF2B5EF4-FFF2-40B4-BE49-F238E27FC236}">
              <a16:creationId xmlns:a16="http://schemas.microsoft.com/office/drawing/2014/main" id="{BFFA57DD-B347-4C56-815C-9CC49CF2B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95550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</xdr:colOff>
      <xdr:row>40</xdr:row>
      <xdr:rowOff>1270</xdr:rowOff>
    </xdr:from>
    <xdr:to>
      <xdr:col>0</xdr:col>
      <xdr:colOff>523050</xdr:colOff>
      <xdr:row>40</xdr:row>
      <xdr:rowOff>504000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8839F41C-7A4C-4A7A-BA4C-EE5AD9E0E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670" y="20676870"/>
          <a:ext cx="498920" cy="498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628650</xdr:colOff>
      <xdr:row>20</xdr:row>
      <xdr:rowOff>118110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22</xdr:row>
      <xdr:rowOff>3810</xdr:rowOff>
    </xdr:from>
    <xdr:to>
      <xdr:col>4</xdr:col>
      <xdr:colOff>289560</xdr:colOff>
      <xdr:row>37</xdr:row>
      <xdr:rowOff>68580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499110</xdr:colOff>
      <xdr:row>22</xdr:row>
      <xdr:rowOff>12700</xdr:rowOff>
    </xdr:from>
    <xdr:to>
      <xdr:col>9</xdr:col>
      <xdr:colOff>148590</xdr:colOff>
      <xdr:row>37</xdr:row>
      <xdr:rowOff>77470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337820</xdr:colOff>
      <xdr:row>22</xdr:row>
      <xdr:rowOff>12700</xdr:rowOff>
    </xdr:from>
    <xdr:to>
      <xdr:col>13</xdr:col>
      <xdr:colOff>627380</xdr:colOff>
      <xdr:row>37</xdr:row>
      <xdr:rowOff>77470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20320</xdr:colOff>
      <xdr:row>39</xdr:row>
      <xdr:rowOff>58420</xdr:rowOff>
    </xdr:from>
    <xdr:to>
      <xdr:col>13</xdr:col>
      <xdr:colOff>615950</xdr:colOff>
      <xdr:row>59</xdr:row>
      <xdr:rowOff>173990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~1/ZaziOne/LOCALS~1/Temp/bat/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nts%20and%20Settings/&#1052;&#1072;&#1088;&#1075;&#1086;/&#1056;&#1072;&#1073;&#1086;&#1095;&#1080;&#1081;%20&#1089;&#1090;&#1086;&#1083;/5.%20&#1058;&#1069;&#10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0"/>
  <sheetViews>
    <sheetView showGridLines="0" topLeftCell="A93" zoomScale="50" zoomScaleNormal="50" workbookViewId="0">
      <selection activeCell="AA105" sqref="AA105"/>
    </sheetView>
  </sheetViews>
  <sheetFormatPr defaultColWidth="8.77734375" defaultRowHeight="34.200000000000003" customHeight="1" x14ac:dyDescent="0.3"/>
  <cols>
    <col min="1" max="1" width="8.44140625" style="6" customWidth="1"/>
    <col min="2" max="2" width="37.88671875" style="6" customWidth="1"/>
    <col min="3" max="3" width="21.77734375" style="6" customWidth="1"/>
    <col min="4" max="4" width="21.5546875" style="6" customWidth="1"/>
    <col min="5" max="5" width="23.44140625" style="6" customWidth="1"/>
    <col min="6" max="6" width="23.6640625" style="6" customWidth="1"/>
    <col min="7" max="7" width="23.44140625" style="6" customWidth="1"/>
    <col min="8" max="8" width="26.77734375" style="6" customWidth="1"/>
    <col min="9" max="9" width="26.109375" style="6" customWidth="1"/>
    <col min="10" max="10" width="21.21875" style="6" customWidth="1"/>
    <col min="11" max="11" width="23.44140625" style="6" customWidth="1"/>
    <col min="12" max="12" width="11.77734375" style="6" customWidth="1"/>
    <col min="13" max="13" width="4.109375" style="6" hidden="1" customWidth="1"/>
    <col min="14" max="14" width="4.21875" style="6" hidden="1" customWidth="1"/>
    <col min="15" max="15" width="3.33203125" style="6" hidden="1" customWidth="1"/>
    <col min="16" max="18" width="8.21875" style="6" hidden="1" customWidth="1"/>
    <col min="19" max="20" width="8.77734375" style="6" hidden="1" customWidth="1"/>
    <col min="21" max="22" width="20.77734375" style="6" hidden="1" customWidth="1"/>
    <col min="23" max="24" width="8.77734375" style="6" customWidth="1"/>
    <col min="25" max="16384" width="8.77734375" style="6"/>
  </cols>
  <sheetData>
    <row r="1" spans="1:25" ht="34.200000000000003" customHeight="1" x14ac:dyDescent="0.3">
      <c r="A1" s="367" t="str">
        <f>CHOOSE($S$1,U1,V1)</f>
        <v>Зміни необхідно вносити тільки в комірки, які окрашені в сірий колір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42"/>
      <c r="M1" s="1">
        <f>MATCH(D4,N1:N4,0)</f>
        <v>1</v>
      </c>
      <c r="N1" s="40" t="s">
        <v>117</v>
      </c>
      <c r="O1" s="41">
        <f>MATCH(D5,P1:P12,0)</f>
        <v>1</v>
      </c>
      <c r="P1" s="41" t="str">
        <f t="shared" ref="P1:P12" si="0">CHOOSE($S$1,Q1,R1)</f>
        <v>січень</v>
      </c>
      <c r="Q1" s="41" t="s">
        <v>21</v>
      </c>
      <c r="R1" s="41" t="s">
        <v>125</v>
      </c>
      <c r="S1" s="6">
        <f>MATCH(C3,T1:T2,0)</f>
        <v>2</v>
      </c>
      <c r="T1" s="5" t="s">
        <v>115</v>
      </c>
      <c r="U1" s="78" t="s">
        <v>5</v>
      </c>
      <c r="V1" s="78" t="s">
        <v>138</v>
      </c>
    </row>
    <row r="2" spans="1:25" ht="72.75" customHeight="1" x14ac:dyDescent="0.3">
      <c r="A2" s="369" t="s">
        <v>395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"/>
      <c r="M2" s="1"/>
      <c r="N2" s="40" t="str">
        <f>E6</f>
        <v>USD</v>
      </c>
      <c r="O2" s="41"/>
      <c r="P2" s="41" t="str">
        <f t="shared" si="0"/>
        <v>лютий</v>
      </c>
      <c r="Q2" s="41" t="s">
        <v>22</v>
      </c>
      <c r="R2" s="41" t="s">
        <v>126</v>
      </c>
      <c r="T2" s="5" t="s">
        <v>116</v>
      </c>
      <c r="U2" s="78" t="s">
        <v>350</v>
      </c>
      <c r="V2" s="78" t="s">
        <v>351</v>
      </c>
    </row>
    <row r="3" spans="1:25" ht="34.200000000000003" customHeight="1" x14ac:dyDescent="0.3">
      <c r="A3" s="381" t="str">
        <f>""&amp;CHOOSE($S$1,U6,V6)&amp;""</f>
        <v>Мова</v>
      </c>
      <c r="B3" s="382"/>
      <c r="C3" s="141" t="s">
        <v>116</v>
      </c>
      <c r="K3" s="7"/>
      <c r="L3" s="43"/>
      <c r="M3" s="40"/>
      <c r="N3" s="40" t="str">
        <f>G6</f>
        <v>EUR</v>
      </c>
      <c r="O3" s="41"/>
      <c r="P3" s="41" t="str">
        <f t="shared" si="0"/>
        <v>березень</v>
      </c>
      <c r="Q3" s="41" t="s">
        <v>46</v>
      </c>
      <c r="R3" s="41" t="s">
        <v>127</v>
      </c>
      <c r="U3" s="78" t="s">
        <v>44</v>
      </c>
      <c r="V3" s="78" t="s">
        <v>139</v>
      </c>
    </row>
    <row r="4" spans="1:25" ht="34.200000000000003" customHeight="1" x14ac:dyDescent="0.3">
      <c r="A4" s="142" t="str">
        <f>""&amp;CHOOSE($S$1,U3,V3)&amp;""</f>
        <v>Валюта, в якій виконується розрахунок</v>
      </c>
      <c r="B4" s="143"/>
      <c r="C4" s="144"/>
      <c r="D4" s="383" t="s">
        <v>117</v>
      </c>
      <c r="E4" s="384"/>
      <c r="K4" s="7"/>
      <c r="L4" s="43"/>
      <c r="M4" s="40"/>
      <c r="N4" s="40" t="str">
        <f>J6</f>
        <v>RUB</v>
      </c>
      <c r="O4" s="41"/>
      <c r="P4" s="41" t="str">
        <f t="shared" si="0"/>
        <v>квітень</v>
      </c>
      <c r="Q4" s="41" t="s">
        <v>47</v>
      </c>
      <c r="R4" s="41" t="s">
        <v>128</v>
      </c>
      <c r="U4" s="78" t="s">
        <v>20</v>
      </c>
      <c r="V4" s="78" t="s">
        <v>140</v>
      </c>
    </row>
    <row r="5" spans="1:25" ht="34.200000000000003" customHeight="1" x14ac:dyDescent="0.3">
      <c r="A5" s="146" t="str">
        <f>""&amp;CHOOSE($S$1,U4,V4)&amp;""</f>
        <v>Місяць, з якого починається робота</v>
      </c>
      <c r="B5" s="143"/>
      <c r="C5" s="144"/>
      <c r="D5" s="383" t="s">
        <v>125</v>
      </c>
      <c r="E5" s="384"/>
      <c r="I5" s="44"/>
      <c r="K5" s="7"/>
      <c r="L5" s="7"/>
      <c r="M5" s="40"/>
      <c r="N5" s="40"/>
      <c r="O5" s="41"/>
      <c r="P5" s="41" t="str">
        <f t="shared" si="0"/>
        <v>травень</v>
      </c>
      <c r="Q5" s="41" t="s">
        <v>48</v>
      </c>
      <c r="R5" s="41" t="s">
        <v>129</v>
      </c>
      <c r="U5" s="78" t="s">
        <v>124</v>
      </c>
      <c r="V5" s="78" t="s">
        <v>141</v>
      </c>
    </row>
    <row r="6" spans="1:25" ht="46.5" customHeight="1" x14ac:dyDescent="0.3">
      <c r="A6" s="370" t="str">
        <f>CHOOSE($S$1,U5,V5)</f>
        <v>Курс валют (1 одиниця валюти = вказаній кількості гривень)</v>
      </c>
      <c r="B6" s="370"/>
      <c r="C6" s="370"/>
      <c r="D6" s="371"/>
      <c r="E6" s="145" t="s">
        <v>54</v>
      </c>
      <c r="F6" s="2">
        <v>27</v>
      </c>
      <c r="G6" s="372" t="s">
        <v>55</v>
      </c>
      <c r="H6" s="373"/>
      <c r="I6" s="2">
        <v>33</v>
      </c>
      <c r="J6" s="56" t="s">
        <v>56</v>
      </c>
      <c r="K6" s="2">
        <v>0.38</v>
      </c>
      <c r="L6" s="7"/>
      <c r="M6" s="50"/>
      <c r="N6" s="40"/>
      <c r="O6" s="41"/>
      <c r="P6" s="41" t="str">
        <f t="shared" si="0"/>
        <v>червень</v>
      </c>
      <c r="Q6" s="41" t="s">
        <v>64</v>
      </c>
      <c r="R6" s="41" t="s">
        <v>130</v>
      </c>
      <c r="U6" s="78" t="s">
        <v>114</v>
      </c>
      <c r="V6" s="78" t="s">
        <v>142</v>
      </c>
    </row>
    <row r="7" spans="1:25" ht="17.7" customHeight="1" x14ac:dyDescent="0.3">
      <c r="A7" s="10"/>
      <c r="M7" s="40"/>
      <c r="N7" s="40"/>
      <c r="O7" s="41"/>
      <c r="P7" s="41" t="str">
        <f t="shared" si="0"/>
        <v>липень</v>
      </c>
      <c r="Q7" s="41" t="s">
        <v>23</v>
      </c>
      <c r="R7" s="41" t="s">
        <v>131</v>
      </c>
      <c r="U7" s="78" t="s">
        <v>75</v>
      </c>
      <c r="V7" s="78" t="s">
        <v>143</v>
      </c>
    </row>
    <row r="8" spans="1:25" ht="46.5" customHeight="1" x14ac:dyDescent="0.3">
      <c r="A8" s="375" t="str">
        <f>CHOOSE($S$1,U7,V7)</f>
        <v>Формати співробітництва (назви)</v>
      </c>
      <c r="B8" s="375"/>
      <c r="C8" s="86" t="str">
        <f>T1</f>
        <v>Русский</v>
      </c>
      <c r="D8" s="334" t="s">
        <v>356</v>
      </c>
      <c r="E8" s="335"/>
      <c r="F8" s="336"/>
      <c r="G8" s="376" t="s">
        <v>358</v>
      </c>
      <c r="H8" s="376"/>
      <c r="I8" s="334" t="s">
        <v>359</v>
      </c>
      <c r="J8" s="335"/>
      <c r="K8" s="336"/>
      <c r="L8" s="7"/>
      <c r="M8" s="40"/>
      <c r="N8" s="40"/>
      <c r="O8" s="41"/>
      <c r="P8" s="41" t="str">
        <f t="shared" si="0"/>
        <v>серпень</v>
      </c>
      <c r="Q8" s="41" t="s">
        <v>24</v>
      </c>
      <c r="R8" s="41" t="s">
        <v>132</v>
      </c>
      <c r="U8" s="78" t="s">
        <v>45</v>
      </c>
      <c r="V8" s="78" t="s">
        <v>144</v>
      </c>
    </row>
    <row r="9" spans="1:25" ht="46.5" customHeight="1" x14ac:dyDescent="0.3">
      <c r="A9" s="375"/>
      <c r="B9" s="375"/>
      <c r="C9" s="86" t="str">
        <f>T2</f>
        <v>Українська</v>
      </c>
      <c r="D9" s="334" t="s">
        <v>357</v>
      </c>
      <c r="E9" s="335"/>
      <c r="F9" s="336"/>
      <c r="G9" s="376" t="s">
        <v>358</v>
      </c>
      <c r="H9" s="376"/>
      <c r="I9" s="334" t="s">
        <v>359</v>
      </c>
      <c r="J9" s="335"/>
      <c r="K9" s="336"/>
      <c r="L9" s="7"/>
      <c r="M9" s="50"/>
      <c r="N9" s="40"/>
      <c r="O9" s="41"/>
      <c r="P9" s="41" t="str">
        <f t="shared" si="0"/>
        <v>вересень</v>
      </c>
      <c r="Q9" s="54" t="s">
        <v>25</v>
      </c>
      <c r="R9" s="54" t="s">
        <v>133</v>
      </c>
      <c r="U9" s="78" t="s">
        <v>97</v>
      </c>
      <c r="V9" s="78" t="s">
        <v>145</v>
      </c>
    </row>
    <row r="10" spans="1:25" ht="17.7" customHeight="1" x14ac:dyDescent="0.3">
      <c r="A10" s="10"/>
      <c r="M10" s="50"/>
      <c r="N10" s="52"/>
      <c r="O10" s="53"/>
      <c r="P10" s="41" t="str">
        <f t="shared" si="0"/>
        <v>жовтень</v>
      </c>
      <c r="Q10" s="41" t="s">
        <v>26</v>
      </c>
      <c r="R10" s="41" t="s">
        <v>134</v>
      </c>
      <c r="S10" s="16"/>
      <c r="T10" s="12"/>
      <c r="U10" s="122" t="s">
        <v>295</v>
      </c>
      <c r="V10" s="122" t="s">
        <v>296</v>
      </c>
    </row>
    <row r="11" spans="1:25" ht="34.200000000000003" customHeight="1" x14ac:dyDescent="0.3">
      <c r="A11" s="10" t="str">
        <f>CHOOSE($S$1,U8,V8)</f>
        <v>Фінансові параметри</v>
      </c>
      <c r="H11" s="33"/>
      <c r="I11" s="33"/>
      <c r="M11" s="51"/>
      <c r="N11" s="52"/>
      <c r="O11" s="53"/>
      <c r="P11" s="41" t="str">
        <f t="shared" si="0"/>
        <v>листопад</v>
      </c>
      <c r="Q11" s="41" t="s">
        <v>27</v>
      </c>
      <c r="R11" s="41" t="s">
        <v>135</v>
      </c>
      <c r="S11" s="16"/>
      <c r="T11" s="12"/>
      <c r="U11" s="122" t="str">
        <f>"В валюте, в которой производиться расчет, "&amp;CHOOSE($M$1,$N$1,$N$2,$N$3,$N$4)&amp;""</f>
        <v>В валюте, в которой производиться расчет, UAH</v>
      </c>
      <c r="V11" s="122" t="str">
        <f>"У валюті, в якій виконується розрахунок, "&amp;CHOOSE($M$1,$N$1,$N$2,$N$3,$N$4)&amp;""</f>
        <v>У валюті, в якій виконується розрахунок, UAH</v>
      </c>
    </row>
    <row r="12" spans="1:25" s="12" customFormat="1" ht="40.049999999999997" customHeight="1" x14ac:dyDescent="0.3">
      <c r="A12" s="351" t="str">
        <f>CHOOSE($S$1,U9,V9)</f>
        <v>Формати співробітництва</v>
      </c>
      <c r="B12" s="351"/>
      <c r="C12" s="385" t="str">
        <f>CHOOSE($S$1,U10,V10)</f>
        <v>Середній чек</v>
      </c>
      <c r="D12" s="386"/>
      <c r="E12" s="385" t="str">
        <f>CHOOSE($S$1,U13,V13)</f>
        <v>Середня виручка (товарообіг) на день*</v>
      </c>
      <c r="F12" s="386"/>
      <c r="G12" s="387" t="str">
        <f>CHOOSE($S$1,U12,V12)</f>
        <v>Середня кількість чеків на місяць*, од./міс.</v>
      </c>
      <c r="H12" s="322" t="str">
        <f>CHOOSE($S$1,U16,V16)</f>
        <v>Частина собівартості у виручці (food cost), % від виручки</v>
      </c>
      <c r="I12" s="320" t="str">
        <f>CHOOSE($S$1,U17,V17)</f>
        <v>Планова середньомісячна виручка (товарообіг)*</v>
      </c>
      <c r="J12" s="320"/>
      <c r="K12" s="320"/>
      <c r="L12" s="13"/>
      <c r="M12" s="51"/>
      <c r="N12" s="52"/>
      <c r="O12" s="53"/>
      <c r="P12" s="41" t="str">
        <f t="shared" si="0"/>
        <v>грудень</v>
      </c>
      <c r="Q12" s="41" t="s">
        <v>28</v>
      </c>
      <c r="R12" s="41" t="s">
        <v>136</v>
      </c>
      <c r="S12" s="15"/>
      <c r="T12" s="15"/>
      <c r="U12" s="122" t="s">
        <v>297</v>
      </c>
      <c r="V12" s="122" t="s">
        <v>298</v>
      </c>
    </row>
    <row r="13" spans="1:25" s="12" customFormat="1" ht="79.95" customHeight="1" x14ac:dyDescent="0.3">
      <c r="A13" s="351"/>
      <c r="B13" s="351"/>
      <c r="C13" s="135" t="s">
        <v>117</v>
      </c>
      <c r="D13" s="135" t="str">
        <f>CHOOSE($S$1,U11,V11)</f>
        <v>У валюті, в якій виконується розрахунок, UAH</v>
      </c>
      <c r="E13" s="135" t="str">
        <f>CHOOSE($S$1,U14,V14)</f>
        <v>UAH/день</v>
      </c>
      <c r="F13" s="135" t="str">
        <f>CHOOSE($S$1,U15,V15)</f>
        <v>У валюті, в якій виконується розрахунок, UAH/день</v>
      </c>
      <c r="G13" s="388"/>
      <c r="H13" s="323"/>
      <c r="I13" s="125" t="str">
        <f>CHOOSE($S$1,U18,V18)</f>
        <v>UAH/міс.</v>
      </c>
      <c r="J13" s="320" t="str">
        <f>CHOOSE($S$1,U19,V19)</f>
        <v>У валюті, в якій виконується розрахунок, UAH/міс.</v>
      </c>
      <c r="K13" s="320"/>
      <c r="L13" s="13"/>
      <c r="U13" s="78" t="s">
        <v>315</v>
      </c>
      <c r="V13" s="78" t="s">
        <v>317</v>
      </c>
    </row>
    <row r="14" spans="1:25" s="12" customFormat="1" ht="44.7" customHeight="1" x14ac:dyDescent="0.3">
      <c r="A14" s="350" t="str">
        <f>CHOOSE($S$1,D8,D9)</f>
        <v>Міні</v>
      </c>
      <c r="B14" s="350"/>
      <c r="C14" s="140">
        <v>30</v>
      </c>
      <c r="D14" s="139">
        <f>C14/CHOOSE($M$1,1,$F$6,$I$6,$K$6)</f>
        <v>30</v>
      </c>
      <c r="E14" s="57">
        <f>I14/30</f>
        <v>7500</v>
      </c>
      <c r="F14" s="139">
        <f>E14/CHOOSE($M$1,1,$F$6,$I$6,$K$6)</f>
        <v>7500</v>
      </c>
      <c r="G14" s="140">
        <v>7500</v>
      </c>
      <c r="H14" s="154">
        <v>0.4</v>
      </c>
      <c r="I14" s="57">
        <f>C14*G14</f>
        <v>225000</v>
      </c>
      <c r="J14" s="321">
        <f>I14/CHOOSE($M$1,1,$F$6,$I$6,$K$6)</f>
        <v>225000</v>
      </c>
      <c r="K14" s="321"/>
      <c r="L14" s="13"/>
      <c r="M14" s="51"/>
      <c r="P14" s="15"/>
      <c r="U14" s="78" t="s">
        <v>316</v>
      </c>
      <c r="V14" s="78" t="s">
        <v>316</v>
      </c>
      <c r="W14" s="15"/>
      <c r="X14" s="15"/>
    </row>
    <row r="15" spans="1:25" ht="44.7" customHeight="1" x14ac:dyDescent="0.3">
      <c r="A15" s="350" t="str">
        <f>CHOOSE($S$1,G8,G9)</f>
        <v>Стандарт</v>
      </c>
      <c r="B15" s="350"/>
      <c r="C15" s="140">
        <v>32</v>
      </c>
      <c r="D15" s="139">
        <f>C15/CHOOSE($M$1,1,$F$6,$I$6,$K$6)</f>
        <v>32</v>
      </c>
      <c r="E15" s="57">
        <f t="shared" ref="E15:E16" si="1">I15/30</f>
        <v>9600</v>
      </c>
      <c r="F15" s="139">
        <f>E15/CHOOSE($M$1,1,$F$6,$I$6,$K$6)</f>
        <v>9600</v>
      </c>
      <c r="G15" s="140">
        <v>9000</v>
      </c>
      <c r="H15" s="154">
        <v>0.4</v>
      </c>
      <c r="I15" s="57">
        <f t="shared" ref="I15:I16" si="2">C15*G15</f>
        <v>288000</v>
      </c>
      <c r="J15" s="321">
        <f>I15/CHOOSE($M$1,1,$F$6,$I$6,$K$6)</f>
        <v>288000</v>
      </c>
      <c r="K15" s="321"/>
      <c r="L15" s="45"/>
      <c r="M15" s="41"/>
      <c r="N15" s="41"/>
      <c r="O15" s="55"/>
      <c r="S15" s="15"/>
      <c r="T15" s="15"/>
      <c r="U15" s="78" t="str">
        <f>"В валюте, в которой производиться расчет, "&amp;CHOOSE($M$1,$N$1,$N$2,$N$3,$N$4)&amp;"/день"</f>
        <v>В валюте, в которой производиться расчет, UAH/день</v>
      </c>
      <c r="V15" s="78" t="str">
        <f>"У валюті, в якій виконується розрахунок, "&amp;CHOOSE($M$1,$N$1,$N$2,$N$3,$N$4)&amp;"/день"</f>
        <v>У валюті, в якій виконується розрахунок, UAH/день</v>
      </c>
      <c r="W15" s="15"/>
      <c r="X15" s="15"/>
      <c r="Y15" s="12"/>
    </row>
    <row r="16" spans="1:25" ht="44.7" customHeight="1" x14ac:dyDescent="0.3">
      <c r="A16" s="350" t="str">
        <f>CHOOSE($S$1,I8,I9)</f>
        <v>Кафе</v>
      </c>
      <c r="B16" s="350"/>
      <c r="C16" s="140">
        <v>40</v>
      </c>
      <c r="D16" s="139">
        <f>C16/CHOOSE($M$1,1,$F$6,$I$6,$K$6)</f>
        <v>40</v>
      </c>
      <c r="E16" s="57">
        <f t="shared" si="1"/>
        <v>12000</v>
      </c>
      <c r="F16" s="139">
        <f>E16/CHOOSE($M$1,1,$F$6,$I$6,$K$6)</f>
        <v>12000</v>
      </c>
      <c r="G16" s="140">
        <v>9000</v>
      </c>
      <c r="H16" s="154">
        <v>0.4</v>
      </c>
      <c r="I16" s="57">
        <f t="shared" si="2"/>
        <v>360000</v>
      </c>
      <c r="J16" s="321">
        <f>I16/CHOOSE($M$1,1,$F$6,$I$6,$K$6)</f>
        <v>360000</v>
      </c>
      <c r="K16" s="321"/>
      <c r="L16" s="45"/>
      <c r="M16" s="41"/>
      <c r="N16" s="41"/>
      <c r="O16" s="55"/>
      <c r="S16" s="15"/>
      <c r="T16" s="15"/>
      <c r="U16" s="122" t="s">
        <v>322</v>
      </c>
      <c r="V16" s="122" t="s">
        <v>323</v>
      </c>
      <c r="W16" s="15"/>
      <c r="X16" s="15"/>
      <c r="Y16" s="12"/>
    </row>
    <row r="17" spans="1:22" ht="33" customHeight="1" x14ac:dyDescent="0.3">
      <c r="A17" s="374" t="str">
        <f>CHOOSE($S$1,U20,V20)</f>
        <v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N17" s="4"/>
      <c r="O17" s="5"/>
      <c r="U17" s="78" t="s">
        <v>279</v>
      </c>
      <c r="V17" s="78" t="s">
        <v>280</v>
      </c>
    </row>
    <row r="18" spans="1:22" ht="47.25" customHeight="1" x14ac:dyDescent="0.3">
      <c r="A18" s="10" t="str">
        <f>CHOOSE($S$1,U21,V21)</f>
        <v>Параметри сезонності та виходу продажів на планові показники та подальший ріст обсягів продажів</v>
      </c>
      <c r="N18" s="4"/>
      <c r="O18" s="5"/>
      <c r="U18" s="78" t="s">
        <v>118</v>
      </c>
      <c r="V18" s="78" t="s">
        <v>146</v>
      </c>
    </row>
    <row r="19" spans="1:22" s="12" customFormat="1" ht="40.799999999999997" customHeight="1" x14ac:dyDescent="0.3">
      <c r="A19" s="351" t="str">
        <f>CHOOSE($S$1,U22,V22)</f>
        <v>Порядковий номер місяцю від початку роботи</v>
      </c>
      <c r="B19" s="351"/>
      <c r="C19" s="351" t="str">
        <f>CHOOSE($S$1,U23,V23)</f>
        <v>Відсоток виходу продажів на планові показники*, %</v>
      </c>
      <c r="D19" s="351"/>
      <c r="E19" s="351"/>
      <c r="F19" s="109"/>
      <c r="G19" s="351" t="str">
        <f>CHOOSE($S$1,U24,V24)</f>
        <v>Процент впливу сезону на планові показники по виручці*, %</v>
      </c>
      <c r="H19" s="351"/>
      <c r="I19" s="351"/>
      <c r="J19" s="351"/>
      <c r="K19" s="351"/>
      <c r="L19" s="13"/>
      <c r="M19" s="13"/>
      <c r="N19" s="14"/>
      <c r="O19" s="15"/>
      <c r="S19" s="16"/>
      <c r="U19" s="78" t="str">
        <f>"В валюте, в которой производиться расчет, "&amp;CHOOSE($M$1,$N$1,$N$2,$N$3,$N$4)&amp;"/мес."</f>
        <v>В валюте, в которой производиться расчет, UAH/мес.</v>
      </c>
      <c r="V19" s="78" t="str">
        <f>"У валюті, в якій виконується розрахунок, "&amp;CHOOSE($M$1,$N$1,$N$2,$N$3,$N$4)&amp;"/міс."</f>
        <v>У валюті, в якій виконується розрахунок, UAH/міс.</v>
      </c>
    </row>
    <row r="20" spans="1:22" s="12" customFormat="1" ht="68.25" customHeight="1" x14ac:dyDescent="0.3">
      <c r="A20" s="351"/>
      <c r="B20" s="351"/>
      <c r="C20" s="131" t="str">
        <f>A14</f>
        <v>Міні</v>
      </c>
      <c r="D20" s="131" t="str">
        <f>A15</f>
        <v>Стандарт</v>
      </c>
      <c r="E20" s="131" t="str">
        <f>A16</f>
        <v>Кафе</v>
      </c>
      <c r="F20" s="109"/>
      <c r="G20" s="352" t="str">
        <f>CHOOSE($S$1,U25,V25)</f>
        <v>Назва місяцю</v>
      </c>
      <c r="H20" s="352"/>
      <c r="I20" s="127" t="str">
        <f>C20</f>
        <v>Міні</v>
      </c>
      <c r="J20" s="127" t="str">
        <f>D20</f>
        <v>Стандарт</v>
      </c>
      <c r="K20" s="127" t="str">
        <f>E20</f>
        <v>Кафе</v>
      </c>
      <c r="L20" s="13"/>
      <c r="M20" s="13"/>
      <c r="N20" s="14"/>
      <c r="O20" s="15"/>
      <c r="S20" s="16"/>
      <c r="U20" s="78" t="s">
        <v>106</v>
      </c>
      <c r="V20" s="78" t="s">
        <v>147</v>
      </c>
    </row>
    <row r="21" spans="1:22" s="12" customFormat="1" ht="34.950000000000003" customHeight="1" x14ac:dyDescent="0.3">
      <c r="A21" s="365">
        <v>1</v>
      </c>
      <c r="B21" s="365"/>
      <c r="C21" s="307">
        <v>0.8</v>
      </c>
      <c r="D21" s="307">
        <v>0.8</v>
      </c>
      <c r="E21" s="307">
        <v>0.8</v>
      </c>
      <c r="F21" s="110"/>
      <c r="G21" s="337" t="str">
        <f t="shared" ref="G21:G32" si="3">P1</f>
        <v>січень</v>
      </c>
      <c r="H21" s="337"/>
      <c r="I21" s="296">
        <v>1</v>
      </c>
      <c r="J21" s="285">
        <v>1</v>
      </c>
      <c r="K21" s="285">
        <v>1</v>
      </c>
      <c r="L21" s="21"/>
      <c r="M21" s="13"/>
      <c r="N21" s="14"/>
      <c r="O21" s="15"/>
      <c r="S21" s="16"/>
      <c r="U21" s="78" t="s">
        <v>98</v>
      </c>
      <c r="V21" s="78" t="s">
        <v>148</v>
      </c>
    </row>
    <row r="22" spans="1:22" ht="34.950000000000003" customHeight="1" x14ac:dyDescent="0.3">
      <c r="A22" s="365">
        <v>2</v>
      </c>
      <c r="B22" s="365"/>
      <c r="C22" s="307">
        <v>1</v>
      </c>
      <c r="D22" s="307">
        <v>1</v>
      </c>
      <c r="E22" s="307">
        <v>1</v>
      </c>
      <c r="F22" s="110"/>
      <c r="G22" s="337" t="str">
        <f t="shared" si="3"/>
        <v>лютий</v>
      </c>
      <c r="H22" s="337"/>
      <c r="I22" s="296">
        <v>1</v>
      </c>
      <c r="J22" s="285">
        <v>1</v>
      </c>
      <c r="K22" s="285">
        <v>1</v>
      </c>
      <c r="L22" s="45"/>
      <c r="M22" s="5"/>
      <c r="N22" s="5"/>
      <c r="O22" s="46"/>
      <c r="S22" s="46"/>
      <c r="U22" s="78" t="s">
        <v>258</v>
      </c>
      <c r="V22" s="78" t="s">
        <v>149</v>
      </c>
    </row>
    <row r="23" spans="1:22" ht="34.950000000000003" customHeight="1" x14ac:dyDescent="0.3">
      <c r="A23" s="365">
        <v>3</v>
      </c>
      <c r="B23" s="365"/>
      <c r="C23" s="307">
        <v>1</v>
      </c>
      <c r="D23" s="307">
        <v>1</v>
      </c>
      <c r="E23" s="307">
        <v>1</v>
      </c>
      <c r="F23" s="110"/>
      <c r="G23" s="337" t="str">
        <f t="shared" si="3"/>
        <v>березень</v>
      </c>
      <c r="H23" s="337"/>
      <c r="I23" s="296">
        <v>1</v>
      </c>
      <c r="J23" s="285">
        <v>1</v>
      </c>
      <c r="K23" s="285">
        <v>1</v>
      </c>
      <c r="U23" s="78" t="s">
        <v>78</v>
      </c>
      <c r="V23" s="78" t="s">
        <v>150</v>
      </c>
    </row>
    <row r="24" spans="1:22" s="12" customFormat="1" ht="34.950000000000003" customHeight="1" x14ac:dyDescent="0.3">
      <c r="A24" s="365">
        <v>4</v>
      </c>
      <c r="B24" s="365"/>
      <c r="C24" s="307">
        <v>1</v>
      </c>
      <c r="D24" s="307">
        <v>1</v>
      </c>
      <c r="E24" s="307">
        <v>1</v>
      </c>
      <c r="F24" s="110"/>
      <c r="G24" s="337" t="str">
        <f t="shared" si="3"/>
        <v>квітень</v>
      </c>
      <c r="H24" s="337"/>
      <c r="I24" s="126">
        <v>1</v>
      </c>
      <c r="J24" s="126">
        <v>1</v>
      </c>
      <c r="K24" s="126">
        <v>1</v>
      </c>
      <c r="L24" s="13"/>
      <c r="M24" s="13"/>
      <c r="N24" s="14"/>
      <c r="O24" s="15"/>
      <c r="S24" s="16"/>
      <c r="U24" s="78" t="s">
        <v>99</v>
      </c>
      <c r="V24" s="78" t="s">
        <v>151</v>
      </c>
    </row>
    <row r="25" spans="1:22" ht="34.950000000000003" customHeight="1" x14ac:dyDescent="0.3">
      <c r="A25" s="365">
        <v>5</v>
      </c>
      <c r="B25" s="365"/>
      <c r="C25" s="307">
        <v>1</v>
      </c>
      <c r="D25" s="307">
        <v>1</v>
      </c>
      <c r="E25" s="307">
        <v>1</v>
      </c>
      <c r="F25" s="110"/>
      <c r="G25" s="337" t="str">
        <f t="shared" si="3"/>
        <v>травень</v>
      </c>
      <c r="H25" s="337"/>
      <c r="I25" s="285">
        <v>1</v>
      </c>
      <c r="J25" s="285">
        <v>1</v>
      </c>
      <c r="K25" s="285">
        <v>1</v>
      </c>
      <c r="L25" s="45"/>
      <c r="M25" s="5"/>
      <c r="N25" s="5"/>
      <c r="O25" s="46"/>
      <c r="S25" s="46"/>
      <c r="U25" s="78" t="s">
        <v>100</v>
      </c>
      <c r="V25" s="78" t="s">
        <v>152</v>
      </c>
    </row>
    <row r="26" spans="1:22" ht="34.950000000000003" customHeight="1" x14ac:dyDescent="0.3">
      <c r="A26" s="365">
        <v>6</v>
      </c>
      <c r="B26" s="365"/>
      <c r="C26" s="307">
        <v>1</v>
      </c>
      <c r="D26" s="307">
        <v>1</v>
      </c>
      <c r="E26" s="307">
        <v>1</v>
      </c>
      <c r="F26" s="110"/>
      <c r="G26" s="337" t="str">
        <f t="shared" si="3"/>
        <v>червень</v>
      </c>
      <c r="H26" s="337"/>
      <c r="I26" s="285">
        <v>1</v>
      </c>
      <c r="J26" s="285">
        <v>1</v>
      </c>
      <c r="K26" s="285">
        <v>1</v>
      </c>
      <c r="U26" s="78" t="s">
        <v>30</v>
      </c>
      <c r="V26" s="78" t="s">
        <v>153</v>
      </c>
    </row>
    <row r="27" spans="1:22" s="12" customFormat="1" ht="34.950000000000003" customHeight="1" x14ac:dyDescent="0.3">
      <c r="A27" s="365">
        <v>7</v>
      </c>
      <c r="B27" s="365"/>
      <c r="C27" s="307">
        <v>1</v>
      </c>
      <c r="D27" s="307">
        <v>1</v>
      </c>
      <c r="E27" s="307">
        <v>1</v>
      </c>
      <c r="F27" s="110"/>
      <c r="G27" s="337" t="str">
        <f t="shared" si="3"/>
        <v>липень</v>
      </c>
      <c r="H27" s="337"/>
      <c r="I27" s="285">
        <v>1</v>
      </c>
      <c r="J27" s="285">
        <v>1</v>
      </c>
      <c r="K27" s="285">
        <v>1</v>
      </c>
      <c r="L27" s="13"/>
      <c r="M27" s="13"/>
      <c r="N27" s="14"/>
      <c r="O27" s="15"/>
      <c r="S27" s="16"/>
      <c r="U27" s="78" t="s">
        <v>32</v>
      </c>
      <c r="V27" s="78" t="s">
        <v>154</v>
      </c>
    </row>
    <row r="28" spans="1:22" ht="34.950000000000003" customHeight="1" x14ac:dyDescent="0.3">
      <c r="A28" s="365">
        <v>8</v>
      </c>
      <c r="B28" s="365"/>
      <c r="C28" s="307">
        <v>1</v>
      </c>
      <c r="D28" s="307">
        <v>1</v>
      </c>
      <c r="E28" s="307">
        <v>1</v>
      </c>
      <c r="F28" s="110"/>
      <c r="G28" s="337" t="str">
        <f t="shared" si="3"/>
        <v>серпень</v>
      </c>
      <c r="H28" s="337"/>
      <c r="I28" s="285">
        <v>1</v>
      </c>
      <c r="J28" s="285">
        <v>1</v>
      </c>
      <c r="K28" s="285">
        <v>1</v>
      </c>
      <c r="L28" s="45"/>
      <c r="M28" s="5"/>
      <c r="N28" s="5"/>
      <c r="O28" s="46"/>
      <c r="S28" s="46"/>
      <c r="U28" s="78" t="s">
        <v>89</v>
      </c>
      <c r="V28" s="78" t="s">
        <v>155</v>
      </c>
    </row>
    <row r="29" spans="1:22" ht="34.950000000000003" customHeight="1" x14ac:dyDescent="0.3">
      <c r="A29" s="365">
        <v>9</v>
      </c>
      <c r="B29" s="365"/>
      <c r="C29" s="307">
        <v>1</v>
      </c>
      <c r="D29" s="307">
        <v>1</v>
      </c>
      <c r="E29" s="307">
        <v>1</v>
      </c>
      <c r="F29" s="110"/>
      <c r="G29" s="337" t="str">
        <f t="shared" si="3"/>
        <v>вересень</v>
      </c>
      <c r="H29" s="337"/>
      <c r="I29" s="285">
        <v>1</v>
      </c>
      <c r="J29" s="285">
        <v>1</v>
      </c>
      <c r="K29" s="285">
        <v>1</v>
      </c>
      <c r="U29" s="78" t="s">
        <v>79</v>
      </c>
      <c r="V29" s="78" t="s">
        <v>156</v>
      </c>
    </row>
    <row r="30" spans="1:22" s="12" customFormat="1" ht="34.950000000000003" customHeight="1" x14ac:dyDescent="0.3">
      <c r="A30" s="365">
        <v>10</v>
      </c>
      <c r="B30" s="365"/>
      <c r="C30" s="307">
        <v>1</v>
      </c>
      <c r="D30" s="307">
        <v>1</v>
      </c>
      <c r="E30" s="307">
        <v>1</v>
      </c>
      <c r="F30" s="110"/>
      <c r="G30" s="337" t="str">
        <f t="shared" si="3"/>
        <v>жовтень</v>
      </c>
      <c r="H30" s="337"/>
      <c r="I30" s="285">
        <v>1</v>
      </c>
      <c r="J30" s="285">
        <v>1</v>
      </c>
      <c r="K30" s="285">
        <v>1</v>
      </c>
      <c r="L30" s="13"/>
      <c r="M30" s="13"/>
      <c r="N30" s="14"/>
      <c r="O30" s="15"/>
      <c r="S30" s="16"/>
      <c r="U30" s="78" t="s">
        <v>80</v>
      </c>
      <c r="V30" s="78" t="s">
        <v>157</v>
      </c>
    </row>
    <row r="31" spans="1:22" ht="34.950000000000003" customHeight="1" x14ac:dyDescent="0.3">
      <c r="A31" s="365">
        <v>11</v>
      </c>
      <c r="B31" s="365"/>
      <c r="C31" s="307">
        <v>1</v>
      </c>
      <c r="D31" s="307">
        <v>1</v>
      </c>
      <c r="E31" s="307">
        <v>1</v>
      </c>
      <c r="F31" s="110"/>
      <c r="G31" s="337" t="str">
        <f t="shared" si="3"/>
        <v>листопад</v>
      </c>
      <c r="H31" s="337"/>
      <c r="I31" s="285">
        <v>1</v>
      </c>
      <c r="J31" s="285">
        <v>1</v>
      </c>
      <c r="K31" s="285">
        <v>1</v>
      </c>
      <c r="L31" s="45"/>
      <c r="M31" s="5"/>
      <c r="N31" s="5"/>
      <c r="O31" s="46"/>
      <c r="S31" s="46"/>
      <c r="U31" s="78" t="s">
        <v>90</v>
      </c>
      <c r="V31" s="78" t="s">
        <v>158</v>
      </c>
    </row>
    <row r="32" spans="1:22" ht="34.950000000000003" customHeight="1" x14ac:dyDescent="0.3">
      <c r="A32" s="365">
        <v>12</v>
      </c>
      <c r="B32" s="365"/>
      <c r="C32" s="307">
        <v>1</v>
      </c>
      <c r="D32" s="307">
        <v>1</v>
      </c>
      <c r="E32" s="307">
        <v>1</v>
      </c>
      <c r="F32" s="110"/>
      <c r="G32" s="337" t="str">
        <f t="shared" si="3"/>
        <v>грудень</v>
      </c>
      <c r="H32" s="337"/>
      <c r="I32" s="285">
        <v>1</v>
      </c>
      <c r="J32" s="285">
        <v>1</v>
      </c>
      <c r="K32" s="285">
        <v>1</v>
      </c>
      <c r="U32" s="78" t="s">
        <v>91</v>
      </c>
      <c r="V32" s="78" t="s">
        <v>159</v>
      </c>
    </row>
    <row r="33" spans="1:28" ht="34.950000000000003" customHeight="1" x14ac:dyDescent="0.3">
      <c r="A33" s="365" t="str">
        <f>A37</f>
        <v>2-й рік роботи</v>
      </c>
      <c r="B33" s="365"/>
      <c r="C33" s="307">
        <v>1.2</v>
      </c>
      <c r="D33" s="307">
        <v>1.1000000000000001</v>
      </c>
      <c r="E33" s="307">
        <v>1.1000000000000001</v>
      </c>
      <c r="F33" s="110"/>
      <c r="G33" s="8"/>
      <c r="H33" s="98"/>
      <c r="I33" s="98"/>
      <c r="J33" s="98"/>
      <c r="K33" s="98"/>
      <c r="U33" s="78"/>
      <c r="V33" s="78"/>
    </row>
    <row r="34" spans="1:28" ht="34.950000000000003" customHeight="1" x14ac:dyDescent="0.3">
      <c r="A34" s="365" t="str">
        <f>A38</f>
        <v>3-й рік роботи</v>
      </c>
      <c r="B34" s="365"/>
      <c r="C34" s="307">
        <v>1.3</v>
      </c>
      <c r="D34" s="307">
        <v>1.2</v>
      </c>
      <c r="E34" s="307">
        <v>1.2</v>
      </c>
      <c r="F34" s="110"/>
      <c r="G34" s="8"/>
      <c r="H34" s="98"/>
      <c r="I34" s="98"/>
      <c r="J34" s="98"/>
      <c r="K34" s="98"/>
      <c r="U34" s="78"/>
      <c r="V34" s="78"/>
    </row>
    <row r="35" spans="1:28" ht="32.4" customHeight="1" x14ac:dyDescent="0.3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N35" s="4"/>
      <c r="O35" s="5"/>
      <c r="U35" s="78" t="s">
        <v>92</v>
      </c>
      <c r="V35" s="78" t="s">
        <v>160</v>
      </c>
    </row>
    <row r="36" spans="1:28" ht="54.3" customHeight="1" x14ac:dyDescent="0.3">
      <c r="A36" s="333"/>
      <c r="B36" s="333"/>
      <c r="C36" s="320" t="str">
        <f>CHOOSE($S$1,U29,V29)</f>
        <v>Ріст заробітної плати (фіксованого окладу)**, %</v>
      </c>
      <c r="D36" s="320"/>
      <c r="E36" s="135" t="str">
        <f>CHOOSE($S$1,U30,V30)</f>
        <v>Ріст орендної плати**, %</v>
      </c>
      <c r="F36" s="320" t="str">
        <f>CHOOSE($S$1,U31,V31)</f>
        <v>Ріст комунальних платежів**, %</v>
      </c>
      <c r="G36" s="320"/>
      <c r="H36" s="84" t="str">
        <f>CHOOSE($S$1,U32,V32)</f>
        <v>Ріст витрат на послуги зв'язку та інтернет**, %</v>
      </c>
      <c r="I36" s="84" t="str">
        <f>CHOOSE($S$1,U35,V35)</f>
        <v>Ріст витрат на податки**, %</v>
      </c>
      <c r="J36" s="320" t="str">
        <f>CHOOSE($S$1,U36,V36)</f>
        <v>Коефіцієнт дисконтування, % річних</v>
      </c>
      <c r="K36" s="320"/>
      <c r="N36" s="4"/>
      <c r="O36" s="5"/>
      <c r="U36" s="78" t="s">
        <v>81</v>
      </c>
      <c r="V36" s="78" t="s">
        <v>161</v>
      </c>
    </row>
    <row r="37" spans="1:28" ht="43.8" customHeight="1" x14ac:dyDescent="0.3">
      <c r="A37" s="389" t="str">
        <f>CHOOSE($S$1,U26,V26)</f>
        <v>2-й рік роботи</v>
      </c>
      <c r="B37" s="389"/>
      <c r="C37" s="328">
        <v>1</v>
      </c>
      <c r="D37" s="328"/>
      <c r="E37" s="136">
        <v>1</v>
      </c>
      <c r="F37" s="328">
        <v>1</v>
      </c>
      <c r="G37" s="328"/>
      <c r="H37" s="85">
        <v>1</v>
      </c>
      <c r="I37" s="85">
        <v>1</v>
      </c>
      <c r="J37" s="328">
        <v>0.1</v>
      </c>
      <c r="K37" s="328"/>
      <c r="U37" s="78" t="s">
        <v>299</v>
      </c>
      <c r="V37" s="78" t="s">
        <v>300</v>
      </c>
    </row>
    <row r="38" spans="1:28" ht="43.8" customHeight="1" x14ac:dyDescent="0.3">
      <c r="A38" s="389" t="str">
        <f>CHOOSE($S$1,U27,V27)</f>
        <v>3-й рік роботи</v>
      </c>
      <c r="B38" s="389"/>
      <c r="C38" s="328">
        <v>1</v>
      </c>
      <c r="D38" s="328"/>
      <c r="E38" s="136">
        <v>1</v>
      </c>
      <c r="F38" s="328">
        <v>1</v>
      </c>
      <c r="G38" s="328"/>
      <c r="H38" s="85">
        <v>1</v>
      </c>
      <c r="I38" s="85">
        <v>1</v>
      </c>
      <c r="J38" s="328"/>
      <c r="K38" s="328"/>
    </row>
    <row r="39" spans="1:28" ht="56.25" customHeight="1" x14ac:dyDescent="0.3">
      <c r="A39" s="368" t="str">
        <f>CHOOSE($S$1,U37,V37)</f>
        <v xml:space="preserve"> * - відсоток по відношенню до даних про планову виручку, вказаних в розділі "Фінансові параметри" на сторінці "Вхідні дані".
 ** - по відношенню до даних, вказаних в розділах "Персонал" та "Поточні витрати" на сторінці "Вхідні дані".</v>
      </c>
      <c r="B39" s="368"/>
      <c r="C39" s="368"/>
      <c r="D39" s="368"/>
      <c r="E39" s="368"/>
      <c r="F39" s="368"/>
      <c r="G39" s="368"/>
      <c r="H39" s="368"/>
      <c r="I39" s="368"/>
      <c r="J39" s="368"/>
      <c r="K39" s="368"/>
      <c r="N39" s="4"/>
      <c r="O39" s="5"/>
    </row>
    <row r="40" spans="1:28" ht="34.200000000000003" customHeight="1" thickBot="1" x14ac:dyDescent="0.35">
      <c r="A40" s="17" t="str">
        <f>CHOOSE($S$1,U40,V40)</f>
        <v>Інвестиції у відкриття</v>
      </c>
      <c r="H40" s="18"/>
      <c r="I40" s="18"/>
      <c r="J40" s="18"/>
      <c r="U40" s="78" t="s">
        <v>50</v>
      </c>
      <c r="V40" s="78" t="s">
        <v>162</v>
      </c>
    </row>
    <row r="41" spans="1:28" ht="34.200000000000003" customHeight="1" x14ac:dyDescent="0.3">
      <c r="A41" s="17"/>
      <c r="C41" s="324" t="str">
        <f>A14</f>
        <v>Міні</v>
      </c>
      <c r="D41" s="325"/>
      <c r="E41" s="326"/>
      <c r="F41" s="324" t="str">
        <f>A15</f>
        <v>Стандарт</v>
      </c>
      <c r="G41" s="325"/>
      <c r="H41" s="326"/>
      <c r="I41" s="324" t="str">
        <f>A16</f>
        <v>Кафе</v>
      </c>
      <c r="J41" s="325"/>
      <c r="K41" s="326"/>
      <c r="U41" s="78" t="s">
        <v>366</v>
      </c>
      <c r="V41" s="78" t="s">
        <v>360</v>
      </c>
    </row>
    <row r="42" spans="1:28" ht="42" customHeight="1" x14ac:dyDescent="0.3">
      <c r="B42" s="89" t="str">
        <f>CHOOSE($S$1,U42,V42)</f>
        <v>Площа закладу</v>
      </c>
      <c r="C42" s="150" t="s">
        <v>392</v>
      </c>
      <c r="D42" s="320" t="s">
        <v>109</v>
      </c>
      <c r="E42" s="327"/>
      <c r="F42" s="150" t="s">
        <v>393</v>
      </c>
      <c r="G42" s="320" t="s">
        <v>109</v>
      </c>
      <c r="H42" s="327"/>
      <c r="I42" s="150" t="s">
        <v>394</v>
      </c>
      <c r="J42" s="320" t="s">
        <v>109</v>
      </c>
      <c r="K42" s="327"/>
      <c r="L42" s="19"/>
      <c r="N42" s="22"/>
      <c r="O42" s="22"/>
      <c r="S42" s="22"/>
      <c r="T42" s="22"/>
      <c r="U42" s="122" t="s">
        <v>332</v>
      </c>
      <c r="V42" s="122" t="s">
        <v>333</v>
      </c>
      <c r="W42" s="22"/>
      <c r="X42" s="22"/>
      <c r="Y42" s="22"/>
      <c r="Z42" s="22"/>
      <c r="AA42" s="22"/>
      <c r="AB42" s="22"/>
    </row>
    <row r="43" spans="1:28" ht="72" x14ac:dyDescent="0.3">
      <c r="C43" s="93" t="str">
        <f>CHOOSE($S$1,U41,V41)</f>
        <v>UAH, крім Паушального внеску, який в USD</v>
      </c>
      <c r="D43" s="320" t="str">
        <f>CHOOSE($S$1,U43,V43)</f>
        <v>У валюті, в якій виконується розрахунок, UAH</v>
      </c>
      <c r="E43" s="327"/>
      <c r="F43" s="93" t="str">
        <f>C43</f>
        <v>UAH, крім Паушального внеску, який в USD</v>
      </c>
      <c r="G43" s="320" t="str">
        <f>D43</f>
        <v>У валюті, в якій виконується розрахунок, UAH</v>
      </c>
      <c r="H43" s="327"/>
      <c r="I43" s="93" t="str">
        <f>F43</f>
        <v>UAH, крім Паушального внеску, який в USD</v>
      </c>
      <c r="J43" s="320" t="str">
        <f>G43</f>
        <v>У валюті, в якій виконується розрахунок, UAH</v>
      </c>
      <c r="K43" s="327"/>
      <c r="L43" s="19"/>
      <c r="N43" s="22"/>
      <c r="O43" s="22"/>
      <c r="S43" s="22"/>
      <c r="T43" s="22"/>
      <c r="U43" s="78" t="str">
        <f>"В валюте, в которой производиться расчет, "&amp;CHOOSE($M$1,$N$1,$N$2,$N$3,$N$4)&amp;""</f>
        <v>В валюте, в которой производиться расчет, UAH</v>
      </c>
      <c r="V43" s="78" t="str">
        <f>"У валюті, в якій виконується розрахунок, "&amp;CHOOSE($M$1,$N$1,$N$2,$N$3,$N$4)&amp;""</f>
        <v>У валюті, в якій виконується розрахунок, UAH</v>
      </c>
      <c r="W43" s="22"/>
      <c r="X43" s="22"/>
      <c r="Y43" s="22"/>
      <c r="Z43" s="22"/>
      <c r="AA43" s="22"/>
      <c r="AB43" s="22"/>
    </row>
    <row r="44" spans="1:28" ht="42" customHeight="1" x14ac:dyDescent="0.3">
      <c r="A44" s="19"/>
      <c r="B44" s="107" t="str">
        <f t="shared" ref="B44:B55" si="4">CHOOSE($S$1,U44,V44)</f>
        <v>Ремонт приміщення</v>
      </c>
      <c r="C44" s="88">
        <f>7600*27</f>
        <v>205200</v>
      </c>
      <c r="D44" s="317">
        <f t="shared" ref="D44:D51" si="5">C44/CHOOSE($M$1,1,$F$6,$I$6,$K$6)</f>
        <v>205200</v>
      </c>
      <c r="E44" s="318"/>
      <c r="F44" s="88">
        <f>8600*27</f>
        <v>232200</v>
      </c>
      <c r="G44" s="317">
        <f t="shared" ref="G44:G51" si="6">F44/CHOOSE($M$1,1,$F$6,$I$6,$K$6)</f>
        <v>232200</v>
      </c>
      <c r="H44" s="318"/>
      <c r="I44" s="88">
        <f>8600*27</f>
        <v>232200</v>
      </c>
      <c r="J44" s="317">
        <f t="shared" ref="J44:J51" si="7">I44/CHOOSE($M$1,1,$F$6,$I$6,$K$6)</f>
        <v>232200</v>
      </c>
      <c r="K44" s="318"/>
      <c r="L44" s="19"/>
      <c r="M44" s="22"/>
      <c r="N44" s="22"/>
      <c r="O44" s="22"/>
      <c r="S44" s="22"/>
      <c r="T44" s="22"/>
      <c r="U44" s="78" t="s">
        <v>40</v>
      </c>
      <c r="V44" s="78" t="s">
        <v>165</v>
      </c>
      <c r="W44" s="22"/>
      <c r="X44" s="22"/>
      <c r="Y44" s="22"/>
      <c r="Z44" s="22"/>
      <c r="AA44" s="22"/>
    </row>
    <row r="45" spans="1:28" ht="42" customHeight="1" x14ac:dyDescent="0.3">
      <c r="A45" s="23"/>
      <c r="B45" s="111" t="str">
        <f t="shared" si="4"/>
        <v>Меблі та обладнання*</v>
      </c>
      <c r="C45" s="133">
        <f>Інвестицій!D6</f>
        <v>218913</v>
      </c>
      <c r="D45" s="317">
        <f t="shared" si="5"/>
        <v>218913</v>
      </c>
      <c r="E45" s="318"/>
      <c r="F45" s="133">
        <f>Інвестицій!I6</f>
        <v>218913</v>
      </c>
      <c r="G45" s="317">
        <f t="shared" si="6"/>
        <v>218913</v>
      </c>
      <c r="H45" s="318"/>
      <c r="I45" s="133">
        <f>Інвестицій!N6</f>
        <v>218913</v>
      </c>
      <c r="J45" s="317">
        <f t="shared" si="7"/>
        <v>218913</v>
      </c>
      <c r="K45" s="318"/>
      <c r="L45" s="21"/>
      <c r="M45" s="22"/>
      <c r="N45" s="22"/>
      <c r="O45" s="22"/>
      <c r="P45" s="22"/>
      <c r="Q45" s="22"/>
      <c r="R45" s="22"/>
      <c r="S45" s="22"/>
      <c r="T45" s="22"/>
      <c r="U45" s="78" t="s">
        <v>326</v>
      </c>
      <c r="V45" s="78" t="s">
        <v>327</v>
      </c>
      <c r="W45" s="22"/>
      <c r="X45" s="22"/>
      <c r="Y45" s="22"/>
      <c r="Z45" s="22"/>
      <c r="AA45" s="22"/>
    </row>
    <row r="46" spans="1:28" ht="42" customHeight="1" x14ac:dyDescent="0.3">
      <c r="A46" s="23"/>
      <c r="B46" s="116" t="str">
        <f t="shared" si="4"/>
        <v>Комп'ютери, офісна техніка та каси*</v>
      </c>
      <c r="C46" s="133">
        <f>Інвестицій!D43</f>
        <v>14020</v>
      </c>
      <c r="D46" s="317">
        <f t="shared" si="5"/>
        <v>14020</v>
      </c>
      <c r="E46" s="318"/>
      <c r="F46" s="133">
        <f>Інвестицій!I43</f>
        <v>14020</v>
      </c>
      <c r="G46" s="317">
        <f t="shared" si="6"/>
        <v>14020</v>
      </c>
      <c r="H46" s="318"/>
      <c r="I46" s="133">
        <f>Інвестицій!N43</f>
        <v>14020</v>
      </c>
      <c r="J46" s="317">
        <f t="shared" si="7"/>
        <v>14020</v>
      </c>
      <c r="K46" s="318"/>
      <c r="L46" s="21"/>
      <c r="M46" s="22"/>
      <c r="N46" s="22"/>
      <c r="O46" s="22"/>
      <c r="P46" s="22"/>
      <c r="Q46" s="22"/>
      <c r="R46" s="22"/>
      <c r="S46" s="22"/>
      <c r="T46" s="22"/>
      <c r="U46" s="78" t="s">
        <v>329</v>
      </c>
      <c r="V46" s="78" t="s">
        <v>328</v>
      </c>
      <c r="W46" s="22"/>
      <c r="X46" s="22"/>
      <c r="Y46" s="22"/>
      <c r="Z46" s="22"/>
      <c r="AA46" s="22"/>
    </row>
    <row r="47" spans="1:28" ht="42" customHeight="1" x14ac:dyDescent="0.3">
      <c r="A47" s="23"/>
      <c r="B47" s="111" t="str">
        <f t="shared" si="4"/>
        <v>Сигналізація (охоронна та пожежна)</v>
      </c>
      <c r="C47" s="88">
        <v>0</v>
      </c>
      <c r="D47" s="317">
        <f t="shared" si="5"/>
        <v>0</v>
      </c>
      <c r="E47" s="318"/>
      <c r="F47" s="88">
        <v>0</v>
      </c>
      <c r="G47" s="317">
        <f t="shared" si="6"/>
        <v>0</v>
      </c>
      <c r="H47" s="318"/>
      <c r="I47" s="88">
        <v>0</v>
      </c>
      <c r="J47" s="317">
        <f t="shared" si="7"/>
        <v>0</v>
      </c>
      <c r="K47" s="318"/>
      <c r="L47" s="21"/>
      <c r="M47" s="22"/>
      <c r="N47" s="22"/>
      <c r="O47" s="22"/>
      <c r="P47" s="22"/>
      <c r="Q47" s="22"/>
      <c r="R47" s="22"/>
      <c r="S47" s="22"/>
      <c r="T47" s="22"/>
      <c r="U47" s="78" t="s">
        <v>49</v>
      </c>
      <c r="V47" s="78" t="s">
        <v>163</v>
      </c>
      <c r="W47" s="22"/>
      <c r="X47" s="22"/>
      <c r="Y47" s="22"/>
      <c r="Z47" s="22"/>
      <c r="AA47" s="22"/>
    </row>
    <row r="48" spans="1:28" ht="42" customHeight="1" x14ac:dyDescent="0.3">
      <c r="A48" s="23"/>
      <c r="B48" s="111" t="str">
        <f t="shared" si="4"/>
        <v>Відеоспостереження</v>
      </c>
      <c r="C48" s="88">
        <v>3000</v>
      </c>
      <c r="D48" s="317">
        <f t="shared" si="5"/>
        <v>3000</v>
      </c>
      <c r="E48" s="318"/>
      <c r="F48" s="88">
        <v>3000</v>
      </c>
      <c r="G48" s="317">
        <f t="shared" si="6"/>
        <v>3000</v>
      </c>
      <c r="H48" s="318"/>
      <c r="I48" s="88">
        <v>3000</v>
      </c>
      <c r="J48" s="317">
        <f t="shared" si="7"/>
        <v>3000</v>
      </c>
      <c r="K48" s="318"/>
      <c r="L48" s="21"/>
      <c r="M48" s="22"/>
      <c r="N48" s="22"/>
      <c r="O48" s="22"/>
      <c r="P48" s="22"/>
      <c r="Q48" s="22"/>
      <c r="R48" s="22"/>
      <c r="S48" s="22"/>
      <c r="T48" s="22"/>
      <c r="U48" s="78" t="s">
        <v>51</v>
      </c>
      <c r="V48" s="78" t="s">
        <v>120</v>
      </c>
      <c r="W48" s="22"/>
      <c r="X48" s="22"/>
      <c r="Y48" s="22"/>
      <c r="Z48" s="22"/>
      <c r="AA48" s="22"/>
    </row>
    <row r="49" spans="1:27" ht="42" customHeight="1" x14ac:dyDescent="0.3">
      <c r="A49" s="23"/>
      <c r="B49" s="111" t="str">
        <f t="shared" si="4"/>
        <v>Первісний закуп товару</v>
      </c>
      <c r="C49" s="88">
        <v>10000</v>
      </c>
      <c r="D49" s="317">
        <f t="shared" si="5"/>
        <v>10000</v>
      </c>
      <c r="E49" s="318"/>
      <c r="F49" s="88">
        <v>12000</v>
      </c>
      <c r="G49" s="317">
        <f t="shared" si="6"/>
        <v>12000</v>
      </c>
      <c r="H49" s="318"/>
      <c r="I49" s="88">
        <v>15000</v>
      </c>
      <c r="J49" s="317">
        <f t="shared" si="7"/>
        <v>15000</v>
      </c>
      <c r="K49" s="318"/>
      <c r="L49" s="21"/>
      <c r="M49" s="22"/>
      <c r="N49" s="22"/>
      <c r="O49" s="22"/>
      <c r="P49" s="22"/>
      <c r="Q49" s="22"/>
      <c r="R49" s="22"/>
      <c r="S49" s="22"/>
      <c r="T49" s="22"/>
      <c r="U49" s="78" t="s">
        <v>76</v>
      </c>
      <c r="V49" s="78" t="s">
        <v>164</v>
      </c>
      <c r="W49" s="22"/>
      <c r="X49" s="22"/>
      <c r="Y49" s="22"/>
      <c r="Z49" s="22"/>
      <c r="AA49" s="22"/>
    </row>
    <row r="50" spans="1:27" ht="42" customHeight="1" x14ac:dyDescent="0.3">
      <c r="A50" s="23"/>
      <c r="B50" s="111" t="str">
        <f t="shared" si="4"/>
        <v>Авансовий платіж по оренді</v>
      </c>
      <c r="C50" s="88"/>
      <c r="D50" s="317">
        <f t="shared" si="5"/>
        <v>0</v>
      </c>
      <c r="E50" s="318"/>
      <c r="F50" s="88"/>
      <c r="G50" s="317">
        <f t="shared" si="6"/>
        <v>0</v>
      </c>
      <c r="H50" s="318"/>
      <c r="I50" s="88"/>
      <c r="J50" s="317">
        <f t="shared" si="7"/>
        <v>0</v>
      </c>
      <c r="K50" s="318"/>
      <c r="L50" s="21"/>
      <c r="M50" s="22"/>
      <c r="N50" s="22"/>
      <c r="O50" s="22"/>
      <c r="P50" s="22"/>
      <c r="Q50" s="22"/>
      <c r="R50" s="22"/>
      <c r="S50" s="22"/>
      <c r="T50" s="22"/>
      <c r="U50" s="78" t="s">
        <v>121</v>
      </c>
      <c r="V50" s="78" t="s">
        <v>166</v>
      </c>
      <c r="W50" s="22"/>
      <c r="X50" s="22"/>
      <c r="Y50" s="22"/>
      <c r="Z50" s="22"/>
      <c r="AA50" s="22"/>
    </row>
    <row r="51" spans="1:27" ht="42" customHeight="1" x14ac:dyDescent="0.3">
      <c r="A51" s="19"/>
      <c r="B51" s="111" t="str">
        <f t="shared" si="4"/>
        <v>Рекламна кампанія</v>
      </c>
      <c r="C51" s="88"/>
      <c r="D51" s="317">
        <f t="shared" si="5"/>
        <v>0</v>
      </c>
      <c r="E51" s="318"/>
      <c r="F51" s="88"/>
      <c r="G51" s="317">
        <f t="shared" si="6"/>
        <v>0</v>
      </c>
      <c r="H51" s="318"/>
      <c r="I51" s="88"/>
      <c r="J51" s="317">
        <f t="shared" si="7"/>
        <v>0</v>
      </c>
      <c r="K51" s="318"/>
      <c r="L51" s="21"/>
      <c r="M51" s="22"/>
      <c r="N51" s="22"/>
      <c r="O51" s="22"/>
      <c r="S51" s="22"/>
      <c r="T51" s="22"/>
      <c r="U51" s="78" t="s">
        <v>57</v>
      </c>
      <c r="V51" s="78" t="s">
        <v>170</v>
      </c>
      <c r="W51" s="22"/>
      <c r="X51" s="22"/>
      <c r="Y51" s="22"/>
      <c r="Z51" s="22"/>
      <c r="AA51" s="22"/>
    </row>
    <row r="52" spans="1:27" ht="42" customHeight="1" x14ac:dyDescent="0.3">
      <c r="A52" s="19"/>
      <c r="B52" s="111" t="str">
        <f t="shared" si="4"/>
        <v>Паушальний внесок, USD</v>
      </c>
      <c r="C52" s="88">
        <v>3000</v>
      </c>
      <c r="D52" s="317">
        <f>C52*$F$6/CHOOSE($M$1,1,$F$6,$I$6,$K$6)</f>
        <v>81000</v>
      </c>
      <c r="E52" s="318"/>
      <c r="F52" s="88">
        <v>3500</v>
      </c>
      <c r="G52" s="317">
        <f>F52*$F$6/CHOOSE($M$1,1,$F$6,$I$6,$K$6)</f>
        <v>94500</v>
      </c>
      <c r="H52" s="318"/>
      <c r="I52" s="88">
        <v>4000</v>
      </c>
      <c r="J52" s="317">
        <f>I52*$F$6/CHOOSE($M$1,1,$F$6,$I$6,$K$6)</f>
        <v>108000</v>
      </c>
      <c r="K52" s="318"/>
      <c r="L52" s="21"/>
      <c r="M52" s="22"/>
      <c r="N52" s="22"/>
      <c r="O52" s="22"/>
      <c r="P52" s="22"/>
      <c r="Q52" s="22"/>
      <c r="R52" s="22"/>
      <c r="S52" s="22"/>
      <c r="T52" s="22"/>
      <c r="U52" s="78" t="s">
        <v>301</v>
      </c>
      <c r="V52" s="78" t="s">
        <v>302</v>
      </c>
      <c r="W52" s="22"/>
      <c r="X52" s="22"/>
      <c r="Y52" s="22"/>
      <c r="Z52" s="22"/>
      <c r="AA52" s="22"/>
    </row>
    <row r="53" spans="1:27" ht="42" customHeight="1" x14ac:dyDescent="0.3">
      <c r="A53" s="19"/>
      <c r="B53" s="111" t="str">
        <f t="shared" si="4"/>
        <v>Інше</v>
      </c>
      <c r="C53" s="88"/>
      <c r="D53" s="317">
        <f>C53/CHOOSE($M$1,1,$F$6,$I$6,$K$6)</f>
        <v>0</v>
      </c>
      <c r="E53" s="318"/>
      <c r="F53" s="88"/>
      <c r="G53" s="317">
        <f>F53/CHOOSE($M$1,1,$F$6,$I$6,$K$6)</f>
        <v>0</v>
      </c>
      <c r="H53" s="318"/>
      <c r="I53" s="88"/>
      <c r="J53" s="317">
        <f>I53/CHOOSE($M$1,1,$F$6,$I$6,$K$6)</f>
        <v>0</v>
      </c>
      <c r="K53" s="318"/>
      <c r="L53" s="21"/>
      <c r="M53" s="22"/>
      <c r="N53" s="22"/>
      <c r="O53" s="22"/>
      <c r="P53" s="22"/>
      <c r="Q53" s="22"/>
      <c r="R53" s="22"/>
      <c r="S53" s="22"/>
      <c r="T53" s="22"/>
      <c r="U53" s="78" t="s">
        <v>2</v>
      </c>
      <c r="V53" s="78" t="s">
        <v>168</v>
      </c>
      <c r="W53" s="22"/>
      <c r="X53" s="22"/>
      <c r="Y53" s="22"/>
      <c r="Z53" s="22"/>
      <c r="AA53" s="22"/>
    </row>
    <row r="54" spans="1:27" ht="42" customHeight="1" thickBot="1" x14ac:dyDescent="0.35">
      <c r="A54" s="19"/>
      <c r="B54" s="111" t="str">
        <f t="shared" si="4"/>
        <v>Разом:</v>
      </c>
      <c r="C54" s="92"/>
      <c r="D54" s="362">
        <f>SUM(D44:E53)</f>
        <v>532133</v>
      </c>
      <c r="E54" s="363"/>
      <c r="F54" s="92"/>
      <c r="G54" s="362">
        <f>SUM(G44:H53)</f>
        <v>574633</v>
      </c>
      <c r="H54" s="363"/>
      <c r="I54" s="92"/>
      <c r="J54" s="362">
        <f>SUM(J44:K53)</f>
        <v>591133</v>
      </c>
      <c r="K54" s="363"/>
      <c r="L54" s="21"/>
      <c r="M54" s="22"/>
      <c r="O54" s="22"/>
      <c r="P54" s="22"/>
      <c r="Q54" s="22"/>
      <c r="R54" s="22"/>
      <c r="S54" s="22"/>
      <c r="T54" s="22"/>
      <c r="U54" s="78" t="s">
        <v>0</v>
      </c>
      <c r="V54" s="78" t="s">
        <v>169</v>
      </c>
      <c r="W54" s="22"/>
      <c r="X54" s="22"/>
      <c r="Y54" s="22"/>
      <c r="Z54" s="22"/>
      <c r="AA54" s="22"/>
    </row>
    <row r="55" spans="1:27" ht="34.200000000000003" customHeight="1" x14ac:dyDescent="0.3">
      <c r="A55" s="368" t="str">
        <f>CHOOSE($S$1,U55,V55)</f>
        <v xml:space="preserve"> * - інвестиції в "Меблі та обладнання", "Комп'ютери, офісна техніка та каси" вказуються на сторінці "Інвестиції".</v>
      </c>
      <c r="B55" s="368" t="str">
        <f t="shared" si="4"/>
        <v xml:space="preserve"> * - інвестиції в "Меблі та обладнання", "Комп'ютери, офісна техніка та каси" вказуються на сторінці "Інвестиції".</v>
      </c>
      <c r="C55" s="368">
        <f t="shared" ref="C55:K55" si="8">CHOOSE($S$1,V55,W55)</f>
        <v>0</v>
      </c>
      <c r="D55" s="368">
        <f t="shared" si="8"/>
        <v>0</v>
      </c>
      <c r="E55" s="368">
        <f t="shared" si="8"/>
        <v>0</v>
      </c>
      <c r="F55" s="368">
        <f t="shared" si="8"/>
        <v>0</v>
      </c>
      <c r="G55" s="368">
        <f t="shared" si="8"/>
        <v>0</v>
      </c>
      <c r="H55" s="368">
        <f t="shared" si="8"/>
        <v>0</v>
      </c>
      <c r="I55" s="368">
        <f t="shared" si="8"/>
        <v>0</v>
      </c>
      <c r="J55" s="368">
        <f t="shared" si="8"/>
        <v>0</v>
      </c>
      <c r="K55" s="368">
        <f t="shared" si="8"/>
        <v>0</v>
      </c>
      <c r="L55" s="21"/>
      <c r="M55" s="22"/>
      <c r="O55" s="22"/>
      <c r="P55" s="22"/>
      <c r="Q55" s="22"/>
      <c r="R55" s="22"/>
      <c r="S55" s="22"/>
      <c r="T55" s="22"/>
      <c r="U55" s="78" t="s">
        <v>330</v>
      </c>
      <c r="V55" s="78" t="s">
        <v>331</v>
      </c>
      <c r="W55" s="22"/>
      <c r="X55" s="22"/>
      <c r="Y55" s="22"/>
      <c r="Z55" s="22"/>
      <c r="AA55" s="22"/>
    </row>
    <row r="56" spans="1:27" ht="34.200000000000003" customHeight="1" x14ac:dyDescent="0.35">
      <c r="A56" s="17" t="s">
        <v>58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1"/>
      <c r="M56" s="22"/>
      <c r="O56" s="22"/>
      <c r="P56" s="22"/>
      <c r="Q56" s="22"/>
      <c r="R56" s="22"/>
      <c r="S56" s="22"/>
      <c r="T56" s="22"/>
      <c r="W56" s="22"/>
      <c r="X56" s="22"/>
      <c r="Y56" s="22"/>
      <c r="Z56" s="22"/>
      <c r="AA56" s="22"/>
    </row>
    <row r="57" spans="1:27" ht="34.200000000000003" customHeight="1" x14ac:dyDescent="0.35">
      <c r="A57" s="97" t="str">
        <f>C41</f>
        <v>Міні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1"/>
      <c r="M57" s="22"/>
      <c r="O57" s="22"/>
      <c r="P57" s="22"/>
      <c r="Q57" s="22"/>
      <c r="R57" s="22"/>
      <c r="S57" s="22"/>
      <c r="T57" s="22"/>
      <c r="U57" s="78"/>
      <c r="V57" s="78"/>
      <c r="W57" s="22"/>
      <c r="X57" s="22"/>
      <c r="Y57" s="22"/>
      <c r="Z57" s="22"/>
      <c r="AA57" s="22"/>
    </row>
    <row r="58" spans="1:27" ht="34.200000000000003" customHeight="1" x14ac:dyDescent="0.3">
      <c r="A58" s="353" t="str">
        <f>A66</f>
        <v>Посадові одиниці</v>
      </c>
      <c r="B58" s="353"/>
      <c r="C58" s="353"/>
      <c r="D58" s="353"/>
      <c r="E58" s="359" t="str">
        <f>E66</f>
        <v>Загальна кількість співробітників, чол.</v>
      </c>
      <c r="F58" s="360" t="str">
        <f>""&amp;CHOOSE($S$1,$U$65,$V$65)&amp;", "&amp;$E$13&amp;""</f>
        <v>Фіксований оклад на день (зміну), UAH/день</v>
      </c>
      <c r="G58" s="359" t="str">
        <f>CHOOSE($S$1,$U$64,$V$64)</f>
        <v>Кількість змін на місяць, од./міс.</v>
      </c>
      <c r="H58" s="359" t="str">
        <f>H66</f>
        <v>Зарплата одного співробітника на місяць</v>
      </c>
      <c r="I58" s="359"/>
      <c r="J58" s="353" t="str">
        <f>J66</f>
        <v>Базовий розмір бонусу для всіх співробітників, % від бази нарахування*</v>
      </c>
      <c r="K58" s="353" t="str">
        <f>K66</f>
        <v xml:space="preserve"> * - База нарахування бонусу</v>
      </c>
      <c r="L58" s="21"/>
      <c r="M58" s="22"/>
      <c r="O58" s="22"/>
      <c r="P58" s="22"/>
      <c r="Q58" s="22"/>
      <c r="R58" s="22"/>
      <c r="S58" s="22"/>
      <c r="T58" s="22"/>
      <c r="U58" s="78"/>
      <c r="V58" s="78"/>
      <c r="W58" s="22"/>
      <c r="X58" s="22"/>
      <c r="Y58" s="22"/>
      <c r="Z58" s="22"/>
      <c r="AA58" s="22"/>
    </row>
    <row r="59" spans="1:27" ht="60.3" customHeight="1" x14ac:dyDescent="0.3">
      <c r="A59" s="353" t="str">
        <f>$C$8</f>
        <v>Русский</v>
      </c>
      <c r="B59" s="353"/>
      <c r="C59" s="353" t="str">
        <f>$C$9</f>
        <v>Українська</v>
      </c>
      <c r="D59" s="353"/>
      <c r="E59" s="359"/>
      <c r="F59" s="361"/>
      <c r="G59" s="359"/>
      <c r="H59" s="137" t="str">
        <f>H67</f>
        <v>UAH/міс.</v>
      </c>
      <c r="I59" s="137" t="str">
        <f>I67</f>
        <v>У валюті, в якій виконується розрахунок, UAH/міс.</v>
      </c>
      <c r="J59" s="353"/>
      <c r="K59" s="353"/>
      <c r="L59" s="21"/>
      <c r="M59" s="22"/>
      <c r="O59" s="22"/>
      <c r="P59" s="22"/>
      <c r="Q59" s="22"/>
      <c r="R59" s="22"/>
      <c r="S59" s="22"/>
      <c r="T59" s="22"/>
      <c r="U59" s="78"/>
      <c r="V59" s="78"/>
      <c r="W59" s="22"/>
      <c r="X59" s="22"/>
      <c r="Y59" s="22"/>
      <c r="Z59" s="22"/>
      <c r="AA59" s="22"/>
    </row>
    <row r="60" spans="1:27" s="12" customFormat="1" ht="40.049999999999997" customHeight="1" x14ac:dyDescent="0.3">
      <c r="A60" s="354" t="s">
        <v>361</v>
      </c>
      <c r="B60" s="355"/>
      <c r="C60" s="354" t="s">
        <v>362</v>
      </c>
      <c r="D60" s="355"/>
      <c r="E60" s="65">
        <v>2</v>
      </c>
      <c r="F60" s="65">
        <v>400</v>
      </c>
      <c r="G60" s="65">
        <v>2</v>
      </c>
      <c r="H60" s="152">
        <f>IF(G60=0,0,F60*30/G60)</f>
        <v>6000</v>
      </c>
      <c r="I60" s="128">
        <f>H60/CHOOSE($M$1,1,$F$6,$I$6,$K$6)</f>
        <v>6000</v>
      </c>
      <c r="J60" s="356">
        <v>0</v>
      </c>
      <c r="K60" s="333" t="str">
        <f>K68</f>
        <v>загальна виручка</v>
      </c>
      <c r="L60" s="21"/>
      <c r="M60" s="25"/>
      <c r="O60" s="25"/>
      <c r="P60" s="25"/>
      <c r="Q60" s="25"/>
      <c r="R60" s="151">
        <f>F60/CHOOSE($M$1,1,$F$6,$I$6,$K$6)</f>
        <v>400</v>
      </c>
      <c r="S60" s="151">
        <f>H60*E60</f>
        <v>12000</v>
      </c>
      <c r="T60" s="25" t="str">
        <f>CHOOSE($S$1,A60,C60)</f>
        <v>Продавець</v>
      </c>
      <c r="U60" s="78"/>
      <c r="V60" s="78"/>
      <c r="W60" s="25"/>
      <c r="X60" s="25"/>
      <c r="Y60" s="25"/>
      <c r="Z60" s="25"/>
      <c r="AA60" s="25"/>
    </row>
    <row r="61" spans="1:27" s="12" customFormat="1" ht="40.049999999999997" customHeight="1" x14ac:dyDescent="0.3">
      <c r="A61" s="354" t="s">
        <v>334</v>
      </c>
      <c r="B61" s="355"/>
      <c r="C61" s="354" t="s">
        <v>335</v>
      </c>
      <c r="D61" s="355"/>
      <c r="E61" s="65">
        <v>4</v>
      </c>
      <c r="F61" s="65">
        <v>450</v>
      </c>
      <c r="G61" s="65">
        <v>2</v>
      </c>
      <c r="H61" s="152">
        <f t="shared" ref="H61:H62" si="9">IF(G61=0,0,F61*30/G61)</f>
        <v>6750</v>
      </c>
      <c r="I61" s="128">
        <f>H61/CHOOSE($M$1,1,$F$6,$I$6,$K$6)</f>
        <v>6750</v>
      </c>
      <c r="J61" s="356"/>
      <c r="K61" s="333"/>
      <c r="L61" s="21"/>
      <c r="M61" s="25"/>
      <c r="O61" s="25"/>
      <c r="P61" s="25"/>
      <c r="Q61" s="25"/>
      <c r="R61" s="151">
        <f t="shared" ref="R61:R62" si="10">F61/CHOOSE($M$1,1,$F$6,$I$6,$K$6)</f>
        <v>450</v>
      </c>
      <c r="S61" s="151">
        <f t="shared" ref="S61:S62" si="11">H61*E61</f>
        <v>27000</v>
      </c>
      <c r="T61" s="25" t="str">
        <f>CHOOSE($S$1,A61,C61)</f>
        <v>Пекар</v>
      </c>
      <c r="U61" s="78"/>
      <c r="V61" s="78"/>
      <c r="W61" s="25"/>
      <c r="X61" s="25"/>
      <c r="Y61" s="25"/>
      <c r="Z61" s="25"/>
      <c r="AA61" s="25"/>
    </row>
    <row r="62" spans="1:27" s="12" customFormat="1" ht="39.9" customHeight="1" x14ac:dyDescent="0.3">
      <c r="A62" s="354"/>
      <c r="B62" s="355"/>
      <c r="C62" s="354"/>
      <c r="D62" s="355"/>
      <c r="E62" s="65"/>
      <c r="F62" s="65"/>
      <c r="G62" s="65"/>
      <c r="H62" s="152">
        <f t="shared" si="9"/>
        <v>0</v>
      </c>
      <c r="I62" s="128">
        <f>H62/CHOOSE($M$1,1,$F$6,$I$6,$K$6)</f>
        <v>0</v>
      </c>
      <c r="J62" s="356"/>
      <c r="K62" s="333"/>
      <c r="L62" s="21"/>
      <c r="M62" s="25"/>
      <c r="O62" s="25"/>
      <c r="P62" s="25"/>
      <c r="Q62" s="25"/>
      <c r="R62" s="151">
        <f t="shared" si="10"/>
        <v>0</v>
      </c>
      <c r="S62" s="151">
        <f t="shared" si="11"/>
        <v>0</v>
      </c>
      <c r="T62" s="25">
        <f>CHOOSE($S$1,A62,C62)</f>
        <v>0</v>
      </c>
      <c r="U62" s="78"/>
      <c r="V62" s="78"/>
      <c r="W62" s="25"/>
      <c r="X62" s="25"/>
      <c r="Y62" s="25"/>
      <c r="Z62" s="25"/>
      <c r="AA62" s="25"/>
    </row>
    <row r="63" spans="1:27" s="47" customFormat="1" ht="39.9" customHeight="1" x14ac:dyDescent="0.3">
      <c r="A63" s="357" t="str">
        <f>CHOOSE($S$1,$U$74,$V$74)</f>
        <v>Кількість офіційно оформлених співробітників</v>
      </c>
      <c r="B63" s="357"/>
      <c r="C63" s="357"/>
      <c r="D63" s="357"/>
      <c r="E63" s="65">
        <v>4</v>
      </c>
      <c r="F63" s="152"/>
      <c r="G63" s="128"/>
      <c r="H63" s="152">
        <f>S63+J60*$I$14</f>
        <v>39000</v>
      </c>
      <c r="I63" s="128">
        <f>H63/CHOOSE($M$1,1,$F$6,$I$6,$K$6)</f>
        <v>39000</v>
      </c>
      <c r="J63" s="153"/>
      <c r="K63" s="138"/>
      <c r="L63" s="21"/>
      <c r="M63" s="82"/>
      <c r="O63" s="82"/>
      <c r="P63" s="82"/>
      <c r="Q63" s="82"/>
      <c r="R63" s="82"/>
      <c r="S63" s="82">
        <f>SUM(S60:S62)</f>
        <v>39000</v>
      </c>
      <c r="T63" s="82"/>
      <c r="U63" s="78"/>
      <c r="V63" s="78"/>
      <c r="W63" s="82"/>
      <c r="X63" s="82"/>
      <c r="Y63" s="82"/>
      <c r="Z63" s="82"/>
      <c r="AA63" s="82"/>
    </row>
    <row r="64" spans="1:27" ht="30" customHeight="1" x14ac:dyDescent="0.3">
      <c r="A64" s="319"/>
      <c r="B64" s="319"/>
      <c r="C64" s="319"/>
      <c r="D64" s="319"/>
      <c r="E64" s="319"/>
      <c r="F64" s="319"/>
      <c r="G64" s="319"/>
      <c r="H64" s="319"/>
      <c r="I64" s="319"/>
      <c r="J64" s="319"/>
      <c r="K64" s="319"/>
      <c r="L64" s="21"/>
      <c r="M64" s="22"/>
      <c r="N64" s="22"/>
      <c r="O64" s="22"/>
      <c r="P64" s="22"/>
      <c r="Q64" s="22"/>
      <c r="R64" s="22"/>
      <c r="S64" s="22"/>
      <c r="T64" s="22"/>
      <c r="U64" s="78" t="s">
        <v>346</v>
      </c>
      <c r="V64" s="78" t="s">
        <v>347</v>
      </c>
      <c r="W64" s="22"/>
      <c r="X64" s="22"/>
      <c r="Y64" s="22"/>
      <c r="Z64" s="22"/>
      <c r="AA64" s="22"/>
    </row>
    <row r="65" spans="1:27" ht="34.200000000000003" customHeight="1" x14ac:dyDescent="0.35">
      <c r="A65" s="97" t="str">
        <f>F41</f>
        <v>Стандарт</v>
      </c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1"/>
      <c r="M65" s="22"/>
      <c r="O65" s="22"/>
      <c r="P65" s="22"/>
      <c r="Q65" s="22"/>
      <c r="R65" s="22"/>
      <c r="S65" s="22"/>
      <c r="T65" s="22"/>
      <c r="U65" s="78" t="s">
        <v>342</v>
      </c>
      <c r="V65" s="78" t="s">
        <v>343</v>
      </c>
      <c r="W65" s="22"/>
      <c r="X65" s="22"/>
      <c r="Y65" s="22"/>
      <c r="Z65" s="22"/>
      <c r="AA65" s="22"/>
    </row>
    <row r="66" spans="1:27" ht="34.200000000000003" customHeight="1" x14ac:dyDescent="0.3">
      <c r="A66" s="353" t="str">
        <f>CHOOSE($S$1,U66,V66)</f>
        <v>Посадові одиниці</v>
      </c>
      <c r="B66" s="353"/>
      <c r="C66" s="353"/>
      <c r="D66" s="353"/>
      <c r="E66" s="359" t="str">
        <f>CHOOSE($S$1,U67,V67)</f>
        <v>Загальна кількість співробітників, чол.</v>
      </c>
      <c r="F66" s="360" t="str">
        <f>F58</f>
        <v>Фіксований оклад на день (зміну), UAH/день</v>
      </c>
      <c r="G66" s="359" t="str">
        <f>CHOOSE($S$1,$U$64,$V$64)</f>
        <v>Кількість змін на місяць, од./міс.</v>
      </c>
      <c r="H66" s="359" t="str">
        <f>CHOOSE($S$1,U68,V68)</f>
        <v>Зарплата одного співробітника на місяць</v>
      </c>
      <c r="I66" s="359"/>
      <c r="J66" s="353" t="str">
        <f>CHOOSE($S$1,U71,V71)</f>
        <v>Базовий розмір бонусу для всіх співробітників, % від бази нарахування*</v>
      </c>
      <c r="K66" s="353" t="str">
        <f>CHOOSE($S$1,U72,V72)</f>
        <v xml:space="preserve"> * - База нарахування бонусу</v>
      </c>
      <c r="L66" s="21"/>
      <c r="M66" s="22"/>
      <c r="O66" s="22"/>
      <c r="P66" s="22"/>
      <c r="Q66" s="22"/>
      <c r="R66" s="22"/>
      <c r="S66" s="22"/>
      <c r="T66" s="22"/>
      <c r="U66" s="78" t="s">
        <v>59</v>
      </c>
      <c r="V66" s="78" t="s">
        <v>171</v>
      </c>
      <c r="W66" s="22"/>
      <c r="X66" s="22"/>
      <c r="Y66" s="22"/>
      <c r="Z66" s="22"/>
      <c r="AA66" s="22"/>
    </row>
    <row r="67" spans="1:27" ht="60.3" customHeight="1" x14ac:dyDescent="0.3">
      <c r="A67" s="353" t="str">
        <f>$C$8</f>
        <v>Русский</v>
      </c>
      <c r="B67" s="353"/>
      <c r="C67" s="353" t="str">
        <f>$C$9</f>
        <v>Українська</v>
      </c>
      <c r="D67" s="353"/>
      <c r="E67" s="359"/>
      <c r="F67" s="361"/>
      <c r="G67" s="359"/>
      <c r="H67" s="137" t="str">
        <f>CHOOSE($S$1,U69,V69)</f>
        <v>UAH/міс.</v>
      </c>
      <c r="I67" s="137" t="str">
        <f>CHOOSE($S$1,U70,V70)</f>
        <v>У валюті, в якій виконується розрахунок, UAH/міс.</v>
      </c>
      <c r="J67" s="353"/>
      <c r="K67" s="353"/>
      <c r="L67" s="21"/>
      <c r="M67" s="22"/>
      <c r="O67" s="22"/>
      <c r="P67" s="22"/>
      <c r="Q67" s="22"/>
      <c r="R67" s="22"/>
      <c r="S67" s="22"/>
      <c r="T67" s="22"/>
      <c r="U67" s="78" t="s">
        <v>340</v>
      </c>
      <c r="V67" s="78" t="s">
        <v>341</v>
      </c>
      <c r="W67" s="22"/>
      <c r="X67" s="22"/>
      <c r="Y67" s="22"/>
      <c r="Z67" s="22"/>
      <c r="AA67" s="22"/>
    </row>
    <row r="68" spans="1:27" s="12" customFormat="1" ht="40.049999999999997" customHeight="1" x14ac:dyDescent="0.3">
      <c r="A68" s="354" t="s">
        <v>361</v>
      </c>
      <c r="B68" s="355"/>
      <c r="C68" s="354" t="s">
        <v>362</v>
      </c>
      <c r="D68" s="355"/>
      <c r="E68" s="65">
        <v>2</v>
      </c>
      <c r="F68" s="65">
        <v>400</v>
      </c>
      <c r="G68" s="65">
        <v>2</v>
      </c>
      <c r="H68" s="152">
        <f>IF(G68=0,0,F68*30/G68)</f>
        <v>6000</v>
      </c>
      <c r="I68" s="128">
        <f>H68/CHOOSE($M$1,1,$F$6,$I$6,$K$6)</f>
        <v>6000</v>
      </c>
      <c r="J68" s="356">
        <v>0</v>
      </c>
      <c r="K68" s="333" t="str">
        <f>CHOOSE($S$1,U73,V73)</f>
        <v>загальна виручка</v>
      </c>
      <c r="L68" s="21"/>
      <c r="M68" s="25"/>
      <c r="O68" s="25"/>
      <c r="P68" s="25"/>
      <c r="Q68" s="25"/>
      <c r="R68" s="151">
        <f>F68/CHOOSE($M$1,1,$F$6,$I$6,$K$6)</f>
        <v>400</v>
      </c>
      <c r="S68" s="151">
        <f>H68*E68</f>
        <v>12000</v>
      </c>
      <c r="T68" s="25" t="str">
        <f>CHOOSE($S$1,A68,C68)</f>
        <v>Продавець</v>
      </c>
      <c r="U68" s="78" t="s">
        <v>344</v>
      </c>
      <c r="V68" s="78" t="s">
        <v>345</v>
      </c>
      <c r="W68" s="25"/>
      <c r="X68" s="25"/>
      <c r="Y68" s="25"/>
      <c r="Z68" s="25"/>
      <c r="AA68" s="25"/>
    </row>
    <row r="69" spans="1:27" s="12" customFormat="1" ht="40.049999999999997" customHeight="1" x14ac:dyDescent="0.3">
      <c r="A69" s="354" t="s">
        <v>334</v>
      </c>
      <c r="B69" s="355"/>
      <c r="C69" s="354" t="s">
        <v>335</v>
      </c>
      <c r="D69" s="355"/>
      <c r="E69" s="65">
        <v>4</v>
      </c>
      <c r="F69" s="65">
        <v>450</v>
      </c>
      <c r="G69" s="65">
        <v>2</v>
      </c>
      <c r="H69" s="152">
        <f t="shared" ref="H69:H70" si="12">IF(G69=0,0,F69*30/G69)</f>
        <v>6750</v>
      </c>
      <c r="I69" s="128">
        <f>H69/CHOOSE($M$1,1,$F$6,$I$6,$K$6)</f>
        <v>6750</v>
      </c>
      <c r="J69" s="356"/>
      <c r="K69" s="333"/>
      <c r="L69" s="21"/>
      <c r="M69" s="25"/>
      <c r="O69" s="25"/>
      <c r="P69" s="25"/>
      <c r="Q69" s="25"/>
      <c r="R69" s="151">
        <f t="shared" ref="R69:R70" si="13">F69/CHOOSE($M$1,1,$F$6,$I$6,$K$6)</f>
        <v>450</v>
      </c>
      <c r="S69" s="151">
        <f t="shared" ref="S69:S70" si="14">H69*E69</f>
        <v>27000</v>
      </c>
      <c r="T69" s="25" t="str">
        <f>CHOOSE($S$1,A69,C69)</f>
        <v>Пекар</v>
      </c>
      <c r="U69" s="78" t="s">
        <v>118</v>
      </c>
      <c r="V69" s="78" t="s">
        <v>146</v>
      </c>
      <c r="W69" s="25"/>
      <c r="X69" s="25"/>
      <c r="Y69" s="25"/>
      <c r="Z69" s="25"/>
      <c r="AA69" s="25"/>
    </row>
    <row r="70" spans="1:27" s="12" customFormat="1" ht="39.9" customHeight="1" x14ac:dyDescent="0.3">
      <c r="A70" s="354"/>
      <c r="B70" s="355"/>
      <c r="C70" s="354"/>
      <c r="D70" s="355"/>
      <c r="E70" s="65"/>
      <c r="F70" s="65"/>
      <c r="G70" s="65"/>
      <c r="H70" s="152">
        <f t="shared" si="12"/>
        <v>0</v>
      </c>
      <c r="I70" s="128">
        <f>H70/CHOOSE($M$1,1,$F$6,$I$6,$K$6)</f>
        <v>0</v>
      </c>
      <c r="J70" s="356"/>
      <c r="K70" s="333"/>
      <c r="L70" s="21"/>
      <c r="M70" s="25"/>
      <c r="O70" s="25"/>
      <c r="P70" s="25"/>
      <c r="Q70" s="25"/>
      <c r="R70" s="151">
        <f t="shared" si="13"/>
        <v>0</v>
      </c>
      <c r="S70" s="151">
        <f t="shared" si="14"/>
        <v>0</v>
      </c>
      <c r="T70" s="25">
        <f>CHOOSE($S$1,A70,C70)</f>
        <v>0</v>
      </c>
      <c r="U70" s="78" t="str">
        <f>"В валюте, в которой производиться расчет, "&amp;CHOOSE($M$1,$N$1,$N$2,$N$3,$N$4)&amp;"/мес."</f>
        <v>В валюте, в которой производиться расчет, UAH/мес.</v>
      </c>
      <c r="V70" s="78" t="str">
        <f>"У валюті, в якій виконується розрахунок, "&amp;CHOOSE($M$1,$N$1,$N$2,$N$3,$N$4)&amp;"/міс."</f>
        <v>У валюті, в якій виконується розрахунок, UAH/міс.</v>
      </c>
      <c r="W70" s="25"/>
      <c r="X70" s="25"/>
      <c r="Y70" s="25"/>
      <c r="Z70" s="25"/>
      <c r="AA70" s="25"/>
    </row>
    <row r="71" spans="1:27" s="47" customFormat="1" ht="39.9" customHeight="1" x14ac:dyDescent="0.3">
      <c r="A71" s="357" t="str">
        <f>CHOOSE($S$1,$U$74,$V$74)</f>
        <v>Кількість офіційно оформлених співробітників</v>
      </c>
      <c r="B71" s="357"/>
      <c r="C71" s="357"/>
      <c r="D71" s="357"/>
      <c r="E71" s="65">
        <v>4</v>
      </c>
      <c r="F71" s="152"/>
      <c r="G71" s="128"/>
      <c r="H71" s="152">
        <f>S71+J68*$I$15</f>
        <v>39000</v>
      </c>
      <c r="I71" s="128">
        <f>H71/CHOOSE($M$1,1,$F$6,$I$6,$K$6)</f>
        <v>39000</v>
      </c>
      <c r="J71" s="153"/>
      <c r="K71" s="138"/>
      <c r="L71" s="21"/>
      <c r="M71" s="82"/>
      <c r="O71" s="82"/>
      <c r="P71" s="82"/>
      <c r="Q71" s="82"/>
      <c r="R71" s="82"/>
      <c r="S71" s="82">
        <f>SUM(S68:S70)</f>
        <v>39000</v>
      </c>
      <c r="T71" s="82"/>
      <c r="U71" s="78" t="s">
        <v>259</v>
      </c>
      <c r="V71" s="78" t="s">
        <v>260</v>
      </c>
      <c r="W71" s="82"/>
      <c r="X71" s="82"/>
      <c r="Y71" s="82"/>
      <c r="Z71" s="82"/>
      <c r="AA71" s="82"/>
    </row>
    <row r="72" spans="1:27" ht="30" customHeight="1" x14ac:dyDescent="0.3">
      <c r="A72" s="319"/>
      <c r="B72" s="319"/>
      <c r="C72" s="319"/>
      <c r="D72" s="319"/>
      <c r="E72" s="319"/>
      <c r="F72" s="319"/>
      <c r="G72" s="319"/>
      <c r="H72" s="319"/>
      <c r="I72" s="319"/>
      <c r="J72" s="319"/>
      <c r="K72" s="319"/>
      <c r="L72" s="21"/>
      <c r="M72" s="22"/>
      <c r="N72" s="22"/>
      <c r="O72" s="22"/>
      <c r="P72" s="22"/>
      <c r="Q72" s="22"/>
      <c r="R72" s="22"/>
      <c r="S72" s="22"/>
      <c r="T72" s="22"/>
      <c r="U72" s="78" t="s">
        <v>73</v>
      </c>
      <c r="V72" s="78" t="s">
        <v>172</v>
      </c>
      <c r="W72" s="22"/>
      <c r="X72" s="22"/>
      <c r="Y72" s="22"/>
      <c r="Z72" s="22"/>
      <c r="AA72" s="22"/>
    </row>
    <row r="73" spans="1:27" ht="34.200000000000003" customHeight="1" x14ac:dyDescent="0.35">
      <c r="A73" s="97" t="str">
        <f>I41</f>
        <v>Кафе</v>
      </c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1"/>
      <c r="M73" s="22"/>
      <c r="O73" s="22"/>
      <c r="P73" s="22"/>
      <c r="Q73" s="22"/>
      <c r="R73" s="22"/>
      <c r="S73" s="22"/>
      <c r="T73" s="22"/>
      <c r="U73" s="78" t="s">
        <v>108</v>
      </c>
      <c r="V73" s="78" t="s">
        <v>173</v>
      </c>
      <c r="W73" s="22"/>
      <c r="X73" s="22"/>
      <c r="Y73" s="22"/>
      <c r="Z73" s="22"/>
      <c r="AA73" s="22"/>
    </row>
    <row r="74" spans="1:27" ht="34.200000000000003" customHeight="1" x14ac:dyDescent="0.3">
      <c r="A74" s="353" t="str">
        <f>A66</f>
        <v>Посадові одиниці</v>
      </c>
      <c r="B74" s="353"/>
      <c r="C74" s="353"/>
      <c r="D74" s="353"/>
      <c r="E74" s="359" t="str">
        <f>E66</f>
        <v>Загальна кількість співробітників, чол.</v>
      </c>
      <c r="F74" s="360" t="str">
        <f>F58</f>
        <v>Фіксований оклад на день (зміну), UAH/день</v>
      </c>
      <c r="G74" s="359" t="str">
        <f>CHOOSE($S$1,$U$64,$V$64)</f>
        <v>Кількість змін на місяць, од./міс.</v>
      </c>
      <c r="H74" s="359" t="str">
        <f>H66</f>
        <v>Зарплата одного співробітника на місяць</v>
      </c>
      <c r="I74" s="359"/>
      <c r="J74" s="353" t="str">
        <f>J66</f>
        <v>Базовий розмір бонусу для всіх співробітників, % від бази нарахування*</v>
      </c>
      <c r="K74" s="353" t="str">
        <f>K66</f>
        <v xml:space="preserve"> * - База нарахування бонусу</v>
      </c>
      <c r="L74" s="21"/>
      <c r="M74" s="22"/>
      <c r="O74" s="22"/>
      <c r="P74" s="22"/>
      <c r="Q74" s="22"/>
      <c r="R74" s="22"/>
      <c r="S74" s="22"/>
      <c r="T74" s="22"/>
      <c r="U74" s="83" t="s">
        <v>256</v>
      </c>
      <c r="V74" s="83" t="s">
        <v>257</v>
      </c>
      <c r="W74" s="22"/>
      <c r="X74" s="22"/>
      <c r="Y74" s="22"/>
      <c r="Z74" s="22"/>
      <c r="AA74" s="22"/>
    </row>
    <row r="75" spans="1:27" ht="59.25" customHeight="1" x14ac:dyDescent="0.3">
      <c r="A75" s="353" t="str">
        <f>$C$8</f>
        <v>Русский</v>
      </c>
      <c r="B75" s="353"/>
      <c r="C75" s="353" t="str">
        <f>$C$9</f>
        <v>Українська</v>
      </c>
      <c r="D75" s="353"/>
      <c r="E75" s="359"/>
      <c r="F75" s="361"/>
      <c r="G75" s="359"/>
      <c r="H75" s="137" t="str">
        <f>H67</f>
        <v>UAH/міс.</v>
      </c>
      <c r="I75" s="137" t="str">
        <f>I67</f>
        <v>У валюті, в якій виконується розрахунок, UAH/міс.</v>
      </c>
      <c r="J75" s="353"/>
      <c r="K75" s="353"/>
      <c r="L75" s="21"/>
      <c r="M75" s="22"/>
      <c r="O75" s="22"/>
      <c r="P75" s="22"/>
      <c r="Q75" s="22"/>
      <c r="R75" s="22"/>
      <c r="S75" s="22"/>
      <c r="T75" s="22"/>
      <c r="U75" s="78"/>
      <c r="V75" s="78"/>
      <c r="W75" s="22"/>
      <c r="X75" s="22"/>
      <c r="Y75" s="22"/>
      <c r="Z75" s="22"/>
      <c r="AA75" s="22"/>
    </row>
    <row r="76" spans="1:27" s="12" customFormat="1" ht="40.049999999999997" customHeight="1" x14ac:dyDescent="0.3">
      <c r="A76" s="354" t="s">
        <v>361</v>
      </c>
      <c r="B76" s="355"/>
      <c r="C76" s="354" t="s">
        <v>362</v>
      </c>
      <c r="D76" s="355"/>
      <c r="E76" s="65">
        <v>2</v>
      </c>
      <c r="F76" s="65">
        <v>400</v>
      </c>
      <c r="G76" s="65">
        <v>2</v>
      </c>
      <c r="H76" s="152">
        <f>IF(G76=0,0,F76*30/G76)</f>
        <v>6000</v>
      </c>
      <c r="I76" s="128">
        <f>H76/CHOOSE($M$1,1,$F$6,$I$6,$K$6)</f>
        <v>6000</v>
      </c>
      <c r="J76" s="356">
        <v>0</v>
      </c>
      <c r="K76" s="333" t="str">
        <f>K68</f>
        <v>загальна виручка</v>
      </c>
      <c r="L76" s="21"/>
      <c r="M76" s="25"/>
      <c r="O76" s="25"/>
      <c r="P76" s="25"/>
      <c r="Q76" s="25"/>
      <c r="R76" s="151">
        <f>F76/CHOOSE($M$1,1,$F$6,$I$6,$K$6)</f>
        <v>400</v>
      </c>
      <c r="S76" s="151">
        <f>H76*E76</f>
        <v>12000</v>
      </c>
      <c r="T76" s="25" t="str">
        <f>CHOOSE($S$1,A76,C76)</f>
        <v>Продавець</v>
      </c>
      <c r="U76" s="78"/>
      <c r="V76" s="78"/>
      <c r="W76" s="25"/>
      <c r="X76" s="25"/>
      <c r="Y76" s="25"/>
      <c r="Z76" s="25"/>
      <c r="AA76" s="25"/>
    </row>
    <row r="77" spans="1:27" s="12" customFormat="1" ht="40.049999999999997" customHeight="1" x14ac:dyDescent="0.3">
      <c r="A77" s="354" t="s">
        <v>334</v>
      </c>
      <c r="B77" s="355"/>
      <c r="C77" s="354" t="s">
        <v>335</v>
      </c>
      <c r="D77" s="355"/>
      <c r="E77" s="65">
        <v>4</v>
      </c>
      <c r="F77" s="65">
        <v>450</v>
      </c>
      <c r="G77" s="65">
        <v>2</v>
      </c>
      <c r="H77" s="152">
        <f t="shared" ref="H77:H78" si="15">IF(G77=0,0,F77*30/G77)</f>
        <v>6750</v>
      </c>
      <c r="I77" s="128">
        <f>H77/CHOOSE($M$1,1,$F$6,$I$6,$K$6)</f>
        <v>6750</v>
      </c>
      <c r="J77" s="356"/>
      <c r="K77" s="333"/>
      <c r="L77" s="21"/>
      <c r="M77" s="25"/>
      <c r="O77" s="25"/>
      <c r="P77" s="25"/>
      <c r="Q77" s="25"/>
      <c r="R77" s="151">
        <f t="shared" ref="R77:R78" si="16">F77/CHOOSE($M$1,1,$F$6,$I$6,$K$6)</f>
        <v>450</v>
      </c>
      <c r="S77" s="151">
        <f t="shared" ref="S77:S78" si="17">H77*E77</f>
        <v>27000</v>
      </c>
      <c r="T77" s="25" t="str">
        <f>CHOOSE($S$1,A77,C77)</f>
        <v>Пекар</v>
      </c>
      <c r="W77" s="25"/>
      <c r="X77" s="25"/>
      <c r="Y77" s="25"/>
      <c r="Z77" s="25"/>
      <c r="AA77" s="25"/>
    </row>
    <row r="78" spans="1:27" s="12" customFormat="1" ht="40.049999999999997" customHeight="1" x14ac:dyDescent="0.3">
      <c r="A78" s="354"/>
      <c r="B78" s="355"/>
      <c r="C78" s="354"/>
      <c r="D78" s="355"/>
      <c r="E78" s="65"/>
      <c r="F78" s="65"/>
      <c r="G78" s="65"/>
      <c r="H78" s="152">
        <f t="shared" si="15"/>
        <v>0</v>
      </c>
      <c r="I78" s="128">
        <f>H78/CHOOSE($M$1,1,$F$6,$I$6,$K$6)</f>
        <v>0</v>
      </c>
      <c r="J78" s="356"/>
      <c r="K78" s="333"/>
      <c r="L78" s="21"/>
      <c r="M78" s="25"/>
      <c r="O78" s="25"/>
      <c r="P78" s="25"/>
      <c r="Q78" s="25"/>
      <c r="R78" s="151">
        <f t="shared" si="16"/>
        <v>0</v>
      </c>
      <c r="S78" s="151">
        <f t="shared" si="17"/>
        <v>0</v>
      </c>
      <c r="T78" s="25">
        <f>CHOOSE($S$1,A78,C78)</f>
        <v>0</v>
      </c>
      <c r="W78" s="25"/>
      <c r="X78" s="25"/>
      <c r="Y78" s="25"/>
      <c r="Z78" s="25"/>
      <c r="AA78" s="25"/>
    </row>
    <row r="79" spans="1:27" s="47" customFormat="1" ht="39.9" customHeight="1" x14ac:dyDescent="0.3">
      <c r="A79" s="357" t="str">
        <f>CHOOSE($S$1,$U$74,$V$74)</f>
        <v>Кількість офіційно оформлених співробітників</v>
      </c>
      <c r="B79" s="357"/>
      <c r="C79" s="357"/>
      <c r="D79" s="357"/>
      <c r="E79" s="65">
        <v>4</v>
      </c>
      <c r="F79" s="152"/>
      <c r="G79" s="128"/>
      <c r="H79" s="152">
        <f>S79+J76*$I$16</f>
        <v>39000</v>
      </c>
      <c r="I79" s="128">
        <f>H79/CHOOSE($M$1,1,$F$6,$I$6,$K$6)</f>
        <v>39000</v>
      </c>
      <c r="J79" s="153"/>
      <c r="K79" s="138"/>
      <c r="L79" s="21"/>
      <c r="M79" s="82"/>
      <c r="O79" s="82"/>
      <c r="P79" s="82"/>
      <c r="Q79" s="82"/>
      <c r="R79" s="82"/>
      <c r="S79" s="82">
        <f>SUM(S76:S78)</f>
        <v>39000</v>
      </c>
      <c r="T79" s="82"/>
      <c r="W79" s="82"/>
      <c r="X79" s="82"/>
      <c r="Y79" s="82"/>
      <c r="Z79" s="82"/>
      <c r="AA79" s="82"/>
    </row>
    <row r="80" spans="1:27" ht="25.8" customHeight="1" x14ac:dyDescent="0.3">
      <c r="A80" s="319"/>
      <c r="B80" s="319"/>
      <c r="C80" s="319"/>
      <c r="D80" s="319"/>
      <c r="E80" s="319"/>
      <c r="F80" s="319"/>
      <c r="G80" s="319"/>
      <c r="H80" s="319"/>
      <c r="I80" s="319"/>
      <c r="J80" s="319"/>
      <c r="K80" s="319"/>
    </row>
    <row r="81" spans="1:28" ht="42" customHeight="1" x14ac:dyDescent="0.3">
      <c r="A81" s="10" t="str">
        <f>CHOOSE($S$1,U81,V81)</f>
        <v>Поточні витрати</v>
      </c>
      <c r="D81" s="26"/>
      <c r="E81" s="26"/>
      <c r="H81" s="366"/>
      <c r="I81" s="366"/>
      <c r="J81" s="366"/>
      <c r="K81" s="366"/>
      <c r="U81" s="78" t="s">
        <v>1</v>
      </c>
      <c r="V81" s="78" t="s">
        <v>174</v>
      </c>
    </row>
    <row r="82" spans="1:28" ht="42" customHeight="1" thickBot="1" x14ac:dyDescent="0.35">
      <c r="C82" s="358" t="str">
        <f>CHOOSE($S$1,U82,V82)</f>
        <v>Середньомісячна сума витрат</v>
      </c>
      <c r="D82" s="358"/>
      <c r="E82" s="358"/>
      <c r="F82" s="358"/>
      <c r="G82" s="358"/>
      <c r="H82" s="358"/>
      <c r="I82" s="358"/>
      <c r="J82" s="358"/>
      <c r="K82" s="358"/>
      <c r="U82" s="78" t="s">
        <v>74</v>
      </c>
      <c r="V82" s="78" t="s">
        <v>175</v>
      </c>
    </row>
    <row r="83" spans="1:28" ht="42" customHeight="1" x14ac:dyDescent="0.3">
      <c r="A83" s="48"/>
      <c r="C83" s="341" t="str">
        <f>A14</f>
        <v>Міні</v>
      </c>
      <c r="D83" s="342"/>
      <c r="E83" s="343"/>
      <c r="F83" s="341" t="str">
        <f>A15</f>
        <v>Стандарт</v>
      </c>
      <c r="G83" s="342"/>
      <c r="H83" s="343"/>
      <c r="I83" s="341" t="str">
        <f>A16</f>
        <v>Кафе</v>
      </c>
      <c r="J83" s="342"/>
      <c r="K83" s="343"/>
      <c r="U83" s="78" t="s">
        <v>119</v>
      </c>
      <c r="V83" s="78" t="s">
        <v>176</v>
      </c>
    </row>
    <row r="84" spans="1:28" ht="58.8" customHeight="1" thickBot="1" x14ac:dyDescent="0.35">
      <c r="A84" s="10"/>
      <c r="C84" s="103" t="str">
        <f>CHOOSE($S$1,U83,V83)</f>
        <v>UAH/міс.* або %</v>
      </c>
      <c r="D84" s="331" t="str">
        <f>CHOOSE($S$1,U84,V84)</f>
        <v>У валюті, в якій виконується розрахунок, UAH/міс.</v>
      </c>
      <c r="E84" s="332"/>
      <c r="F84" s="103" t="str">
        <f>C84</f>
        <v>UAH/міс.* або %</v>
      </c>
      <c r="G84" s="331" t="str">
        <f>D84</f>
        <v>У валюті, в якій виконується розрахунок, UAH/міс.</v>
      </c>
      <c r="H84" s="332"/>
      <c r="I84" s="103" t="str">
        <f>F84</f>
        <v>UAH/міс.* або %</v>
      </c>
      <c r="J84" s="331" t="str">
        <f>G84</f>
        <v>У валюті, в якій виконується розрахунок, UAH/міс.</v>
      </c>
      <c r="K84" s="332"/>
      <c r="U84" s="78" t="str">
        <f>"В валюте, в которой производиться расчет, "&amp;CHOOSE($M$1,$N$1,$N$2,$N$3,$N$4)&amp;"/мес.*"</f>
        <v>В валюте, в которой производиться расчет, UAH/мес.*</v>
      </c>
      <c r="V84" s="78" t="str">
        <f>"У валюті, в якій виконується розрахунок, "&amp;CHOOSE($M$1,$N$1,$N$2,$N$3,$N$4)&amp;"/міс."</f>
        <v>У валюті, в якій виконується розрахунок, UAH/міс.</v>
      </c>
    </row>
    <row r="85" spans="1:28" customFormat="1" ht="48.3" customHeight="1" x14ac:dyDescent="0.3">
      <c r="A85" s="99"/>
      <c r="B85" s="148" t="str">
        <f>""&amp;CHOOSE($S$1,U87,V87)&amp;""</f>
        <v>Роялті, до розрахунку приймається:</v>
      </c>
      <c r="C85" s="100">
        <v>0.03</v>
      </c>
      <c r="D85" s="284" t="str">
        <f>CHOOSE($S$1,U85,V85)</f>
        <v>% від загальної виручки</v>
      </c>
      <c r="E85" s="291">
        <f>C85*$J$14</f>
        <v>6750</v>
      </c>
      <c r="F85" s="100">
        <v>0.03</v>
      </c>
      <c r="G85" s="284" t="str">
        <f>D85</f>
        <v>% від загальної виручки</v>
      </c>
      <c r="H85" s="291">
        <f>F85*$J$15</f>
        <v>8640</v>
      </c>
      <c r="I85" s="100">
        <v>0.03</v>
      </c>
      <c r="J85" s="284" t="str">
        <f>G85</f>
        <v>% від загальної виручки</v>
      </c>
      <c r="K85" s="292">
        <f>I85*$J$16</f>
        <v>10800</v>
      </c>
      <c r="N85" s="6"/>
      <c r="O85" s="6"/>
      <c r="P85" s="6"/>
      <c r="S85" s="101">
        <f>MATCH(B86,$T$85:$T$86,0)</f>
        <v>1</v>
      </c>
      <c r="T85" s="101" t="str">
        <f>CHOOSE($S$1,U85,V85)</f>
        <v>% від загальної виручки</v>
      </c>
      <c r="U85" s="78" t="s">
        <v>103</v>
      </c>
      <c r="V85" s="78" t="s">
        <v>177</v>
      </c>
    </row>
    <row r="86" spans="1:28" customFormat="1" ht="48.3" customHeight="1" thickBot="1" x14ac:dyDescent="0.35">
      <c r="A86" s="102"/>
      <c r="B86" s="149" t="s">
        <v>177</v>
      </c>
      <c r="C86" s="95">
        <v>0</v>
      </c>
      <c r="D86" s="344">
        <f>C86/CHOOSE($M$1,1,$F$6,$I$6,$K$6)</f>
        <v>0</v>
      </c>
      <c r="E86" s="345"/>
      <c r="F86" s="95">
        <v>0</v>
      </c>
      <c r="G86" s="344">
        <f>F86/CHOOSE($M$1,1,$F$6,$I$6,$K$6)</f>
        <v>0</v>
      </c>
      <c r="H86" s="345"/>
      <c r="I86" s="95">
        <v>0</v>
      </c>
      <c r="J86" s="344">
        <f>I86/CHOOSE($M$1,1,$F$6,$I$6,$K$6)</f>
        <v>0</v>
      </c>
      <c r="K86" s="345"/>
      <c r="N86" s="6"/>
      <c r="O86" s="6"/>
      <c r="P86" s="6"/>
      <c r="S86" s="101">
        <f>MATCH(B88,$T$85:$T$86,0)</f>
        <v>1</v>
      </c>
      <c r="T86" s="101" t="str">
        <f>CHOOSE($S$1,U86,V86)</f>
        <v>фіксована сума</v>
      </c>
      <c r="U86" s="78" t="s">
        <v>104</v>
      </c>
      <c r="V86" s="78" t="s">
        <v>261</v>
      </c>
    </row>
    <row r="87" spans="1:28" customFormat="1" ht="54.9" customHeight="1" x14ac:dyDescent="0.3">
      <c r="A87" s="99"/>
      <c r="B87" s="148" t="str">
        <f>""&amp;CHOOSE($S$1,U88,V88)&amp;""</f>
        <v>Маркетингові відрахування, до розрахунку приймається:</v>
      </c>
      <c r="C87" s="100">
        <v>0</v>
      </c>
      <c r="D87" s="284" t="str">
        <f>D85</f>
        <v>% від загальної виручки</v>
      </c>
      <c r="E87" s="128">
        <f>C87*$J$14</f>
        <v>0</v>
      </c>
      <c r="F87" s="100">
        <v>0</v>
      </c>
      <c r="G87" s="284" t="str">
        <f>G85</f>
        <v>% від загальної виручки</v>
      </c>
      <c r="H87" s="128">
        <f>F87*$J$15</f>
        <v>0</v>
      </c>
      <c r="I87" s="100">
        <v>0</v>
      </c>
      <c r="J87" s="284" t="str">
        <f>J85</f>
        <v>% від загальної виручки</v>
      </c>
      <c r="K87" s="293">
        <f>I87*$J$16</f>
        <v>0</v>
      </c>
      <c r="U87" s="78" t="s">
        <v>318</v>
      </c>
      <c r="V87" s="78" t="s">
        <v>320</v>
      </c>
    </row>
    <row r="88" spans="1:28" customFormat="1" ht="54.9" customHeight="1" thickBot="1" x14ac:dyDescent="0.35">
      <c r="A88" s="102"/>
      <c r="B88" s="149" t="s">
        <v>177</v>
      </c>
      <c r="C88" s="95">
        <v>0</v>
      </c>
      <c r="D88" s="344">
        <f>C88/CHOOSE($M$1,1,$F$6,$I$6,$K$6)</f>
        <v>0</v>
      </c>
      <c r="E88" s="345"/>
      <c r="F88" s="95">
        <v>0</v>
      </c>
      <c r="G88" s="344">
        <f>F88/CHOOSE($M$1,1,$F$6,$I$6,$K$6)</f>
        <v>0</v>
      </c>
      <c r="H88" s="345"/>
      <c r="I88" s="95">
        <v>0</v>
      </c>
      <c r="J88" s="344">
        <f>I88/CHOOSE($M$1,1,$F$6,$I$6,$K$6)</f>
        <v>0</v>
      </c>
      <c r="K88" s="345"/>
      <c r="U88" s="78" t="s">
        <v>319</v>
      </c>
      <c r="V88" s="78" t="s">
        <v>321</v>
      </c>
    </row>
    <row r="89" spans="1:28" s="11" customFormat="1" ht="43.05" customHeight="1" x14ac:dyDescent="0.3">
      <c r="A89" s="19"/>
      <c r="B89" s="294" t="str">
        <f t="shared" ref="B89:B102" si="18">CHOOSE($S$1,U89,V89)</f>
        <v>Оренда</v>
      </c>
      <c r="C89" s="106">
        <v>17000</v>
      </c>
      <c r="D89" s="329">
        <f t="shared" ref="D89:D102" si="19">C89/CHOOSE($M$1,1,$F$6,$I$6,$K$6)</f>
        <v>17000</v>
      </c>
      <c r="E89" s="330"/>
      <c r="F89" s="106">
        <v>26000</v>
      </c>
      <c r="G89" s="329">
        <f t="shared" ref="G89:G102" si="20">F89/CHOOSE($M$1,1,$F$6,$I$6,$K$6)</f>
        <v>26000</v>
      </c>
      <c r="H89" s="330"/>
      <c r="I89" s="106">
        <v>30000</v>
      </c>
      <c r="J89" s="329">
        <f t="shared" ref="J89:J102" si="21">I89/CHOOSE($M$1,1,$F$6,$I$6,$K$6)</f>
        <v>30000</v>
      </c>
      <c r="K89" s="330"/>
      <c r="L89" s="21"/>
      <c r="M89" s="49"/>
      <c r="N89" s="49"/>
      <c r="O89" s="49"/>
      <c r="P89" s="49"/>
      <c r="Q89" s="49"/>
      <c r="R89" s="49"/>
      <c r="S89" s="49"/>
      <c r="T89" s="49"/>
      <c r="U89" s="78" t="s">
        <v>52</v>
      </c>
      <c r="V89" s="78" t="s">
        <v>179</v>
      </c>
      <c r="W89" s="49"/>
      <c r="X89" s="49"/>
      <c r="Y89" s="49"/>
      <c r="Z89" s="49"/>
      <c r="AA89" s="49"/>
    </row>
    <row r="90" spans="1:28" ht="43.05" customHeight="1" x14ac:dyDescent="0.3">
      <c r="A90" s="19"/>
      <c r="B90" s="105" t="str">
        <f t="shared" si="18"/>
        <v>Комунальні платежі</v>
      </c>
      <c r="C90" s="104">
        <v>4000</v>
      </c>
      <c r="D90" s="315">
        <f t="shared" si="19"/>
        <v>4000</v>
      </c>
      <c r="E90" s="316"/>
      <c r="F90" s="104">
        <v>6700</v>
      </c>
      <c r="G90" s="315">
        <f t="shared" si="20"/>
        <v>6700</v>
      </c>
      <c r="H90" s="316"/>
      <c r="I90" s="104">
        <v>7000</v>
      </c>
      <c r="J90" s="315">
        <f t="shared" si="21"/>
        <v>7000</v>
      </c>
      <c r="K90" s="316"/>
      <c r="U90" s="78" t="s">
        <v>53</v>
      </c>
      <c r="V90" s="78" t="s">
        <v>180</v>
      </c>
    </row>
    <row r="91" spans="1:28" ht="43.05" customHeight="1" x14ac:dyDescent="0.3">
      <c r="A91" s="11"/>
      <c r="B91" s="89" t="str">
        <f t="shared" si="18"/>
        <v>Господарські потреби</v>
      </c>
      <c r="C91" s="88">
        <v>500</v>
      </c>
      <c r="D91" s="317">
        <f t="shared" si="19"/>
        <v>500</v>
      </c>
      <c r="E91" s="318"/>
      <c r="F91" s="88">
        <v>500</v>
      </c>
      <c r="G91" s="317">
        <f t="shared" si="20"/>
        <v>500</v>
      </c>
      <c r="H91" s="318"/>
      <c r="I91" s="88">
        <v>500</v>
      </c>
      <c r="J91" s="317">
        <f t="shared" si="21"/>
        <v>500</v>
      </c>
      <c r="K91" s="318"/>
      <c r="U91" s="78" t="s">
        <v>107</v>
      </c>
      <c r="V91" s="78" t="s">
        <v>181</v>
      </c>
    </row>
    <row r="92" spans="1:28" ht="43.05" customHeight="1" x14ac:dyDescent="0.3">
      <c r="A92" s="11"/>
      <c r="B92" s="107" t="str">
        <f t="shared" ref="B92" si="22">CHOOSE($S$1,U92,V92)</f>
        <v>Списання</v>
      </c>
      <c r="C92" s="289">
        <v>3.0000000000000001E-3</v>
      </c>
      <c r="D92" s="290" t="str">
        <f>D85</f>
        <v>% від загальної виручки</v>
      </c>
      <c r="E92" s="128">
        <f>C92*$J$14</f>
        <v>675</v>
      </c>
      <c r="F92" s="289">
        <v>3.0000000000000001E-3</v>
      </c>
      <c r="G92" s="290" t="str">
        <f>D92</f>
        <v>% від загальної виручки</v>
      </c>
      <c r="H92" s="128">
        <f>F92*$J$15</f>
        <v>864</v>
      </c>
      <c r="I92" s="289">
        <v>3.0000000000000001E-3</v>
      </c>
      <c r="J92" s="290" t="str">
        <f>G92</f>
        <v>% від загальної виручки</v>
      </c>
      <c r="K92" s="293">
        <f>I92*$J$16</f>
        <v>1080</v>
      </c>
      <c r="L92" s="29"/>
      <c r="N92" s="22"/>
      <c r="O92" s="22"/>
      <c r="P92" s="22"/>
      <c r="Q92" s="22"/>
      <c r="R92" s="22"/>
      <c r="S92" s="22"/>
      <c r="T92" s="22"/>
      <c r="U92" s="78" t="s">
        <v>336</v>
      </c>
      <c r="V92" s="78" t="s">
        <v>337</v>
      </c>
      <c r="W92" s="22"/>
      <c r="X92" s="22"/>
      <c r="Y92" s="22"/>
      <c r="Z92" s="22"/>
      <c r="AA92" s="22"/>
      <c r="AB92" s="22"/>
    </row>
    <row r="93" spans="1:28" ht="43.05" customHeight="1" x14ac:dyDescent="0.3">
      <c r="A93" s="11"/>
      <c r="B93" s="107" t="str">
        <f t="shared" ref="B93" si="23">CHOOSE($S$1,U93,V93)</f>
        <v>Харчування персоналу</v>
      </c>
      <c r="C93" s="88"/>
      <c r="D93" s="317">
        <f t="shared" ref="D93" si="24">C93/CHOOSE($M$1,1,$F$6,$I$6,$K$6)</f>
        <v>0</v>
      </c>
      <c r="E93" s="318"/>
      <c r="F93" s="88"/>
      <c r="G93" s="317">
        <f t="shared" ref="G93" si="25">F93/CHOOSE($M$1,1,$F$6,$I$6,$K$6)</f>
        <v>0</v>
      </c>
      <c r="H93" s="318"/>
      <c r="I93" s="88"/>
      <c r="J93" s="317">
        <f t="shared" ref="J93" si="26">I93/CHOOSE($M$1,1,$F$6,$I$6,$K$6)</f>
        <v>0</v>
      </c>
      <c r="K93" s="318"/>
      <c r="L93" s="29"/>
      <c r="N93" s="22"/>
      <c r="O93" s="22"/>
      <c r="P93" s="22"/>
      <c r="Q93" s="22"/>
      <c r="R93" s="22"/>
      <c r="S93" s="22"/>
      <c r="T93" s="22"/>
      <c r="U93" s="78" t="s">
        <v>339</v>
      </c>
      <c r="V93" s="78" t="s">
        <v>338</v>
      </c>
      <c r="W93" s="22"/>
      <c r="X93" s="22"/>
      <c r="Y93" s="22"/>
      <c r="Z93" s="22"/>
      <c r="AA93" s="22"/>
      <c r="AB93" s="22"/>
    </row>
    <row r="94" spans="1:28" ht="43.05" customHeight="1" x14ac:dyDescent="0.3">
      <c r="A94" s="19"/>
      <c r="B94" s="107" t="str">
        <f t="shared" ref="B94" si="27">CHOOSE($S$1,U94,V94)</f>
        <v>Транспортні витрати</v>
      </c>
      <c r="C94" s="289">
        <v>0</v>
      </c>
      <c r="D94" s="290" t="str">
        <f>D87</f>
        <v>% від загальної виручки</v>
      </c>
      <c r="E94" s="128">
        <f>C94*$J$14</f>
        <v>0</v>
      </c>
      <c r="F94" s="289">
        <v>0</v>
      </c>
      <c r="G94" s="290" t="str">
        <f>D94</f>
        <v>% від загальної виручки</v>
      </c>
      <c r="H94" s="128">
        <f>F94*$J$15</f>
        <v>0</v>
      </c>
      <c r="I94" s="289">
        <v>0</v>
      </c>
      <c r="J94" s="290" t="str">
        <f>G94</f>
        <v>% від загальної виручки</v>
      </c>
      <c r="K94" s="293">
        <f>I94*$J$16</f>
        <v>0</v>
      </c>
      <c r="L94" s="29"/>
      <c r="N94" s="22"/>
      <c r="O94" s="22"/>
      <c r="P94" s="22"/>
      <c r="Q94" s="22"/>
      <c r="R94" s="22"/>
      <c r="S94" s="22"/>
      <c r="T94" s="22"/>
      <c r="U94" s="78" t="s">
        <v>367</v>
      </c>
      <c r="V94" s="78" t="s">
        <v>363</v>
      </c>
      <c r="W94" s="22"/>
      <c r="X94" s="22"/>
      <c r="Y94" s="22"/>
      <c r="Z94" s="22"/>
      <c r="AA94" s="22"/>
      <c r="AB94" s="22"/>
    </row>
    <row r="95" spans="1:28" ht="42" customHeight="1" x14ac:dyDescent="0.3">
      <c r="A95" s="11"/>
      <c r="B95" s="89" t="str">
        <f t="shared" si="18"/>
        <v>Сервісне обслуговування техніки та обладнання*</v>
      </c>
      <c r="C95" s="88"/>
      <c r="D95" s="317">
        <f t="shared" si="19"/>
        <v>0</v>
      </c>
      <c r="E95" s="318"/>
      <c r="F95" s="88"/>
      <c r="G95" s="317">
        <f t="shared" si="20"/>
        <v>0</v>
      </c>
      <c r="H95" s="318"/>
      <c r="I95" s="88"/>
      <c r="J95" s="317">
        <f t="shared" si="21"/>
        <v>0</v>
      </c>
      <c r="K95" s="318"/>
      <c r="U95" s="78" t="s">
        <v>187</v>
      </c>
      <c r="V95" s="78" t="s">
        <v>186</v>
      </c>
    </row>
    <row r="96" spans="1:28" ht="43.05" customHeight="1" x14ac:dyDescent="0.3">
      <c r="A96" s="19"/>
      <c r="B96" s="89" t="str">
        <f t="shared" si="18"/>
        <v>Уніформа персоналу*</v>
      </c>
      <c r="C96" s="88"/>
      <c r="D96" s="317">
        <f t="shared" si="19"/>
        <v>0</v>
      </c>
      <c r="E96" s="318"/>
      <c r="F96" s="88"/>
      <c r="G96" s="317">
        <f t="shared" si="20"/>
        <v>0</v>
      </c>
      <c r="H96" s="318"/>
      <c r="I96" s="88"/>
      <c r="J96" s="317">
        <f t="shared" si="21"/>
        <v>0</v>
      </c>
      <c r="K96" s="318"/>
      <c r="U96" s="78" t="s">
        <v>307</v>
      </c>
      <c r="V96" s="78" t="s">
        <v>308</v>
      </c>
    </row>
    <row r="97" spans="1:28" ht="43.05" customHeight="1" x14ac:dyDescent="0.3">
      <c r="A97" s="11"/>
      <c r="B97" s="89" t="str">
        <f t="shared" si="18"/>
        <v>Охорона</v>
      </c>
      <c r="C97" s="88">
        <v>0</v>
      </c>
      <c r="D97" s="317">
        <f t="shared" si="19"/>
        <v>0</v>
      </c>
      <c r="E97" s="318"/>
      <c r="F97" s="88">
        <v>0</v>
      </c>
      <c r="G97" s="317">
        <f t="shared" si="20"/>
        <v>0</v>
      </c>
      <c r="H97" s="318"/>
      <c r="I97" s="88">
        <v>0</v>
      </c>
      <c r="J97" s="317">
        <f t="shared" si="21"/>
        <v>0</v>
      </c>
      <c r="K97" s="318"/>
      <c r="U97" s="78" t="s">
        <v>61</v>
      </c>
      <c r="V97" s="78" t="s">
        <v>182</v>
      </c>
    </row>
    <row r="98" spans="1:28" ht="43.05" customHeight="1" x14ac:dyDescent="0.3">
      <c r="A98" s="11"/>
      <c r="B98" s="89" t="str">
        <f t="shared" si="18"/>
        <v>Послуги зв'язку та інтернет</v>
      </c>
      <c r="C98" s="88">
        <v>200</v>
      </c>
      <c r="D98" s="317">
        <f t="shared" si="19"/>
        <v>200</v>
      </c>
      <c r="E98" s="318"/>
      <c r="F98" s="88">
        <v>200</v>
      </c>
      <c r="G98" s="317">
        <f t="shared" si="20"/>
        <v>200</v>
      </c>
      <c r="H98" s="318"/>
      <c r="I98" s="88">
        <v>200</v>
      </c>
      <c r="J98" s="317">
        <f t="shared" si="21"/>
        <v>200</v>
      </c>
      <c r="K98" s="318"/>
      <c r="L98" s="29"/>
      <c r="N98" s="22"/>
      <c r="O98" s="22"/>
      <c r="P98" s="22"/>
      <c r="Q98" s="22"/>
      <c r="R98" s="22"/>
      <c r="S98" s="22"/>
      <c r="T98" s="22"/>
      <c r="U98" s="78" t="s">
        <v>60</v>
      </c>
      <c r="V98" s="78" t="s">
        <v>183</v>
      </c>
      <c r="W98" s="22"/>
      <c r="X98" s="22"/>
      <c r="Y98" s="22"/>
      <c r="Z98" s="22"/>
      <c r="AA98" s="22"/>
      <c r="AB98" s="22"/>
    </row>
    <row r="99" spans="1:28" ht="43.05" customHeight="1" x14ac:dyDescent="0.3">
      <c r="A99" s="11"/>
      <c r="B99" s="89" t="str">
        <f t="shared" si="18"/>
        <v>Ведення бухгалтерського обліку</v>
      </c>
      <c r="C99" s="88">
        <v>750</v>
      </c>
      <c r="D99" s="317">
        <f t="shared" si="19"/>
        <v>750</v>
      </c>
      <c r="E99" s="318"/>
      <c r="F99" s="88">
        <v>500</v>
      </c>
      <c r="G99" s="317">
        <f t="shared" si="20"/>
        <v>500</v>
      </c>
      <c r="H99" s="318"/>
      <c r="I99" s="88">
        <v>500</v>
      </c>
      <c r="J99" s="317">
        <f t="shared" si="21"/>
        <v>500</v>
      </c>
      <c r="K99" s="318"/>
      <c r="L99" s="29"/>
      <c r="N99" s="22"/>
      <c r="O99" s="22"/>
      <c r="P99" s="22"/>
      <c r="Q99" s="22"/>
      <c r="R99" s="22"/>
      <c r="S99" s="22"/>
      <c r="T99" s="22"/>
      <c r="U99" s="78" t="s">
        <v>82</v>
      </c>
      <c r="V99" s="78" t="s">
        <v>184</v>
      </c>
      <c r="W99" s="22"/>
      <c r="X99" s="22"/>
      <c r="Y99" s="22"/>
      <c r="Z99" s="22"/>
      <c r="AA99" s="22"/>
      <c r="AB99" s="22"/>
    </row>
    <row r="100" spans="1:28" ht="43.05" customHeight="1" x14ac:dyDescent="0.3">
      <c r="A100" s="11"/>
      <c r="B100" s="105" t="str">
        <f>CHOOSE($S$1,U100,V100)</f>
        <v>Локальна реклама</v>
      </c>
      <c r="C100" s="104"/>
      <c r="D100" s="315">
        <f>C100/CHOOSE($M$1,1,$F$6,$I$6,$K$6)</f>
        <v>0</v>
      </c>
      <c r="E100" s="316"/>
      <c r="F100" s="104"/>
      <c r="G100" s="315">
        <f>F100/CHOOSE($M$1,1,$F$6,$I$6,$K$6)</f>
        <v>0</v>
      </c>
      <c r="H100" s="316"/>
      <c r="I100" s="104"/>
      <c r="J100" s="315">
        <f>I100/CHOOSE($M$1,1,$F$6,$I$6,$K$6)</f>
        <v>0</v>
      </c>
      <c r="K100" s="316"/>
      <c r="U100" s="78" t="s">
        <v>364</v>
      </c>
      <c r="V100" s="78" t="s">
        <v>365</v>
      </c>
    </row>
    <row r="101" spans="1:28" ht="43.05" customHeight="1" thickBot="1" x14ac:dyDescent="0.35">
      <c r="A101" s="11"/>
      <c r="B101" s="89" t="str">
        <f>CHOOSE($S$1,U101,V101)</f>
        <v>Інше</v>
      </c>
      <c r="C101" s="95"/>
      <c r="D101" s="344">
        <f>C101/CHOOSE($M$1,1,$F$6,$I$6,$K$6)</f>
        <v>0</v>
      </c>
      <c r="E101" s="345"/>
      <c r="F101" s="95"/>
      <c r="G101" s="344">
        <f>F101/CHOOSE($M$1,1,$F$6,$I$6,$K$6)</f>
        <v>0</v>
      </c>
      <c r="H101" s="345"/>
      <c r="I101" s="95"/>
      <c r="J101" s="344">
        <f>I101/CHOOSE($M$1,1,$F$6,$I$6,$K$6)</f>
        <v>0</v>
      </c>
      <c r="K101" s="345"/>
      <c r="U101" s="78" t="s">
        <v>2</v>
      </c>
      <c r="V101" s="78" t="s">
        <v>168</v>
      </c>
    </row>
    <row r="102" spans="1:28" ht="43.05" customHeight="1" x14ac:dyDescent="0.3">
      <c r="A102" s="11"/>
      <c r="B102" s="338" t="str">
        <f t="shared" si="18"/>
        <v>Банковське обслуговування</v>
      </c>
      <c r="C102" s="106">
        <v>400</v>
      </c>
      <c r="D102" s="329">
        <f t="shared" si="19"/>
        <v>400</v>
      </c>
      <c r="E102" s="330"/>
      <c r="F102" s="106">
        <v>400</v>
      </c>
      <c r="G102" s="329">
        <f t="shared" si="20"/>
        <v>400</v>
      </c>
      <c r="H102" s="330"/>
      <c r="I102" s="106">
        <v>400</v>
      </c>
      <c r="J102" s="329">
        <f t="shared" si="21"/>
        <v>400</v>
      </c>
      <c r="K102" s="330"/>
      <c r="L102" s="29"/>
      <c r="N102" s="22"/>
      <c r="O102" s="22"/>
      <c r="P102" s="22"/>
      <c r="Q102" s="22"/>
      <c r="R102" s="22"/>
      <c r="S102" s="22"/>
      <c r="T102" s="22"/>
      <c r="U102" s="78" t="s">
        <v>77</v>
      </c>
      <c r="V102" s="78" t="s">
        <v>185</v>
      </c>
      <c r="W102" s="22"/>
      <c r="X102" s="22"/>
      <c r="Y102" s="22"/>
      <c r="Z102" s="22"/>
      <c r="AA102" s="22"/>
      <c r="AB102" s="22"/>
    </row>
    <row r="103" spans="1:28" ht="49.5" customHeight="1" x14ac:dyDescent="0.3">
      <c r="A103" s="11"/>
      <c r="B103" s="339"/>
      <c r="C103" s="90">
        <v>0.1</v>
      </c>
      <c r="D103" s="348" t="str">
        <f>CHOOSE($S$1,U103,V103)</f>
        <v>% виручки, який проходить по безготівковому розрахунку</v>
      </c>
      <c r="E103" s="349"/>
      <c r="F103" s="90">
        <v>0.1</v>
      </c>
      <c r="G103" s="348" t="str">
        <f>D103</f>
        <v>% виручки, який проходить по безготівковому розрахунку</v>
      </c>
      <c r="H103" s="349"/>
      <c r="I103" s="90">
        <v>0.1</v>
      </c>
      <c r="J103" s="348" t="str">
        <f>G103</f>
        <v>% виручки, який проходить по безготівковому розрахунку</v>
      </c>
      <c r="K103" s="349"/>
      <c r="U103" s="78" t="s">
        <v>84</v>
      </c>
      <c r="V103" s="78" t="s">
        <v>189</v>
      </c>
    </row>
    <row r="104" spans="1:28" ht="42" customHeight="1" thickBot="1" x14ac:dyDescent="0.35">
      <c r="A104" s="11"/>
      <c r="B104" s="340"/>
      <c r="C104" s="108">
        <v>0.02</v>
      </c>
      <c r="D104" s="346" t="str">
        <f>CHOOSE($S$1,U104,V104)</f>
        <v>розмір банківської комісії,%</v>
      </c>
      <c r="E104" s="347"/>
      <c r="F104" s="108">
        <v>0.02</v>
      </c>
      <c r="G104" s="346" t="str">
        <f>D104</f>
        <v>розмір банківської комісії,%</v>
      </c>
      <c r="H104" s="347"/>
      <c r="I104" s="108">
        <v>0.02</v>
      </c>
      <c r="J104" s="346" t="str">
        <f>G104</f>
        <v>розмір банківської комісії,%</v>
      </c>
      <c r="K104" s="347"/>
      <c r="L104" s="29"/>
      <c r="N104" s="22"/>
      <c r="O104" s="22"/>
      <c r="P104" s="22"/>
      <c r="Q104" s="22"/>
      <c r="R104" s="22"/>
      <c r="S104" s="22"/>
      <c r="T104" s="22"/>
      <c r="U104" s="78" t="s">
        <v>137</v>
      </c>
      <c r="V104" s="78" t="s">
        <v>190</v>
      </c>
      <c r="W104" s="22"/>
      <c r="X104" s="22"/>
      <c r="Y104" s="22"/>
      <c r="Z104" s="22"/>
      <c r="AA104" s="22"/>
      <c r="AB104" s="22"/>
    </row>
    <row r="105" spans="1:28" ht="42.9" customHeight="1" thickBot="1" x14ac:dyDescent="0.35">
      <c r="A105" s="11"/>
      <c r="B105" s="112" t="str">
        <f t="shared" ref="B105:B108" si="28">CHOOSE($S$1,U105,V105)</f>
        <v>Податки на зарплату за 1-го співробітника</v>
      </c>
      <c r="C105" s="314">
        <v>2100</v>
      </c>
      <c r="D105" s="379">
        <f>C105/CHOOSE($M$1,1,$F$6,$I$6,$K$6)</f>
        <v>2100</v>
      </c>
      <c r="E105" s="380"/>
      <c r="F105" s="314">
        <v>2100</v>
      </c>
      <c r="G105" s="379">
        <f>F105/CHOOSE($M$1,1,$F$6,$I$6,$K$6)</f>
        <v>2100</v>
      </c>
      <c r="H105" s="380"/>
      <c r="I105" s="314">
        <v>2100</v>
      </c>
      <c r="J105" s="379">
        <f>I105/CHOOSE($M$1,1,$F$6,$I$6,$K$6)</f>
        <v>2100</v>
      </c>
      <c r="K105" s="380"/>
      <c r="L105" s="29"/>
      <c r="N105" s="22"/>
      <c r="U105" s="78" t="s">
        <v>254</v>
      </c>
      <c r="V105" s="78" t="s">
        <v>255</v>
      </c>
    </row>
    <row r="106" spans="1:28" ht="43.05" customHeight="1" x14ac:dyDescent="0.3">
      <c r="A106" s="11"/>
      <c r="B106" s="113" t="str">
        <f t="shared" si="28"/>
        <v>Податки**, % від загальної виручки</v>
      </c>
      <c r="C106" s="100">
        <v>0.05</v>
      </c>
      <c r="D106" s="377" t="str">
        <f>D85</f>
        <v>% від загальної виручки</v>
      </c>
      <c r="E106" s="378"/>
      <c r="F106" s="100">
        <v>0.05</v>
      </c>
      <c r="G106" s="377" t="str">
        <f>D106</f>
        <v>% від загальної виручки</v>
      </c>
      <c r="H106" s="378"/>
      <c r="I106" s="100">
        <v>0.05</v>
      </c>
      <c r="J106" s="377" t="str">
        <f>G106</f>
        <v>% від загальної виручки</v>
      </c>
      <c r="K106" s="378"/>
      <c r="L106" s="29"/>
      <c r="N106" s="22"/>
      <c r="U106" s="78" t="s">
        <v>262</v>
      </c>
      <c r="V106" s="78" t="s">
        <v>264</v>
      </c>
    </row>
    <row r="107" spans="1:28" ht="43.05" customHeight="1" x14ac:dyDescent="0.3">
      <c r="A107" s="11"/>
      <c r="B107" s="114" t="str">
        <f t="shared" si="28"/>
        <v>Податки**, % від загальної виручки - витрати</v>
      </c>
      <c r="C107" s="91">
        <v>0.18</v>
      </c>
      <c r="D107" s="348" t="str">
        <f>CHOOSE($S$1,U110,V110)</f>
        <v>% від загальної виручки - витрати</v>
      </c>
      <c r="E107" s="349"/>
      <c r="F107" s="91">
        <v>0.18</v>
      </c>
      <c r="G107" s="348" t="str">
        <f>D107</f>
        <v>% від загальної виручки - витрати</v>
      </c>
      <c r="H107" s="349"/>
      <c r="I107" s="91">
        <v>0.18</v>
      </c>
      <c r="J107" s="348" t="str">
        <f>G107</f>
        <v>% від загальної виручки - витрати</v>
      </c>
      <c r="K107" s="349"/>
      <c r="L107" s="29"/>
      <c r="N107" s="22"/>
      <c r="U107" s="78" t="s">
        <v>269</v>
      </c>
      <c r="V107" s="78" t="s">
        <v>270</v>
      </c>
    </row>
    <row r="108" spans="1:28" ht="43.05" customHeight="1" thickBot="1" x14ac:dyDescent="0.35">
      <c r="A108" s="11"/>
      <c r="B108" s="115" t="str">
        <f t="shared" si="28"/>
        <v>Податки**, фіксована сума</v>
      </c>
      <c r="C108" s="95">
        <v>2100</v>
      </c>
      <c r="D108" s="344">
        <f>C108/CHOOSE($M$1,1,$F$6,$I$6,$K$6)</f>
        <v>2100</v>
      </c>
      <c r="E108" s="345"/>
      <c r="F108" s="95">
        <v>2100</v>
      </c>
      <c r="G108" s="344">
        <f>F108/CHOOSE($M$1,1,$F$6,$I$6,$K$6)</f>
        <v>2100</v>
      </c>
      <c r="H108" s="345"/>
      <c r="I108" s="95">
        <v>2100</v>
      </c>
      <c r="J108" s="344">
        <f>I108/CHOOSE($M$1,1,$F$6,$I$6,$K$6)</f>
        <v>2100</v>
      </c>
      <c r="K108" s="345"/>
      <c r="L108" s="29"/>
      <c r="N108" s="22"/>
      <c r="U108" s="78" t="s">
        <v>263</v>
      </c>
      <c r="V108" s="78" t="s">
        <v>265</v>
      </c>
    </row>
    <row r="109" spans="1:28" ht="50.4" customHeight="1" x14ac:dyDescent="0.3">
      <c r="A109" s="364" t="str">
        <f>CHOOSE($S$1,U109,V109)</f>
        <v xml:space="preserve"> * - витрати на "Сервісне обслуговування техніки та обладнання" та "Уніформу персоналу" здійснюються у вказаній сумі раз на рік.
 ** - податок, який використовується в розрахунку, вибирається на сторінці "Узагальнений розрахунок".</v>
      </c>
      <c r="B109" s="364"/>
      <c r="C109" s="364"/>
      <c r="D109" s="364"/>
      <c r="E109" s="364"/>
      <c r="F109" s="364"/>
      <c r="G109" s="364"/>
      <c r="H109" s="364"/>
      <c r="I109" s="364"/>
      <c r="J109" s="364"/>
      <c r="K109" s="364"/>
      <c r="U109" s="78" t="s">
        <v>309</v>
      </c>
      <c r="V109" s="78" t="s">
        <v>310</v>
      </c>
    </row>
    <row r="110" spans="1:28" ht="34.200000000000003" customHeight="1" x14ac:dyDescent="0.3">
      <c r="U110" s="78" t="s">
        <v>271</v>
      </c>
      <c r="V110" s="78" t="s">
        <v>272</v>
      </c>
    </row>
  </sheetData>
  <sheetProtection formatCells="0" formatColumns="0" formatRows="0" insertColumns="0" insertRows="0" insertHyperlinks="0" deleteColumns="0" deleteRows="0" sort="0" autoFilter="0" pivotTables="0"/>
  <mergeCells count="240">
    <mergeCell ref="J66:J67"/>
    <mergeCell ref="C67:D67"/>
    <mergeCell ref="C68:D68"/>
    <mergeCell ref="J68:J70"/>
    <mergeCell ref="C69:D69"/>
    <mergeCell ref="A67:B67"/>
    <mergeCell ref="A69:B69"/>
    <mergeCell ref="A68:B68"/>
    <mergeCell ref="A58:D58"/>
    <mergeCell ref="C59:D59"/>
    <mergeCell ref="C60:D60"/>
    <mergeCell ref="C61:D61"/>
    <mergeCell ref="C62:D62"/>
    <mergeCell ref="A63:D63"/>
    <mergeCell ref="E58:E59"/>
    <mergeCell ref="H58:I58"/>
    <mergeCell ref="A59:B59"/>
    <mergeCell ref="A60:B60"/>
    <mergeCell ref="A70:B70"/>
    <mergeCell ref="C70:D70"/>
    <mergeCell ref="F58:F59"/>
    <mergeCell ref="G66:G67"/>
    <mergeCell ref="G58:G59"/>
    <mergeCell ref="F66:F67"/>
    <mergeCell ref="K60:K62"/>
    <mergeCell ref="A61:B61"/>
    <mergeCell ref="A62:B62"/>
    <mergeCell ref="A64:K64"/>
    <mergeCell ref="A3:B3"/>
    <mergeCell ref="D4:E4"/>
    <mergeCell ref="D5:E5"/>
    <mergeCell ref="C12:D12"/>
    <mergeCell ref="E12:F12"/>
    <mergeCell ref="G12:G13"/>
    <mergeCell ref="C36:D36"/>
    <mergeCell ref="C37:D37"/>
    <mergeCell ref="C38:D38"/>
    <mergeCell ref="F38:G38"/>
    <mergeCell ref="D48:E48"/>
    <mergeCell ref="G42:H42"/>
    <mergeCell ref="A39:K39"/>
    <mergeCell ref="A36:B36"/>
    <mergeCell ref="A37:B37"/>
    <mergeCell ref="A38:B38"/>
    <mergeCell ref="A33:B33"/>
    <mergeCell ref="J58:J59"/>
    <mergeCell ref="D53:E53"/>
    <mergeCell ref="A34:B34"/>
    <mergeCell ref="A71:D71"/>
    <mergeCell ref="A74:D74"/>
    <mergeCell ref="E74:E75"/>
    <mergeCell ref="H74:I74"/>
    <mergeCell ref="C75:D75"/>
    <mergeCell ref="C76:D76"/>
    <mergeCell ref="G105:H105"/>
    <mergeCell ref="J105:K105"/>
    <mergeCell ref="D95:E95"/>
    <mergeCell ref="J95:K95"/>
    <mergeCell ref="D105:E105"/>
    <mergeCell ref="J96:K96"/>
    <mergeCell ref="J97:K97"/>
    <mergeCell ref="J98:K98"/>
    <mergeCell ref="D99:E99"/>
    <mergeCell ref="D103:E103"/>
    <mergeCell ref="D104:E104"/>
    <mergeCell ref="D102:E102"/>
    <mergeCell ref="J102:K102"/>
    <mergeCell ref="D97:E97"/>
    <mergeCell ref="D98:E98"/>
    <mergeCell ref="G97:H97"/>
    <mergeCell ref="G98:H98"/>
    <mergeCell ref="J104:K104"/>
    <mergeCell ref="J108:K108"/>
    <mergeCell ref="J100:K100"/>
    <mergeCell ref="J101:K101"/>
    <mergeCell ref="D106:E106"/>
    <mergeCell ref="D108:E108"/>
    <mergeCell ref="D100:E100"/>
    <mergeCell ref="D101:E101"/>
    <mergeCell ref="G106:H106"/>
    <mergeCell ref="G107:H107"/>
    <mergeCell ref="G108:H108"/>
    <mergeCell ref="G100:H100"/>
    <mergeCell ref="G101:H101"/>
    <mergeCell ref="D107:E107"/>
    <mergeCell ref="J107:K107"/>
    <mergeCell ref="J106:K106"/>
    <mergeCell ref="A1:K1"/>
    <mergeCell ref="A55:K55"/>
    <mergeCell ref="A2:K2"/>
    <mergeCell ref="A12:B13"/>
    <mergeCell ref="A14:B14"/>
    <mergeCell ref="A6:D6"/>
    <mergeCell ref="A21:B21"/>
    <mergeCell ref="A19:B20"/>
    <mergeCell ref="G6:H6"/>
    <mergeCell ref="A17:K17"/>
    <mergeCell ref="G19:K19"/>
    <mergeCell ref="A15:B15"/>
    <mergeCell ref="A8:B9"/>
    <mergeCell ref="D8:F8"/>
    <mergeCell ref="D9:F9"/>
    <mergeCell ref="G8:H8"/>
    <mergeCell ref="G9:H9"/>
    <mergeCell ref="A32:B32"/>
    <mergeCell ref="D43:E43"/>
    <mergeCell ref="D44:E44"/>
    <mergeCell ref="D47:E47"/>
    <mergeCell ref="D42:E42"/>
    <mergeCell ref="C41:E41"/>
    <mergeCell ref="J37:K38"/>
    <mergeCell ref="K58:K59"/>
    <mergeCell ref="J60:J62"/>
    <mergeCell ref="A66:D66"/>
    <mergeCell ref="E66:E67"/>
    <mergeCell ref="H66:I66"/>
    <mergeCell ref="D51:E51"/>
    <mergeCell ref="A109:K109"/>
    <mergeCell ref="A22:B22"/>
    <mergeCell ref="H81:K81"/>
    <mergeCell ref="A23:B23"/>
    <mergeCell ref="A24:B24"/>
    <mergeCell ref="A25:B25"/>
    <mergeCell ref="A30:B30"/>
    <mergeCell ref="A31:B31"/>
    <mergeCell ref="A26:B26"/>
    <mergeCell ref="A27:B27"/>
    <mergeCell ref="A28:B28"/>
    <mergeCell ref="A29:B29"/>
    <mergeCell ref="A72:K72"/>
    <mergeCell ref="K66:K67"/>
    <mergeCell ref="J36:K36"/>
    <mergeCell ref="G32:H32"/>
    <mergeCell ref="J43:K43"/>
    <mergeCell ref="J103:K103"/>
    <mergeCell ref="J52:K52"/>
    <mergeCell ref="J53:K53"/>
    <mergeCell ref="J54:K54"/>
    <mergeCell ref="D54:E54"/>
    <mergeCell ref="J50:K50"/>
    <mergeCell ref="G47:H47"/>
    <mergeCell ref="G48:H48"/>
    <mergeCell ref="G49:H49"/>
    <mergeCell ref="G50:H50"/>
    <mergeCell ref="G51:H51"/>
    <mergeCell ref="J49:K49"/>
    <mergeCell ref="D50:E50"/>
    <mergeCell ref="G53:H53"/>
    <mergeCell ref="G54:H54"/>
    <mergeCell ref="J51:K51"/>
    <mergeCell ref="A75:B75"/>
    <mergeCell ref="A76:B76"/>
    <mergeCell ref="D89:E89"/>
    <mergeCell ref="J86:K86"/>
    <mergeCell ref="J88:K88"/>
    <mergeCell ref="K74:K75"/>
    <mergeCell ref="J74:J75"/>
    <mergeCell ref="J76:J78"/>
    <mergeCell ref="A79:D79"/>
    <mergeCell ref="K76:K78"/>
    <mergeCell ref="A77:B77"/>
    <mergeCell ref="A78:B78"/>
    <mergeCell ref="C77:D77"/>
    <mergeCell ref="C78:D78"/>
    <mergeCell ref="C82:K82"/>
    <mergeCell ref="I83:K83"/>
    <mergeCell ref="G74:G75"/>
    <mergeCell ref="F74:F75"/>
    <mergeCell ref="A16:B16"/>
    <mergeCell ref="C19:E19"/>
    <mergeCell ref="G20:H20"/>
    <mergeCell ref="G21:H21"/>
    <mergeCell ref="G22:H22"/>
    <mergeCell ref="G23:H23"/>
    <mergeCell ref="G24:H24"/>
    <mergeCell ref="G25:H25"/>
    <mergeCell ref="G26:H26"/>
    <mergeCell ref="B102:B104"/>
    <mergeCell ref="D96:E96"/>
    <mergeCell ref="C83:E83"/>
    <mergeCell ref="F83:H83"/>
    <mergeCell ref="G84:H84"/>
    <mergeCell ref="G86:H86"/>
    <mergeCell ref="G88:H88"/>
    <mergeCell ref="G89:H89"/>
    <mergeCell ref="G90:H90"/>
    <mergeCell ref="G91:H91"/>
    <mergeCell ref="G95:H95"/>
    <mergeCell ref="G96:H96"/>
    <mergeCell ref="D91:E91"/>
    <mergeCell ref="D88:E88"/>
    <mergeCell ref="D90:E90"/>
    <mergeCell ref="G99:H99"/>
    <mergeCell ref="G102:H102"/>
    <mergeCell ref="D84:E84"/>
    <mergeCell ref="D86:E86"/>
    <mergeCell ref="G104:H104"/>
    <mergeCell ref="G103:H103"/>
    <mergeCell ref="I41:K41"/>
    <mergeCell ref="J42:K42"/>
    <mergeCell ref="J45:K45"/>
    <mergeCell ref="I8:K8"/>
    <mergeCell ref="I9:K9"/>
    <mergeCell ref="F36:G36"/>
    <mergeCell ref="J48:K48"/>
    <mergeCell ref="J44:K44"/>
    <mergeCell ref="J47:K47"/>
    <mergeCell ref="G44:H44"/>
    <mergeCell ref="G45:H45"/>
    <mergeCell ref="G27:H27"/>
    <mergeCell ref="G28:H28"/>
    <mergeCell ref="G29:H29"/>
    <mergeCell ref="G30:H30"/>
    <mergeCell ref="G31:H31"/>
    <mergeCell ref="G46:H46"/>
    <mergeCell ref="J46:K46"/>
    <mergeCell ref="J90:K90"/>
    <mergeCell ref="J99:K99"/>
    <mergeCell ref="A80:K80"/>
    <mergeCell ref="D93:E93"/>
    <mergeCell ref="G93:H93"/>
    <mergeCell ref="J93:K93"/>
    <mergeCell ref="D52:E52"/>
    <mergeCell ref="I12:K12"/>
    <mergeCell ref="J13:K13"/>
    <mergeCell ref="J14:K14"/>
    <mergeCell ref="J15:K15"/>
    <mergeCell ref="J16:K16"/>
    <mergeCell ref="H12:H13"/>
    <mergeCell ref="G52:H52"/>
    <mergeCell ref="D45:E45"/>
    <mergeCell ref="F41:H41"/>
    <mergeCell ref="G43:H43"/>
    <mergeCell ref="D49:E49"/>
    <mergeCell ref="F37:G37"/>
    <mergeCell ref="J91:K91"/>
    <mergeCell ref="J89:K89"/>
    <mergeCell ref="J84:K84"/>
    <mergeCell ref="K68:K70"/>
    <mergeCell ref="D46:E46"/>
  </mergeCells>
  <dataValidations count="4">
    <dataValidation type="list" allowBlank="1" showInputMessage="1" showErrorMessage="1" sqref="C3" xr:uid="{DD242619-D6F9-4262-B563-3F0CEB904138}">
      <formula1>$T$1:$T$2</formula1>
    </dataValidation>
    <dataValidation type="list" allowBlank="1" showInputMessage="1" showErrorMessage="1" sqref="D4:E4" xr:uid="{1A1F9B43-DCD0-4078-B8DA-861423341586}">
      <formula1>$N$1:$N$4</formula1>
    </dataValidation>
    <dataValidation type="list" allowBlank="1" showInputMessage="1" showErrorMessage="1" sqref="D5:E5" xr:uid="{10FAF707-FC45-4CFC-BAA1-218D7BA8B71E}">
      <formula1>$P$1:$P$12</formula1>
    </dataValidation>
    <dataValidation type="list" allowBlank="1" showInputMessage="1" showErrorMessage="1" sqref="B88 B86" xr:uid="{8F3629A5-6307-440F-82CF-210C99E614A2}">
      <formula1>$T$85:$T$86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32" orientation="portrait" r:id="rId1"/>
  <rowBreaks count="1" manualBreakCount="1">
    <brk id="55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20DB1-2CAC-46CB-A223-FC743D1C96B9}">
  <dimension ref="A1:S54"/>
  <sheetViews>
    <sheetView zoomScale="50" zoomScaleNormal="50" zoomScaleSheetLayoutView="50" workbookViewId="0">
      <pane ySplit="6" topLeftCell="A27" activePane="bottomLeft" state="frozen"/>
      <selection pane="bottomLeft" activeCell="A3" sqref="A3:E3"/>
    </sheetView>
  </sheetViews>
  <sheetFormatPr defaultRowHeight="14.4" outlineLevelRow="1" x14ac:dyDescent="0.3"/>
  <cols>
    <col min="1" max="1" width="75.21875" customWidth="1"/>
    <col min="2" max="2" width="17.21875" customWidth="1"/>
    <col min="3" max="3" width="20.21875" customWidth="1"/>
    <col min="4" max="4" width="25.109375" customWidth="1"/>
    <col min="5" max="5" width="29.88671875" customWidth="1"/>
    <col min="6" max="6" width="75.21875" customWidth="1"/>
    <col min="7" max="7" width="17.21875" customWidth="1"/>
    <col min="8" max="8" width="20.21875" customWidth="1"/>
    <col min="9" max="9" width="25.109375" customWidth="1"/>
    <col min="10" max="10" width="29.88671875" customWidth="1"/>
    <col min="11" max="11" width="75.21875" customWidth="1"/>
    <col min="12" max="12" width="17.21875" customWidth="1"/>
    <col min="13" max="13" width="20.21875" customWidth="1"/>
    <col min="14" max="14" width="25.109375" customWidth="1"/>
    <col min="15" max="15" width="29.88671875" customWidth="1"/>
    <col min="18" max="19" width="8.77734375" hidden="1" customWidth="1"/>
  </cols>
  <sheetData>
    <row r="1" spans="1:19" ht="15.6" x14ac:dyDescent="0.3">
      <c r="A1" s="390" t="str">
        <f>'Вхідні дані'!A1</f>
        <v>Зміни необхідно вносити тільки в комірки, які окрашені в сірий колір</v>
      </c>
      <c r="B1" s="390"/>
      <c r="C1" s="390"/>
      <c r="D1" s="390"/>
      <c r="E1" s="390"/>
      <c r="F1" s="390" t="str">
        <f>A1</f>
        <v>Зміни необхідно вносити тільки в комірки, які окрашені в сірий колір</v>
      </c>
      <c r="G1" s="390"/>
      <c r="H1" s="390"/>
      <c r="I1" s="390"/>
      <c r="J1" s="390"/>
      <c r="K1" s="390" t="str">
        <f>F1</f>
        <v>Зміни необхідно вносити тільки в комірки, які окрашені в сірий колір</v>
      </c>
      <c r="L1" s="390"/>
      <c r="M1" s="390"/>
      <c r="N1" s="390"/>
      <c r="O1" s="390"/>
    </row>
    <row r="2" spans="1:19" ht="25.8" x14ac:dyDescent="0.3">
      <c r="A2" s="391" t="s">
        <v>396</v>
      </c>
      <c r="B2" s="391"/>
      <c r="C2" s="391"/>
      <c r="D2" s="391"/>
      <c r="E2" s="391"/>
      <c r="F2" s="391" t="str">
        <f>A2</f>
        <v>Інвестиції для запуску франчайзингової точки "PEKKER"</v>
      </c>
      <c r="G2" s="391"/>
      <c r="H2" s="391"/>
      <c r="I2" s="391"/>
      <c r="J2" s="391"/>
      <c r="K2" s="391" t="str">
        <f>F2</f>
        <v>Інвестиції для запуску франчайзингової точки "PEKKER"</v>
      </c>
      <c r="L2" s="391"/>
      <c r="M2" s="391"/>
      <c r="N2" s="391"/>
      <c r="O2" s="391"/>
      <c r="R2" s="79" t="s">
        <v>352</v>
      </c>
      <c r="S2" s="79" t="s">
        <v>353</v>
      </c>
    </row>
    <row r="3" spans="1:19" ht="16.2" thickBot="1" x14ac:dyDescent="0.35">
      <c r="A3" s="395"/>
      <c r="B3" s="396"/>
      <c r="C3" s="396"/>
      <c r="D3" s="396"/>
      <c r="E3" s="396"/>
      <c r="F3" s="77"/>
      <c r="K3" s="96"/>
      <c r="R3" s="79" t="s">
        <v>110</v>
      </c>
      <c r="S3" s="79" t="s">
        <v>192</v>
      </c>
    </row>
    <row r="4" spans="1:19" ht="23.25" customHeight="1" x14ac:dyDescent="0.3">
      <c r="A4" s="392" t="str">
        <f>'Вхідні дані'!A14</f>
        <v>Міні</v>
      </c>
      <c r="B4" s="393"/>
      <c r="C4" s="393"/>
      <c r="D4" s="393"/>
      <c r="E4" s="394"/>
      <c r="F4" s="392" t="str">
        <f>'Вхідні дані'!A15</f>
        <v>Стандарт</v>
      </c>
      <c r="G4" s="393"/>
      <c r="H4" s="393"/>
      <c r="I4" s="393"/>
      <c r="J4" s="394"/>
      <c r="K4" s="392" t="str">
        <f>'Вхідні дані'!A16</f>
        <v>Кафе</v>
      </c>
      <c r="L4" s="393"/>
      <c r="M4" s="393"/>
      <c r="N4" s="393"/>
      <c r="O4" s="394"/>
      <c r="R4" s="79" t="s">
        <v>111</v>
      </c>
      <c r="S4" s="79" t="s">
        <v>193</v>
      </c>
    </row>
    <row r="5" spans="1:19" ht="81.900000000000006" customHeight="1" x14ac:dyDescent="0.3">
      <c r="A5" s="66" t="str">
        <f>CHOOSE('Вхідні дані'!$S$1,Інвестицій!R3,Інвестицій!S3)</f>
        <v>Найменування</v>
      </c>
      <c r="B5" s="298" t="str">
        <f>CHOOSE('Вхідні дані'!$S$1,Інвестицій!R4,Інвестицій!S4)</f>
        <v>Кількість, од.</v>
      </c>
      <c r="C5" s="76" t="str">
        <f>CHOOSE('Вхідні дані'!$S$1,Інвестицій!R5,Інвестицій!S5)</f>
        <v>Вартість одиниці, UAH</v>
      </c>
      <c r="D5" s="76" t="str">
        <f>CHOOSE('Вхідні дані'!$S$1,Інвестицій!R6,Інвестицій!S6)</f>
        <v>Загальна вартість, UAH</v>
      </c>
      <c r="E5" s="67" t="str">
        <f>CHOOSE('Вхідні дані'!$S$1,Інвестицій!R7,Інвестицій!S7)</f>
        <v>Загальна вартість в валюті, в якій виконується розрахунок, UAH</v>
      </c>
      <c r="F5" s="66" t="str">
        <f t="shared" ref="F5:K5" si="0">A5</f>
        <v>Найменування</v>
      </c>
      <c r="G5" s="298" t="str">
        <f t="shared" si="0"/>
        <v>Кількість, од.</v>
      </c>
      <c r="H5" s="76" t="str">
        <f t="shared" si="0"/>
        <v>Вартість одиниці, UAH</v>
      </c>
      <c r="I5" s="76" t="str">
        <f t="shared" si="0"/>
        <v>Загальна вартість, UAH</v>
      </c>
      <c r="J5" s="67" t="str">
        <f t="shared" si="0"/>
        <v>Загальна вартість в валюті, в якій виконується розрахунок, UAH</v>
      </c>
      <c r="K5" s="66" t="str">
        <f t="shared" si="0"/>
        <v>Найменування</v>
      </c>
      <c r="L5" s="298" t="str">
        <f>B5</f>
        <v>Кількість, од.</v>
      </c>
      <c r="M5" s="94" t="str">
        <f>H5</f>
        <v>Вартість одиниці, UAH</v>
      </c>
      <c r="N5" s="94" t="str">
        <f>I5</f>
        <v>Загальна вартість, UAH</v>
      </c>
      <c r="O5" s="67" t="str">
        <f>J5</f>
        <v>Загальна вартість в валюті, в якій виконується розрахунок, UAH</v>
      </c>
      <c r="R5" s="79" t="s">
        <v>112</v>
      </c>
      <c r="S5" s="79" t="s">
        <v>194</v>
      </c>
    </row>
    <row r="6" spans="1:19" ht="25.8" x14ac:dyDescent="0.3">
      <c r="A6" s="303" t="str">
        <f>CHOOSE('Вхідні дані'!$S$1,Інвестицій!R8,Інвестицій!S8)</f>
        <v>Меблі та обладнання</v>
      </c>
      <c r="B6" s="299"/>
      <c r="C6" s="68"/>
      <c r="D6" s="57">
        <f>SUM(D7:D42)</f>
        <v>218913</v>
      </c>
      <c r="E6" s="69">
        <f>SUM(E7:E42)</f>
        <v>218913</v>
      </c>
      <c r="F6" s="303" t="str">
        <f>A6</f>
        <v>Меблі та обладнання</v>
      </c>
      <c r="G6" s="299"/>
      <c r="H6" s="68"/>
      <c r="I6" s="57">
        <f>SUM(I7:I42)</f>
        <v>218913</v>
      </c>
      <c r="J6" s="69">
        <f>SUM(J7:J42)</f>
        <v>218913</v>
      </c>
      <c r="K6" s="303" t="str">
        <f>F6</f>
        <v>Меблі та обладнання</v>
      </c>
      <c r="L6" s="299"/>
      <c r="M6" s="68"/>
      <c r="N6" s="57">
        <f>SUM(N7:N42)</f>
        <v>218913</v>
      </c>
      <c r="O6" s="69">
        <f>SUM(O7:O42)</f>
        <v>218913</v>
      </c>
      <c r="R6" s="79" t="s">
        <v>113</v>
      </c>
      <c r="S6" s="79" t="s">
        <v>195</v>
      </c>
    </row>
    <row r="7" spans="1:19" ht="21" outlineLevel="1" x14ac:dyDescent="0.3">
      <c r="A7" s="304" t="s">
        <v>370</v>
      </c>
      <c r="B7" s="300">
        <v>1</v>
      </c>
      <c r="C7" s="72">
        <v>70099</v>
      </c>
      <c r="D7" s="70">
        <f t="shared" ref="D7:D42" si="1">B7*C7</f>
        <v>70099</v>
      </c>
      <c r="E7" s="71">
        <f>D7/CHOOSE('Вхідні дані'!$M$1,1,'Вхідні дані'!$F$6,'Вхідні дані'!$I$6,'Вхідні дані'!$K$6)</f>
        <v>70099</v>
      </c>
      <c r="F7" s="304" t="s">
        <v>370</v>
      </c>
      <c r="G7" s="300">
        <v>1</v>
      </c>
      <c r="H7" s="72">
        <v>70099</v>
      </c>
      <c r="I7" s="70">
        <f t="shared" ref="I7:I42" si="2">G7*H7</f>
        <v>70099</v>
      </c>
      <c r="J7" s="71">
        <f>I7/CHOOSE('Вхідні дані'!$M$1,1,'Вхідні дані'!$F$6,'Вхідні дані'!$I$6,'Вхідні дані'!$K$6)</f>
        <v>70099</v>
      </c>
      <c r="K7" s="304" t="s">
        <v>370</v>
      </c>
      <c r="L7" s="300">
        <v>1</v>
      </c>
      <c r="M7" s="72">
        <v>70099</v>
      </c>
      <c r="N7" s="70">
        <f t="shared" ref="N7:N42" si="3">L7*M7</f>
        <v>70099</v>
      </c>
      <c r="O7" s="71">
        <f>N7/CHOOSE('Вхідні дані'!$M$1,1,'Вхідні дані'!$F$6,'Вхідні дані'!$I$6,'Вхідні дані'!$K$6)</f>
        <v>70099</v>
      </c>
      <c r="R7" s="79" t="str">
        <f>"Общая стоимость в валюте, в которой производиться расчет, "&amp;CHOOSE('Вхідні дані'!$M$1,'Вхідні дані'!$N$1,'Вхідні дані'!$N$2,'Вхідні дані'!$N$3,'Вхідні дані'!$N$4)&amp;""</f>
        <v>Общая стоимость в валюте, в которой производиться расчет, UAH</v>
      </c>
      <c r="S7" s="79" t="str">
        <f>"Загальна вартість в валюті, в якій виконується розрахунок, "&amp;CHOOSE('Вхідні дані'!$M$1,'Вхідні дані'!$N$1,'Вхідні дані'!$N$2,'Вхідні дані'!$N$3,'Вхідні дані'!$N$4)&amp;""</f>
        <v>Загальна вартість в валюті, в якій виконується розрахунок, UAH</v>
      </c>
    </row>
    <row r="8" spans="1:19" ht="21" outlineLevel="1" x14ac:dyDescent="0.3">
      <c r="A8" s="304" t="s">
        <v>371</v>
      </c>
      <c r="B8" s="300">
        <v>1</v>
      </c>
      <c r="C8" s="72">
        <v>42040</v>
      </c>
      <c r="D8" s="70">
        <f t="shared" si="1"/>
        <v>42040</v>
      </c>
      <c r="E8" s="71">
        <f>D8/CHOOSE('Вхідні дані'!$M$1,1,'Вхідні дані'!$F$6,'Вхідні дані'!$I$6,'Вхідні дані'!$K$6)</f>
        <v>42040</v>
      </c>
      <c r="F8" s="304" t="s">
        <v>371</v>
      </c>
      <c r="G8" s="300">
        <v>1</v>
      </c>
      <c r="H8" s="72">
        <v>42040</v>
      </c>
      <c r="I8" s="70">
        <f t="shared" si="2"/>
        <v>42040</v>
      </c>
      <c r="J8" s="71">
        <f>I8/CHOOSE('Вхідні дані'!$M$1,1,'Вхідні дані'!$F$6,'Вхідні дані'!$I$6,'Вхідні дані'!$K$6)</f>
        <v>42040</v>
      </c>
      <c r="K8" s="304" t="s">
        <v>371</v>
      </c>
      <c r="L8" s="300">
        <v>1</v>
      </c>
      <c r="M8" s="72">
        <v>42040</v>
      </c>
      <c r="N8" s="70">
        <f t="shared" si="3"/>
        <v>42040</v>
      </c>
      <c r="O8" s="71">
        <f>N8/CHOOSE('Вхідні дані'!$M$1,1,'Вхідні дані'!$F$6,'Вхідні дані'!$I$6,'Вхідні дані'!$K$6)</f>
        <v>42040</v>
      </c>
      <c r="R8" s="132" t="s">
        <v>311</v>
      </c>
      <c r="S8" s="132" t="s">
        <v>312</v>
      </c>
    </row>
    <row r="9" spans="1:19" ht="21" outlineLevel="1" x14ac:dyDescent="0.3">
      <c r="A9" s="304" t="s">
        <v>372</v>
      </c>
      <c r="B9" s="300">
        <v>1</v>
      </c>
      <c r="C9" s="72">
        <v>20592</v>
      </c>
      <c r="D9" s="70">
        <f t="shared" si="1"/>
        <v>20592</v>
      </c>
      <c r="E9" s="71">
        <f>D9/CHOOSE('Вхідні дані'!$M$1,1,'Вхідні дані'!$F$6,'Вхідні дані'!$I$6,'Вхідні дані'!$K$6)</f>
        <v>20592</v>
      </c>
      <c r="F9" s="304" t="s">
        <v>372</v>
      </c>
      <c r="G9" s="300">
        <v>1</v>
      </c>
      <c r="H9" s="72">
        <v>20592</v>
      </c>
      <c r="I9" s="70">
        <f t="shared" si="2"/>
        <v>20592</v>
      </c>
      <c r="J9" s="71">
        <f>I9/CHOOSE('Вхідні дані'!$M$1,1,'Вхідні дані'!$F$6,'Вхідні дані'!$I$6,'Вхідні дані'!$K$6)</f>
        <v>20592</v>
      </c>
      <c r="K9" s="304" t="s">
        <v>372</v>
      </c>
      <c r="L9" s="300">
        <v>1</v>
      </c>
      <c r="M9" s="72">
        <v>20592</v>
      </c>
      <c r="N9" s="70">
        <f t="shared" si="3"/>
        <v>20592</v>
      </c>
      <c r="O9" s="71">
        <f>N9/CHOOSE('Вхідні дані'!$M$1,1,'Вхідні дані'!$F$6,'Вхідні дані'!$I$6,'Вхідні дані'!$K$6)</f>
        <v>20592</v>
      </c>
    </row>
    <row r="10" spans="1:19" ht="21" outlineLevel="1" x14ac:dyDescent="0.3">
      <c r="A10" s="304" t="s">
        <v>373</v>
      </c>
      <c r="B10" s="300">
        <v>1</v>
      </c>
      <c r="C10" s="72">
        <v>2500</v>
      </c>
      <c r="D10" s="70">
        <f t="shared" si="1"/>
        <v>2500</v>
      </c>
      <c r="E10" s="71">
        <f>D10/CHOOSE('Вхідні дані'!$M$1,1,'Вхідні дані'!$F$6,'Вхідні дані'!$I$6,'Вхідні дані'!$K$6)</f>
        <v>2500</v>
      </c>
      <c r="F10" s="304" t="s">
        <v>373</v>
      </c>
      <c r="G10" s="300">
        <v>1</v>
      </c>
      <c r="H10" s="72">
        <v>2500</v>
      </c>
      <c r="I10" s="70">
        <f t="shared" si="2"/>
        <v>2500</v>
      </c>
      <c r="J10" s="71">
        <f>I10/CHOOSE('Вхідні дані'!$M$1,1,'Вхідні дані'!$F$6,'Вхідні дані'!$I$6,'Вхідні дані'!$K$6)</f>
        <v>2500</v>
      </c>
      <c r="K10" s="304" t="s">
        <v>373</v>
      </c>
      <c r="L10" s="300">
        <v>1</v>
      </c>
      <c r="M10" s="72">
        <v>2500</v>
      </c>
      <c r="N10" s="70">
        <f t="shared" si="3"/>
        <v>2500</v>
      </c>
      <c r="O10" s="71">
        <f>N10/CHOOSE('Вхідні дані'!$M$1,1,'Вхідні дані'!$F$6,'Вхідні дані'!$I$6,'Вхідні дані'!$K$6)</f>
        <v>2500</v>
      </c>
    </row>
    <row r="11" spans="1:19" ht="21" outlineLevel="1" x14ac:dyDescent="0.3">
      <c r="A11" s="304" t="s">
        <v>374</v>
      </c>
      <c r="B11" s="300">
        <v>10</v>
      </c>
      <c r="C11" s="72">
        <v>639</v>
      </c>
      <c r="D11" s="70">
        <f t="shared" si="1"/>
        <v>6390</v>
      </c>
      <c r="E11" s="71">
        <f>D11/CHOOSE('Вхідні дані'!$M$1,1,'Вхідні дані'!$F$6,'Вхідні дані'!$I$6,'Вхідні дані'!$K$6)</f>
        <v>6390</v>
      </c>
      <c r="F11" s="304" t="s">
        <v>374</v>
      </c>
      <c r="G11" s="300">
        <v>10</v>
      </c>
      <c r="H11" s="72">
        <v>639</v>
      </c>
      <c r="I11" s="70">
        <f t="shared" si="2"/>
        <v>6390</v>
      </c>
      <c r="J11" s="71">
        <f>I11/CHOOSE('Вхідні дані'!$M$1,1,'Вхідні дані'!$F$6,'Вхідні дані'!$I$6,'Вхідні дані'!$K$6)</f>
        <v>6390</v>
      </c>
      <c r="K11" s="304" t="s">
        <v>374</v>
      </c>
      <c r="L11" s="300">
        <v>10</v>
      </c>
      <c r="M11" s="72">
        <v>639</v>
      </c>
      <c r="N11" s="70">
        <f t="shared" si="3"/>
        <v>6390</v>
      </c>
      <c r="O11" s="71">
        <f>N11/CHOOSE('Вхідні дані'!$M$1,1,'Вхідні дані'!$F$6,'Вхідні дані'!$I$6,'Вхідні дані'!$K$6)</f>
        <v>6390</v>
      </c>
    </row>
    <row r="12" spans="1:19" ht="21" outlineLevel="1" x14ac:dyDescent="0.3">
      <c r="A12" s="304" t="s">
        <v>375</v>
      </c>
      <c r="B12" s="300">
        <v>5</v>
      </c>
      <c r="C12" s="72">
        <v>620</v>
      </c>
      <c r="D12" s="70">
        <f t="shared" si="1"/>
        <v>3100</v>
      </c>
      <c r="E12" s="71">
        <f>D12/CHOOSE('Вхідні дані'!$M$1,1,'Вхідні дані'!$F$6,'Вхідні дані'!$I$6,'Вхідні дані'!$K$6)</f>
        <v>3100</v>
      </c>
      <c r="F12" s="304" t="s">
        <v>375</v>
      </c>
      <c r="G12" s="300">
        <v>5</v>
      </c>
      <c r="H12" s="72">
        <v>620</v>
      </c>
      <c r="I12" s="70">
        <f t="shared" si="2"/>
        <v>3100</v>
      </c>
      <c r="J12" s="71">
        <f>I12/CHOOSE('Вхідні дані'!$M$1,1,'Вхідні дані'!$F$6,'Вхідні дані'!$I$6,'Вхідні дані'!$K$6)</f>
        <v>3100</v>
      </c>
      <c r="K12" s="304" t="s">
        <v>375</v>
      </c>
      <c r="L12" s="300">
        <v>5</v>
      </c>
      <c r="M12" s="72">
        <v>620</v>
      </c>
      <c r="N12" s="70">
        <f t="shared" si="3"/>
        <v>3100</v>
      </c>
      <c r="O12" s="71">
        <f>N12/CHOOSE('Вхідні дані'!$M$1,1,'Вхідні дані'!$F$6,'Вхідні дані'!$I$6,'Вхідні дані'!$K$6)</f>
        <v>3100</v>
      </c>
    </row>
    <row r="13" spans="1:19" ht="21" outlineLevel="1" x14ac:dyDescent="0.3">
      <c r="A13" s="304" t="s">
        <v>376</v>
      </c>
      <c r="B13" s="300">
        <v>1</v>
      </c>
      <c r="C13" s="72">
        <v>31702</v>
      </c>
      <c r="D13" s="70">
        <f t="shared" si="1"/>
        <v>31702</v>
      </c>
      <c r="E13" s="71">
        <f>D13/CHOOSE('Вхідні дані'!$M$1,1,'Вхідні дані'!$F$6,'Вхідні дані'!$I$6,'Вхідні дані'!$K$6)</f>
        <v>31702</v>
      </c>
      <c r="F13" s="304" t="s">
        <v>376</v>
      </c>
      <c r="G13" s="300">
        <v>1</v>
      </c>
      <c r="H13" s="72">
        <v>31702</v>
      </c>
      <c r="I13" s="70">
        <f t="shared" si="2"/>
        <v>31702</v>
      </c>
      <c r="J13" s="71">
        <f>I13/CHOOSE('Вхідні дані'!$M$1,1,'Вхідні дані'!$F$6,'Вхідні дані'!$I$6,'Вхідні дані'!$K$6)</f>
        <v>31702</v>
      </c>
      <c r="K13" s="304" t="s">
        <v>376</v>
      </c>
      <c r="L13" s="300">
        <v>1</v>
      </c>
      <c r="M13" s="72">
        <v>31702</v>
      </c>
      <c r="N13" s="70">
        <f t="shared" si="3"/>
        <v>31702</v>
      </c>
      <c r="O13" s="71">
        <f>N13/CHOOSE('Вхідні дані'!$M$1,1,'Вхідні дані'!$F$6,'Вхідні дані'!$I$6,'Вхідні дані'!$K$6)</f>
        <v>31702</v>
      </c>
    </row>
    <row r="14" spans="1:19" ht="21" outlineLevel="1" x14ac:dyDescent="0.3">
      <c r="A14" s="304" t="s">
        <v>377</v>
      </c>
      <c r="B14" s="300">
        <v>1</v>
      </c>
      <c r="C14" s="72">
        <v>9498</v>
      </c>
      <c r="D14" s="70">
        <f t="shared" si="1"/>
        <v>9498</v>
      </c>
      <c r="E14" s="71">
        <f>D14/CHOOSE('Вхідні дані'!$M$1,1,'Вхідні дані'!$F$6,'Вхідні дані'!$I$6,'Вхідні дані'!$K$6)</f>
        <v>9498</v>
      </c>
      <c r="F14" s="304" t="s">
        <v>377</v>
      </c>
      <c r="G14" s="300">
        <v>1</v>
      </c>
      <c r="H14" s="72">
        <v>9498</v>
      </c>
      <c r="I14" s="70">
        <f t="shared" si="2"/>
        <v>9498</v>
      </c>
      <c r="J14" s="71">
        <f>I14/CHOOSE('Вхідні дані'!$M$1,1,'Вхідні дані'!$F$6,'Вхідні дані'!$I$6,'Вхідні дані'!$K$6)</f>
        <v>9498</v>
      </c>
      <c r="K14" s="304" t="s">
        <v>377</v>
      </c>
      <c r="L14" s="300">
        <v>1</v>
      </c>
      <c r="M14" s="72">
        <v>9498</v>
      </c>
      <c r="N14" s="70">
        <f t="shared" si="3"/>
        <v>9498</v>
      </c>
      <c r="O14" s="71">
        <f>N14/CHOOSE('Вхідні дані'!$M$1,1,'Вхідні дані'!$F$6,'Вхідні дані'!$I$6,'Вхідні дані'!$K$6)</f>
        <v>9498</v>
      </c>
    </row>
    <row r="15" spans="1:19" ht="21" outlineLevel="1" x14ac:dyDescent="0.3">
      <c r="A15" s="304" t="s">
        <v>378</v>
      </c>
      <c r="B15" s="300">
        <v>1</v>
      </c>
      <c r="C15" s="72">
        <v>6000</v>
      </c>
      <c r="D15" s="70">
        <f t="shared" si="1"/>
        <v>6000</v>
      </c>
      <c r="E15" s="71">
        <f>D15/CHOOSE('Вхідні дані'!$M$1,1,'Вхідні дані'!$F$6,'Вхідні дані'!$I$6,'Вхідні дані'!$K$6)</f>
        <v>6000</v>
      </c>
      <c r="F15" s="304" t="s">
        <v>378</v>
      </c>
      <c r="G15" s="300">
        <v>1</v>
      </c>
      <c r="H15" s="72">
        <v>6000</v>
      </c>
      <c r="I15" s="70">
        <f t="shared" si="2"/>
        <v>6000</v>
      </c>
      <c r="J15" s="71">
        <f>I15/CHOOSE('Вхідні дані'!$M$1,1,'Вхідні дані'!$F$6,'Вхідні дані'!$I$6,'Вхідні дані'!$K$6)</f>
        <v>6000</v>
      </c>
      <c r="K15" s="304" t="s">
        <v>378</v>
      </c>
      <c r="L15" s="300">
        <v>1</v>
      </c>
      <c r="M15" s="72">
        <v>6000</v>
      </c>
      <c r="N15" s="70">
        <f t="shared" si="3"/>
        <v>6000</v>
      </c>
      <c r="O15" s="71">
        <f>N15/CHOOSE('Вхідні дані'!$M$1,1,'Вхідні дані'!$F$6,'Вхідні дані'!$I$6,'Вхідні дані'!$K$6)</f>
        <v>6000</v>
      </c>
    </row>
    <row r="16" spans="1:19" ht="21" outlineLevel="1" x14ac:dyDescent="0.3">
      <c r="A16" s="304" t="s">
        <v>379</v>
      </c>
      <c r="B16" s="300">
        <v>1</v>
      </c>
      <c r="C16" s="72">
        <v>1500</v>
      </c>
      <c r="D16" s="70">
        <f t="shared" si="1"/>
        <v>1500</v>
      </c>
      <c r="E16" s="71">
        <f>D16/CHOOSE('Вхідні дані'!$M$1,1,'Вхідні дані'!$F$6,'Вхідні дані'!$I$6,'Вхідні дані'!$K$6)</f>
        <v>1500</v>
      </c>
      <c r="F16" s="304" t="s">
        <v>379</v>
      </c>
      <c r="G16" s="300">
        <v>1</v>
      </c>
      <c r="H16" s="72">
        <v>1500</v>
      </c>
      <c r="I16" s="70">
        <f t="shared" si="2"/>
        <v>1500</v>
      </c>
      <c r="J16" s="71">
        <f>I16/CHOOSE('Вхідні дані'!$M$1,1,'Вхідні дані'!$F$6,'Вхідні дані'!$I$6,'Вхідні дані'!$K$6)</f>
        <v>1500</v>
      </c>
      <c r="K16" s="304" t="s">
        <v>379</v>
      </c>
      <c r="L16" s="300">
        <v>1</v>
      </c>
      <c r="M16" s="72">
        <v>1500</v>
      </c>
      <c r="N16" s="70">
        <f t="shared" si="3"/>
        <v>1500</v>
      </c>
      <c r="O16" s="71">
        <f>N16/CHOOSE('Вхідні дані'!$M$1,1,'Вхідні дані'!$F$6,'Вхідні дані'!$I$6,'Вхідні дані'!$K$6)</f>
        <v>1500</v>
      </c>
    </row>
    <row r="17" spans="1:15" ht="21" outlineLevel="1" x14ac:dyDescent="0.3">
      <c r="A17" s="304" t="s">
        <v>380</v>
      </c>
      <c r="B17" s="300">
        <v>1</v>
      </c>
      <c r="C17" s="72">
        <v>1200</v>
      </c>
      <c r="D17" s="70">
        <f t="shared" si="1"/>
        <v>1200</v>
      </c>
      <c r="E17" s="71">
        <f>D17/CHOOSE('Вхідні дані'!$M$1,1,'Вхідні дані'!$F$6,'Вхідні дані'!$I$6,'Вхідні дані'!$K$6)</f>
        <v>1200</v>
      </c>
      <c r="F17" s="304" t="s">
        <v>380</v>
      </c>
      <c r="G17" s="300">
        <v>1</v>
      </c>
      <c r="H17" s="72">
        <v>1200</v>
      </c>
      <c r="I17" s="70">
        <f t="shared" si="2"/>
        <v>1200</v>
      </c>
      <c r="J17" s="71">
        <f>I17/CHOOSE('Вхідні дані'!$M$1,1,'Вхідні дані'!$F$6,'Вхідні дані'!$I$6,'Вхідні дані'!$K$6)</f>
        <v>1200</v>
      </c>
      <c r="K17" s="304" t="s">
        <v>380</v>
      </c>
      <c r="L17" s="300">
        <v>1</v>
      </c>
      <c r="M17" s="72">
        <v>1200</v>
      </c>
      <c r="N17" s="70">
        <f t="shared" si="3"/>
        <v>1200</v>
      </c>
      <c r="O17" s="71">
        <f>N17/CHOOSE('Вхідні дані'!$M$1,1,'Вхідні дані'!$F$6,'Вхідні дані'!$I$6,'Вхідні дані'!$K$6)</f>
        <v>1200</v>
      </c>
    </row>
    <row r="18" spans="1:15" ht="21" outlineLevel="1" x14ac:dyDescent="0.3">
      <c r="A18" s="304" t="s">
        <v>381</v>
      </c>
      <c r="B18" s="300">
        <v>2</v>
      </c>
      <c r="C18" s="72">
        <v>3212</v>
      </c>
      <c r="D18" s="70">
        <f t="shared" si="1"/>
        <v>6424</v>
      </c>
      <c r="E18" s="71">
        <f>D18/CHOOSE('Вхідні дані'!$M$1,1,'Вхідні дані'!$F$6,'Вхідні дані'!$I$6,'Вхідні дані'!$K$6)</f>
        <v>6424</v>
      </c>
      <c r="F18" s="304" t="s">
        <v>381</v>
      </c>
      <c r="G18" s="300">
        <v>2</v>
      </c>
      <c r="H18" s="72">
        <v>3212</v>
      </c>
      <c r="I18" s="70">
        <f t="shared" si="2"/>
        <v>6424</v>
      </c>
      <c r="J18" s="71">
        <f>I18/CHOOSE('Вхідні дані'!$M$1,1,'Вхідні дані'!$F$6,'Вхідні дані'!$I$6,'Вхідні дані'!$K$6)</f>
        <v>6424</v>
      </c>
      <c r="K18" s="304" t="s">
        <v>381</v>
      </c>
      <c r="L18" s="300">
        <v>2</v>
      </c>
      <c r="M18" s="72">
        <v>3212</v>
      </c>
      <c r="N18" s="70">
        <f t="shared" si="3"/>
        <v>6424</v>
      </c>
      <c r="O18" s="71">
        <f>N18/CHOOSE('Вхідні дані'!$M$1,1,'Вхідні дані'!$F$6,'Вхідні дані'!$I$6,'Вхідні дані'!$K$6)</f>
        <v>6424</v>
      </c>
    </row>
    <row r="19" spans="1:15" ht="21" outlineLevel="1" x14ac:dyDescent="0.3">
      <c r="A19" s="304" t="s">
        <v>382</v>
      </c>
      <c r="B19" s="300">
        <v>1</v>
      </c>
      <c r="C19" s="72">
        <v>4160</v>
      </c>
      <c r="D19" s="70">
        <f t="shared" si="1"/>
        <v>4160</v>
      </c>
      <c r="E19" s="71">
        <f>D19/CHOOSE('Вхідні дані'!$M$1,1,'Вхідні дані'!$F$6,'Вхідні дані'!$I$6,'Вхідні дані'!$K$6)</f>
        <v>4160</v>
      </c>
      <c r="F19" s="304" t="s">
        <v>382</v>
      </c>
      <c r="G19" s="300">
        <v>1</v>
      </c>
      <c r="H19" s="72">
        <v>4160</v>
      </c>
      <c r="I19" s="70">
        <f t="shared" si="2"/>
        <v>4160</v>
      </c>
      <c r="J19" s="71">
        <f>I19/CHOOSE('Вхідні дані'!$M$1,1,'Вхідні дані'!$F$6,'Вхідні дані'!$I$6,'Вхідні дані'!$K$6)</f>
        <v>4160</v>
      </c>
      <c r="K19" s="304" t="s">
        <v>382</v>
      </c>
      <c r="L19" s="300">
        <v>1</v>
      </c>
      <c r="M19" s="72">
        <v>4160</v>
      </c>
      <c r="N19" s="70">
        <f t="shared" si="3"/>
        <v>4160</v>
      </c>
      <c r="O19" s="71">
        <f>N19/CHOOSE('Вхідні дані'!$M$1,1,'Вхідні дані'!$F$6,'Вхідні дані'!$I$6,'Вхідні дані'!$K$6)</f>
        <v>4160</v>
      </c>
    </row>
    <row r="20" spans="1:15" ht="21" outlineLevel="1" x14ac:dyDescent="0.3">
      <c r="A20" s="304" t="s">
        <v>383</v>
      </c>
      <c r="B20" s="300">
        <v>1</v>
      </c>
      <c r="C20" s="72">
        <v>5898</v>
      </c>
      <c r="D20" s="70">
        <f t="shared" si="1"/>
        <v>5898</v>
      </c>
      <c r="E20" s="71">
        <f>D20/CHOOSE('Вхідні дані'!$M$1,1,'Вхідні дані'!$F$6,'Вхідні дані'!$I$6,'Вхідні дані'!$K$6)</f>
        <v>5898</v>
      </c>
      <c r="F20" s="304" t="s">
        <v>383</v>
      </c>
      <c r="G20" s="300">
        <v>1</v>
      </c>
      <c r="H20" s="72">
        <v>5898</v>
      </c>
      <c r="I20" s="70">
        <f t="shared" si="2"/>
        <v>5898</v>
      </c>
      <c r="J20" s="71">
        <f>I20/CHOOSE('Вхідні дані'!$M$1,1,'Вхідні дані'!$F$6,'Вхідні дані'!$I$6,'Вхідні дані'!$K$6)</f>
        <v>5898</v>
      </c>
      <c r="K20" s="304" t="s">
        <v>383</v>
      </c>
      <c r="L20" s="300">
        <v>1</v>
      </c>
      <c r="M20" s="72">
        <v>5898</v>
      </c>
      <c r="N20" s="70">
        <f t="shared" si="3"/>
        <v>5898</v>
      </c>
      <c r="O20" s="71">
        <f>N20/CHOOSE('Вхідні дані'!$M$1,1,'Вхідні дані'!$F$6,'Вхідні дані'!$I$6,'Вхідні дані'!$K$6)</f>
        <v>5898</v>
      </c>
    </row>
    <row r="21" spans="1:15" ht="21" outlineLevel="1" x14ac:dyDescent="0.3">
      <c r="A21" s="304" t="s">
        <v>384</v>
      </c>
      <c r="B21" s="300">
        <v>1</v>
      </c>
      <c r="C21" s="72">
        <v>2000</v>
      </c>
      <c r="D21" s="70">
        <f t="shared" si="1"/>
        <v>2000</v>
      </c>
      <c r="E21" s="71">
        <f>D21/CHOOSE('Вхідні дані'!$M$1,1,'Вхідні дані'!$F$6,'Вхідні дані'!$I$6,'Вхідні дані'!$K$6)</f>
        <v>2000</v>
      </c>
      <c r="F21" s="304" t="s">
        <v>384</v>
      </c>
      <c r="G21" s="300">
        <v>1</v>
      </c>
      <c r="H21" s="72">
        <v>2000</v>
      </c>
      <c r="I21" s="70">
        <f t="shared" si="2"/>
        <v>2000</v>
      </c>
      <c r="J21" s="71">
        <f>I21/CHOOSE('Вхідні дані'!$M$1,1,'Вхідні дані'!$F$6,'Вхідні дані'!$I$6,'Вхідні дані'!$K$6)</f>
        <v>2000</v>
      </c>
      <c r="K21" s="304" t="s">
        <v>384</v>
      </c>
      <c r="L21" s="300">
        <v>1</v>
      </c>
      <c r="M21" s="72">
        <v>2000</v>
      </c>
      <c r="N21" s="70">
        <f t="shared" si="3"/>
        <v>2000</v>
      </c>
      <c r="O21" s="71">
        <f>N21/CHOOSE('Вхідні дані'!$M$1,1,'Вхідні дані'!$F$6,'Вхідні дані'!$I$6,'Вхідні дані'!$K$6)</f>
        <v>2000</v>
      </c>
    </row>
    <row r="22" spans="1:15" ht="21" outlineLevel="1" x14ac:dyDescent="0.3">
      <c r="A22" s="304" t="s">
        <v>385</v>
      </c>
      <c r="B22" s="300">
        <v>1</v>
      </c>
      <c r="C22" s="72">
        <v>5260</v>
      </c>
      <c r="D22" s="70">
        <f t="shared" si="1"/>
        <v>5260</v>
      </c>
      <c r="E22" s="71">
        <f>D22/CHOOSE('Вхідні дані'!$M$1,1,'Вхідні дані'!$F$6,'Вхідні дані'!$I$6,'Вхідні дані'!$K$6)</f>
        <v>5260</v>
      </c>
      <c r="F22" s="304" t="s">
        <v>385</v>
      </c>
      <c r="G22" s="300">
        <v>1</v>
      </c>
      <c r="H22" s="72">
        <v>5260</v>
      </c>
      <c r="I22" s="70">
        <f t="shared" si="2"/>
        <v>5260</v>
      </c>
      <c r="J22" s="71">
        <f>I22/CHOOSE('Вхідні дані'!$M$1,1,'Вхідні дані'!$F$6,'Вхідні дані'!$I$6,'Вхідні дані'!$K$6)</f>
        <v>5260</v>
      </c>
      <c r="K22" s="304" t="s">
        <v>385</v>
      </c>
      <c r="L22" s="300">
        <v>1</v>
      </c>
      <c r="M22" s="72">
        <v>5260</v>
      </c>
      <c r="N22" s="70">
        <f t="shared" si="3"/>
        <v>5260</v>
      </c>
      <c r="O22" s="71">
        <f>N22/CHOOSE('Вхідні дані'!$M$1,1,'Вхідні дані'!$F$6,'Вхідні дані'!$I$6,'Вхідні дані'!$K$6)</f>
        <v>5260</v>
      </c>
    </row>
    <row r="23" spans="1:15" ht="21" outlineLevel="1" x14ac:dyDescent="0.3">
      <c r="A23" s="304" t="s">
        <v>386</v>
      </c>
      <c r="B23" s="300">
        <v>1</v>
      </c>
      <c r="C23" s="72">
        <v>550</v>
      </c>
      <c r="D23" s="70">
        <f t="shared" si="1"/>
        <v>550</v>
      </c>
      <c r="E23" s="71">
        <f>D23/CHOOSE('Вхідні дані'!$M$1,1,'Вхідні дані'!$F$6,'Вхідні дані'!$I$6,'Вхідні дані'!$K$6)</f>
        <v>550</v>
      </c>
      <c r="F23" s="304" t="s">
        <v>386</v>
      </c>
      <c r="G23" s="300">
        <v>1</v>
      </c>
      <c r="H23" s="72">
        <v>550</v>
      </c>
      <c r="I23" s="70">
        <f t="shared" si="2"/>
        <v>550</v>
      </c>
      <c r="J23" s="71">
        <f>I23/CHOOSE('Вхідні дані'!$M$1,1,'Вхідні дані'!$F$6,'Вхідні дані'!$I$6,'Вхідні дані'!$K$6)</f>
        <v>550</v>
      </c>
      <c r="K23" s="304" t="s">
        <v>386</v>
      </c>
      <c r="L23" s="300">
        <v>1</v>
      </c>
      <c r="M23" s="72">
        <v>550</v>
      </c>
      <c r="N23" s="70">
        <f t="shared" si="3"/>
        <v>550</v>
      </c>
      <c r="O23" s="71">
        <f>N23/CHOOSE('Вхідні дані'!$M$1,1,'Вхідні дані'!$F$6,'Вхідні дані'!$I$6,'Вхідні дані'!$K$6)</f>
        <v>550</v>
      </c>
    </row>
    <row r="24" spans="1:15" ht="21" outlineLevel="1" x14ac:dyDescent="0.3">
      <c r="A24" s="304"/>
      <c r="B24" s="300"/>
      <c r="C24" s="72"/>
      <c r="D24" s="70">
        <f t="shared" si="1"/>
        <v>0</v>
      </c>
      <c r="E24" s="71">
        <f>D24/CHOOSE('Вхідні дані'!$M$1,1,'Вхідні дані'!$F$6,'Вхідні дані'!$I$6,'Вхідні дані'!$K$6)</f>
        <v>0</v>
      </c>
      <c r="F24" s="304"/>
      <c r="G24" s="300"/>
      <c r="H24" s="72"/>
      <c r="I24" s="70">
        <f t="shared" si="2"/>
        <v>0</v>
      </c>
      <c r="J24" s="71">
        <f>I24/CHOOSE('Вхідні дані'!$M$1,1,'Вхідні дані'!$F$6,'Вхідні дані'!$I$6,'Вхідні дані'!$K$6)</f>
        <v>0</v>
      </c>
      <c r="K24" s="304"/>
      <c r="L24" s="300"/>
      <c r="M24" s="72"/>
      <c r="N24" s="70">
        <f t="shared" si="3"/>
        <v>0</v>
      </c>
      <c r="O24" s="71">
        <f>N24/CHOOSE('Вхідні дані'!$M$1,1,'Вхідні дані'!$F$6,'Вхідні дані'!$I$6,'Вхідні дані'!$K$6)</f>
        <v>0</v>
      </c>
    </row>
    <row r="25" spans="1:15" ht="21" outlineLevel="1" x14ac:dyDescent="0.3">
      <c r="A25" s="304"/>
      <c r="B25" s="300"/>
      <c r="C25" s="72"/>
      <c r="D25" s="70">
        <f t="shared" si="1"/>
        <v>0</v>
      </c>
      <c r="E25" s="71">
        <f>D25/CHOOSE('Вхідні дані'!$M$1,1,'Вхідні дані'!$F$6,'Вхідні дані'!$I$6,'Вхідні дані'!$K$6)</f>
        <v>0</v>
      </c>
      <c r="F25" s="304"/>
      <c r="G25" s="300"/>
      <c r="H25" s="72"/>
      <c r="I25" s="70">
        <f t="shared" si="2"/>
        <v>0</v>
      </c>
      <c r="J25" s="71">
        <f>I25/CHOOSE('Вхідні дані'!$M$1,1,'Вхідні дані'!$F$6,'Вхідні дані'!$I$6,'Вхідні дані'!$K$6)</f>
        <v>0</v>
      </c>
      <c r="K25" s="304"/>
      <c r="L25" s="300"/>
      <c r="M25" s="72"/>
      <c r="N25" s="70">
        <f t="shared" si="3"/>
        <v>0</v>
      </c>
      <c r="O25" s="71">
        <f>N25/CHOOSE('Вхідні дані'!$M$1,1,'Вхідні дані'!$F$6,'Вхідні дані'!$I$6,'Вхідні дані'!$K$6)</f>
        <v>0</v>
      </c>
    </row>
    <row r="26" spans="1:15" ht="21" outlineLevel="1" x14ac:dyDescent="0.3">
      <c r="A26" s="304"/>
      <c r="B26" s="300"/>
      <c r="C26" s="72"/>
      <c r="D26" s="70">
        <f t="shared" si="1"/>
        <v>0</v>
      </c>
      <c r="E26" s="71">
        <f>D26/CHOOSE('Вхідні дані'!$M$1,1,'Вхідні дані'!$F$6,'Вхідні дані'!$I$6,'Вхідні дані'!$K$6)</f>
        <v>0</v>
      </c>
      <c r="F26" s="304"/>
      <c r="G26" s="300"/>
      <c r="H26" s="72"/>
      <c r="I26" s="70">
        <f t="shared" si="2"/>
        <v>0</v>
      </c>
      <c r="J26" s="71">
        <f>I26/CHOOSE('Вхідні дані'!$M$1,1,'Вхідні дані'!$F$6,'Вхідні дані'!$I$6,'Вхідні дані'!$K$6)</f>
        <v>0</v>
      </c>
      <c r="K26" s="304"/>
      <c r="L26" s="300"/>
      <c r="M26" s="72"/>
      <c r="N26" s="70">
        <f t="shared" si="3"/>
        <v>0</v>
      </c>
      <c r="O26" s="71">
        <f>N26/CHOOSE('Вхідні дані'!$M$1,1,'Вхідні дані'!$F$6,'Вхідні дані'!$I$6,'Вхідні дані'!$K$6)</f>
        <v>0</v>
      </c>
    </row>
    <row r="27" spans="1:15" ht="21" outlineLevel="1" x14ac:dyDescent="0.3">
      <c r="A27" s="304"/>
      <c r="B27" s="300"/>
      <c r="C27" s="72"/>
      <c r="D27" s="70">
        <f t="shared" si="1"/>
        <v>0</v>
      </c>
      <c r="E27" s="71">
        <f>D27/CHOOSE('Вхідні дані'!$M$1,1,'Вхідні дані'!$F$6,'Вхідні дані'!$I$6,'Вхідні дані'!$K$6)</f>
        <v>0</v>
      </c>
      <c r="F27" s="304"/>
      <c r="G27" s="300"/>
      <c r="H27" s="72"/>
      <c r="I27" s="70">
        <f t="shared" si="2"/>
        <v>0</v>
      </c>
      <c r="J27" s="71">
        <f>I27/CHOOSE('Вхідні дані'!$M$1,1,'Вхідні дані'!$F$6,'Вхідні дані'!$I$6,'Вхідні дані'!$K$6)</f>
        <v>0</v>
      </c>
      <c r="K27" s="304"/>
      <c r="L27" s="300"/>
      <c r="M27" s="72"/>
      <c r="N27" s="70">
        <f t="shared" si="3"/>
        <v>0</v>
      </c>
      <c r="O27" s="71">
        <f>N27/CHOOSE('Вхідні дані'!$M$1,1,'Вхідні дані'!$F$6,'Вхідні дані'!$I$6,'Вхідні дані'!$K$6)</f>
        <v>0</v>
      </c>
    </row>
    <row r="28" spans="1:15" ht="21" outlineLevel="1" x14ac:dyDescent="0.3">
      <c r="A28" s="304"/>
      <c r="B28" s="300"/>
      <c r="C28" s="72"/>
      <c r="D28" s="70">
        <f t="shared" si="1"/>
        <v>0</v>
      </c>
      <c r="E28" s="71">
        <f>D28/CHOOSE('Вхідні дані'!$M$1,1,'Вхідні дані'!$F$6,'Вхідні дані'!$I$6,'Вхідні дані'!$K$6)</f>
        <v>0</v>
      </c>
      <c r="F28" s="304"/>
      <c r="G28" s="300"/>
      <c r="H28" s="72"/>
      <c r="I28" s="70">
        <f t="shared" si="2"/>
        <v>0</v>
      </c>
      <c r="J28" s="71">
        <f>I28/CHOOSE('Вхідні дані'!$M$1,1,'Вхідні дані'!$F$6,'Вхідні дані'!$I$6,'Вхідні дані'!$K$6)</f>
        <v>0</v>
      </c>
      <c r="K28" s="304"/>
      <c r="L28" s="300"/>
      <c r="M28" s="72"/>
      <c r="N28" s="70">
        <f t="shared" si="3"/>
        <v>0</v>
      </c>
      <c r="O28" s="71">
        <f>N28/CHOOSE('Вхідні дані'!$M$1,1,'Вхідні дані'!$F$6,'Вхідні дані'!$I$6,'Вхідні дані'!$K$6)</f>
        <v>0</v>
      </c>
    </row>
    <row r="29" spans="1:15" ht="21" outlineLevel="1" x14ac:dyDescent="0.3">
      <c r="A29" s="304"/>
      <c r="B29" s="300"/>
      <c r="C29" s="72"/>
      <c r="D29" s="70">
        <f t="shared" si="1"/>
        <v>0</v>
      </c>
      <c r="E29" s="71">
        <f>D29/CHOOSE('Вхідні дані'!$M$1,1,'Вхідні дані'!$F$6,'Вхідні дані'!$I$6,'Вхідні дані'!$K$6)</f>
        <v>0</v>
      </c>
      <c r="F29" s="304"/>
      <c r="G29" s="300"/>
      <c r="H29" s="72"/>
      <c r="I29" s="70">
        <f t="shared" si="2"/>
        <v>0</v>
      </c>
      <c r="J29" s="71">
        <f>I29/CHOOSE('Вхідні дані'!$M$1,1,'Вхідні дані'!$F$6,'Вхідні дані'!$I$6,'Вхідні дані'!$K$6)</f>
        <v>0</v>
      </c>
      <c r="K29" s="304"/>
      <c r="L29" s="300"/>
      <c r="M29" s="72"/>
      <c r="N29" s="70">
        <f t="shared" si="3"/>
        <v>0</v>
      </c>
      <c r="O29" s="71">
        <f>N29/CHOOSE('Вхідні дані'!$M$1,1,'Вхідні дані'!$F$6,'Вхідні дані'!$I$6,'Вхідні дані'!$K$6)</f>
        <v>0</v>
      </c>
    </row>
    <row r="30" spans="1:15" ht="21" outlineLevel="1" x14ac:dyDescent="0.3">
      <c r="A30" s="304"/>
      <c r="B30" s="300"/>
      <c r="C30" s="72"/>
      <c r="D30" s="70">
        <f t="shared" si="1"/>
        <v>0</v>
      </c>
      <c r="E30" s="71">
        <f>D30/CHOOSE('Вхідні дані'!$M$1,1,'Вхідні дані'!$F$6,'Вхідні дані'!$I$6,'Вхідні дані'!$K$6)</f>
        <v>0</v>
      </c>
      <c r="F30" s="304"/>
      <c r="G30" s="300"/>
      <c r="H30" s="72"/>
      <c r="I30" s="70">
        <f t="shared" si="2"/>
        <v>0</v>
      </c>
      <c r="J30" s="71">
        <f>I30/CHOOSE('Вхідні дані'!$M$1,1,'Вхідні дані'!$F$6,'Вхідні дані'!$I$6,'Вхідні дані'!$K$6)</f>
        <v>0</v>
      </c>
      <c r="K30" s="304"/>
      <c r="L30" s="300"/>
      <c r="M30" s="72"/>
      <c r="N30" s="70">
        <f t="shared" si="3"/>
        <v>0</v>
      </c>
      <c r="O30" s="71">
        <f>N30/CHOOSE('Вхідні дані'!$M$1,1,'Вхідні дані'!$F$6,'Вхідні дані'!$I$6,'Вхідні дані'!$K$6)</f>
        <v>0</v>
      </c>
    </row>
    <row r="31" spans="1:15" ht="21" outlineLevel="1" x14ac:dyDescent="0.3">
      <c r="A31" s="304"/>
      <c r="B31" s="300"/>
      <c r="C31" s="72"/>
      <c r="D31" s="70">
        <f t="shared" si="1"/>
        <v>0</v>
      </c>
      <c r="E31" s="71">
        <f>D31/CHOOSE('Вхідні дані'!$M$1,1,'Вхідні дані'!$F$6,'Вхідні дані'!$I$6,'Вхідні дані'!$K$6)</f>
        <v>0</v>
      </c>
      <c r="F31" s="304"/>
      <c r="G31" s="300"/>
      <c r="H31" s="72"/>
      <c r="I31" s="70">
        <f t="shared" si="2"/>
        <v>0</v>
      </c>
      <c r="J31" s="71">
        <f>I31/CHOOSE('Вхідні дані'!$M$1,1,'Вхідні дані'!$F$6,'Вхідні дані'!$I$6,'Вхідні дані'!$K$6)</f>
        <v>0</v>
      </c>
      <c r="K31" s="304"/>
      <c r="L31" s="300"/>
      <c r="M31" s="72"/>
      <c r="N31" s="70">
        <f t="shared" si="3"/>
        <v>0</v>
      </c>
      <c r="O31" s="71">
        <f>N31/CHOOSE('Вхідні дані'!$M$1,1,'Вхідні дані'!$F$6,'Вхідні дані'!$I$6,'Вхідні дані'!$K$6)</f>
        <v>0</v>
      </c>
    </row>
    <row r="32" spans="1:15" ht="21" outlineLevel="1" x14ac:dyDescent="0.3">
      <c r="A32" s="304"/>
      <c r="B32" s="300"/>
      <c r="C32" s="72"/>
      <c r="D32" s="70">
        <f t="shared" si="1"/>
        <v>0</v>
      </c>
      <c r="E32" s="71">
        <f>D32/CHOOSE('Вхідні дані'!$M$1,1,'Вхідні дані'!$F$6,'Вхідні дані'!$I$6,'Вхідні дані'!$K$6)</f>
        <v>0</v>
      </c>
      <c r="F32" s="304"/>
      <c r="G32" s="300"/>
      <c r="H32" s="72"/>
      <c r="I32" s="70">
        <f t="shared" si="2"/>
        <v>0</v>
      </c>
      <c r="J32" s="71">
        <f>I32/CHOOSE('Вхідні дані'!$M$1,1,'Вхідні дані'!$F$6,'Вхідні дані'!$I$6,'Вхідні дані'!$K$6)</f>
        <v>0</v>
      </c>
      <c r="K32" s="304"/>
      <c r="L32" s="300"/>
      <c r="M32" s="72"/>
      <c r="N32" s="70">
        <f t="shared" si="3"/>
        <v>0</v>
      </c>
      <c r="O32" s="71">
        <f>N32/CHOOSE('Вхідні дані'!$M$1,1,'Вхідні дані'!$F$6,'Вхідні дані'!$I$6,'Вхідні дані'!$K$6)</f>
        <v>0</v>
      </c>
    </row>
    <row r="33" spans="1:19" ht="21" outlineLevel="1" x14ac:dyDescent="0.3">
      <c r="A33" s="304"/>
      <c r="B33" s="300"/>
      <c r="C33" s="72"/>
      <c r="D33" s="70">
        <f t="shared" si="1"/>
        <v>0</v>
      </c>
      <c r="E33" s="71">
        <f>D33/CHOOSE('Вхідні дані'!$M$1,1,'Вхідні дані'!$F$6,'Вхідні дані'!$I$6,'Вхідні дані'!$K$6)</f>
        <v>0</v>
      </c>
      <c r="F33" s="304"/>
      <c r="G33" s="300"/>
      <c r="H33" s="72"/>
      <c r="I33" s="70">
        <f t="shared" si="2"/>
        <v>0</v>
      </c>
      <c r="J33" s="71">
        <f>I33/CHOOSE('Вхідні дані'!$M$1,1,'Вхідні дані'!$F$6,'Вхідні дані'!$I$6,'Вхідні дані'!$K$6)</f>
        <v>0</v>
      </c>
      <c r="K33" s="304"/>
      <c r="L33" s="300"/>
      <c r="M33" s="72"/>
      <c r="N33" s="70">
        <f t="shared" si="3"/>
        <v>0</v>
      </c>
      <c r="O33" s="71">
        <f>N33/CHOOSE('Вхідні дані'!$M$1,1,'Вхідні дані'!$F$6,'Вхідні дані'!$I$6,'Вхідні дані'!$K$6)</f>
        <v>0</v>
      </c>
    </row>
    <row r="34" spans="1:19" ht="21" outlineLevel="1" x14ac:dyDescent="0.3">
      <c r="A34" s="304"/>
      <c r="B34" s="300"/>
      <c r="C34" s="72"/>
      <c r="D34" s="70">
        <f t="shared" si="1"/>
        <v>0</v>
      </c>
      <c r="E34" s="71">
        <f>D34/CHOOSE('Вхідні дані'!$M$1,1,'Вхідні дані'!$F$6,'Вхідні дані'!$I$6,'Вхідні дані'!$K$6)</f>
        <v>0</v>
      </c>
      <c r="F34" s="304"/>
      <c r="G34" s="300"/>
      <c r="H34" s="72"/>
      <c r="I34" s="70">
        <f t="shared" si="2"/>
        <v>0</v>
      </c>
      <c r="J34" s="71">
        <f>I34/CHOOSE('Вхідні дані'!$M$1,1,'Вхідні дані'!$F$6,'Вхідні дані'!$I$6,'Вхідні дані'!$K$6)</f>
        <v>0</v>
      </c>
      <c r="K34" s="304"/>
      <c r="L34" s="300"/>
      <c r="M34" s="72"/>
      <c r="N34" s="70">
        <f t="shared" si="3"/>
        <v>0</v>
      </c>
      <c r="O34" s="71">
        <f>N34/CHOOSE('Вхідні дані'!$M$1,1,'Вхідні дані'!$F$6,'Вхідні дані'!$I$6,'Вхідні дані'!$K$6)</f>
        <v>0</v>
      </c>
    </row>
    <row r="35" spans="1:19" ht="21" outlineLevel="1" x14ac:dyDescent="0.3">
      <c r="A35" s="304"/>
      <c r="B35" s="300"/>
      <c r="C35" s="72"/>
      <c r="D35" s="70">
        <f t="shared" si="1"/>
        <v>0</v>
      </c>
      <c r="E35" s="71">
        <f>D35/CHOOSE('Вхідні дані'!$M$1,1,'Вхідні дані'!$F$6,'Вхідні дані'!$I$6,'Вхідні дані'!$K$6)</f>
        <v>0</v>
      </c>
      <c r="F35" s="304"/>
      <c r="G35" s="300"/>
      <c r="H35" s="72"/>
      <c r="I35" s="70">
        <f t="shared" si="2"/>
        <v>0</v>
      </c>
      <c r="J35" s="71">
        <f>I35/CHOOSE('Вхідні дані'!$M$1,1,'Вхідні дані'!$F$6,'Вхідні дані'!$I$6,'Вхідні дані'!$K$6)</f>
        <v>0</v>
      </c>
      <c r="K35" s="304"/>
      <c r="L35" s="300"/>
      <c r="M35" s="72"/>
      <c r="N35" s="70">
        <f t="shared" si="3"/>
        <v>0</v>
      </c>
      <c r="O35" s="71">
        <f>N35/CHOOSE('Вхідні дані'!$M$1,1,'Вхідні дані'!$F$6,'Вхідні дані'!$I$6,'Вхідні дані'!$K$6)</f>
        <v>0</v>
      </c>
    </row>
    <row r="36" spans="1:19" ht="21" outlineLevel="1" x14ac:dyDescent="0.3">
      <c r="A36" s="304"/>
      <c r="B36" s="300"/>
      <c r="C36" s="72"/>
      <c r="D36" s="70">
        <f t="shared" ref="D36:D37" si="4">B36*C36</f>
        <v>0</v>
      </c>
      <c r="E36" s="71">
        <f>D36/CHOOSE('Вхідні дані'!$M$1,1,'Вхідні дані'!$F$6,'Вхідні дані'!$I$6,'Вхідні дані'!$K$6)</f>
        <v>0</v>
      </c>
      <c r="F36" s="304"/>
      <c r="G36" s="300"/>
      <c r="H36" s="72"/>
      <c r="I36" s="70">
        <f t="shared" ref="I36:I37" si="5">G36*H36</f>
        <v>0</v>
      </c>
      <c r="J36" s="71">
        <f>I36/CHOOSE('Вхідні дані'!$M$1,1,'Вхідні дані'!$F$6,'Вхідні дані'!$I$6,'Вхідні дані'!$K$6)</f>
        <v>0</v>
      </c>
      <c r="K36" s="304"/>
      <c r="L36" s="300"/>
      <c r="M36" s="72"/>
      <c r="N36" s="70">
        <f t="shared" si="3"/>
        <v>0</v>
      </c>
      <c r="O36" s="71">
        <f>N36/CHOOSE('Вхідні дані'!$M$1,1,'Вхідні дані'!$F$6,'Вхідні дані'!$I$6,'Вхідні дані'!$K$6)</f>
        <v>0</v>
      </c>
    </row>
    <row r="37" spans="1:19" ht="21" outlineLevel="1" x14ac:dyDescent="0.3">
      <c r="A37" s="304"/>
      <c r="B37" s="300"/>
      <c r="C37" s="72"/>
      <c r="D37" s="70">
        <f t="shared" si="4"/>
        <v>0</v>
      </c>
      <c r="E37" s="71">
        <f>D37/CHOOSE('Вхідні дані'!$M$1,1,'Вхідні дані'!$F$6,'Вхідні дані'!$I$6,'Вхідні дані'!$K$6)</f>
        <v>0</v>
      </c>
      <c r="F37" s="304"/>
      <c r="G37" s="300"/>
      <c r="H37" s="72"/>
      <c r="I37" s="70">
        <f t="shared" si="5"/>
        <v>0</v>
      </c>
      <c r="J37" s="71">
        <f>I37/CHOOSE('Вхідні дані'!$M$1,1,'Вхідні дані'!$F$6,'Вхідні дані'!$I$6,'Вхідні дані'!$K$6)</f>
        <v>0</v>
      </c>
      <c r="K37" s="304"/>
      <c r="L37" s="300"/>
      <c r="M37" s="72"/>
      <c r="N37" s="70">
        <f t="shared" si="3"/>
        <v>0</v>
      </c>
      <c r="O37" s="71">
        <f>N37/CHOOSE('Вхідні дані'!$M$1,1,'Вхідні дані'!$F$6,'Вхідні дані'!$I$6,'Вхідні дані'!$K$6)</f>
        <v>0</v>
      </c>
    </row>
    <row r="38" spans="1:19" ht="21" outlineLevel="1" x14ac:dyDescent="0.3">
      <c r="A38" s="304"/>
      <c r="B38" s="300"/>
      <c r="C38" s="72"/>
      <c r="D38" s="70">
        <f t="shared" ref="D38:D39" si="6">B38*C38</f>
        <v>0</v>
      </c>
      <c r="E38" s="71">
        <f>D38/CHOOSE('Вхідні дані'!$M$1,1,'Вхідні дані'!$F$6,'Вхідні дані'!$I$6,'Вхідні дані'!$K$6)</f>
        <v>0</v>
      </c>
      <c r="F38" s="304"/>
      <c r="G38" s="300"/>
      <c r="H38" s="72"/>
      <c r="I38" s="70">
        <f t="shared" ref="I38:I39" si="7">G38*H38</f>
        <v>0</v>
      </c>
      <c r="J38" s="71">
        <f>I38/CHOOSE('Вхідні дані'!$M$1,1,'Вхідні дані'!$F$6,'Вхідні дані'!$I$6,'Вхідні дані'!$K$6)</f>
        <v>0</v>
      </c>
      <c r="K38" s="304"/>
      <c r="L38" s="300"/>
      <c r="M38" s="72"/>
      <c r="N38" s="70">
        <f t="shared" si="3"/>
        <v>0</v>
      </c>
      <c r="O38" s="71">
        <f>N38/CHOOSE('Вхідні дані'!$M$1,1,'Вхідні дані'!$F$6,'Вхідні дані'!$I$6,'Вхідні дані'!$K$6)</f>
        <v>0</v>
      </c>
    </row>
    <row r="39" spans="1:19" ht="21" outlineLevel="1" x14ac:dyDescent="0.3">
      <c r="A39" s="304"/>
      <c r="B39" s="300"/>
      <c r="C39" s="72"/>
      <c r="D39" s="70">
        <f t="shared" si="6"/>
        <v>0</v>
      </c>
      <c r="E39" s="71">
        <f>D39/CHOOSE('Вхідні дані'!$M$1,1,'Вхідні дані'!$F$6,'Вхідні дані'!$I$6,'Вхідні дані'!$K$6)</f>
        <v>0</v>
      </c>
      <c r="F39" s="304"/>
      <c r="G39" s="300"/>
      <c r="H39" s="72"/>
      <c r="I39" s="70">
        <f t="shared" si="7"/>
        <v>0</v>
      </c>
      <c r="J39" s="71">
        <f>I39/CHOOSE('Вхідні дані'!$M$1,1,'Вхідні дані'!$F$6,'Вхідні дані'!$I$6,'Вхідні дані'!$K$6)</f>
        <v>0</v>
      </c>
      <c r="K39" s="304"/>
      <c r="L39" s="300"/>
      <c r="M39" s="72"/>
      <c r="N39" s="70">
        <f t="shared" si="3"/>
        <v>0</v>
      </c>
      <c r="O39" s="71">
        <f>N39/CHOOSE('Вхідні дані'!$M$1,1,'Вхідні дані'!$F$6,'Вхідні дані'!$I$6,'Вхідні дані'!$K$6)</f>
        <v>0</v>
      </c>
    </row>
    <row r="40" spans="1:19" ht="21" outlineLevel="1" x14ac:dyDescent="0.3">
      <c r="A40" s="304"/>
      <c r="B40" s="300"/>
      <c r="C40" s="72"/>
      <c r="D40" s="70">
        <f t="shared" si="1"/>
        <v>0</v>
      </c>
      <c r="E40" s="71">
        <f>D40/CHOOSE('Вхідні дані'!$M$1,1,'Вхідні дані'!$F$6,'Вхідні дані'!$I$6,'Вхідні дані'!$K$6)</f>
        <v>0</v>
      </c>
      <c r="F40" s="304"/>
      <c r="G40" s="300"/>
      <c r="H40" s="72"/>
      <c r="I40" s="70">
        <f t="shared" si="2"/>
        <v>0</v>
      </c>
      <c r="J40" s="71">
        <f>I40/CHOOSE('Вхідні дані'!$M$1,1,'Вхідні дані'!$F$6,'Вхідні дані'!$I$6,'Вхідні дані'!$K$6)</f>
        <v>0</v>
      </c>
      <c r="K40" s="304"/>
      <c r="L40" s="300"/>
      <c r="M40" s="72"/>
      <c r="N40" s="70">
        <f t="shared" si="3"/>
        <v>0</v>
      </c>
      <c r="O40" s="71">
        <f>N40/CHOOSE('Вхідні дані'!$M$1,1,'Вхідні дані'!$F$6,'Вхідні дані'!$I$6,'Вхідні дані'!$K$6)</f>
        <v>0</v>
      </c>
    </row>
    <row r="41" spans="1:19" ht="21" outlineLevel="1" x14ac:dyDescent="0.3">
      <c r="A41" s="304"/>
      <c r="B41" s="300"/>
      <c r="C41" s="72"/>
      <c r="D41" s="70">
        <f t="shared" si="1"/>
        <v>0</v>
      </c>
      <c r="E41" s="71">
        <f>D41/CHOOSE('Вхідні дані'!$M$1,1,'Вхідні дані'!$F$6,'Вхідні дані'!$I$6,'Вхідні дані'!$K$6)</f>
        <v>0</v>
      </c>
      <c r="F41" s="304"/>
      <c r="G41" s="300"/>
      <c r="H41" s="72"/>
      <c r="I41" s="70">
        <f t="shared" si="2"/>
        <v>0</v>
      </c>
      <c r="J41" s="71">
        <f>I41/CHOOSE('Вхідні дані'!$M$1,1,'Вхідні дані'!$F$6,'Вхідні дані'!$I$6,'Вхідні дані'!$K$6)</f>
        <v>0</v>
      </c>
      <c r="K41" s="304"/>
      <c r="L41" s="300"/>
      <c r="M41" s="72"/>
      <c r="N41" s="70">
        <f t="shared" si="3"/>
        <v>0</v>
      </c>
      <c r="O41" s="71">
        <f>N41/CHOOSE('Вхідні дані'!$M$1,1,'Вхідні дані'!$F$6,'Вхідні дані'!$I$6,'Вхідні дані'!$K$6)</f>
        <v>0</v>
      </c>
    </row>
    <row r="42" spans="1:19" ht="21.6" outlineLevel="1" thickBot="1" x14ac:dyDescent="0.35">
      <c r="A42" s="305"/>
      <c r="B42" s="301"/>
      <c r="C42" s="73"/>
      <c r="D42" s="74">
        <f t="shared" si="1"/>
        <v>0</v>
      </c>
      <c r="E42" s="75">
        <f>D42/CHOOSE('Вхідні дані'!$M$1,1,'Вхідні дані'!$F$6,'Вхідні дані'!$I$6,'Вхідні дані'!$K$6)</f>
        <v>0</v>
      </c>
      <c r="F42" s="305"/>
      <c r="G42" s="301"/>
      <c r="H42" s="73"/>
      <c r="I42" s="74">
        <f t="shared" si="2"/>
        <v>0</v>
      </c>
      <c r="J42" s="75">
        <f>I42/CHOOSE('Вхідні дані'!$M$1,1,'Вхідні дані'!$F$6,'Вхідні дані'!$I$6,'Вхідні дані'!$K$6)</f>
        <v>0</v>
      </c>
      <c r="K42" s="305"/>
      <c r="L42" s="301"/>
      <c r="M42" s="73"/>
      <c r="N42" s="74">
        <f t="shared" si="3"/>
        <v>0</v>
      </c>
      <c r="O42" s="75">
        <f>N42/CHOOSE('Вхідні дані'!$M$1,1,'Вхідні дані'!$F$6,'Вхідні дані'!$I$6,'Вхідні дані'!$K$6)</f>
        <v>0</v>
      </c>
    </row>
    <row r="43" spans="1:19" ht="25.8" x14ac:dyDescent="0.3">
      <c r="A43" s="306" t="str">
        <f>CHOOSE('Вхідні дані'!$S$1,Інвестицій!R43,Інвестицій!S43)</f>
        <v>Комп'ютери, офісна техніка та каси</v>
      </c>
      <c r="B43" s="302"/>
      <c r="C43" s="286"/>
      <c r="D43" s="287">
        <f>SUM(D44:D79)</f>
        <v>14020</v>
      </c>
      <c r="E43" s="288">
        <f>SUM(E44:E79)</f>
        <v>14020</v>
      </c>
      <c r="F43" s="306" t="str">
        <f>A43</f>
        <v>Комп'ютери, офісна техніка та каси</v>
      </c>
      <c r="G43" s="302"/>
      <c r="H43" s="286"/>
      <c r="I43" s="287">
        <f>SUM(I44:I79)</f>
        <v>14020</v>
      </c>
      <c r="J43" s="288">
        <f>SUM(J44:J79)</f>
        <v>14020</v>
      </c>
      <c r="K43" s="306" t="str">
        <f>F43</f>
        <v>Комп'ютери, офісна техніка та каси</v>
      </c>
      <c r="L43" s="302"/>
      <c r="M43" s="286"/>
      <c r="N43" s="287">
        <f>SUM(N44:N79)</f>
        <v>14020</v>
      </c>
      <c r="O43" s="288">
        <f>SUM(O44:O79)</f>
        <v>14020</v>
      </c>
      <c r="R43" s="132" t="s">
        <v>313</v>
      </c>
      <c r="S43" s="132" t="s">
        <v>314</v>
      </c>
    </row>
    <row r="44" spans="1:19" ht="21" outlineLevel="1" x14ac:dyDescent="0.3">
      <c r="A44" s="304" t="s">
        <v>387</v>
      </c>
      <c r="B44" s="300">
        <v>1</v>
      </c>
      <c r="C44" s="72">
        <v>6000</v>
      </c>
      <c r="D44" s="70">
        <f t="shared" ref="D44:D54" si="8">B44*C44</f>
        <v>6000</v>
      </c>
      <c r="E44" s="71">
        <f>D44/CHOOSE('Вхідні дані'!$M$1,1,'Вхідні дані'!$F$6,'Вхідні дані'!$I$6,'Вхідні дані'!$K$6)</f>
        <v>6000</v>
      </c>
      <c r="F44" s="304" t="s">
        <v>387</v>
      </c>
      <c r="G44" s="300">
        <v>1</v>
      </c>
      <c r="H44" s="72">
        <v>6000</v>
      </c>
      <c r="I44" s="70">
        <f t="shared" ref="I44:I54" si="9">G44*H44</f>
        <v>6000</v>
      </c>
      <c r="J44" s="71">
        <f>I44/CHOOSE('Вхідні дані'!$M$1,1,'Вхідні дані'!$F$6,'Вхідні дані'!$I$6,'Вхідні дані'!$K$6)</f>
        <v>6000</v>
      </c>
      <c r="K44" s="304" t="s">
        <v>387</v>
      </c>
      <c r="L44" s="300">
        <v>1</v>
      </c>
      <c r="M44" s="72">
        <v>6000</v>
      </c>
      <c r="N44" s="70">
        <f t="shared" ref="N44:N54" si="10">L44*M44</f>
        <v>6000</v>
      </c>
      <c r="O44" s="71">
        <f>N44/CHOOSE('Вхідні дані'!$M$1,1,'Вхідні дані'!$F$6,'Вхідні дані'!$I$6,'Вхідні дані'!$K$6)</f>
        <v>6000</v>
      </c>
    </row>
    <row r="45" spans="1:19" ht="21" outlineLevel="1" x14ac:dyDescent="0.3">
      <c r="A45" s="304" t="s">
        <v>388</v>
      </c>
      <c r="B45" s="300">
        <v>1</v>
      </c>
      <c r="C45" s="72">
        <v>4500</v>
      </c>
      <c r="D45" s="70">
        <f t="shared" si="8"/>
        <v>4500</v>
      </c>
      <c r="E45" s="71">
        <f>D45/CHOOSE('Вхідні дані'!$M$1,1,'Вхідні дані'!$F$6,'Вхідні дані'!$I$6,'Вхідні дані'!$K$6)</f>
        <v>4500</v>
      </c>
      <c r="F45" s="304" t="s">
        <v>388</v>
      </c>
      <c r="G45" s="300">
        <v>1</v>
      </c>
      <c r="H45" s="72">
        <v>4500</v>
      </c>
      <c r="I45" s="70">
        <f t="shared" si="9"/>
        <v>4500</v>
      </c>
      <c r="J45" s="71">
        <f>I45/CHOOSE('Вхідні дані'!$M$1,1,'Вхідні дані'!$F$6,'Вхідні дані'!$I$6,'Вхідні дані'!$K$6)</f>
        <v>4500</v>
      </c>
      <c r="K45" s="304" t="s">
        <v>388</v>
      </c>
      <c r="L45" s="300">
        <v>1</v>
      </c>
      <c r="M45" s="72">
        <v>4500</v>
      </c>
      <c r="N45" s="70">
        <f t="shared" si="10"/>
        <v>4500</v>
      </c>
      <c r="O45" s="71">
        <f>N45/CHOOSE('Вхідні дані'!$M$1,1,'Вхідні дані'!$F$6,'Вхідні дані'!$I$6,'Вхідні дані'!$K$6)</f>
        <v>4500</v>
      </c>
    </row>
    <row r="46" spans="1:19" ht="21" outlineLevel="1" x14ac:dyDescent="0.3">
      <c r="A46" s="304" t="s">
        <v>389</v>
      </c>
      <c r="B46" s="300">
        <v>1</v>
      </c>
      <c r="C46" s="72">
        <v>1500</v>
      </c>
      <c r="D46" s="70">
        <f t="shared" si="8"/>
        <v>1500</v>
      </c>
      <c r="E46" s="71">
        <f>D46/CHOOSE('Вхідні дані'!$M$1,1,'Вхідні дані'!$F$6,'Вхідні дані'!$I$6,'Вхідні дані'!$K$6)</f>
        <v>1500</v>
      </c>
      <c r="F46" s="304" t="s">
        <v>389</v>
      </c>
      <c r="G46" s="300">
        <v>1</v>
      </c>
      <c r="H46" s="72">
        <v>1500</v>
      </c>
      <c r="I46" s="70">
        <f t="shared" si="9"/>
        <v>1500</v>
      </c>
      <c r="J46" s="71">
        <f>I46/CHOOSE('Вхідні дані'!$M$1,1,'Вхідні дані'!$F$6,'Вхідні дані'!$I$6,'Вхідні дані'!$K$6)</f>
        <v>1500</v>
      </c>
      <c r="K46" s="304" t="s">
        <v>389</v>
      </c>
      <c r="L46" s="300">
        <v>1</v>
      </c>
      <c r="M46" s="72">
        <v>1500</v>
      </c>
      <c r="N46" s="70">
        <f t="shared" si="10"/>
        <v>1500</v>
      </c>
      <c r="O46" s="71">
        <f>N46/CHOOSE('Вхідні дані'!$M$1,1,'Вхідні дані'!$F$6,'Вхідні дані'!$I$6,'Вхідні дані'!$K$6)</f>
        <v>1500</v>
      </c>
    </row>
    <row r="47" spans="1:19" ht="21" outlineLevel="1" x14ac:dyDescent="0.3">
      <c r="A47" s="304" t="s">
        <v>390</v>
      </c>
      <c r="B47" s="300">
        <v>1</v>
      </c>
      <c r="C47" s="72">
        <v>920</v>
      </c>
      <c r="D47" s="70">
        <f t="shared" si="8"/>
        <v>920</v>
      </c>
      <c r="E47" s="71">
        <f>D47/CHOOSE('Вхідні дані'!$M$1,1,'Вхідні дані'!$F$6,'Вхідні дані'!$I$6,'Вхідні дані'!$K$6)</f>
        <v>920</v>
      </c>
      <c r="F47" s="304" t="s">
        <v>390</v>
      </c>
      <c r="G47" s="300">
        <v>1</v>
      </c>
      <c r="H47" s="72">
        <v>920</v>
      </c>
      <c r="I47" s="70">
        <f t="shared" si="9"/>
        <v>920</v>
      </c>
      <c r="J47" s="71">
        <f>I47/CHOOSE('Вхідні дані'!$M$1,1,'Вхідні дані'!$F$6,'Вхідні дані'!$I$6,'Вхідні дані'!$K$6)</f>
        <v>920</v>
      </c>
      <c r="K47" s="304" t="s">
        <v>390</v>
      </c>
      <c r="L47" s="300">
        <v>1</v>
      </c>
      <c r="M47" s="72">
        <v>920</v>
      </c>
      <c r="N47" s="70">
        <f t="shared" si="10"/>
        <v>920</v>
      </c>
      <c r="O47" s="71">
        <f>N47/CHOOSE('Вхідні дані'!$M$1,1,'Вхідні дані'!$F$6,'Вхідні дані'!$I$6,'Вхідні дані'!$K$6)</f>
        <v>920</v>
      </c>
    </row>
    <row r="48" spans="1:19" ht="21" outlineLevel="1" x14ac:dyDescent="0.3">
      <c r="A48" s="304" t="s">
        <v>391</v>
      </c>
      <c r="B48" s="300">
        <v>1</v>
      </c>
      <c r="C48" s="72">
        <v>1100</v>
      </c>
      <c r="D48" s="70">
        <f t="shared" si="8"/>
        <v>1100</v>
      </c>
      <c r="E48" s="71">
        <f>D48/CHOOSE('Вхідні дані'!$M$1,1,'Вхідні дані'!$F$6,'Вхідні дані'!$I$6,'Вхідні дані'!$K$6)</f>
        <v>1100</v>
      </c>
      <c r="F48" s="304" t="s">
        <v>391</v>
      </c>
      <c r="G48" s="300">
        <v>1</v>
      </c>
      <c r="H48" s="72">
        <v>1100</v>
      </c>
      <c r="I48" s="70">
        <f t="shared" si="9"/>
        <v>1100</v>
      </c>
      <c r="J48" s="71">
        <f>I48/CHOOSE('Вхідні дані'!$M$1,1,'Вхідні дані'!$F$6,'Вхідні дані'!$I$6,'Вхідні дані'!$K$6)</f>
        <v>1100</v>
      </c>
      <c r="K48" s="304" t="s">
        <v>391</v>
      </c>
      <c r="L48" s="300">
        <v>1</v>
      </c>
      <c r="M48" s="72">
        <v>1100</v>
      </c>
      <c r="N48" s="70">
        <f t="shared" si="10"/>
        <v>1100</v>
      </c>
      <c r="O48" s="71">
        <f>N48/CHOOSE('Вхідні дані'!$M$1,1,'Вхідні дані'!$F$6,'Вхідні дані'!$I$6,'Вхідні дані'!$K$6)</f>
        <v>1100</v>
      </c>
    </row>
    <row r="49" spans="1:15" ht="21" outlineLevel="1" x14ac:dyDescent="0.3">
      <c r="A49" s="304"/>
      <c r="B49" s="300"/>
      <c r="C49" s="72"/>
      <c r="D49" s="70">
        <f t="shared" si="8"/>
        <v>0</v>
      </c>
      <c r="E49" s="71">
        <f>D49/CHOOSE('Вхідні дані'!$M$1,1,'Вхідні дані'!$F$6,'Вхідні дані'!$I$6,'Вхідні дані'!$K$6)</f>
        <v>0</v>
      </c>
      <c r="F49" s="304"/>
      <c r="G49" s="300"/>
      <c r="H49" s="72"/>
      <c r="I49" s="70">
        <f t="shared" si="9"/>
        <v>0</v>
      </c>
      <c r="J49" s="71">
        <f>I49/CHOOSE('Вхідні дані'!$M$1,1,'Вхідні дані'!$F$6,'Вхідні дані'!$I$6,'Вхідні дані'!$K$6)</f>
        <v>0</v>
      </c>
      <c r="K49" s="304"/>
      <c r="L49" s="300"/>
      <c r="M49" s="72"/>
      <c r="N49" s="70">
        <f t="shared" si="10"/>
        <v>0</v>
      </c>
      <c r="O49" s="71">
        <f>N49/CHOOSE('Вхідні дані'!$M$1,1,'Вхідні дані'!$F$6,'Вхідні дані'!$I$6,'Вхідні дані'!$K$6)</f>
        <v>0</v>
      </c>
    </row>
    <row r="50" spans="1:15" ht="21" outlineLevel="1" x14ac:dyDescent="0.3">
      <c r="A50" s="304"/>
      <c r="B50" s="300"/>
      <c r="C50" s="72"/>
      <c r="D50" s="70">
        <f t="shared" si="8"/>
        <v>0</v>
      </c>
      <c r="E50" s="71">
        <f>D50/CHOOSE('Вхідні дані'!$M$1,1,'Вхідні дані'!$F$6,'Вхідні дані'!$I$6,'Вхідні дані'!$K$6)</f>
        <v>0</v>
      </c>
      <c r="F50" s="304"/>
      <c r="G50" s="300"/>
      <c r="H50" s="72"/>
      <c r="I50" s="70">
        <f t="shared" si="9"/>
        <v>0</v>
      </c>
      <c r="J50" s="71">
        <f>I50/CHOOSE('Вхідні дані'!$M$1,1,'Вхідні дані'!$F$6,'Вхідні дані'!$I$6,'Вхідні дані'!$K$6)</f>
        <v>0</v>
      </c>
      <c r="K50" s="304"/>
      <c r="L50" s="300"/>
      <c r="M50" s="72"/>
      <c r="N50" s="70">
        <f t="shared" si="10"/>
        <v>0</v>
      </c>
      <c r="O50" s="71">
        <f>N50/CHOOSE('Вхідні дані'!$M$1,1,'Вхідні дані'!$F$6,'Вхідні дані'!$I$6,'Вхідні дані'!$K$6)</f>
        <v>0</v>
      </c>
    </row>
    <row r="51" spans="1:15" ht="21" outlineLevel="1" x14ac:dyDescent="0.3">
      <c r="A51" s="304"/>
      <c r="B51" s="300"/>
      <c r="C51" s="72"/>
      <c r="D51" s="70">
        <f t="shared" si="8"/>
        <v>0</v>
      </c>
      <c r="E51" s="71">
        <f>D51/CHOOSE('Вхідні дані'!$M$1,1,'Вхідні дані'!$F$6,'Вхідні дані'!$I$6,'Вхідні дані'!$K$6)</f>
        <v>0</v>
      </c>
      <c r="F51" s="304"/>
      <c r="G51" s="300"/>
      <c r="H51" s="72"/>
      <c r="I51" s="70">
        <f t="shared" si="9"/>
        <v>0</v>
      </c>
      <c r="J51" s="71">
        <f>I51/CHOOSE('Вхідні дані'!$M$1,1,'Вхідні дані'!$F$6,'Вхідні дані'!$I$6,'Вхідні дані'!$K$6)</f>
        <v>0</v>
      </c>
      <c r="K51" s="304"/>
      <c r="L51" s="300"/>
      <c r="M51" s="72"/>
      <c r="N51" s="70">
        <f t="shared" si="10"/>
        <v>0</v>
      </c>
      <c r="O51" s="71">
        <f>N51/CHOOSE('Вхідні дані'!$M$1,1,'Вхідні дані'!$F$6,'Вхідні дані'!$I$6,'Вхідні дані'!$K$6)</f>
        <v>0</v>
      </c>
    </row>
    <row r="52" spans="1:15" ht="21" outlineLevel="1" x14ac:dyDescent="0.3">
      <c r="A52" s="304"/>
      <c r="B52" s="300"/>
      <c r="C52" s="72"/>
      <c r="D52" s="70">
        <f t="shared" si="8"/>
        <v>0</v>
      </c>
      <c r="E52" s="71">
        <f>D52/CHOOSE('Вхідні дані'!$M$1,1,'Вхідні дані'!$F$6,'Вхідні дані'!$I$6,'Вхідні дані'!$K$6)</f>
        <v>0</v>
      </c>
      <c r="F52" s="304"/>
      <c r="G52" s="300"/>
      <c r="H52" s="72"/>
      <c r="I52" s="70">
        <f t="shared" si="9"/>
        <v>0</v>
      </c>
      <c r="J52" s="71">
        <f>I52/CHOOSE('Вхідні дані'!$M$1,1,'Вхідні дані'!$F$6,'Вхідні дані'!$I$6,'Вхідні дані'!$K$6)</f>
        <v>0</v>
      </c>
      <c r="K52" s="304"/>
      <c r="L52" s="300"/>
      <c r="M52" s="72"/>
      <c r="N52" s="70">
        <f t="shared" si="10"/>
        <v>0</v>
      </c>
      <c r="O52" s="71">
        <f>N52/CHOOSE('Вхідні дані'!$M$1,1,'Вхідні дані'!$F$6,'Вхідні дані'!$I$6,'Вхідні дані'!$K$6)</f>
        <v>0</v>
      </c>
    </row>
    <row r="53" spans="1:15" ht="21" outlineLevel="1" x14ac:dyDescent="0.3">
      <c r="A53" s="304"/>
      <c r="B53" s="300"/>
      <c r="C53" s="72"/>
      <c r="D53" s="70">
        <f t="shared" si="8"/>
        <v>0</v>
      </c>
      <c r="E53" s="71">
        <f>D53/CHOOSE('Вхідні дані'!$M$1,1,'Вхідні дані'!$F$6,'Вхідні дані'!$I$6,'Вхідні дані'!$K$6)</f>
        <v>0</v>
      </c>
      <c r="F53" s="304"/>
      <c r="G53" s="300"/>
      <c r="H53" s="72"/>
      <c r="I53" s="70">
        <f t="shared" si="9"/>
        <v>0</v>
      </c>
      <c r="J53" s="71">
        <f>I53/CHOOSE('Вхідні дані'!$M$1,1,'Вхідні дані'!$F$6,'Вхідні дані'!$I$6,'Вхідні дані'!$K$6)</f>
        <v>0</v>
      </c>
      <c r="K53" s="304"/>
      <c r="L53" s="300"/>
      <c r="M53" s="72"/>
      <c r="N53" s="70">
        <f t="shared" si="10"/>
        <v>0</v>
      </c>
      <c r="O53" s="71">
        <f>N53/CHOOSE('Вхідні дані'!$M$1,1,'Вхідні дані'!$F$6,'Вхідні дані'!$I$6,'Вхідні дані'!$K$6)</f>
        <v>0</v>
      </c>
    </row>
    <row r="54" spans="1:15" ht="21.6" outlineLevel="1" thickBot="1" x14ac:dyDescent="0.35">
      <c r="A54" s="305"/>
      <c r="B54" s="301"/>
      <c r="C54" s="73"/>
      <c r="D54" s="74">
        <f t="shared" si="8"/>
        <v>0</v>
      </c>
      <c r="E54" s="75">
        <f>D54/CHOOSE('Вхідні дані'!$M$1,1,'Вхідні дані'!$F$6,'Вхідні дані'!$I$6,'Вхідні дані'!$K$6)</f>
        <v>0</v>
      </c>
      <c r="F54" s="305"/>
      <c r="G54" s="301"/>
      <c r="H54" s="73"/>
      <c r="I54" s="74">
        <f t="shared" si="9"/>
        <v>0</v>
      </c>
      <c r="J54" s="75">
        <f>I54/CHOOSE('Вхідні дані'!$M$1,1,'Вхідні дані'!$F$6,'Вхідні дані'!$I$6,'Вхідні дані'!$K$6)</f>
        <v>0</v>
      </c>
      <c r="K54" s="305"/>
      <c r="L54" s="301"/>
      <c r="M54" s="73"/>
      <c r="N54" s="74">
        <f t="shared" si="10"/>
        <v>0</v>
      </c>
      <c r="O54" s="75">
        <f>N54/CHOOSE('Вхідні дані'!$M$1,1,'Вхідні дані'!$F$6,'Вхідні дані'!$I$6,'Вхідні дані'!$K$6)</f>
        <v>0</v>
      </c>
    </row>
  </sheetData>
  <mergeCells count="10">
    <mergeCell ref="K1:O1"/>
    <mergeCell ref="K2:O2"/>
    <mergeCell ref="K4:O4"/>
    <mergeCell ref="A3:E3"/>
    <mergeCell ref="A4:E4"/>
    <mergeCell ref="F4:J4"/>
    <mergeCell ref="A1:E1"/>
    <mergeCell ref="A2:E2"/>
    <mergeCell ref="F1:J1"/>
    <mergeCell ref="F2:J2"/>
  </mergeCells>
  <pageMargins left="0.39370078740157483" right="0.39370078740157483" top="0.39370078740157483" bottom="0.39370078740157483" header="0.31496062992125984" footer="0.31496062992125984"/>
  <pageSetup paperSize="9" scale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sheetPr>
    <pageSetUpPr fitToPage="1"/>
  </sheetPr>
  <dimension ref="A1:Z64"/>
  <sheetViews>
    <sheetView showGridLines="0" tabSelected="1" zoomScale="45" zoomScaleNormal="45" zoomScaleSheetLayoutView="70" workbookViewId="0">
      <selection activeCell="H2" sqref="H2:I2"/>
    </sheetView>
  </sheetViews>
  <sheetFormatPr defaultColWidth="8.77734375" defaultRowHeight="34.200000000000003" customHeight="1" x14ac:dyDescent="0.3"/>
  <cols>
    <col min="1" max="1" width="8.44140625" style="6" customWidth="1"/>
    <col min="2" max="2" width="24.77734375" style="6" customWidth="1"/>
    <col min="3" max="3" width="32" style="6" customWidth="1"/>
    <col min="4" max="4" width="28.5546875" style="6" customWidth="1"/>
    <col min="5" max="5" width="32" style="6" customWidth="1"/>
    <col min="6" max="6" width="23.21875" style="6" customWidth="1"/>
    <col min="7" max="7" width="20.109375" style="6" customWidth="1"/>
    <col min="8" max="8" width="19.77734375" style="6" customWidth="1"/>
    <col min="9" max="9" width="26.88671875" style="6" customWidth="1"/>
    <col min="10" max="10" width="12.21875" style="6" customWidth="1"/>
    <col min="11" max="11" width="15.77734375" style="50" hidden="1" customWidth="1"/>
    <col min="12" max="12" width="9.21875" style="50" hidden="1" customWidth="1"/>
    <col min="13" max="13" width="4.88671875" style="50" hidden="1" customWidth="1"/>
    <col min="14" max="14" width="16.77734375" style="50" hidden="1" customWidth="1"/>
    <col min="15" max="15" width="6.21875" style="50" hidden="1" customWidth="1"/>
    <col min="16" max="16" width="16.21875" style="50" hidden="1" customWidth="1"/>
    <col min="17" max="17" width="10.88671875" style="6" hidden="1" customWidth="1"/>
    <col min="18" max="18" width="11.77734375" style="6" hidden="1" customWidth="1"/>
    <col min="19" max="19" width="8.77734375" style="6" customWidth="1"/>
    <col min="20" max="16384" width="8.77734375" style="6"/>
  </cols>
  <sheetData>
    <row r="1" spans="1:25" ht="59.4" customHeight="1" x14ac:dyDescent="0.45">
      <c r="A1" s="369" t="s">
        <v>397</v>
      </c>
      <c r="B1" s="369"/>
      <c r="C1" s="369"/>
      <c r="D1" s="369"/>
      <c r="E1" s="369"/>
      <c r="F1" s="369"/>
      <c r="G1" s="369"/>
      <c r="H1" s="369"/>
      <c r="I1" s="369"/>
      <c r="J1" s="58"/>
      <c r="K1" s="310">
        <f>D55</f>
        <v>53809.583333333336</v>
      </c>
      <c r="L1" s="311">
        <f>H55</f>
        <v>0.23995354886659234</v>
      </c>
      <c r="M1" s="1">
        <f>MATCH(H2,N1:N3,0)</f>
        <v>1</v>
      </c>
      <c r="N1" s="40" t="str">
        <f>'Вхідні дані'!A14</f>
        <v>Міні</v>
      </c>
      <c r="O1" s="41">
        <f>MATCH(H3,P1:P3,0)</f>
        <v>3</v>
      </c>
      <c r="P1" s="41" t="str">
        <f>CHOOSE('Вхідні дані'!$S$1,Q2,R2)</f>
        <v>% від загальної виручки</v>
      </c>
      <c r="Q1" s="80" t="s">
        <v>354</v>
      </c>
      <c r="R1" s="80" t="s">
        <v>355</v>
      </c>
      <c r="S1" s="5"/>
    </row>
    <row r="2" spans="1:25" ht="34.200000000000003" customHeight="1" x14ac:dyDescent="0.45">
      <c r="A2" s="129" t="str">
        <f>'Вхідні дані'!A4</f>
        <v>Валюта, в якій виконується розрахунок</v>
      </c>
      <c r="B2" s="129"/>
      <c r="C2" s="129"/>
      <c r="D2" s="147" t="str">
        <f>'Вхідні дані'!D4</f>
        <v>UAH</v>
      </c>
      <c r="F2" s="9"/>
      <c r="G2" s="87" t="str">
        <f>""&amp;CHOOSE('Вхідні дані'!$S$1,Q5,R5)&amp;""</f>
        <v>Формат співробітництва</v>
      </c>
      <c r="H2" s="430" t="s">
        <v>357</v>
      </c>
      <c r="I2" s="430"/>
      <c r="J2" s="7"/>
      <c r="K2" s="310">
        <f>D57</f>
        <v>81777.083333333328</v>
      </c>
      <c r="L2" s="311">
        <f>H57</f>
        <v>0.29872907153729072</v>
      </c>
      <c r="M2" s="40"/>
      <c r="N2" s="40" t="str">
        <f>'Вхідні дані'!A15</f>
        <v>Стандарт</v>
      </c>
      <c r="O2" s="41"/>
      <c r="P2" s="41" t="str">
        <f>CHOOSE('Вхідні дані'!$S$1,Q3,R3)</f>
        <v>% від загальної виручки - витрати</v>
      </c>
      <c r="Q2" s="41" t="s">
        <v>103</v>
      </c>
      <c r="R2" s="80" t="s">
        <v>177</v>
      </c>
      <c r="S2" s="5"/>
    </row>
    <row r="3" spans="1:25" ht="34.200000000000003" customHeight="1" x14ac:dyDescent="0.45">
      <c r="A3" s="129" t="str">
        <f>'Вхідні дані'!A5</f>
        <v>Місяць, з якого починається робота</v>
      </c>
      <c r="B3" s="129"/>
      <c r="C3" s="129"/>
      <c r="D3" s="147" t="str">
        <f>'Вхідні дані'!D5</f>
        <v>січень</v>
      </c>
      <c r="G3" s="87" t="str">
        <f>""&amp;CHOOSE('Вхідні дані'!$S$1,Q6,R6)&amp;""</f>
        <v>Вид оподаткування</v>
      </c>
      <c r="H3" s="430" t="s">
        <v>261</v>
      </c>
      <c r="I3" s="430"/>
      <c r="J3" s="7"/>
      <c r="K3" s="310">
        <f>D59</f>
        <v>94666.145833333328</v>
      </c>
      <c r="L3" s="311">
        <f>H59</f>
        <v>0.31921145064980677</v>
      </c>
      <c r="M3" s="40"/>
      <c r="N3" s="40" t="str">
        <f>'Вхідні дані'!A16</f>
        <v>Кафе</v>
      </c>
      <c r="O3" s="41"/>
      <c r="P3" s="41" t="str">
        <f>CHOOSE('Вхідні дані'!$S$1,Q4,R4)</f>
        <v>фіксована сума</v>
      </c>
      <c r="Q3" s="78" t="s">
        <v>271</v>
      </c>
      <c r="R3" s="78" t="s">
        <v>272</v>
      </c>
    </row>
    <row r="4" spans="1:25" ht="17.7" customHeight="1" x14ac:dyDescent="0.45">
      <c r="A4" s="10"/>
      <c r="E4" s="11"/>
      <c r="K4" s="310">
        <f>D61</f>
        <v>1</v>
      </c>
      <c r="L4" s="312"/>
      <c r="M4" s="40"/>
      <c r="N4" s="40"/>
      <c r="O4" s="41"/>
      <c r="P4" s="41"/>
      <c r="Q4" s="41" t="s">
        <v>104</v>
      </c>
      <c r="R4" s="41" t="s">
        <v>261</v>
      </c>
    </row>
    <row r="5" spans="1:25" ht="34.200000000000003" customHeight="1" x14ac:dyDescent="0.45">
      <c r="A5" s="10" t="str">
        <f>'Вхідні дані'!A11</f>
        <v>Фінансові параметри</v>
      </c>
      <c r="K5" s="310">
        <f>D63</f>
        <v>10</v>
      </c>
      <c r="L5" s="312"/>
      <c r="N5" s="40"/>
      <c r="O5" s="41"/>
      <c r="P5" s="41"/>
      <c r="Q5" s="80" t="s">
        <v>71</v>
      </c>
      <c r="R5" s="78" t="s">
        <v>196</v>
      </c>
    </row>
    <row r="6" spans="1:25" s="12" customFormat="1" ht="78.900000000000006" customHeight="1" x14ac:dyDescent="0.45">
      <c r="A6" s="351" t="str">
        <f>CHOOSE('Вхідні дані'!$S$1,Q7,R7)</f>
        <v>Середній чек, UAH</v>
      </c>
      <c r="B6" s="351"/>
      <c r="C6" s="134" t="str">
        <f>CHOOSE('Вхідні дані'!$S$1,Q13,R13)</f>
        <v>Середня кількість чеків на день за 1-й рік роботи*, од./день</v>
      </c>
      <c r="D6" s="134" t="str">
        <f>CHOOSE('Вхідні дані'!$S$1,Q8,R8)</f>
        <v>Середня виручка надень за 1-й рік роботи*, UAH/день</v>
      </c>
      <c r="E6" s="134" t="str">
        <f>CHOOSE('Вхідні дані'!$S$1,Q16,R16)</f>
        <v>Середня кількість чеків на місяць за 1-й рік роботи*, од./міс.</v>
      </c>
      <c r="F6" s="424" t="str">
        <f>CHOOSE('Вхідні дані'!$S$1,Q9,R9)</f>
        <v>Середня виручка на місяць за 1-й рік роботи*, UAH/міс.</v>
      </c>
      <c r="G6" s="424"/>
      <c r="H6" s="424" t="str">
        <f>CHOOSE('Вхідні дані'!$S$1,Q11,R11)</f>
        <v>Середній валовий прибуток на місяць за 1-й рік роботи (виручка - собівартість (food cost))*, UAH/міс.</v>
      </c>
      <c r="I6" s="424"/>
      <c r="K6" s="310">
        <f>D19</f>
        <v>81000</v>
      </c>
      <c r="L6" s="312"/>
      <c r="M6" s="50"/>
      <c r="N6" s="40"/>
      <c r="O6" s="41"/>
      <c r="P6" s="41"/>
      <c r="Q6" s="80" t="s">
        <v>105</v>
      </c>
      <c r="R6" s="80" t="s">
        <v>197</v>
      </c>
    </row>
    <row r="7" spans="1:25" s="12" customFormat="1" ht="40.049999999999997" customHeight="1" x14ac:dyDescent="0.45">
      <c r="A7" s="321">
        <f>CHOOSE(M1,'Вхідні дані'!D14,'Вхідні дані'!D15,'Вхідні дані'!D16)</f>
        <v>30</v>
      </c>
      <c r="B7" s="321"/>
      <c r="C7" s="130">
        <f>E7/'Детальний розрахунок'!$P$3</f>
        <v>245.75342465753423</v>
      </c>
      <c r="D7" s="130">
        <f>F7/'Детальний розрахунок'!$P$3</f>
        <v>7372.6027397260268</v>
      </c>
      <c r="E7" s="130">
        <f>F7/A7</f>
        <v>7475</v>
      </c>
      <c r="F7" s="321">
        <f>'Детальний розрахунок'!Q18</f>
        <v>224250</v>
      </c>
      <c r="G7" s="321"/>
      <c r="H7" s="321">
        <f>'Детальний розрахунок'!Q18-'Детальний розрахунок'!Q22</f>
        <v>134550</v>
      </c>
      <c r="I7" s="321"/>
      <c r="K7" s="310">
        <f>D21-D19</f>
        <v>451133</v>
      </c>
      <c r="L7" s="313"/>
      <c r="M7" s="59"/>
      <c r="N7" s="51"/>
      <c r="O7" s="52"/>
      <c r="P7" s="53"/>
      <c r="Q7" s="122" t="str">
        <f>"Средний чек, "&amp;CHOOSE('Вхідні дані'!$M$1,'Вхідні дані'!$N$1,'Вхідні дані'!$N$2,'Вхідні дані'!$N$3,'Вхідні дані'!$N$4)&amp;""</f>
        <v>Средний чек, UAH</v>
      </c>
      <c r="R7" s="122" t="str">
        <f>"Середній чек, "&amp;CHOOSE('Вхідні дані'!$M$1,'Вхідні дані'!$N$1,'Вхідні дані'!$N$2,'Вхідні дані'!$N$3,'Вхідні дані'!$N$4)&amp;""</f>
        <v>Середній чек, UAH</v>
      </c>
    </row>
    <row r="8" spans="1:25" ht="47.4" customHeight="1" x14ac:dyDescent="0.3">
      <c r="A8" s="319" t="str">
        <f>CHOOSE('Вхідні дані'!$S$1,Q12,R12)</f>
        <v xml:space="preserve"> * - 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v>
      </c>
      <c r="B8" s="319"/>
      <c r="C8" s="319"/>
      <c r="D8" s="319"/>
      <c r="E8" s="319"/>
      <c r="F8" s="319"/>
      <c r="G8" s="319"/>
      <c r="H8" s="319"/>
      <c r="I8" s="319"/>
      <c r="K8" s="51"/>
      <c r="L8" s="59"/>
      <c r="M8" s="59"/>
      <c r="N8" s="51"/>
      <c r="O8" s="52"/>
      <c r="P8" s="53"/>
      <c r="Q8" s="80" t="str">
        <f>"Средняя выручка в день за 1-й год работы*, "&amp;CHOOSE('Вхідні дані'!$M$1,'Вхідні дані'!$N$1,'Вхідні дані'!$N$2,'Вхідні дані'!$N$3,'Вхідні дані'!$N$4)&amp;"/день"</f>
        <v>Средняя выручка в день за 1-й год работы*, UAH/день</v>
      </c>
      <c r="R8" s="80" t="str">
        <f>"Середня виручка надень за 1-й рік роботи*, "&amp;CHOOSE('Вхідні дані'!$M$1,'Вхідні дані'!$N$1,'Вхідні дані'!$N$2,'Вхідні дані'!$N$3,'Вхідні дані'!$N$4)&amp;"/день"</f>
        <v>Середня виручка надень за 1-й рік роботи*, UAH/день</v>
      </c>
    </row>
    <row r="9" spans="1:25" ht="34.200000000000003" customHeight="1" x14ac:dyDescent="0.3">
      <c r="A9" s="17" t="str">
        <f>'Вхідні дані'!A40</f>
        <v>Інвестиції у відкриття</v>
      </c>
      <c r="F9" s="18"/>
      <c r="G9" s="18"/>
      <c r="H9" s="18"/>
      <c r="Q9" s="80" t="str">
        <f>"Средняя выручка в месяц за 1-й год работы*, "&amp;CHOOSE('Вхідні дані'!$M$1,'Вхідні дані'!$N$1,'Вхідні дані'!$N$2,'Вхідні дані'!$N$3,'Вхідні дані'!$N$4)&amp;"/мес."</f>
        <v>Средняя выручка в месяц за 1-й год работы*, UAH/мес.</v>
      </c>
      <c r="R9" s="80" t="str">
        <f>"Середня виручка на місяць за 1-й рік роботи*, "&amp;CHOOSE('Вхідні дані'!$M$1,'Вхідні дані'!$N$1,'Вхідні дані'!$N$2,'Вхідні дані'!$N$3,'Вхідні дані'!$N$4)&amp;"/міс."</f>
        <v>Середня виручка на місяць за 1-й рік роботи*, UAH/міс.</v>
      </c>
    </row>
    <row r="10" spans="1:25" ht="34.200000000000003" customHeight="1" x14ac:dyDescent="0.3">
      <c r="A10" s="17"/>
      <c r="B10" s="420" t="str">
        <f>'Вхідні дані'!B42</f>
        <v>Площа закладу</v>
      </c>
      <c r="C10" s="420"/>
      <c r="D10" s="308" t="str">
        <f>CHOOSE($M$1,'Вхідні дані'!C42,'Вхідні дані'!F42,'Вхідні дані'!I42)</f>
        <v>30-40</v>
      </c>
      <c r="E10" s="309" t="str">
        <f>CHOOSE($M$1,'Вхідні дані'!D42,'Вхідні дані'!G42,'Вхідні дані'!J42)</f>
        <v>кв.м.</v>
      </c>
      <c r="Q10" s="80"/>
      <c r="R10" s="80"/>
    </row>
    <row r="11" spans="1:25" ht="42" customHeight="1" x14ac:dyDescent="0.3">
      <c r="A11" s="19"/>
      <c r="B11" s="420" t="str">
        <f>'Вхідні дані'!B44</f>
        <v>Ремонт приміщення</v>
      </c>
      <c r="C11" s="420"/>
      <c r="D11" s="317">
        <f>CHOOSE($M$1,'Вхідні дані'!D44,'Вхідні дані'!G44,'Вхідні дані'!J44)</f>
        <v>205200</v>
      </c>
      <c r="E11" s="317"/>
      <c r="F11" s="317"/>
      <c r="G11" s="317"/>
      <c r="H11" s="317"/>
      <c r="I11" s="20" t="str">
        <f>""&amp;CHOOSE('Вхідні дані'!$M$1,'Вхідні дані'!$N$1,'Вхідні дані'!$N$2,'Вхідні дані'!$N$3,'Вхідні дані'!$N$4)&amp;""</f>
        <v>UAH</v>
      </c>
      <c r="J11" s="21"/>
      <c r="Q11" s="80" t="str">
        <f>"Средняя валовая прибыль в месяц за 1-й год работы (выручка - себестоимость (food cost))*, "&amp;CHOOSE('Вхідні дані'!$M$1,'Вхідні дані'!$N$1,'Вхідні дані'!$N$2,'Вхідні дані'!$N$3,'Вхідні дані'!$N$4)&amp;"/мес."</f>
        <v>Средняя валовая прибыль в месяц за 1-й год работы (выручка - себестоимость (food cost))*, UAH/мес.</v>
      </c>
      <c r="R11" s="80" t="str">
        <f>"Середній валовий прибуток на місяць за 1-й рік роботи (виручка - собівартість (food cost))*, "&amp;CHOOSE('Вхідні дані'!$M$1,'Вхідні дані'!$N$1,'Вхідні дані'!$N$2,'Вхідні дані'!$N$3,'Вхідні дані'!$N$4)&amp;"/міс."</f>
        <v>Середній валовий прибуток на місяць за 1-й рік роботи (виручка - собівартість (food cost))*, UAH/міс.</v>
      </c>
      <c r="S11" s="22"/>
      <c r="T11" s="22"/>
      <c r="U11" s="22"/>
      <c r="V11" s="22"/>
      <c r="W11" s="22"/>
      <c r="X11" s="22"/>
      <c r="Y11" s="22"/>
    </row>
    <row r="12" spans="1:25" ht="42" customHeight="1" x14ac:dyDescent="0.3">
      <c r="A12" s="19"/>
      <c r="B12" s="420" t="str">
        <f>CHOOSE('Вхідні дані'!$S$1,Q14,R14)</f>
        <v>Меблі та обладнання</v>
      </c>
      <c r="C12" s="421"/>
      <c r="D12" s="317">
        <f>CHOOSE($M$1,'Вхідні дані'!D45,'Вхідні дані'!G45,'Вхідні дані'!J45)</f>
        <v>218913</v>
      </c>
      <c r="E12" s="317"/>
      <c r="F12" s="317"/>
      <c r="G12" s="317"/>
      <c r="H12" s="317"/>
      <c r="I12" s="20" t="str">
        <f>""&amp;CHOOSE('Вхідні дані'!$M$1,'Вхідні дані'!$N$1,'Вхідні дані'!$N$2,'Вхідні дані'!$N$3,'Вхідні дані'!$N$4)&amp;""</f>
        <v>UAH</v>
      </c>
      <c r="J12" s="21"/>
      <c r="M12" s="54"/>
      <c r="N12" s="54"/>
      <c r="O12" s="54"/>
      <c r="Q12" s="81" t="s">
        <v>281</v>
      </c>
      <c r="R12" s="81" t="s">
        <v>282</v>
      </c>
      <c r="S12" s="22"/>
      <c r="T12" s="22"/>
      <c r="U12" s="22"/>
      <c r="V12" s="22"/>
      <c r="W12" s="22"/>
      <c r="X12" s="22"/>
      <c r="Y12" s="22"/>
    </row>
    <row r="13" spans="1:25" ht="42" customHeight="1" x14ac:dyDescent="0.3">
      <c r="A13" s="19"/>
      <c r="B13" s="420" t="str">
        <f>CHOOSE('Вхідні дані'!$S$1,Q15,R15)</f>
        <v>Комп'ютери, офісна техніка та каси</v>
      </c>
      <c r="C13" s="421"/>
      <c r="D13" s="317">
        <f>CHOOSE($M$1,'Вхідні дані'!D46,'Вхідні дані'!G46,'Вхідні дані'!J46)</f>
        <v>14020</v>
      </c>
      <c r="E13" s="317"/>
      <c r="F13" s="317"/>
      <c r="G13" s="317"/>
      <c r="H13" s="317"/>
      <c r="I13" s="20" t="str">
        <f>""&amp;CHOOSE('Вхідні дані'!$M$1,'Вхідні дані'!$N$1,'Вхідні дані'!$N$2,'Вхідні дані'!$N$3,'Вхідні дані'!$N$4)&amp;""</f>
        <v>UAH</v>
      </c>
      <c r="J13" s="21"/>
      <c r="M13" s="54"/>
      <c r="N13" s="54"/>
      <c r="O13" s="54"/>
      <c r="Q13" s="122" t="s">
        <v>303</v>
      </c>
      <c r="R13" s="122" t="s">
        <v>304</v>
      </c>
      <c r="S13" s="22"/>
      <c r="T13" s="22"/>
      <c r="U13" s="22"/>
      <c r="V13" s="22"/>
      <c r="W13" s="22"/>
      <c r="X13" s="22"/>
      <c r="Y13" s="22"/>
    </row>
    <row r="14" spans="1:25" ht="42" customHeight="1" x14ac:dyDescent="0.3">
      <c r="A14" s="23"/>
      <c r="B14" s="420" t="str">
        <f>'Вхідні дані'!B47:B47</f>
        <v>Сигналізація (охоронна та пожежна)</v>
      </c>
      <c r="C14" s="421"/>
      <c r="D14" s="317">
        <f>CHOOSE($M$1,'Вхідні дані'!D47,'Вхідні дані'!G47,'Вхідні дані'!J47)</f>
        <v>0</v>
      </c>
      <c r="E14" s="317"/>
      <c r="F14" s="317"/>
      <c r="G14" s="317"/>
      <c r="H14" s="317"/>
      <c r="I14" s="20" t="str">
        <f>""&amp;CHOOSE('Вхідні дані'!$M$1,'Вхідні дані'!$N$1,'Вхідні дані'!$N$2,'Вхідні дані'!$N$3,'Вхідні дані'!$N$4)&amp;""</f>
        <v>UAH</v>
      </c>
      <c r="J14" s="21"/>
      <c r="M14" s="54"/>
      <c r="N14" s="54"/>
      <c r="O14" s="54"/>
      <c r="P14" s="54"/>
      <c r="Q14" s="78" t="s">
        <v>311</v>
      </c>
      <c r="R14" s="78" t="s">
        <v>312</v>
      </c>
      <c r="S14" s="22"/>
      <c r="T14" s="22"/>
      <c r="U14" s="22"/>
      <c r="V14" s="22"/>
      <c r="W14" s="22"/>
      <c r="X14" s="22"/>
      <c r="Y14" s="22"/>
    </row>
    <row r="15" spans="1:25" ht="42" customHeight="1" x14ac:dyDescent="0.3">
      <c r="A15" s="23"/>
      <c r="B15" s="420" t="str">
        <f>'Вхідні дані'!B48:B48</f>
        <v>Відеоспостереження</v>
      </c>
      <c r="C15" s="421"/>
      <c r="D15" s="317">
        <f>CHOOSE($M$1,'Вхідні дані'!D48,'Вхідні дані'!G48,'Вхідні дані'!J48)</f>
        <v>3000</v>
      </c>
      <c r="E15" s="317"/>
      <c r="F15" s="317"/>
      <c r="G15" s="317"/>
      <c r="H15" s="317"/>
      <c r="I15" s="20" t="str">
        <f>""&amp;CHOOSE('Вхідні дані'!$M$1,'Вхідні дані'!$N$1,'Вхідні дані'!$N$2,'Вхідні дані'!$N$3,'Вхідні дані'!$N$4)&amp;""</f>
        <v>UAH</v>
      </c>
      <c r="J15" s="21"/>
      <c r="M15" s="54"/>
      <c r="N15" s="54"/>
      <c r="O15" s="54"/>
      <c r="P15" s="54"/>
      <c r="Q15" s="132" t="s">
        <v>313</v>
      </c>
      <c r="R15" s="132" t="s">
        <v>314</v>
      </c>
      <c r="S15" s="22"/>
      <c r="T15" s="22"/>
      <c r="U15" s="22"/>
      <c r="V15" s="22"/>
      <c r="W15" s="22"/>
      <c r="X15" s="22"/>
      <c r="Y15" s="22"/>
    </row>
    <row r="16" spans="1:25" ht="42" customHeight="1" x14ac:dyDescent="0.3">
      <c r="A16" s="23"/>
      <c r="B16" s="420" t="str">
        <f>'Вхідні дані'!B49:B49</f>
        <v>Первісний закуп товару</v>
      </c>
      <c r="C16" s="421"/>
      <c r="D16" s="317">
        <f>CHOOSE($M$1,'Вхідні дані'!D49,'Вхідні дані'!G49,'Вхідні дані'!J49)</f>
        <v>10000</v>
      </c>
      <c r="E16" s="317"/>
      <c r="F16" s="317"/>
      <c r="G16" s="317"/>
      <c r="H16" s="317"/>
      <c r="I16" s="20" t="str">
        <f>""&amp;CHOOSE('Вхідні дані'!$M$1,'Вхідні дані'!$N$1,'Вхідні дані'!$N$2,'Вхідні дані'!$N$3,'Вхідні дані'!$N$4)&amp;""</f>
        <v>UAH</v>
      </c>
      <c r="J16" s="21"/>
      <c r="M16" s="54"/>
      <c r="N16" s="54"/>
      <c r="O16" s="54"/>
      <c r="P16" s="54"/>
      <c r="Q16" s="122" t="s">
        <v>305</v>
      </c>
      <c r="R16" s="122" t="s">
        <v>306</v>
      </c>
      <c r="S16" s="22"/>
      <c r="T16" s="22"/>
      <c r="U16" s="22"/>
      <c r="V16" s="22"/>
      <c r="W16" s="22"/>
      <c r="X16" s="22"/>
      <c r="Y16" s="22"/>
    </row>
    <row r="17" spans="1:26" ht="42" customHeight="1" x14ac:dyDescent="0.3">
      <c r="A17" s="23"/>
      <c r="B17" s="420" t="str">
        <f>'Вхідні дані'!B50:B50</f>
        <v>Авансовий платіж по оренді</v>
      </c>
      <c r="C17" s="421"/>
      <c r="D17" s="317">
        <f>CHOOSE($M$1,'Вхідні дані'!D50,'Вхідні дані'!G50,'Вхідні дані'!J50)</f>
        <v>0</v>
      </c>
      <c r="E17" s="317"/>
      <c r="F17" s="317"/>
      <c r="G17" s="317"/>
      <c r="H17" s="317"/>
      <c r="I17" s="20" t="str">
        <f>""&amp;CHOOSE('Вхідні дані'!$M$1,'Вхідні дані'!$N$1,'Вхідні дані'!$N$2,'Вхідні дані'!$N$3,'Вхідні дані'!$N$4)&amp;""</f>
        <v>UAH</v>
      </c>
      <c r="J17" s="21"/>
      <c r="M17" s="54"/>
      <c r="N17" s="54"/>
      <c r="O17" s="54"/>
      <c r="P17" s="54"/>
      <c r="S17" s="22"/>
      <c r="T17" s="22"/>
      <c r="U17" s="22"/>
      <c r="V17" s="22"/>
      <c r="W17" s="22"/>
      <c r="X17" s="22"/>
      <c r="Y17" s="22"/>
    </row>
    <row r="18" spans="1:26" ht="42" customHeight="1" x14ac:dyDescent="0.3">
      <c r="A18" s="19"/>
      <c r="B18" s="420" t="str">
        <f>'Вхідні дані'!B51:B51</f>
        <v>Рекламна кампанія</v>
      </c>
      <c r="C18" s="421"/>
      <c r="D18" s="317">
        <f>CHOOSE($M$1,'Вхідні дані'!D51,'Вхідні дані'!G51,'Вхідні дані'!J51)</f>
        <v>0</v>
      </c>
      <c r="E18" s="317"/>
      <c r="F18" s="317"/>
      <c r="G18" s="317"/>
      <c r="H18" s="317"/>
      <c r="I18" s="20" t="str">
        <f>""&amp;CHOOSE('Вхідні дані'!$M$1,'Вхідні дані'!$N$1,'Вхідні дані'!$N$2,'Вхідні дані'!$N$3,'Вхідні дані'!$N$4)&amp;""</f>
        <v>UAH</v>
      </c>
      <c r="J18" s="21"/>
      <c r="M18" s="54"/>
      <c r="N18" s="54"/>
      <c r="O18" s="54"/>
      <c r="S18" s="22"/>
      <c r="T18" s="22"/>
      <c r="U18" s="22"/>
      <c r="V18" s="22"/>
      <c r="W18" s="22"/>
      <c r="X18" s="22"/>
      <c r="Y18" s="22"/>
    </row>
    <row r="19" spans="1:26" ht="42" customHeight="1" x14ac:dyDescent="0.3">
      <c r="A19" s="19"/>
      <c r="B19" s="420" t="str">
        <f>CHOOSE('Вхідні дані'!$S$1,Q19,R19)</f>
        <v>Паушальний внесок</v>
      </c>
      <c r="C19" s="421"/>
      <c r="D19" s="317">
        <f>CHOOSE($M$1,'Вхідні дані'!D52,'Вхідні дані'!G52,'Вхідні дані'!J52)</f>
        <v>81000</v>
      </c>
      <c r="E19" s="317"/>
      <c r="F19" s="317"/>
      <c r="G19" s="317"/>
      <c r="H19" s="317"/>
      <c r="I19" s="20" t="str">
        <f>""&amp;CHOOSE('Вхідні дані'!$M$1,'Вхідні дані'!$N$1,'Вхідні дані'!$N$2,'Вхідні дані'!$N$3,'Вхідні дані'!$N$4)&amp;""</f>
        <v>UAH</v>
      </c>
      <c r="J19" s="21"/>
      <c r="M19" s="54"/>
      <c r="N19" s="54"/>
      <c r="O19" s="54"/>
      <c r="P19" s="54"/>
      <c r="Q19" s="78" t="s">
        <v>19</v>
      </c>
      <c r="R19" s="78" t="s">
        <v>167</v>
      </c>
      <c r="S19" s="22"/>
      <c r="T19" s="22"/>
      <c r="U19" s="22"/>
      <c r="V19" s="22"/>
      <c r="W19" s="22"/>
      <c r="X19" s="22"/>
      <c r="Y19" s="22"/>
    </row>
    <row r="20" spans="1:26" ht="42" customHeight="1" x14ac:dyDescent="0.3">
      <c r="A20" s="19"/>
      <c r="B20" s="420" t="str">
        <f>'Вхідні дані'!B53:B53</f>
        <v>Інше</v>
      </c>
      <c r="C20" s="421"/>
      <c r="D20" s="317">
        <f>CHOOSE($M$1,'Вхідні дані'!D53,'Вхідні дані'!G53,'Вхідні дані'!J53)</f>
        <v>0</v>
      </c>
      <c r="E20" s="317"/>
      <c r="F20" s="317"/>
      <c r="G20" s="317"/>
      <c r="H20" s="317"/>
      <c r="I20" s="20" t="str">
        <f>""&amp;CHOOSE('Вхідні дані'!$M$1,'Вхідні дані'!$N$1,'Вхідні дані'!$N$2,'Вхідні дані'!$N$3,'Вхідні дані'!$N$4)&amp;""</f>
        <v>UAH</v>
      </c>
      <c r="J20" s="21"/>
      <c r="M20" s="54"/>
      <c r="N20" s="54"/>
      <c r="O20" s="54"/>
      <c r="P20" s="54"/>
      <c r="S20" s="22"/>
      <c r="T20" s="22"/>
      <c r="U20" s="22"/>
      <c r="V20" s="22"/>
      <c r="W20" s="22"/>
      <c r="X20" s="22"/>
      <c r="Y20" s="22"/>
    </row>
    <row r="21" spans="1:26" ht="42" customHeight="1" x14ac:dyDescent="0.3">
      <c r="A21" s="19"/>
      <c r="B21" s="420" t="str">
        <f>'Вхідні дані'!B54:B54</f>
        <v>Разом:</v>
      </c>
      <c r="C21" s="421"/>
      <c r="D21" s="428">
        <f>SUM(D11:H20)</f>
        <v>532133</v>
      </c>
      <c r="E21" s="428"/>
      <c r="F21" s="428"/>
      <c r="G21" s="428"/>
      <c r="H21" s="428"/>
      <c r="I21" s="20" t="str">
        <f>""&amp;CHOOSE('Вхідні дані'!$M$1,'Вхідні дані'!$N$1,'Вхідні дані'!$N$2,'Вхідні дані'!$N$3,'Вхідні дані'!$N$4)&amp;""</f>
        <v>UAH</v>
      </c>
      <c r="J21" s="21"/>
      <c r="K21" s="60"/>
      <c r="M21" s="54"/>
      <c r="O21" s="54"/>
      <c r="P21" s="54"/>
      <c r="S21" s="22"/>
      <c r="T21" s="22"/>
      <c r="U21" s="22"/>
      <c r="V21" s="22"/>
      <c r="W21" s="22"/>
      <c r="X21" s="22"/>
      <c r="Y21" s="22"/>
    </row>
    <row r="22" spans="1:26" ht="34.200000000000003" customHeight="1" x14ac:dyDescent="0.35">
      <c r="A22" s="429"/>
      <c r="B22" s="429"/>
      <c r="C22" s="429"/>
      <c r="D22" s="429"/>
      <c r="E22" s="429"/>
      <c r="F22" s="429"/>
      <c r="G22" s="429"/>
      <c r="H22" s="429"/>
      <c r="I22" s="429"/>
      <c r="J22" s="21"/>
      <c r="M22" s="54"/>
      <c r="O22" s="54"/>
      <c r="P22" s="54"/>
      <c r="S22" s="22"/>
      <c r="T22" s="22"/>
      <c r="U22" s="22"/>
      <c r="V22" s="22"/>
      <c r="W22" s="22"/>
      <c r="X22" s="22"/>
      <c r="Y22" s="22"/>
    </row>
    <row r="23" spans="1:26" ht="34.200000000000003" customHeight="1" x14ac:dyDescent="0.35">
      <c r="A23" s="10" t="s">
        <v>58</v>
      </c>
      <c r="B23" s="24"/>
      <c r="C23" s="24"/>
      <c r="D23" s="24"/>
      <c r="E23" s="24"/>
      <c r="F23" s="24"/>
      <c r="G23" s="24"/>
      <c r="H23" s="24"/>
      <c r="I23" s="24"/>
      <c r="J23" s="21"/>
      <c r="M23" s="54"/>
      <c r="O23" s="54"/>
      <c r="P23" s="54"/>
      <c r="S23" s="22"/>
      <c r="T23" s="22"/>
      <c r="U23" s="22"/>
      <c r="V23" s="22"/>
      <c r="W23" s="22"/>
      <c r="X23" s="22"/>
      <c r="Y23" s="22"/>
    </row>
    <row r="24" spans="1:26" ht="67.95" customHeight="1" x14ac:dyDescent="0.3">
      <c r="A24" s="423" t="str">
        <f>'Вхідні дані'!A66</f>
        <v>Посадові одиниці</v>
      </c>
      <c r="B24" s="423"/>
      <c r="C24" s="423"/>
      <c r="D24" s="297" t="str">
        <f>'Вхідні дані'!E66</f>
        <v>Загальна кількість співробітників, чол.</v>
      </c>
      <c r="E24" s="423" t="str">
        <f>CHOOSE('Вхідні дані'!$S$1,Q24,R24)</f>
        <v>Фіксований оклад на день, UAH/день</v>
      </c>
      <c r="F24" s="423"/>
      <c r="G24" s="423" t="str">
        <f>'Вхідні дані'!J66</f>
        <v>Базовий розмір бонусу для всіх співробітників, % від бази нарахування*</v>
      </c>
      <c r="H24" s="423"/>
      <c r="I24" s="297" t="str">
        <f>'Вхідні дані'!K66</f>
        <v xml:space="preserve"> * - База нарахування бонусу</v>
      </c>
      <c r="K24" s="61"/>
      <c r="N24" s="54"/>
      <c r="P24" s="54" t="str">
        <f>'Вхідні дані'!G58</f>
        <v>Кількість змін на місяць, од./міс.</v>
      </c>
      <c r="Q24" s="80" t="str">
        <f>"Фиксированный оклад в день, "&amp;CHOOSE('Вхідні дані'!$M$1,'Вхідні дані'!$N$1,'Вхідні дані'!$N$2,'Вхідні дані'!$N$3,'Вхідні дані'!$N$4)&amp;"/день"</f>
        <v>Фиксированный оклад в день, UAH/день</v>
      </c>
      <c r="R24" s="80" t="str">
        <f>"Фіксований оклад на день, "&amp;CHOOSE('Вхідні дані'!$M$1,'Вхідні дані'!$N$1,'Вхідні дані'!$N$2,'Вхідні дані'!$N$3,'Вхідні дані'!$N$4)&amp;"/день"</f>
        <v>Фіксований оклад на день, UAH/день</v>
      </c>
      <c r="S24" s="22"/>
      <c r="T24" s="22"/>
      <c r="U24" s="22"/>
      <c r="V24" s="22"/>
      <c r="W24" s="22"/>
      <c r="X24" s="22"/>
      <c r="Y24" s="22"/>
      <c r="Z24" s="22"/>
    </row>
    <row r="25" spans="1:26" s="12" customFormat="1" ht="40.049999999999997" customHeight="1" x14ac:dyDescent="0.3">
      <c r="A25" s="398" t="str">
        <f>CHOOSE($M$1,'Вхідні дані'!T60,'Вхідні дані'!T68,'Вхідні дані'!T76)</f>
        <v>Продавець</v>
      </c>
      <c r="B25" s="398"/>
      <c r="C25" s="398"/>
      <c r="D25" s="128">
        <f>CHOOSE($M$1,'Вхідні дані'!E60,'Вхідні дані'!E68,'Вхідні дані'!E76)</f>
        <v>2</v>
      </c>
      <c r="E25" s="399">
        <f>CHOOSE($M$1,'Вхідні дані'!R60,'Вхідні дані'!R68,'Вхідні дані'!R76)</f>
        <v>400</v>
      </c>
      <c r="F25" s="399"/>
      <c r="G25" s="433">
        <f>CHOOSE($M$1,'Вхідні дані'!J60,'Вхідні дані'!J68,'Вхідні дані'!J76)</f>
        <v>0</v>
      </c>
      <c r="H25" s="433"/>
      <c r="I25" s="333" t="str">
        <f>CHOOSE($M$1,'Вхідні дані'!K60,'Вхідні дані'!K68,'Вхідні дані'!K76)</f>
        <v>загальна виручка</v>
      </c>
      <c r="K25" s="61"/>
      <c r="L25" s="59"/>
      <c r="M25" s="62"/>
      <c r="N25" s="63"/>
      <c r="O25" s="59"/>
      <c r="P25" s="54">
        <f>IF(CHOOSE($M$1,'Вхідні дані'!G60,'Вхідні дані'!G68,'Вхідні дані'!G76)=0,1,CHOOSE($M$1,'Вхідні дані'!G60,'Вхідні дані'!G68,'Вхідні дані'!G76))</f>
        <v>2</v>
      </c>
      <c r="S25" s="25"/>
      <c r="T25" s="25"/>
      <c r="U25" s="25"/>
      <c r="V25" s="25"/>
      <c r="W25" s="25"/>
      <c r="X25" s="25"/>
      <c r="Y25" s="25"/>
      <c r="Z25" s="25"/>
    </row>
    <row r="26" spans="1:26" s="12" customFormat="1" ht="40.049999999999997" customHeight="1" x14ac:dyDescent="0.3">
      <c r="A26" s="398" t="str">
        <f>CHOOSE($M$1,'Вхідні дані'!T61,'Вхідні дані'!T69,'Вхідні дані'!T77)</f>
        <v>Пекар</v>
      </c>
      <c r="B26" s="398"/>
      <c r="C26" s="398"/>
      <c r="D26" s="128">
        <f>CHOOSE($M$1,'Вхідні дані'!E61,'Вхідні дані'!E69,'Вхідні дані'!E77)</f>
        <v>4</v>
      </c>
      <c r="E26" s="399">
        <f>CHOOSE($M$1,'Вхідні дані'!R61,'Вхідні дані'!R69,'Вхідні дані'!R77)</f>
        <v>450</v>
      </c>
      <c r="F26" s="399"/>
      <c r="G26" s="433"/>
      <c r="H26" s="433"/>
      <c r="I26" s="333"/>
      <c r="K26" s="61"/>
      <c r="L26" s="59"/>
      <c r="M26" s="62"/>
      <c r="N26" s="63"/>
      <c r="O26" s="59"/>
      <c r="P26" s="54">
        <f>IF(CHOOSE($M$1,'Вхідні дані'!G61,'Вхідні дані'!G69,'Вхідні дані'!G77)=0,1,CHOOSE($M$1,'Вхідні дані'!G61,'Вхідні дані'!G69,'Вхідні дані'!G77))</f>
        <v>2</v>
      </c>
      <c r="S26" s="25"/>
      <c r="T26" s="25"/>
      <c r="U26" s="25"/>
      <c r="V26" s="25"/>
      <c r="W26" s="25"/>
      <c r="X26" s="25"/>
      <c r="Y26" s="25"/>
      <c r="Z26" s="25"/>
    </row>
    <row r="27" spans="1:26" s="12" customFormat="1" ht="40.049999999999997" customHeight="1" x14ac:dyDescent="0.3">
      <c r="A27" s="398">
        <f>CHOOSE($M$1,'Вхідні дані'!T62,'Вхідні дані'!T70,'Вхідні дані'!T78)</f>
        <v>0</v>
      </c>
      <c r="B27" s="398"/>
      <c r="C27" s="398"/>
      <c r="D27" s="128">
        <f>CHOOSE($M$1,'Вхідні дані'!E62,'Вхідні дані'!E70,'Вхідні дані'!E78)</f>
        <v>0</v>
      </c>
      <c r="E27" s="399">
        <f>CHOOSE($M$1,'Вхідні дані'!R62,'Вхідні дані'!R70,'Вхідні дані'!R78)</f>
        <v>0</v>
      </c>
      <c r="F27" s="399"/>
      <c r="G27" s="433"/>
      <c r="H27" s="433"/>
      <c r="I27" s="333"/>
      <c r="K27" s="61"/>
      <c r="L27" s="59"/>
      <c r="M27" s="62"/>
      <c r="N27" s="63"/>
      <c r="O27" s="59"/>
      <c r="P27" s="54">
        <f>IF(CHOOSE($M$1,'Вхідні дані'!G62,'Вхідні дані'!G70,'Вхідні дані'!G78)=0,1,CHOOSE($M$1,'Вхідні дані'!G62,'Вхідні дані'!G70,'Вхідні дані'!G78))</f>
        <v>1</v>
      </c>
      <c r="Q27" s="80"/>
      <c r="R27" s="80"/>
      <c r="S27" s="25"/>
      <c r="T27" s="25"/>
      <c r="U27" s="25"/>
      <c r="V27" s="25"/>
      <c r="W27" s="25"/>
      <c r="X27" s="25"/>
      <c r="Y27" s="25"/>
      <c r="Z27" s="25"/>
    </row>
    <row r="28" spans="1:26" s="12" customFormat="1" ht="40.049999999999997" customHeight="1" x14ac:dyDescent="0.3">
      <c r="A28" s="397" t="str">
        <f>B21</f>
        <v>Разом:</v>
      </c>
      <c r="B28" s="398"/>
      <c r="C28" s="398"/>
      <c r="D28" s="128">
        <f>SUM(D25:D27)</f>
        <v>6</v>
      </c>
      <c r="E28" s="399"/>
      <c r="F28" s="399"/>
      <c r="G28" s="400"/>
      <c r="H28" s="401"/>
      <c r="I28" s="295"/>
      <c r="K28" s="61"/>
      <c r="L28" s="59"/>
      <c r="M28" s="62"/>
      <c r="N28" s="63"/>
      <c r="O28" s="59"/>
      <c r="P28" s="63"/>
      <c r="Q28" s="80"/>
      <c r="R28" s="80"/>
      <c r="S28" s="25"/>
      <c r="T28" s="25"/>
      <c r="U28" s="25"/>
      <c r="V28" s="25"/>
      <c r="W28" s="25"/>
      <c r="X28" s="25"/>
      <c r="Y28" s="25"/>
      <c r="Z28" s="25"/>
    </row>
    <row r="29" spans="1:26" ht="34.200000000000003" customHeight="1" x14ac:dyDescent="0.35">
      <c r="A29" s="422"/>
      <c r="B29" s="422"/>
      <c r="C29" s="422"/>
      <c r="D29" s="422"/>
      <c r="E29" s="422"/>
      <c r="F29" s="422"/>
      <c r="G29" s="422"/>
      <c r="H29" s="422"/>
      <c r="I29" s="422"/>
      <c r="J29" s="21"/>
      <c r="M29" s="54"/>
      <c r="N29" s="54"/>
      <c r="O29" s="54"/>
      <c r="P29" s="54"/>
      <c r="Q29" s="80" t="s">
        <v>62</v>
      </c>
      <c r="R29" s="80" t="s">
        <v>199</v>
      </c>
      <c r="S29" s="22"/>
      <c r="T29" s="22"/>
      <c r="U29" s="22"/>
      <c r="V29" s="22"/>
      <c r="W29" s="22"/>
      <c r="X29" s="22"/>
      <c r="Y29" s="22"/>
    </row>
    <row r="30" spans="1:26" ht="34.200000000000003" customHeight="1" x14ac:dyDescent="0.3">
      <c r="A30" s="10" t="str">
        <f>'Вхідні дані'!A81</f>
        <v>Поточні витрати</v>
      </c>
      <c r="K30" s="59"/>
      <c r="Q30" s="80" t="s">
        <v>70</v>
      </c>
      <c r="R30" s="80" t="s">
        <v>200</v>
      </c>
    </row>
    <row r="31" spans="1:26" ht="42.75" customHeight="1" x14ac:dyDescent="0.3">
      <c r="A31" s="10"/>
      <c r="D31" s="425" t="str">
        <f>CHOOSE('Вхідні дані'!$S$1,Q29,R29)</f>
        <v>Питома вага в обсязі виручки за 1-й рік роботи</v>
      </c>
      <c r="E31" s="425"/>
      <c r="G31" s="425" t="str">
        <f>CHOOSE('Вхідні дані'!$S$1,Q30,R30)</f>
        <v>Середньомісячна сума витрат за 1-й рік роботи</v>
      </c>
      <c r="H31" s="425"/>
      <c r="I31" s="26"/>
      <c r="K31" s="59"/>
      <c r="Q31" s="80" t="str">
        <f>""&amp;CHOOSE('Вхідні дані'!$M$1,'Вхідні дані'!$N$1,'Вхідні дані'!$N$2,'Вхідні дані'!$N$3,'Вхідні дані'!$N$4)&amp;"/мес."</f>
        <v>UAH/мес.</v>
      </c>
      <c r="R31" s="80" t="str">
        <f>""&amp;CHOOSE('Вхідні дані'!$M$1,'Вхідні дані'!$N$1,'Вхідні дані'!$N$2,'Вхідні дані'!$N$3,'Вхідні дані'!$N$4)&amp;"/міс."</f>
        <v>UAH/міс.</v>
      </c>
    </row>
    <row r="32" spans="1:26" ht="42" customHeight="1" x14ac:dyDescent="0.3">
      <c r="A32" s="11"/>
      <c r="B32" s="420" t="str">
        <f>CHOOSE('Вхідні дані'!$S$1,Q32,R32)</f>
        <v>Собівартість (food cost)</v>
      </c>
      <c r="C32" s="421"/>
      <c r="D32" s="404">
        <f>G32/'Детальний розрахунок'!$Q$18</f>
        <v>0.4</v>
      </c>
      <c r="E32" s="404"/>
      <c r="G32" s="405">
        <f>'Детальний розрахунок'!Q22</f>
        <v>89700</v>
      </c>
      <c r="H32" s="406"/>
      <c r="I32" s="27" t="str">
        <f>CHOOSE('Вхідні дані'!$S$1,$Q$31,$R$31)</f>
        <v>UAH/міс.</v>
      </c>
      <c r="Q32" s="80" t="s">
        <v>324</v>
      </c>
      <c r="R32" s="80" t="s">
        <v>325</v>
      </c>
    </row>
    <row r="33" spans="1:26" ht="42" customHeight="1" x14ac:dyDescent="0.3">
      <c r="A33" s="11"/>
      <c r="B33" s="420" t="str">
        <f>CHOOSE('Вхідні дані'!$S$1,Q33,R33)</f>
        <v>Зарплата персоналу</v>
      </c>
      <c r="C33" s="421"/>
      <c r="D33" s="404">
        <f>G33/'Детальний розрахунок'!$Q$18</f>
        <v>0.17632850241545892</v>
      </c>
      <c r="E33" s="404"/>
      <c r="G33" s="405">
        <f>'Детальний розрахунок'!Q40</f>
        <v>39541.666666666664</v>
      </c>
      <c r="H33" s="406"/>
      <c r="I33" s="27" t="str">
        <f>CHOOSE('Вхідні дані'!$S$1,$Q$31,$R$31)</f>
        <v>UAH/міс.</v>
      </c>
      <c r="Q33" s="80" t="s">
        <v>41</v>
      </c>
      <c r="R33" s="80" t="s">
        <v>198</v>
      </c>
    </row>
    <row r="34" spans="1:26" ht="42" customHeight="1" x14ac:dyDescent="0.3">
      <c r="A34" s="28"/>
      <c r="B34" s="431" t="str">
        <f>CHOOSE('Вхідні дані'!$S$1,Q34,R34)</f>
        <v>Роялті</v>
      </c>
      <c r="C34" s="432"/>
      <c r="D34" s="404">
        <f>G34/'Детальний розрахунок'!$Q$18</f>
        <v>0.03</v>
      </c>
      <c r="E34" s="404"/>
      <c r="G34" s="405">
        <f>'Детальний розрахунок'!Q41</f>
        <v>6727.5</v>
      </c>
      <c r="H34" s="406"/>
      <c r="I34" s="27" t="str">
        <f>CHOOSE('Вхідні дані'!$S$1,$Q$31,$R$31)</f>
        <v>UAH/міс.</v>
      </c>
      <c r="Q34" s="6" t="s">
        <v>69</v>
      </c>
      <c r="R34" s="6" t="s">
        <v>178</v>
      </c>
    </row>
    <row r="35" spans="1:26" ht="42" customHeight="1" x14ac:dyDescent="0.3">
      <c r="A35" s="28"/>
      <c r="B35" s="431" t="str">
        <f>CHOOSE('Вхідні дані'!$S$1,Q35,R35)</f>
        <v>Маркетингові відрахування</v>
      </c>
      <c r="C35" s="432"/>
      <c r="D35" s="404">
        <f>G35/'Детальний розрахунок'!$Q$18</f>
        <v>0</v>
      </c>
      <c r="E35" s="404"/>
      <c r="G35" s="405">
        <f>'Детальний розрахунок'!Q42</f>
        <v>0</v>
      </c>
      <c r="H35" s="406"/>
      <c r="I35" s="27" t="str">
        <f>CHOOSE('Вхідні дані'!$S$1,$Q$31,$R$31)</f>
        <v>UAH/міс.</v>
      </c>
      <c r="Q35" s="78" t="s">
        <v>267</v>
      </c>
      <c r="R35" s="78" t="s">
        <v>268</v>
      </c>
    </row>
    <row r="36" spans="1:26" ht="42" customHeight="1" x14ac:dyDescent="0.3">
      <c r="A36" s="19"/>
      <c r="B36" s="402" t="str">
        <f>'Вхідні дані'!B89</f>
        <v>Оренда</v>
      </c>
      <c r="C36" s="403"/>
      <c r="D36" s="404">
        <f>G36/'Детальний розрахунок'!$Q$18</f>
        <v>7.58082497212932E-2</v>
      </c>
      <c r="E36" s="404"/>
      <c r="G36" s="405">
        <f>'Детальний розрахунок'!Q43</f>
        <v>17000</v>
      </c>
      <c r="H36" s="406"/>
      <c r="I36" s="27" t="str">
        <f>CHOOSE('Вхідні дані'!$S$1,$Q$31,$R$31)</f>
        <v>UAH/міс.</v>
      </c>
      <c r="J36" s="29"/>
      <c r="K36" s="64"/>
      <c r="N36" s="54"/>
      <c r="O36" s="54"/>
      <c r="P36" s="54"/>
      <c r="Q36" s="80" t="s">
        <v>4</v>
      </c>
      <c r="R36" s="80" t="s">
        <v>201</v>
      </c>
      <c r="S36" s="22"/>
      <c r="T36" s="22"/>
      <c r="U36" s="22"/>
      <c r="V36" s="22"/>
      <c r="W36" s="22"/>
      <c r="X36" s="22"/>
      <c r="Y36" s="22"/>
      <c r="Z36" s="22"/>
    </row>
    <row r="37" spans="1:26" ht="42" customHeight="1" x14ac:dyDescent="0.3">
      <c r="A37" s="19"/>
      <c r="B37" s="402" t="str">
        <f>'Вхідні дані'!B90</f>
        <v>Комунальні платежі</v>
      </c>
      <c r="C37" s="403"/>
      <c r="D37" s="404">
        <f>G37/'Детальний розрахунок'!$Q$18</f>
        <v>1.7837235228539576E-2</v>
      </c>
      <c r="E37" s="404"/>
      <c r="G37" s="405">
        <f>'Детальний розрахунок'!Q44</f>
        <v>4000</v>
      </c>
      <c r="H37" s="406"/>
      <c r="I37" s="27" t="str">
        <f>CHOOSE('Вхідні дані'!$S$1,$Q$31,$R$31)</f>
        <v>UAH/міс.</v>
      </c>
      <c r="J37" s="29"/>
      <c r="K37" s="64"/>
      <c r="N37" s="54"/>
      <c r="O37" s="54"/>
      <c r="P37" s="54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42" customHeight="1" x14ac:dyDescent="0.3">
      <c r="A38" s="11"/>
      <c r="B38" s="402" t="str">
        <f>'Вхідні дані'!B91</f>
        <v>Господарські потреби</v>
      </c>
      <c r="C38" s="403"/>
      <c r="D38" s="404">
        <f>G38/'Детальний розрахунок'!$Q$18</f>
        <v>2.229654403567447E-3</v>
      </c>
      <c r="E38" s="404"/>
      <c r="G38" s="405">
        <f>'Детальний розрахунок'!Q45</f>
        <v>500</v>
      </c>
      <c r="H38" s="406"/>
      <c r="I38" s="27" t="str">
        <f>CHOOSE('Вхідні дані'!$S$1,$Q$31,$R$31)</f>
        <v>UAH/міс.</v>
      </c>
    </row>
    <row r="39" spans="1:26" ht="42" customHeight="1" x14ac:dyDescent="0.3">
      <c r="A39" s="11"/>
      <c r="B39" s="402" t="str">
        <f>'Вхідні дані'!B92</f>
        <v>Списання</v>
      </c>
      <c r="C39" s="403"/>
      <c r="D39" s="404">
        <f>G39/'Детальний розрахунок'!$Q$18</f>
        <v>3.0000000000000001E-3</v>
      </c>
      <c r="E39" s="404"/>
      <c r="G39" s="405">
        <f>'Детальний розрахунок'!Q46</f>
        <v>672.75</v>
      </c>
      <c r="H39" s="406"/>
      <c r="I39" s="27" t="str">
        <f>CHOOSE('Вхідні дані'!$S$1,$Q$31,$R$31)</f>
        <v>UAH/міс.</v>
      </c>
    </row>
    <row r="40" spans="1:26" ht="42" customHeight="1" x14ac:dyDescent="0.3">
      <c r="A40" s="11"/>
      <c r="B40" s="402" t="str">
        <f>'Вхідні дані'!B93</f>
        <v>Харчування персоналу</v>
      </c>
      <c r="C40" s="403"/>
      <c r="D40" s="404">
        <f>G40/'Детальний розрахунок'!$Q$18</f>
        <v>0</v>
      </c>
      <c r="E40" s="404"/>
      <c r="G40" s="405">
        <f>'Детальний розрахунок'!Q47</f>
        <v>0</v>
      </c>
      <c r="H40" s="406"/>
      <c r="I40" s="27" t="str">
        <f>CHOOSE('Вхідні дані'!$S$1,$Q$31,$R$31)</f>
        <v>UAH/міс.</v>
      </c>
    </row>
    <row r="41" spans="1:26" ht="42" customHeight="1" x14ac:dyDescent="0.3">
      <c r="A41" s="19"/>
      <c r="B41" s="402" t="str">
        <f>'Вхідні дані'!B94</f>
        <v>Транспортні витрати</v>
      </c>
      <c r="C41" s="403"/>
      <c r="D41" s="404">
        <f>G41/'Детальний розрахунок'!$Q$18</f>
        <v>0</v>
      </c>
      <c r="E41" s="404"/>
      <c r="G41" s="405">
        <f>'Детальний розрахунок'!Q48</f>
        <v>0</v>
      </c>
      <c r="H41" s="406"/>
      <c r="I41" s="27" t="str">
        <f>CHOOSE('Вхідні дані'!$S$1,$Q$31,$R$31)</f>
        <v>UAH/міс.</v>
      </c>
    </row>
    <row r="42" spans="1:26" ht="42" customHeight="1" x14ac:dyDescent="0.3">
      <c r="A42" s="11"/>
      <c r="B42" s="431" t="str">
        <f>CHOOSE('Вхідні дані'!$S$1,Q42,R42)</f>
        <v>Сервісне обслуговування техніки та обладнання</v>
      </c>
      <c r="C42" s="432"/>
      <c r="D42" s="404">
        <f>G42/'Детальний розрахунок'!$Q$18</f>
        <v>0</v>
      </c>
      <c r="E42" s="404"/>
      <c r="G42" s="405">
        <f>'Детальний розрахунок'!Q49</f>
        <v>0</v>
      </c>
      <c r="H42" s="406"/>
      <c r="I42" s="27" t="str">
        <f>CHOOSE('Вхідні дані'!$S$1,$Q$31,$R$31)</f>
        <v>UAH/міс.</v>
      </c>
      <c r="Q42" s="78" t="s">
        <v>188</v>
      </c>
      <c r="R42" s="78" t="s">
        <v>266</v>
      </c>
    </row>
    <row r="43" spans="1:26" ht="42" customHeight="1" x14ac:dyDescent="0.3">
      <c r="A43" s="11"/>
      <c r="B43" s="402" t="str">
        <f>CHOOSE('Вхідні дані'!$S$1,Q43,R43)</f>
        <v>Уніформа персоналу</v>
      </c>
      <c r="C43" s="403"/>
      <c r="D43" s="404">
        <f>G43/'Детальний розрахунок'!$Q$18</f>
        <v>0</v>
      </c>
      <c r="E43" s="404"/>
      <c r="G43" s="405">
        <f>'Детальний розрахунок'!Q50</f>
        <v>0</v>
      </c>
      <c r="H43" s="406"/>
      <c r="I43" s="27" t="str">
        <f>CHOOSE('Вхідні дані'!$S$1,$Q$31,$R$31)</f>
        <v>UAH/міс.</v>
      </c>
      <c r="Q43" s="78" t="s">
        <v>102</v>
      </c>
      <c r="R43" s="78" t="s">
        <v>202</v>
      </c>
    </row>
    <row r="44" spans="1:26" ht="42" customHeight="1" x14ac:dyDescent="0.3">
      <c r="A44" s="11"/>
      <c r="B44" s="402" t="str">
        <f>'Вхідні дані'!B97</f>
        <v>Охорона</v>
      </c>
      <c r="C44" s="403"/>
      <c r="D44" s="404">
        <f>G44/'Детальний розрахунок'!$Q$18</f>
        <v>0</v>
      </c>
      <c r="E44" s="404"/>
      <c r="G44" s="405">
        <f>'Детальний розрахунок'!Q51</f>
        <v>0</v>
      </c>
      <c r="H44" s="406"/>
      <c r="I44" s="27" t="str">
        <f>CHOOSE('Вхідні дані'!$S$1,$Q$31,$R$31)</f>
        <v>UAH/міс.</v>
      </c>
    </row>
    <row r="45" spans="1:26" ht="42" customHeight="1" x14ac:dyDescent="0.3">
      <c r="A45" s="11"/>
      <c r="B45" s="402" t="str">
        <f>'Вхідні дані'!B98</f>
        <v>Послуги зв'язку та інтернет</v>
      </c>
      <c r="C45" s="403"/>
      <c r="D45" s="404">
        <f>G45/'Детальний розрахунок'!$Q$18</f>
        <v>8.9186176142697885E-4</v>
      </c>
      <c r="E45" s="404"/>
      <c r="G45" s="405">
        <f>'Детальний розрахунок'!Q52</f>
        <v>200</v>
      </c>
      <c r="H45" s="406"/>
      <c r="I45" s="27" t="str">
        <f>CHOOSE('Вхідні дані'!$S$1,$Q$31,$R$31)</f>
        <v>UAH/міс.</v>
      </c>
    </row>
    <row r="46" spans="1:26" ht="42" customHeight="1" x14ac:dyDescent="0.3">
      <c r="A46" s="11"/>
      <c r="B46" s="402" t="str">
        <f>'Вхідні дані'!B99</f>
        <v>Ведення бухгалтерського обліку</v>
      </c>
      <c r="C46" s="403"/>
      <c r="D46" s="404">
        <f>G46/'Детальний розрахунок'!$Q$18</f>
        <v>3.3444816053511705E-3</v>
      </c>
      <c r="E46" s="404"/>
      <c r="G46" s="405">
        <f>'Детальний розрахунок'!Q53</f>
        <v>750</v>
      </c>
      <c r="H46" s="406"/>
      <c r="I46" s="27" t="str">
        <f>CHOOSE('Вхідні дані'!$S$1,$Q$31,$R$31)</f>
        <v>UAH/міс.</v>
      </c>
    </row>
    <row r="47" spans="1:26" ht="42" customHeight="1" x14ac:dyDescent="0.3">
      <c r="A47" s="11"/>
      <c r="B47" s="402" t="str">
        <f>'Вхідні дані'!B100</f>
        <v>Локальна реклама</v>
      </c>
      <c r="C47" s="403"/>
      <c r="D47" s="404">
        <f>G47/'Детальний розрахунок'!$Q$18</f>
        <v>0</v>
      </c>
      <c r="E47" s="404"/>
      <c r="G47" s="405">
        <f>'Детальний розрахунок'!Q54</f>
        <v>0</v>
      </c>
      <c r="H47" s="406"/>
      <c r="I47" s="27" t="str">
        <f>CHOOSE('Вхідні дані'!$S$1,$Q$31,$R$31)</f>
        <v>UAH/міс.</v>
      </c>
      <c r="M47" s="60"/>
      <c r="Q47" s="80" t="s">
        <v>83</v>
      </c>
      <c r="R47" s="80" t="s">
        <v>278</v>
      </c>
    </row>
    <row r="48" spans="1:26" ht="42" customHeight="1" x14ac:dyDescent="0.3">
      <c r="A48" s="11"/>
      <c r="B48" s="402" t="str">
        <f>'Вхідні дані'!B101</f>
        <v>Інше</v>
      </c>
      <c r="C48" s="403"/>
      <c r="D48" s="404">
        <f>G48/'Детальний розрахунок'!$Q$18</f>
        <v>0</v>
      </c>
      <c r="E48" s="404"/>
      <c r="G48" s="405">
        <f>'Детальний розрахунок'!Q55</f>
        <v>0</v>
      </c>
      <c r="H48" s="406"/>
      <c r="I48" s="27" t="str">
        <f>CHOOSE('Вхідні дані'!$S$1,$Q$31,$R$31)</f>
        <v>UAH/міс.</v>
      </c>
      <c r="Q48" s="78" t="s">
        <v>86</v>
      </c>
      <c r="R48" s="78" t="s">
        <v>204</v>
      </c>
    </row>
    <row r="49" spans="1:25" ht="42" customHeight="1" x14ac:dyDescent="0.3">
      <c r="A49" s="11"/>
      <c r="B49" s="402" t="str">
        <f>'Вхідні дані'!B102</f>
        <v>Банковське обслуговування</v>
      </c>
      <c r="C49" s="403"/>
      <c r="D49" s="404">
        <f>G49/'Детальний розрахунок'!$Q$18</f>
        <v>3.7837235228539577E-3</v>
      </c>
      <c r="E49" s="404"/>
      <c r="G49" s="405">
        <f>'Детальний розрахунок'!Q56</f>
        <v>848.5</v>
      </c>
      <c r="H49" s="406"/>
      <c r="I49" s="27" t="str">
        <f>CHOOSE('Вхідні дані'!$S$1,$Q$31,$R$31)</f>
        <v>UAH/міс.</v>
      </c>
    </row>
    <row r="50" spans="1:25" ht="42" customHeight="1" x14ac:dyDescent="0.3">
      <c r="A50" s="11"/>
      <c r="B50" s="420" t="str">
        <f>CHOOSE('Вхідні дані'!$S$1,Q50,R50)</f>
        <v>Податки на зарплату співробітників</v>
      </c>
      <c r="C50" s="421"/>
      <c r="D50" s="404">
        <f>G50/'Детальний розрахунок'!$Q$18</f>
        <v>3.7458193979933108E-2</v>
      </c>
      <c r="E50" s="404"/>
      <c r="G50" s="405">
        <f>'Детальний розрахунок'!Q57</f>
        <v>8400</v>
      </c>
      <c r="H50" s="406"/>
      <c r="I50" s="27" t="str">
        <f>CHOOSE('Вхідні дані'!$S$1,$Q$31,$R$31)</f>
        <v>UAH/міс.</v>
      </c>
      <c r="Q50" s="78" t="s">
        <v>122</v>
      </c>
      <c r="R50" s="78" t="s">
        <v>191</v>
      </c>
    </row>
    <row r="51" spans="1:25" ht="42" customHeight="1" x14ac:dyDescent="0.3">
      <c r="A51" s="11"/>
      <c r="B51" s="420" t="str">
        <f>CHOOSE('Вхідні дані'!$S$1,Q51,R51)</f>
        <v>Податки</v>
      </c>
      <c r="C51" s="421"/>
      <c r="D51" s="404">
        <f>G51/'Детальний розрахунок'!$Q$18</f>
        <v>9.3645484949832769E-3</v>
      </c>
      <c r="E51" s="404"/>
      <c r="G51" s="405">
        <f>'Детальний розрахунок'!Q58</f>
        <v>2100</v>
      </c>
      <c r="H51" s="406"/>
      <c r="I51" s="27" t="str">
        <f>CHOOSE('Вхідні дані'!$S$1,$Q$31,$R$31)</f>
        <v>UAH/міс.</v>
      </c>
      <c r="Q51" s="78" t="s">
        <v>63</v>
      </c>
      <c r="R51" s="78" t="s">
        <v>203</v>
      </c>
    </row>
    <row r="52" spans="1:25" ht="34.200000000000003" customHeight="1" x14ac:dyDescent="0.3">
      <c r="A52" s="11"/>
      <c r="B52" s="410" t="str">
        <f>B21</f>
        <v>Разом:</v>
      </c>
      <c r="C52" s="410"/>
      <c r="D52" s="411">
        <f>SUM(D32:E51)</f>
        <v>0.76004645113340763</v>
      </c>
      <c r="E52" s="411"/>
      <c r="G52" s="427">
        <f>SUM(G32:H51)</f>
        <v>170440.41666666666</v>
      </c>
      <c r="H52" s="427"/>
      <c r="I52" s="27" t="str">
        <f>CHOOSE('Вхідні дані'!$S$1,$Q$31,$R$31)</f>
        <v>UAH/міс.</v>
      </c>
      <c r="Q52" s="78" t="s">
        <v>87</v>
      </c>
      <c r="R52" s="78" t="s">
        <v>205</v>
      </c>
    </row>
    <row r="53" spans="1:25" ht="16.2" customHeight="1" x14ac:dyDescent="0.3">
      <c r="A53" s="368"/>
      <c r="B53" s="368"/>
      <c r="C53" s="368"/>
      <c r="D53" s="368"/>
      <c r="E53" s="368"/>
      <c r="F53" s="368"/>
      <c r="G53" s="368"/>
      <c r="H53" s="368"/>
      <c r="I53" s="368"/>
      <c r="J53" s="21"/>
      <c r="M53" s="54"/>
      <c r="N53" s="54"/>
      <c r="O53" s="54"/>
      <c r="P53" s="54"/>
      <c r="Q53" s="78" t="s">
        <v>88</v>
      </c>
      <c r="R53" s="78" t="s">
        <v>206</v>
      </c>
      <c r="S53" s="22"/>
      <c r="T53" s="22"/>
      <c r="U53" s="22"/>
      <c r="V53" s="22"/>
      <c r="W53" s="22"/>
      <c r="X53" s="22"/>
      <c r="Y53" s="22"/>
    </row>
    <row r="54" spans="1:25" ht="52.5" customHeight="1" x14ac:dyDescent="0.3">
      <c r="A54" s="30"/>
      <c r="B54" s="30"/>
      <c r="C54" s="30"/>
      <c r="D54" s="31"/>
      <c r="E54" s="31"/>
      <c r="F54" s="32"/>
      <c r="G54" s="31"/>
      <c r="H54" s="416" t="str">
        <f>CHOOSE('Вхідні дані'!$S$1,$Q$47,$R$47)</f>
        <v>Рентабельність (чистий прибуток/виручка), %</v>
      </c>
      <c r="I54" s="416"/>
      <c r="J54" s="21"/>
      <c r="Q54" s="122" t="s">
        <v>368</v>
      </c>
      <c r="R54" s="122" t="s">
        <v>369</v>
      </c>
    </row>
    <row r="55" spans="1:25" ht="45" customHeight="1" x14ac:dyDescent="0.3">
      <c r="A55" s="407" t="str">
        <f>CHOOSE('Вхідні дані'!$S$1,Q48,R48)</f>
        <v>Середньомісячний чистий прибуток 
за 1-й рік роботи</v>
      </c>
      <c r="B55" s="407"/>
      <c r="C55" s="409"/>
      <c r="D55" s="426">
        <f>'Детальний розрахунок'!Q68</f>
        <v>53809.583333333336</v>
      </c>
      <c r="E55" s="426"/>
      <c r="F55" s="426"/>
      <c r="G55" s="27" t="str">
        <f>CHOOSE('Вхідні дані'!$S$1,$Q$31,$R$31)</f>
        <v>UAH/міс.</v>
      </c>
      <c r="H55" s="417">
        <f>'Детальний розрахунок'!Q68/'Детальний розрахунок'!Q62</f>
        <v>0.23995354886659234</v>
      </c>
      <c r="I55" s="417"/>
      <c r="J55" s="33"/>
      <c r="Q55" s="78" t="s">
        <v>208</v>
      </c>
      <c r="R55" s="78" t="s">
        <v>207</v>
      </c>
    </row>
    <row r="56" spans="1:25" ht="7.95" customHeight="1" x14ac:dyDescent="0.3">
      <c r="A56" s="11"/>
      <c r="B56" s="11"/>
      <c r="C56" s="11"/>
      <c r="D56" s="418"/>
      <c r="E56" s="418"/>
      <c r="F56" s="418"/>
      <c r="G56" s="34"/>
      <c r="H56" s="415"/>
      <c r="I56" s="415"/>
      <c r="J56" s="33"/>
    </row>
    <row r="57" spans="1:25" ht="45" customHeight="1" x14ac:dyDescent="0.3">
      <c r="A57" s="407" t="str">
        <f>CHOOSE('Вхідні дані'!$S$1,Q52,R52)</f>
        <v>Середньомісячний чистий прибуток 
за 2-й рік роботи</v>
      </c>
      <c r="B57" s="407"/>
      <c r="C57" s="409"/>
      <c r="D57" s="426">
        <f>'Детальний розрахунок'!AE68</f>
        <v>81777.083333333328</v>
      </c>
      <c r="E57" s="426"/>
      <c r="F57" s="426"/>
      <c r="G57" s="27" t="str">
        <f>CHOOSE('Вхідні дані'!$S$1,$Q$31,$R$31)</f>
        <v>UAH/міс.</v>
      </c>
      <c r="H57" s="417">
        <f>'Детальний розрахунок'!AE68/'Детальний розрахунок'!AE62</f>
        <v>0.29872907153729072</v>
      </c>
      <c r="I57" s="417"/>
      <c r="J57" s="33"/>
    </row>
    <row r="58" spans="1:25" ht="7.95" customHeight="1" x14ac:dyDescent="0.3">
      <c r="A58" s="11"/>
      <c r="B58" s="11"/>
      <c r="C58" s="11"/>
      <c r="D58" s="418"/>
      <c r="E58" s="418"/>
      <c r="F58" s="418"/>
      <c r="G58" s="34"/>
      <c r="H58" s="415"/>
      <c r="I58" s="415"/>
    </row>
    <row r="59" spans="1:25" ht="45" customHeight="1" x14ac:dyDescent="0.3">
      <c r="A59" s="407" t="str">
        <f>CHOOSE('Вхідні дані'!$S$1,Q53,R53)</f>
        <v>Середньомісячний чистий прибуток 
за 3-й рік роботи</v>
      </c>
      <c r="B59" s="407"/>
      <c r="C59" s="409"/>
      <c r="D59" s="419">
        <f>'Детальний розрахунок'!AS68</f>
        <v>94666.145833333328</v>
      </c>
      <c r="E59" s="419"/>
      <c r="F59" s="419"/>
      <c r="G59" s="27" t="str">
        <f>CHOOSE('Вхідні дані'!$S$1,$Q$31,$R$31)</f>
        <v>UAH/міс.</v>
      </c>
      <c r="H59" s="417">
        <f>'Детальний розрахунок'!AS68/'Детальний розрахунок'!AS62</f>
        <v>0.31921145064980677</v>
      </c>
      <c r="I59" s="417"/>
    </row>
    <row r="60" spans="1:25" ht="7.95" customHeight="1" x14ac:dyDescent="0.3">
      <c r="A60" s="11"/>
      <c r="B60" s="11"/>
      <c r="C60" s="11"/>
      <c r="D60" s="11"/>
      <c r="E60" s="11"/>
      <c r="G60" s="35"/>
      <c r="H60" s="35"/>
      <c r="I60" s="35"/>
    </row>
    <row r="61" spans="1:25" ht="45" customHeight="1" x14ac:dyDescent="0.3">
      <c r="A61" s="407" t="str">
        <f>CHOOSE('Вхідні дані'!$S$1,Q54,R54)</f>
        <v>Вихід на самоокупність (точку беззбитковості) з</v>
      </c>
      <c r="B61" s="407"/>
      <c r="C61" s="408"/>
      <c r="D61" s="412">
        <f>'Детальний розрахунок'!B92</f>
        <v>1</v>
      </c>
      <c r="E61" s="413"/>
      <c r="F61" s="413"/>
      <c r="G61" s="414"/>
      <c r="H61" s="36" t="str">
        <f>CHOOSE('Вхідні дані'!$S$1,$Q$36,$R$36)</f>
        <v>міс.</v>
      </c>
    </row>
    <row r="62" spans="1:25" ht="7.95" customHeight="1" x14ac:dyDescent="0.3">
      <c r="A62" s="11"/>
      <c r="B62" s="11"/>
      <c r="C62" s="11"/>
      <c r="D62" s="415"/>
      <c r="E62" s="415"/>
      <c r="F62" s="415"/>
      <c r="G62" s="415"/>
      <c r="H62" s="35"/>
    </row>
    <row r="63" spans="1:25" ht="45" customHeight="1" x14ac:dyDescent="0.3">
      <c r="A63" s="407" t="str">
        <f>CHOOSE('Вхідні дані'!$S$1,Q55,R55)</f>
        <v>Окупність інвестицій</v>
      </c>
      <c r="B63" s="407"/>
      <c r="C63" s="408"/>
      <c r="D63" s="412">
        <f>'Детальний розрахунок'!B91</f>
        <v>10</v>
      </c>
      <c r="E63" s="413"/>
      <c r="F63" s="413"/>
      <c r="G63" s="414"/>
      <c r="H63" s="36" t="str">
        <f>CHOOSE('Вхідні дані'!$S$1,$Q$36,$R$36)</f>
        <v>міс.</v>
      </c>
    </row>
    <row r="64" spans="1:25" ht="10.199999999999999" customHeight="1" x14ac:dyDescent="0.3">
      <c r="A64" s="37"/>
      <c r="B64" s="38"/>
      <c r="C64" s="38"/>
      <c r="D64" s="38"/>
      <c r="E64" s="38"/>
      <c r="F64" s="39"/>
      <c r="G64" s="39"/>
      <c r="H64" s="39"/>
      <c r="I64" s="38"/>
    </row>
  </sheetData>
  <sheetProtection formatCells="0" formatColumns="0" formatRows="0" insertColumns="0" insertRows="0" insertHyperlinks="0" deleteColumns="0" deleteRows="0" sort="0" autoFilter="0" pivotTables="0"/>
  <mergeCells count="134">
    <mergeCell ref="H2:I2"/>
    <mergeCell ref="H3:I3"/>
    <mergeCell ref="B42:C42"/>
    <mergeCell ref="D42:E42"/>
    <mergeCell ref="G25:H27"/>
    <mergeCell ref="B37:C37"/>
    <mergeCell ref="B38:C38"/>
    <mergeCell ref="B34:C34"/>
    <mergeCell ref="B35:C35"/>
    <mergeCell ref="D35:E35"/>
    <mergeCell ref="B32:C32"/>
    <mergeCell ref="G31:H31"/>
    <mergeCell ref="G32:H32"/>
    <mergeCell ref="G33:H33"/>
    <mergeCell ref="G34:H34"/>
    <mergeCell ref="D36:E36"/>
    <mergeCell ref="D38:E38"/>
    <mergeCell ref="D34:E34"/>
    <mergeCell ref="D32:E32"/>
    <mergeCell ref="D37:E37"/>
    <mergeCell ref="G35:H35"/>
    <mergeCell ref="G36:H36"/>
    <mergeCell ref="G37:H37"/>
    <mergeCell ref="G38:H38"/>
    <mergeCell ref="A8:I8"/>
    <mergeCell ref="B11:C11"/>
    <mergeCell ref="D11:H11"/>
    <mergeCell ref="B14:C14"/>
    <mergeCell ref="A25:C25"/>
    <mergeCell ref="B21:C21"/>
    <mergeCell ref="A24:C24"/>
    <mergeCell ref="D16:H16"/>
    <mergeCell ref="D20:H20"/>
    <mergeCell ref="D21:H21"/>
    <mergeCell ref="A22:I22"/>
    <mergeCell ref="B18:C18"/>
    <mergeCell ref="B19:C19"/>
    <mergeCell ref="D12:H12"/>
    <mergeCell ref="D14:H14"/>
    <mergeCell ref="I25:I27"/>
    <mergeCell ref="B13:C13"/>
    <mergeCell ref="D13:H13"/>
    <mergeCell ref="E24:F24"/>
    <mergeCell ref="A26:C26"/>
    <mergeCell ref="E26:F26"/>
    <mergeCell ref="A27:C27"/>
    <mergeCell ref="B10:C10"/>
    <mergeCell ref="H57:I57"/>
    <mergeCell ref="D31:E31"/>
    <mergeCell ref="D49:E49"/>
    <mergeCell ref="D50:E50"/>
    <mergeCell ref="D55:F55"/>
    <mergeCell ref="D56:F56"/>
    <mergeCell ref="D57:F57"/>
    <mergeCell ref="D45:E45"/>
    <mergeCell ref="G42:H42"/>
    <mergeCell ref="G47:H47"/>
    <mergeCell ref="G48:H48"/>
    <mergeCell ref="G52:H52"/>
    <mergeCell ref="A1:I1"/>
    <mergeCell ref="H56:I56"/>
    <mergeCell ref="D18:H18"/>
    <mergeCell ref="D19:H19"/>
    <mergeCell ref="B16:C16"/>
    <mergeCell ref="D17:H17"/>
    <mergeCell ref="B17:C17"/>
    <mergeCell ref="B15:C15"/>
    <mergeCell ref="D15:H15"/>
    <mergeCell ref="B33:C33"/>
    <mergeCell ref="D33:E33"/>
    <mergeCell ref="A29:I29"/>
    <mergeCell ref="B12:C12"/>
    <mergeCell ref="G24:H24"/>
    <mergeCell ref="B20:C20"/>
    <mergeCell ref="B36:C36"/>
    <mergeCell ref="A6:B6"/>
    <mergeCell ref="A7:B7"/>
    <mergeCell ref="H6:I6"/>
    <mergeCell ref="H7:I7"/>
    <mergeCell ref="F6:G6"/>
    <mergeCell ref="F7:G7"/>
    <mergeCell ref="E27:F27"/>
    <mergeCell ref="E25:F25"/>
    <mergeCell ref="B43:C43"/>
    <mergeCell ref="D43:E43"/>
    <mergeCell ref="B51:C51"/>
    <mergeCell ref="D51:E51"/>
    <mergeCell ref="B46:C46"/>
    <mergeCell ref="D46:E46"/>
    <mergeCell ref="B50:C50"/>
    <mergeCell ref="B45:C45"/>
    <mergeCell ref="G45:H45"/>
    <mergeCell ref="G46:H46"/>
    <mergeCell ref="G49:H49"/>
    <mergeCell ref="G50:H50"/>
    <mergeCell ref="G51:H51"/>
    <mergeCell ref="B49:C49"/>
    <mergeCell ref="B44:C44"/>
    <mergeCell ref="D44:E44"/>
    <mergeCell ref="G43:H43"/>
    <mergeCell ref="G44:H44"/>
    <mergeCell ref="B41:C41"/>
    <mergeCell ref="D41:E41"/>
    <mergeCell ref="G41:H41"/>
    <mergeCell ref="A63:C63"/>
    <mergeCell ref="A59:C59"/>
    <mergeCell ref="A61:C61"/>
    <mergeCell ref="B47:C47"/>
    <mergeCell ref="D47:E47"/>
    <mergeCell ref="B48:C48"/>
    <mergeCell ref="D48:E48"/>
    <mergeCell ref="B52:C52"/>
    <mergeCell ref="D52:E52"/>
    <mergeCell ref="A53:I53"/>
    <mergeCell ref="A55:C55"/>
    <mergeCell ref="A57:C57"/>
    <mergeCell ref="D61:G61"/>
    <mergeCell ref="D62:G62"/>
    <mergeCell ref="D63:G63"/>
    <mergeCell ref="H54:I54"/>
    <mergeCell ref="H55:I55"/>
    <mergeCell ref="H58:I58"/>
    <mergeCell ref="H59:I59"/>
    <mergeCell ref="D58:F58"/>
    <mergeCell ref="D59:F59"/>
    <mergeCell ref="A28:C28"/>
    <mergeCell ref="E28:F28"/>
    <mergeCell ref="G28:H28"/>
    <mergeCell ref="B39:C39"/>
    <mergeCell ref="D39:E39"/>
    <mergeCell ref="G39:H39"/>
    <mergeCell ref="B40:C40"/>
    <mergeCell ref="D40:E40"/>
    <mergeCell ref="G40:H40"/>
  </mergeCells>
  <dataValidations count="2">
    <dataValidation type="list" allowBlank="1" showInputMessage="1" showErrorMessage="1" sqref="H2:I2" xr:uid="{129EED76-12B8-45A4-8D99-E61A99B1A33D}">
      <formula1>$N$1:$N$3</formula1>
    </dataValidation>
    <dataValidation type="list" allowBlank="1" showInputMessage="1" showErrorMessage="1" sqref="H3:I3" xr:uid="{AAC8EEC5-6273-4EB1-9022-1A443C73B87A}">
      <formula1>$P$1:$P$3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3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C110"/>
  <sheetViews>
    <sheetView zoomScale="60" zoomScaleNormal="60" zoomScaleSheetLayoutView="30" workbookViewId="0">
      <pane xSplit="2" ySplit="6" topLeftCell="C1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21" outlineLevelRow="1" outlineLevelCol="1" x14ac:dyDescent="0.4"/>
  <cols>
    <col min="1" max="1" width="83.5546875" style="162" customWidth="1"/>
    <col min="2" max="2" width="19.88671875" style="162" customWidth="1"/>
    <col min="3" max="3" width="21.88671875" style="162" customWidth="1"/>
    <col min="4" max="15" width="14.109375" style="162" customWidth="1" outlineLevel="1"/>
    <col min="16" max="17" width="21.109375" style="179" customWidth="1"/>
    <col min="18" max="29" width="14.109375" style="162" customWidth="1" outlineLevel="1"/>
    <col min="30" max="31" width="21.109375" style="179" customWidth="1"/>
    <col min="32" max="43" width="14.109375" style="162" customWidth="1" outlineLevel="1"/>
    <col min="44" max="45" width="21.109375" style="179" customWidth="1"/>
    <col min="46" max="46" width="21.109375" style="162" customWidth="1"/>
    <col min="47" max="47" width="10" style="162" bestFit="1" customWidth="1"/>
    <col min="48" max="48" width="9.21875" style="162"/>
    <col min="49" max="49" width="16.44140625" style="163" hidden="1" customWidth="1"/>
    <col min="50" max="50" width="8.77734375" style="163" hidden="1" customWidth="1"/>
    <col min="51" max="286" width="9.21875" style="162"/>
    <col min="287" max="287" width="53" style="162" customWidth="1"/>
    <col min="288" max="288" width="14.44140625" style="162" customWidth="1"/>
    <col min="289" max="301" width="11" style="162" customWidth="1"/>
    <col min="302" max="302" width="12.77734375" style="162" customWidth="1"/>
    <col min="303" max="303" width="10" style="162" bestFit="1" customWidth="1"/>
    <col min="304" max="542" width="9.21875" style="162"/>
    <col min="543" max="543" width="53" style="162" customWidth="1"/>
    <col min="544" max="544" width="14.44140625" style="162" customWidth="1"/>
    <col min="545" max="557" width="11" style="162" customWidth="1"/>
    <col min="558" max="558" width="12.77734375" style="162" customWidth="1"/>
    <col min="559" max="559" width="10" style="162" bestFit="1" customWidth="1"/>
    <col min="560" max="798" width="9.21875" style="162"/>
    <col min="799" max="799" width="53" style="162" customWidth="1"/>
    <col min="800" max="800" width="14.44140625" style="162" customWidth="1"/>
    <col min="801" max="813" width="11" style="162" customWidth="1"/>
    <col min="814" max="814" width="12.77734375" style="162" customWidth="1"/>
    <col min="815" max="815" width="10" style="162" bestFit="1" customWidth="1"/>
    <col min="816" max="1054" width="9.21875" style="162"/>
    <col min="1055" max="1055" width="53" style="162" customWidth="1"/>
    <col min="1056" max="1056" width="14.44140625" style="162" customWidth="1"/>
    <col min="1057" max="1069" width="11" style="162" customWidth="1"/>
    <col min="1070" max="1070" width="12.77734375" style="162" customWidth="1"/>
    <col min="1071" max="1071" width="10" style="162" bestFit="1" customWidth="1"/>
    <col min="1072" max="1310" width="9.21875" style="162"/>
    <col min="1311" max="1311" width="53" style="162" customWidth="1"/>
    <col min="1312" max="1312" width="14.44140625" style="162" customWidth="1"/>
    <col min="1313" max="1325" width="11" style="162" customWidth="1"/>
    <col min="1326" max="1326" width="12.77734375" style="162" customWidth="1"/>
    <col min="1327" max="1327" width="10" style="162" bestFit="1" customWidth="1"/>
    <col min="1328" max="1566" width="9.21875" style="162"/>
    <col min="1567" max="1567" width="53" style="162" customWidth="1"/>
    <col min="1568" max="1568" width="14.44140625" style="162" customWidth="1"/>
    <col min="1569" max="1581" width="11" style="162" customWidth="1"/>
    <col min="1582" max="1582" width="12.77734375" style="162" customWidth="1"/>
    <col min="1583" max="1583" width="10" style="162" bestFit="1" customWidth="1"/>
    <col min="1584" max="1822" width="9.21875" style="162"/>
    <col min="1823" max="1823" width="53" style="162" customWidth="1"/>
    <col min="1824" max="1824" width="14.44140625" style="162" customWidth="1"/>
    <col min="1825" max="1837" width="11" style="162" customWidth="1"/>
    <col min="1838" max="1838" width="12.77734375" style="162" customWidth="1"/>
    <col min="1839" max="1839" width="10" style="162" bestFit="1" customWidth="1"/>
    <col min="1840" max="2078" width="9.21875" style="162"/>
    <col min="2079" max="2079" width="53" style="162" customWidth="1"/>
    <col min="2080" max="2080" width="14.44140625" style="162" customWidth="1"/>
    <col min="2081" max="2093" width="11" style="162" customWidth="1"/>
    <col min="2094" max="2094" width="12.77734375" style="162" customWidth="1"/>
    <col min="2095" max="2095" width="10" style="162" bestFit="1" customWidth="1"/>
    <col min="2096" max="2334" width="9.21875" style="162"/>
    <col min="2335" max="2335" width="53" style="162" customWidth="1"/>
    <col min="2336" max="2336" width="14.44140625" style="162" customWidth="1"/>
    <col min="2337" max="2349" width="11" style="162" customWidth="1"/>
    <col min="2350" max="2350" width="12.77734375" style="162" customWidth="1"/>
    <col min="2351" max="2351" width="10" style="162" bestFit="1" customWidth="1"/>
    <col min="2352" max="2590" width="9.21875" style="162"/>
    <col min="2591" max="2591" width="53" style="162" customWidth="1"/>
    <col min="2592" max="2592" width="14.44140625" style="162" customWidth="1"/>
    <col min="2593" max="2605" width="11" style="162" customWidth="1"/>
    <col min="2606" max="2606" width="12.77734375" style="162" customWidth="1"/>
    <col min="2607" max="2607" width="10" style="162" bestFit="1" customWidth="1"/>
    <col min="2608" max="2846" width="9.21875" style="162"/>
    <col min="2847" max="2847" width="53" style="162" customWidth="1"/>
    <col min="2848" max="2848" width="14.44140625" style="162" customWidth="1"/>
    <col min="2849" max="2861" width="11" style="162" customWidth="1"/>
    <col min="2862" max="2862" width="12.77734375" style="162" customWidth="1"/>
    <col min="2863" max="2863" width="10" style="162" bestFit="1" customWidth="1"/>
    <col min="2864" max="3102" width="9.21875" style="162"/>
    <col min="3103" max="3103" width="53" style="162" customWidth="1"/>
    <col min="3104" max="3104" width="14.44140625" style="162" customWidth="1"/>
    <col min="3105" max="3117" width="11" style="162" customWidth="1"/>
    <col min="3118" max="3118" width="12.77734375" style="162" customWidth="1"/>
    <col min="3119" max="3119" width="10" style="162" bestFit="1" customWidth="1"/>
    <col min="3120" max="3358" width="9.21875" style="162"/>
    <col min="3359" max="3359" width="53" style="162" customWidth="1"/>
    <col min="3360" max="3360" width="14.44140625" style="162" customWidth="1"/>
    <col min="3361" max="3373" width="11" style="162" customWidth="1"/>
    <col min="3374" max="3374" width="12.77734375" style="162" customWidth="1"/>
    <col min="3375" max="3375" width="10" style="162" bestFit="1" customWidth="1"/>
    <col min="3376" max="3614" width="9.21875" style="162"/>
    <col min="3615" max="3615" width="53" style="162" customWidth="1"/>
    <col min="3616" max="3616" width="14.44140625" style="162" customWidth="1"/>
    <col min="3617" max="3629" width="11" style="162" customWidth="1"/>
    <col min="3630" max="3630" width="12.77734375" style="162" customWidth="1"/>
    <col min="3631" max="3631" width="10" style="162" bestFit="1" customWidth="1"/>
    <col min="3632" max="3870" width="9.21875" style="162"/>
    <col min="3871" max="3871" width="53" style="162" customWidth="1"/>
    <col min="3872" max="3872" width="14.44140625" style="162" customWidth="1"/>
    <col min="3873" max="3885" width="11" style="162" customWidth="1"/>
    <col min="3886" max="3886" width="12.77734375" style="162" customWidth="1"/>
    <col min="3887" max="3887" width="10" style="162" bestFit="1" customWidth="1"/>
    <col min="3888" max="4126" width="9.21875" style="162"/>
    <col min="4127" max="4127" width="53" style="162" customWidth="1"/>
    <col min="4128" max="4128" width="14.44140625" style="162" customWidth="1"/>
    <col min="4129" max="4141" width="11" style="162" customWidth="1"/>
    <col min="4142" max="4142" width="12.77734375" style="162" customWidth="1"/>
    <col min="4143" max="4143" width="10" style="162" bestFit="1" customWidth="1"/>
    <col min="4144" max="4382" width="9.21875" style="162"/>
    <col min="4383" max="4383" width="53" style="162" customWidth="1"/>
    <col min="4384" max="4384" width="14.44140625" style="162" customWidth="1"/>
    <col min="4385" max="4397" width="11" style="162" customWidth="1"/>
    <col min="4398" max="4398" width="12.77734375" style="162" customWidth="1"/>
    <col min="4399" max="4399" width="10" style="162" bestFit="1" customWidth="1"/>
    <col min="4400" max="4638" width="9.21875" style="162"/>
    <col min="4639" max="4639" width="53" style="162" customWidth="1"/>
    <col min="4640" max="4640" width="14.44140625" style="162" customWidth="1"/>
    <col min="4641" max="4653" width="11" style="162" customWidth="1"/>
    <col min="4654" max="4654" width="12.77734375" style="162" customWidth="1"/>
    <col min="4655" max="4655" width="10" style="162" bestFit="1" customWidth="1"/>
    <col min="4656" max="4894" width="9.21875" style="162"/>
    <col min="4895" max="4895" width="53" style="162" customWidth="1"/>
    <col min="4896" max="4896" width="14.44140625" style="162" customWidth="1"/>
    <col min="4897" max="4909" width="11" style="162" customWidth="1"/>
    <col min="4910" max="4910" width="12.77734375" style="162" customWidth="1"/>
    <col min="4911" max="4911" width="10" style="162" bestFit="1" customWidth="1"/>
    <col min="4912" max="5150" width="9.21875" style="162"/>
    <col min="5151" max="5151" width="53" style="162" customWidth="1"/>
    <col min="5152" max="5152" width="14.44140625" style="162" customWidth="1"/>
    <col min="5153" max="5165" width="11" style="162" customWidth="1"/>
    <col min="5166" max="5166" width="12.77734375" style="162" customWidth="1"/>
    <col min="5167" max="5167" width="10" style="162" bestFit="1" customWidth="1"/>
    <col min="5168" max="5406" width="9.21875" style="162"/>
    <col min="5407" max="5407" width="53" style="162" customWidth="1"/>
    <col min="5408" max="5408" width="14.44140625" style="162" customWidth="1"/>
    <col min="5409" max="5421" width="11" style="162" customWidth="1"/>
    <col min="5422" max="5422" width="12.77734375" style="162" customWidth="1"/>
    <col min="5423" max="5423" width="10" style="162" bestFit="1" customWidth="1"/>
    <col min="5424" max="5662" width="9.21875" style="162"/>
    <col min="5663" max="5663" width="53" style="162" customWidth="1"/>
    <col min="5664" max="5664" width="14.44140625" style="162" customWidth="1"/>
    <col min="5665" max="5677" width="11" style="162" customWidth="1"/>
    <col min="5678" max="5678" width="12.77734375" style="162" customWidth="1"/>
    <col min="5679" max="5679" width="10" style="162" bestFit="1" customWidth="1"/>
    <col min="5680" max="5918" width="9.21875" style="162"/>
    <col min="5919" max="5919" width="53" style="162" customWidth="1"/>
    <col min="5920" max="5920" width="14.44140625" style="162" customWidth="1"/>
    <col min="5921" max="5933" width="11" style="162" customWidth="1"/>
    <col min="5934" max="5934" width="12.77734375" style="162" customWidth="1"/>
    <col min="5935" max="5935" width="10" style="162" bestFit="1" customWidth="1"/>
    <col min="5936" max="6174" width="9.21875" style="162"/>
    <col min="6175" max="6175" width="53" style="162" customWidth="1"/>
    <col min="6176" max="6176" width="14.44140625" style="162" customWidth="1"/>
    <col min="6177" max="6189" width="11" style="162" customWidth="1"/>
    <col min="6190" max="6190" width="12.77734375" style="162" customWidth="1"/>
    <col min="6191" max="6191" width="10" style="162" bestFit="1" customWidth="1"/>
    <col min="6192" max="6430" width="9.21875" style="162"/>
    <col min="6431" max="6431" width="53" style="162" customWidth="1"/>
    <col min="6432" max="6432" width="14.44140625" style="162" customWidth="1"/>
    <col min="6433" max="6445" width="11" style="162" customWidth="1"/>
    <col min="6446" max="6446" width="12.77734375" style="162" customWidth="1"/>
    <col min="6447" max="6447" width="10" style="162" bestFit="1" customWidth="1"/>
    <col min="6448" max="6686" width="9.21875" style="162"/>
    <col min="6687" max="6687" width="53" style="162" customWidth="1"/>
    <col min="6688" max="6688" width="14.44140625" style="162" customWidth="1"/>
    <col min="6689" max="6701" width="11" style="162" customWidth="1"/>
    <col min="6702" max="6702" width="12.77734375" style="162" customWidth="1"/>
    <col min="6703" max="6703" width="10" style="162" bestFit="1" customWidth="1"/>
    <col min="6704" max="6942" width="9.21875" style="162"/>
    <col min="6943" max="6943" width="53" style="162" customWidth="1"/>
    <col min="6944" max="6944" width="14.44140625" style="162" customWidth="1"/>
    <col min="6945" max="6957" width="11" style="162" customWidth="1"/>
    <col min="6958" max="6958" width="12.77734375" style="162" customWidth="1"/>
    <col min="6959" max="6959" width="10" style="162" bestFit="1" customWidth="1"/>
    <col min="6960" max="7198" width="9.21875" style="162"/>
    <col min="7199" max="7199" width="53" style="162" customWidth="1"/>
    <col min="7200" max="7200" width="14.44140625" style="162" customWidth="1"/>
    <col min="7201" max="7213" width="11" style="162" customWidth="1"/>
    <col min="7214" max="7214" width="12.77734375" style="162" customWidth="1"/>
    <col min="7215" max="7215" width="10" style="162" bestFit="1" customWidth="1"/>
    <col min="7216" max="7454" width="9.21875" style="162"/>
    <col min="7455" max="7455" width="53" style="162" customWidth="1"/>
    <col min="7456" max="7456" width="14.44140625" style="162" customWidth="1"/>
    <col min="7457" max="7469" width="11" style="162" customWidth="1"/>
    <col min="7470" max="7470" width="12.77734375" style="162" customWidth="1"/>
    <col min="7471" max="7471" width="10" style="162" bestFit="1" customWidth="1"/>
    <col min="7472" max="7710" width="9.21875" style="162"/>
    <col min="7711" max="7711" width="53" style="162" customWidth="1"/>
    <col min="7712" max="7712" width="14.44140625" style="162" customWidth="1"/>
    <col min="7713" max="7725" width="11" style="162" customWidth="1"/>
    <col min="7726" max="7726" width="12.77734375" style="162" customWidth="1"/>
    <col min="7727" max="7727" width="10" style="162" bestFit="1" customWidth="1"/>
    <col min="7728" max="7966" width="9.21875" style="162"/>
    <col min="7967" max="7967" width="53" style="162" customWidth="1"/>
    <col min="7968" max="7968" width="14.44140625" style="162" customWidth="1"/>
    <col min="7969" max="7981" width="11" style="162" customWidth="1"/>
    <col min="7982" max="7982" width="12.77734375" style="162" customWidth="1"/>
    <col min="7983" max="7983" width="10" style="162" bestFit="1" customWidth="1"/>
    <col min="7984" max="8222" width="9.21875" style="162"/>
    <col min="8223" max="8223" width="53" style="162" customWidth="1"/>
    <col min="8224" max="8224" width="14.44140625" style="162" customWidth="1"/>
    <col min="8225" max="8237" width="11" style="162" customWidth="1"/>
    <col min="8238" max="8238" width="12.77734375" style="162" customWidth="1"/>
    <col min="8239" max="8239" width="10" style="162" bestFit="1" customWidth="1"/>
    <col min="8240" max="8478" width="9.21875" style="162"/>
    <col min="8479" max="8479" width="53" style="162" customWidth="1"/>
    <col min="8480" max="8480" width="14.44140625" style="162" customWidth="1"/>
    <col min="8481" max="8493" width="11" style="162" customWidth="1"/>
    <col min="8494" max="8494" width="12.77734375" style="162" customWidth="1"/>
    <col min="8495" max="8495" width="10" style="162" bestFit="1" customWidth="1"/>
    <col min="8496" max="8734" width="9.21875" style="162"/>
    <col min="8735" max="8735" width="53" style="162" customWidth="1"/>
    <col min="8736" max="8736" width="14.44140625" style="162" customWidth="1"/>
    <col min="8737" max="8749" width="11" style="162" customWidth="1"/>
    <col min="8750" max="8750" width="12.77734375" style="162" customWidth="1"/>
    <col min="8751" max="8751" width="10" style="162" bestFit="1" customWidth="1"/>
    <col min="8752" max="8990" width="9.21875" style="162"/>
    <col min="8991" max="8991" width="53" style="162" customWidth="1"/>
    <col min="8992" max="8992" width="14.44140625" style="162" customWidth="1"/>
    <col min="8993" max="9005" width="11" style="162" customWidth="1"/>
    <col min="9006" max="9006" width="12.77734375" style="162" customWidth="1"/>
    <col min="9007" max="9007" width="10" style="162" bestFit="1" customWidth="1"/>
    <col min="9008" max="9246" width="9.21875" style="162"/>
    <col min="9247" max="9247" width="53" style="162" customWidth="1"/>
    <col min="9248" max="9248" width="14.44140625" style="162" customWidth="1"/>
    <col min="9249" max="9261" width="11" style="162" customWidth="1"/>
    <col min="9262" max="9262" width="12.77734375" style="162" customWidth="1"/>
    <col min="9263" max="9263" width="10" style="162" bestFit="1" customWidth="1"/>
    <col min="9264" max="9502" width="9.21875" style="162"/>
    <col min="9503" max="9503" width="53" style="162" customWidth="1"/>
    <col min="9504" max="9504" width="14.44140625" style="162" customWidth="1"/>
    <col min="9505" max="9517" width="11" style="162" customWidth="1"/>
    <col min="9518" max="9518" width="12.77734375" style="162" customWidth="1"/>
    <col min="9519" max="9519" width="10" style="162" bestFit="1" customWidth="1"/>
    <col min="9520" max="9758" width="9.21875" style="162"/>
    <col min="9759" max="9759" width="53" style="162" customWidth="1"/>
    <col min="9760" max="9760" width="14.44140625" style="162" customWidth="1"/>
    <col min="9761" max="9773" width="11" style="162" customWidth="1"/>
    <col min="9774" max="9774" width="12.77734375" style="162" customWidth="1"/>
    <col min="9775" max="9775" width="10" style="162" bestFit="1" customWidth="1"/>
    <col min="9776" max="10014" width="9.21875" style="162"/>
    <col min="10015" max="10015" width="53" style="162" customWidth="1"/>
    <col min="10016" max="10016" width="14.44140625" style="162" customWidth="1"/>
    <col min="10017" max="10029" width="11" style="162" customWidth="1"/>
    <col min="10030" max="10030" width="12.77734375" style="162" customWidth="1"/>
    <col min="10031" max="10031" width="10" style="162" bestFit="1" customWidth="1"/>
    <col min="10032" max="10270" width="9.21875" style="162"/>
    <col min="10271" max="10271" width="53" style="162" customWidth="1"/>
    <col min="10272" max="10272" width="14.44140625" style="162" customWidth="1"/>
    <col min="10273" max="10285" width="11" style="162" customWidth="1"/>
    <col min="10286" max="10286" width="12.77734375" style="162" customWidth="1"/>
    <col min="10287" max="10287" width="10" style="162" bestFit="1" customWidth="1"/>
    <col min="10288" max="10526" width="9.21875" style="162"/>
    <col min="10527" max="10527" width="53" style="162" customWidth="1"/>
    <col min="10528" max="10528" width="14.44140625" style="162" customWidth="1"/>
    <col min="10529" max="10541" width="11" style="162" customWidth="1"/>
    <col min="10542" max="10542" width="12.77734375" style="162" customWidth="1"/>
    <col min="10543" max="10543" width="10" style="162" bestFit="1" customWidth="1"/>
    <col min="10544" max="10782" width="9.21875" style="162"/>
    <col min="10783" max="10783" width="53" style="162" customWidth="1"/>
    <col min="10784" max="10784" width="14.44140625" style="162" customWidth="1"/>
    <col min="10785" max="10797" width="11" style="162" customWidth="1"/>
    <col min="10798" max="10798" width="12.77734375" style="162" customWidth="1"/>
    <col min="10799" max="10799" width="10" style="162" bestFit="1" customWidth="1"/>
    <col min="10800" max="11038" width="9.21875" style="162"/>
    <col min="11039" max="11039" width="53" style="162" customWidth="1"/>
    <col min="11040" max="11040" width="14.44140625" style="162" customWidth="1"/>
    <col min="11041" max="11053" width="11" style="162" customWidth="1"/>
    <col min="11054" max="11054" width="12.77734375" style="162" customWidth="1"/>
    <col min="11055" max="11055" width="10" style="162" bestFit="1" customWidth="1"/>
    <col min="11056" max="11294" width="9.21875" style="162"/>
    <col min="11295" max="11295" width="53" style="162" customWidth="1"/>
    <col min="11296" max="11296" width="14.44140625" style="162" customWidth="1"/>
    <col min="11297" max="11309" width="11" style="162" customWidth="1"/>
    <col min="11310" max="11310" width="12.77734375" style="162" customWidth="1"/>
    <col min="11311" max="11311" width="10" style="162" bestFit="1" customWidth="1"/>
    <col min="11312" max="11550" width="9.21875" style="162"/>
    <col min="11551" max="11551" width="53" style="162" customWidth="1"/>
    <col min="11552" max="11552" width="14.44140625" style="162" customWidth="1"/>
    <col min="11553" max="11565" width="11" style="162" customWidth="1"/>
    <col min="11566" max="11566" width="12.77734375" style="162" customWidth="1"/>
    <col min="11567" max="11567" width="10" style="162" bestFit="1" customWidth="1"/>
    <col min="11568" max="11806" width="9.21875" style="162"/>
    <col min="11807" max="11807" width="53" style="162" customWidth="1"/>
    <col min="11808" max="11808" width="14.44140625" style="162" customWidth="1"/>
    <col min="11809" max="11821" width="11" style="162" customWidth="1"/>
    <col min="11822" max="11822" width="12.77734375" style="162" customWidth="1"/>
    <col min="11823" max="11823" width="10" style="162" bestFit="1" customWidth="1"/>
    <col min="11824" max="12062" width="9.21875" style="162"/>
    <col min="12063" max="12063" width="53" style="162" customWidth="1"/>
    <col min="12064" max="12064" width="14.44140625" style="162" customWidth="1"/>
    <col min="12065" max="12077" width="11" style="162" customWidth="1"/>
    <col min="12078" max="12078" width="12.77734375" style="162" customWidth="1"/>
    <col min="12079" max="12079" width="10" style="162" bestFit="1" customWidth="1"/>
    <col min="12080" max="12318" width="9.21875" style="162"/>
    <col min="12319" max="12319" width="53" style="162" customWidth="1"/>
    <col min="12320" max="12320" width="14.44140625" style="162" customWidth="1"/>
    <col min="12321" max="12333" width="11" style="162" customWidth="1"/>
    <col min="12334" max="12334" width="12.77734375" style="162" customWidth="1"/>
    <col min="12335" max="12335" width="10" style="162" bestFit="1" customWidth="1"/>
    <col min="12336" max="12574" width="9.21875" style="162"/>
    <col min="12575" max="12575" width="53" style="162" customWidth="1"/>
    <col min="12576" max="12576" width="14.44140625" style="162" customWidth="1"/>
    <col min="12577" max="12589" width="11" style="162" customWidth="1"/>
    <col min="12590" max="12590" width="12.77734375" style="162" customWidth="1"/>
    <col min="12591" max="12591" width="10" style="162" bestFit="1" customWidth="1"/>
    <col min="12592" max="12830" width="9.21875" style="162"/>
    <col min="12831" max="12831" width="53" style="162" customWidth="1"/>
    <col min="12832" max="12832" width="14.44140625" style="162" customWidth="1"/>
    <col min="12833" max="12845" width="11" style="162" customWidth="1"/>
    <col min="12846" max="12846" width="12.77734375" style="162" customWidth="1"/>
    <col min="12847" max="12847" width="10" style="162" bestFit="1" customWidth="1"/>
    <col min="12848" max="13086" width="9.21875" style="162"/>
    <col min="13087" max="13087" width="53" style="162" customWidth="1"/>
    <col min="13088" max="13088" width="14.44140625" style="162" customWidth="1"/>
    <col min="13089" max="13101" width="11" style="162" customWidth="1"/>
    <col min="13102" max="13102" width="12.77734375" style="162" customWidth="1"/>
    <col min="13103" max="13103" width="10" style="162" bestFit="1" customWidth="1"/>
    <col min="13104" max="13342" width="9.21875" style="162"/>
    <col min="13343" max="13343" width="53" style="162" customWidth="1"/>
    <col min="13344" max="13344" width="14.44140625" style="162" customWidth="1"/>
    <col min="13345" max="13357" width="11" style="162" customWidth="1"/>
    <col min="13358" max="13358" width="12.77734375" style="162" customWidth="1"/>
    <col min="13359" max="13359" width="10" style="162" bestFit="1" customWidth="1"/>
    <col min="13360" max="13598" width="9.21875" style="162"/>
    <col min="13599" max="13599" width="53" style="162" customWidth="1"/>
    <col min="13600" max="13600" width="14.44140625" style="162" customWidth="1"/>
    <col min="13601" max="13613" width="11" style="162" customWidth="1"/>
    <col min="13614" max="13614" width="12.77734375" style="162" customWidth="1"/>
    <col min="13615" max="13615" width="10" style="162" bestFit="1" customWidth="1"/>
    <col min="13616" max="13854" width="9.21875" style="162"/>
    <col min="13855" max="13855" width="53" style="162" customWidth="1"/>
    <col min="13856" max="13856" width="14.44140625" style="162" customWidth="1"/>
    <col min="13857" max="13869" width="11" style="162" customWidth="1"/>
    <col min="13870" max="13870" width="12.77734375" style="162" customWidth="1"/>
    <col min="13871" max="13871" width="10" style="162" bestFit="1" customWidth="1"/>
    <col min="13872" max="14110" width="9.21875" style="162"/>
    <col min="14111" max="14111" width="53" style="162" customWidth="1"/>
    <col min="14112" max="14112" width="14.44140625" style="162" customWidth="1"/>
    <col min="14113" max="14125" width="11" style="162" customWidth="1"/>
    <col min="14126" max="14126" width="12.77734375" style="162" customWidth="1"/>
    <col min="14127" max="14127" width="10" style="162" bestFit="1" customWidth="1"/>
    <col min="14128" max="14366" width="9.21875" style="162"/>
    <col min="14367" max="14367" width="53" style="162" customWidth="1"/>
    <col min="14368" max="14368" width="14.44140625" style="162" customWidth="1"/>
    <col min="14369" max="14381" width="11" style="162" customWidth="1"/>
    <col min="14382" max="14382" width="12.77734375" style="162" customWidth="1"/>
    <col min="14383" max="14383" width="10" style="162" bestFit="1" customWidth="1"/>
    <col min="14384" max="14622" width="9.21875" style="162"/>
    <col min="14623" max="14623" width="53" style="162" customWidth="1"/>
    <col min="14624" max="14624" width="14.44140625" style="162" customWidth="1"/>
    <col min="14625" max="14637" width="11" style="162" customWidth="1"/>
    <col min="14638" max="14638" width="12.77734375" style="162" customWidth="1"/>
    <col min="14639" max="14639" width="10" style="162" bestFit="1" customWidth="1"/>
    <col min="14640" max="14878" width="9.21875" style="162"/>
    <col min="14879" max="14879" width="53" style="162" customWidth="1"/>
    <col min="14880" max="14880" width="14.44140625" style="162" customWidth="1"/>
    <col min="14881" max="14893" width="11" style="162" customWidth="1"/>
    <col min="14894" max="14894" width="12.77734375" style="162" customWidth="1"/>
    <col min="14895" max="14895" width="10" style="162" bestFit="1" customWidth="1"/>
    <col min="14896" max="15134" width="9.21875" style="162"/>
    <col min="15135" max="15135" width="53" style="162" customWidth="1"/>
    <col min="15136" max="15136" width="14.44140625" style="162" customWidth="1"/>
    <col min="15137" max="15149" width="11" style="162" customWidth="1"/>
    <col min="15150" max="15150" width="12.77734375" style="162" customWidth="1"/>
    <col min="15151" max="15151" width="10" style="162" bestFit="1" customWidth="1"/>
    <col min="15152" max="15390" width="9.21875" style="162"/>
    <col min="15391" max="15391" width="53" style="162" customWidth="1"/>
    <col min="15392" max="15392" width="14.44140625" style="162" customWidth="1"/>
    <col min="15393" max="15405" width="11" style="162" customWidth="1"/>
    <col min="15406" max="15406" width="12.77734375" style="162" customWidth="1"/>
    <col min="15407" max="15407" width="10" style="162" bestFit="1" customWidth="1"/>
    <col min="15408" max="15646" width="9.21875" style="162"/>
    <col min="15647" max="15647" width="53" style="162" customWidth="1"/>
    <col min="15648" max="15648" width="14.44140625" style="162" customWidth="1"/>
    <col min="15649" max="15661" width="11" style="162" customWidth="1"/>
    <col min="15662" max="15662" width="12.77734375" style="162" customWidth="1"/>
    <col min="15663" max="15663" width="10" style="162" bestFit="1" customWidth="1"/>
    <col min="15664" max="15902" width="9.21875" style="162"/>
    <col min="15903" max="15903" width="53" style="162" customWidth="1"/>
    <col min="15904" max="15904" width="14.44140625" style="162" customWidth="1"/>
    <col min="15905" max="15917" width="11" style="162" customWidth="1"/>
    <col min="15918" max="15918" width="12.77734375" style="162" customWidth="1"/>
    <col min="15919" max="15919" width="10" style="162" bestFit="1" customWidth="1"/>
    <col min="15920" max="16158" width="9.21875" style="162"/>
    <col min="16159" max="16159" width="53" style="162" customWidth="1"/>
    <col min="16160" max="16160" width="14.44140625" style="162" customWidth="1"/>
    <col min="16161" max="16173" width="11" style="162" customWidth="1"/>
    <col min="16174" max="16174" width="12.77734375" style="162" customWidth="1"/>
    <col min="16175" max="16175" width="10" style="162" bestFit="1" customWidth="1"/>
    <col min="16176" max="16384" width="9.21875" style="162"/>
  </cols>
  <sheetData>
    <row r="1" spans="1:55" x14ac:dyDescent="0.4">
      <c r="A1" s="155"/>
      <c r="B1" s="156"/>
      <c r="C1" s="156"/>
      <c r="D1" s="157" t="str">
        <f>A91</f>
        <v>Строк окупності проекту з урахуванням інвестицій, міс.:</v>
      </c>
      <c r="E1" s="158">
        <f>B91</f>
        <v>10</v>
      </c>
      <c r="F1" s="156"/>
      <c r="G1" s="156"/>
      <c r="H1" s="156"/>
      <c r="I1" s="156"/>
      <c r="J1" s="156"/>
      <c r="K1" s="159"/>
      <c r="L1" s="159"/>
      <c r="M1" s="159"/>
      <c r="N1" s="159"/>
      <c r="O1" s="159"/>
      <c r="P1" s="160"/>
      <c r="Q1" s="160"/>
      <c r="R1" s="156"/>
      <c r="S1" s="161"/>
      <c r="T1" s="156"/>
      <c r="U1" s="156"/>
      <c r="V1" s="156"/>
      <c r="W1" s="156"/>
      <c r="X1" s="156"/>
      <c r="Y1" s="159"/>
      <c r="Z1" s="159"/>
      <c r="AA1" s="159"/>
      <c r="AB1" s="159"/>
      <c r="AC1" s="159"/>
      <c r="AD1" s="160"/>
      <c r="AE1" s="160"/>
      <c r="AF1" s="156"/>
      <c r="AG1" s="161"/>
      <c r="AH1" s="156"/>
      <c r="AI1" s="156"/>
      <c r="AJ1" s="156"/>
      <c r="AK1" s="156"/>
      <c r="AL1" s="156"/>
      <c r="AM1" s="159"/>
      <c r="AN1" s="159"/>
      <c r="AO1" s="159"/>
      <c r="AP1" s="159"/>
      <c r="AQ1" s="159"/>
      <c r="AR1" s="160"/>
      <c r="AS1" s="160"/>
      <c r="AT1" s="159"/>
      <c r="AW1" s="163" t="s">
        <v>6</v>
      </c>
      <c r="AX1" s="163" t="s">
        <v>215</v>
      </c>
    </row>
    <row r="2" spans="1:55" hidden="1" x14ac:dyDescent="0.4">
      <c r="C2" s="164">
        <f>IF(D2=1,12,D2-1)</f>
        <v>12</v>
      </c>
      <c r="D2" s="164">
        <f>'Вхідні дані'!$O$1</f>
        <v>1</v>
      </c>
      <c r="E2" s="164">
        <f>IF(D2=12,1,D2+1)</f>
        <v>2</v>
      </c>
      <c r="F2" s="164">
        <f t="shared" ref="F2:AC2" si="0">IF(E2=12,1,E2+1)</f>
        <v>3</v>
      </c>
      <c r="G2" s="164">
        <f t="shared" si="0"/>
        <v>4</v>
      </c>
      <c r="H2" s="164">
        <f t="shared" si="0"/>
        <v>5</v>
      </c>
      <c r="I2" s="164">
        <f t="shared" si="0"/>
        <v>6</v>
      </c>
      <c r="J2" s="164">
        <f t="shared" si="0"/>
        <v>7</v>
      </c>
      <c r="K2" s="164">
        <f t="shared" si="0"/>
        <v>8</v>
      </c>
      <c r="L2" s="164">
        <f t="shared" si="0"/>
        <v>9</v>
      </c>
      <c r="M2" s="164">
        <f t="shared" si="0"/>
        <v>10</v>
      </c>
      <c r="N2" s="164">
        <f t="shared" si="0"/>
        <v>11</v>
      </c>
      <c r="O2" s="164">
        <f t="shared" si="0"/>
        <v>12</v>
      </c>
      <c r="P2" s="165"/>
      <c r="Q2" s="165"/>
      <c r="R2" s="164">
        <f>IF(O2=12,1,O2+1)</f>
        <v>1</v>
      </c>
      <c r="S2" s="164">
        <f t="shared" si="0"/>
        <v>2</v>
      </c>
      <c r="T2" s="164">
        <f t="shared" si="0"/>
        <v>3</v>
      </c>
      <c r="U2" s="164">
        <f t="shared" si="0"/>
        <v>4</v>
      </c>
      <c r="V2" s="164">
        <f t="shared" si="0"/>
        <v>5</v>
      </c>
      <c r="W2" s="164">
        <f t="shared" si="0"/>
        <v>6</v>
      </c>
      <c r="X2" s="164">
        <f t="shared" si="0"/>
        <v>7</v>
      </c>
      <c r="Y2" s="164">
        <f t="shared" si="0"/>
        <v>8</v>
      </c>
      <c r="Z2" s="164">
        <f t="shared" si="0"/>
        <v>9</v>
      </c>
      <c r="AA2" s="164">
        <f t="shared" si="0"/>
        <v>10</v>
      </c>
      <c r="AB2" s="164">
        <f t="shared" si="0"/>
        <v>11</v>
      </c>
      <c r="AC2" s="164">
        <f t="shared" si="0"/>
        <v>12</v>
      </c>
      <c r="AD2" s="165"/>
      <c r="AE2" s="165"/>
      <c r="AF2" s="164">
        <f>IF(AC2=12,1,AC2+1)</f>
        <v>1</v>
      </c>
      <c r="AG2" s="164">
        <f t="shared" ref="AG2:AQ2" si="1">IF(AF2=12,1,AF2+1)</f>
        <v>2</v>
      </c>
      <c r="AH2" s="164">
        <f t="shared" si="1"/>
        <v>3</v>
      </c>
      <c r="AI2" s="164">
        <f t="shared" si="1"/>
        <v>4</v>
      </c>
      <c r="AJ2" s="164">
        <f t="shared" si="1"/>
        <v>5</v>
      </c>
      <c r="AK2" s="164">
        <f t="shared" si="1"/>
        <v>6</v>
      </c>
      <c r="AL2" s="164">
        <f t="shared" si="1"/>
        <v>7</v>
      </c>
      <c r="AM2" s="164">
        <f t="shared" si="1"/>
        <v>8</v>
      </c>
      <c r="AN2" s="164">
        <f t="shared" si="1"/>
        <v>9</v>
      </c>
      <c r="AO2" s="164">
        <f t="shared" si="1"/>
        <v>10</v>
      </c>
      <c r="AP2" s="164">
        <f t="shared" si="1"/>
        <v>11</v>
      </c>
      <c r="AQ2" s="164">
        <f t="shared" si="1"/>
        <v>12</v>
      </c>
      <c r="AR2" s="165"/>
      <c r="AS2" s="165"/>
      <c r="AW2" s="163" t="s">
        <v>65</v>
      </c>
      <c r="AX2" s="163" t="s">
        <v>216</v>
      </c>
    </row>
    <row r="3" spans="1:55" hidden="1" x14ac:dyDescent="0.4">
      <c r="C3" s="164"/>
      <c r="D3" s="164">
        <f>CHOOSE(D2,31,28,31,30,31,30,31,31,30,31,30,31)</f>
        <v>31</v>
      </c>
      <c r="E3" s="164">
        <f t="shared" ref="E3:O3" si="2">CHOOSE(E2,31,28,31,30,31,30,31,31,30,31,30,31)</f>
        <v>28</v>
      </c>
      <c r="F3" s="164">
        <f t="shared" si="2"/>
        <v>31</v>
      </c>
      <c r="G3" s="164">
        <f t="shared" si="2"/>
        <v>30</v>
      </c>
      <c r="H3" s="164">
        <f t="shared" si="2"/>
        <v>31</v>
      </c>
      <c r="I3" s="164">
        <f t="shared" si="2"/>
        <v>30</v>
      </c>
      <c r="J3" s="164">
        <f t="shared" si="2"/>
        <v>31</v>
      </c>
      <c r="K3" s="164">
        <f t="shared" si="2"/>
        <v>31</v>
      </c>
      <c r="L3" s="164">
        <f t="shared" si="2"/>
        <v>30</v>
      </c>
      <c r="M3" s="164">
        <f t="shared" si="2"/>
        <v>31</v>
      </c>
      <c r="N3" s="164">
        <f t="shared" si="2"/>
        <v>30</v>
      </c>
      <c r="O3" s="164">
        <f t="shared" si="2"/>
        <v>31</v>
      </c>
      <c r="P3" s="166">
        <f>AVERAGE(D3:O3)</f>
        <v>30.416666666666668</v>
      </c>
      <c r="Q3" s="165"/>
      <c r="R3" s="164">
        <f>CHOOSE(R2,31,28,31,30,31,30,31,31,30,31,30,31)</f>
        <v>31</v>
      </c>
      <c r="S3" s="164">
        <f t="shared" ref="S3" si="3">CHOOSE(S2,31,28,31,30,31,30,31,31,30,31,30,31)</f>
        <v>28</v>
      </c>
      <c r="T3" s="164">
        <f t="shared" ref="T3" si="4">CHOOSE(T2,31,28,31,30,31,30,31,31,30,31,30,31)</f>
        <v>31</v>
      </c>
      <c r="U3" s="164">
        <f t="shared" ref="U3" si="5">CHOOSE(U2,31,28,31,30,31,30,31,31,30,31,30,31)</f>
        <v>30</v>
      </c>
      <c r="V3" s="164">
        <f t="shared" ref="V3" si="6">CHOOSE(V2,31,28,31,30,31,30,31,31,30,31,30,31)</f>
        <v>31</v>
      </c>
      <c r="W3" s="164">
        <f t="shared" ref="W3" si="7">CHOOSE(W2,31,28,31,30,31,30,31,31,30,31,30,31)</f>
        <v>30</v>
      </c>
      <c r="X3" s="164">
        <f t="shared" ref="X3" si="8">CHOOSE(X2,31,28,31,30,31,30,31,31,30,31,30,31)</f>
        <v>31</v>
      </c>
      <c r="Y3" s="164">
        <f t="shared" ref="Y3" si="9">CHOOSE(Y2,31,28,31,30,31,30,31,31,30,31,30,31)</f>
        <v>31</v>
      </c>
      <c r="Z3" s="164">
        <f t="shared" ref="Z3" si="10">CHOOSE(Z2,31,28,31,30,31,30,31,31,30,31,30,31)</f>
        <v>30</v>
      </c>
      <c r="AA3" s="164">
        <f t="shared" ref="AA3" si="11">CHOOSE(AA2,31,28,31,30,31,30,31,31,30,31,30,31)</f>
        <v>31</v>
      </c>
      <c r="AB3" s="164">
        <f t="shared" ref="AB3" si="12">CHOOSE(AB2,31,28,31,30,31,30,31,31,30,31,30,31)</f>
        <v>30</v>
      </c>
      <c r="AC3" s="164">
        <f t="shared" ref="AC3" si="13">CHOOSE(AC2,31,28,31,30,31,30,31,31,30,31,30,31)</f>
        <v>31</v>
      </c>
      <c r="AD3" s="165"/>
      <c r="AE3" s="165"/>
      <c r="AF3" s="164">
        <f>CHOOSE(AF2,31,28,31,30,31,30,31,31,30,31,30,31)</f>
        <v>31</v>
      </c>
      <c r="AG3" s="164">
        <f t="shared" ref="AG3" si="14">CHOOSE(AG2,31,28,31,30,31,30,31,31,30,31,30,31)</f>
        <v>28</v>
      </c>
      <c r="AH3" s="164">
        <f t="shared" ref="AH3" si="15">CHOOSE(AH2,31,28,31,30,31,30,31,31,30,31,30,31)</f>
        <v>31</v>
      </c>
      <c r="AI3" s="164">
        <f t="shared" ref="AI3" si="16">CHOOSE(AI2,31,28,31,30,31,30,31,31,30,31,30,31)</f>
        <v>30</v>
      </c>
      <c r="AJ3" s="164">
        <f t="shared" ref="AJ3" si="17">CHOOSE(AJ2,31,28,31,30,31,30,31,31,30,31,30,31)</f>
        <v>31</v>
      </c>
      <c r="AK3" s="164">
        <f t="shared" ref="AK3" si="18">CHOOSE(AK2,31,28,31,30,31,30,31,31,30,31,30,31)</f>
        <v>30</v>
      </c>
      <c r="AL3" s="164">
        <f t="shared" ref="AL3" si="19">CHOOSE(AL2,31,28,31,30,31,30,31,31,30,31,30,31)</f>
        <v>31</v>
      </c>
      <c r="AM3" s="164">
        <f t="shared" ref="AM3" si="20">CHOOSE(AM2,31,28,31,30,31,30,31,31,30,31,30,31)</f>
        <v>31</v>
      </c>
      <c r="AN3" s="164">
        <f t="shared" ref="AN3" si="21">CHOOSE(AN2,31,28,31,30,31,30,31,31,30,31,30,31)</f>
        <v>30</v>
      </c>
      <c r="AO3" s="164">
        <f t="shared" ref="AO3" si="22">CHOOSE(AO2,31,28,31,30,31,30,31,31,30,31,30,31)</f>
        <v>31</v>
      </c>
      <c r="AP3" s="164">
        <f t="shared" ref="AP3" si="23">CHOOSE(AP2,31,28,31,30,31,30,31,31,30,31,30,31)</f>
        <v>30</v>
      </c>
      <c r="AQ3" s="164">
        <f t="shared" ref="AQ3" si="24">CHOOSE(AQ2,31,28,31,30,31,30,31,31,30,31,30,31)</f>
        <v>31</v>
      </c>
      <c r="AR3" s="165"/>
      <c r="AS3" s="165"/>
    </row>
    <row r="4" spans="1:55" x14ac:dyDescent="0.4">
      <c r="B4" s="167"/>
      <c r="C4" s="167"/>
      <c r="D4" s="434" t="str">
        <f>""&amp;'Узагальнений розрахунок'!A1&amp;", "&amp;'Узагальнений розрахунок'!G2&amp;" - "&amp;'Узагальнений розрахунок'!H2&amp;""</f>
        <v>Фінансова модель франшизи "PEKKER", Формат співробітництва - Міні</v>
      </c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6"/>
      <c r="R4" s="437" t="str">
        <f>D4</f>
        <v>Фінансова модель франшизи "PEKKER", Формат співробітництва - Міні</v>
      </c>
      <c r="S4" s="438"/>
      <c r="T4" s="438"/>
      <c r="U4" s="438"/>
      <c r="V4" s="438"/>
      <c r="W4" s="438"/>
      <c r="X4" s="438"/>
      <c r="Y4" s="438"/>
      <c r="Z4" s="438"/>
      <c r="AA4" s="438"/>
      <c r="AB4" s="438"/>
      <c r="AC4" s="438"/>
      <c r="AD4" s="438"/>
      <c r="AE4" s="439"/>
      <c r="AF4" s="440" t="str">
        <f>R4</f>
        <v>Фінансова модель франшизи "PEKKER", Формат співробітництва - Міні</v>
      </c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0"/>
      <c r="AR4" s="440"/>
      <c r="AS4" s="440"/>
      <c r="AV4" s="168"/>
      <c r="AW4" s="163" t="s">
        <v>101</v>
      </c>
      <c r="AX4" s="163" t="s">
        <v>223</v>
      </c>
    </row>
    <row r="5" spans="1:55" ht="21.6" thickBot="1" x14ac:dyDescent="0.45">
      <c r="B5" s="169"/>
      <c r="C5" s="169"/>
      <c r="D5" s="434" t="str">
        <f>CHOOSE('Вхідні дані'!$S$1,AW11,AX11)</f>
        <v>1-й рік роботи</v>
      </c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6"/>
      <c r="R5" s="437" t="str">
        <f>CHOOSE('Вхідні дані'!$S$1,AW12,AX12)</f>
        <v>2-й рік роботи</v>
      </c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9"/>
      <c r="AF5" s="440" t="str">
        <f>CHOOSE('Вхідні дані'!$S$1,AW13,AX13)</f>
        <v>3-й рік роботи</v>
      </c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  <c r="AS5" s="440"/>
      <c r="AV5" s="168"/>
      <c r="AW5" s="163" t="s">
        <v>67</v>
      </c>
      <c r="AX5" s="163" t="s">
        <v>217</v>
      </c>
    </row>
    <row r="6" spans="1:55" ht="22.2" thickTop="1" thickBot="1" x14ac:dyDescent="0.45">
      <c r="A6" s="170" t="str">
        <f>CHOOSE('Вхідні дані'!$S$1,AW1,AX1)</f>
        <v>ЗАВАНТАЖЕННЯ</v>
      </c>
      <c r="B6" s="171"/>
      <c r="C6" s="172" t="str">
        <f>CHOOSE('Вхідні дані'!$S$1,AW28,AX28)</f>
        <v>Нульовий період</v>
      </c>
      <c r="D6" s="172" t="str">
        <f>CHOOSE(D2,'Вхідні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січень</v>
      </c>
      <c r="E6" s="172" t="str">
        <f>CHOOSE(E2,'Вхідні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лютий</v>
      </c>
      <c r="F6" s="172" t="str">
        <f>CHOOSE(F2,'Вхідні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березень</v>
      </c>
      <c r="G6" s="172" t="str">
        <f>CHOOSE(G2,'Вхідні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квітень</v>
      </c>
      <c r="H6" s="172" t="str">
        <f>CHOOSE(H2,'Вхідні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травень</v>
      </c>
      <c r="I6" s="172" t="str">
        <f>CHOOSE(I2,'Вхідні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червень</v>
      </c>
      <c r="J6" s="172" t="str">
        <f>CHOOSE(J2,'Вхідні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липень</v>
      </c>
      <c r="K6" s="172" t="str">
        <f>CHOOSE(K2,'Вхідні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серпень</v>
      </c>
      <c r="L6" s="172" t="str">
        <f>CHOOSE(L2,'Вхідні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вересень</v>
      </c>
      <c r="M6" s="172" t="str">
        <f>CHOOSE(M2,'Вхідні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жовтень</v>
      </c>
      <c r="N6" s="172" t="str">
        <f>CHOOSE(N2,'Вхідні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листопад</v>
      </c>
      <c r="O6" s="172" t="str">
        <f>CHOOSE(O2,'Вхідні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грудень</v>
      </c>
      <c r="P6" s="173"/>
      <c r="Q6" s="173"/>
      <c r="R6" s="172" t="str">
        <f>CHOOSE(R2,'Вхідні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січень</v>
      </c>
      <c r="S6" s="172" t="str">
        <f>CHOOSE(S2,'Вхідні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лютий</v>
      </c>
      <c r="T6" s="172" t="str">
        <f>CHOOSE(T2,'Вхідні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березень</v>
      </c>
      <c r="U6" s="172" t="str">
        <f>CHOOSE(U2,'Вхідні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квітень</v>
      </c>
      <c r="V6" s="172" t="str">
        <f>CHOOSE(V2,'Вхідні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травень</v>
      </c>
      <c r="W6" s="172" t="str">
        <f>CHOOSE(W2,'Вхідні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червень</v>
      </c>
      <c r="X6" s="172" t="str">
        <f>CHOOSE(X2,'Вхідні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липень</v>
      </c>
      <c r="Y6" s="172" t="str">
        <f>CHOOSE(Y2,'Вхідні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серпень</v>
      </c>
      <c r="Z6" s="172" t="str">
        <f>CHOOSE(Z2,'Вхідні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вересень</v>
      </c>
      <c r="AA6" s="172" t="str">
        <f>CHOOSE(AA2,'Вхідні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жовтень</v>
      </c>
      <c r="AB6" s="172" t="str">
        <f>CHOOSE(AB2,'Вхідні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листопад</v>
      </c>
      <c r="AC6" s="172" t="str">
        <f>CHOOSE(AC2,'Вхідні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грудень</v>
      </c>
      <c r="AD6" s="173"/>
      <c r="AE6" s="173"/>
      <c r="AF6" s="172" t="str">
        <f>CHOOSE(AF2,'Вхідні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січень</v>
      </c>
      <c r="AG6" s="172" t="str">
        <f>CHOOSE(AG2,'Вхідні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лютий</v>
      </c>
      <c r="AH6" s="172" t="str">
        <f>CHOOSE(AH2,'Вхідні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березень</v>
      </c>
      <c r="AI6" s="172" t="str">
        <f>CHOOSE(AI2,'Вхідні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квітень</v>
      </c>
      <c r="AJ6" s="172" t="str">
        <f>CHOOSE(AJ2,'Вхідні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травень</v>
      </c>
      <c r="AK6" s="172" t="str">
        <f>CHOOSE(AK2,'Вхідні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червень</v>
      </c>
      <c r="AL6" s="172" t="str">
        <f>CHOOSE(AL2,'Вхідні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липень</v>
      </c>
      <c r="AM6" s="172" t="str">
        <f>CHOOSE(AM2,'Вхідні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серпень</v>
      </c>
      <c r="AN6" s="172" t="str">
        <f>CHOOSE(AN2,'Вхідні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вересень</v>
      </c>
      <c r="AO6" s="172" t="str">
        <f>CHOOSE(AO2,'Вхідні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жовтень</v>
      </c>
      <c r="AP6" s="172" t="str">
        <f>CHOOSE(AP2,'Вхідні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листопад</v>
      </c>
      <c r="AQ6" s="172" t="str">
        <f>CHOOSE(AQ2,'Вхідні дані'!$P$1,'Вхідні дані'!$P$2,'Вхідні дані'!$P$3,'Вхідні дані'!$P$4,'Вхідні дані'!$P$5,'Вхідні дані'!$P$6,'Вхідні дані'!$P$7,'Вхідні дані'!$P$8,'Вхідні дані'!$P$9,'Вхідні дані'!$P$10,'Вхідні дані'!$P$11,'Вхідні дані'!$P$12)</f>
        <v>грудень</v>
      </c>
      <c r="AR6" s="173"/>
      <c r="AS6" s="173"/>
      <c r="AT6" s="174"/>
      <c r="AV6" s="168"/>
      <c r="AW6" s="163" t="s">
        <v>66</v>
      </c>
      <c r="AX6" s="163" t="s">
        <v>218</v>
      </c>
    </row>
    <row r="7" spans="1:55" s="178" customFormat="1" ht="21.6" outlineLevel="1" thickTop="1" x14ac:dyDescent="0.4">
      <c r="A7" s="175" t="str">
        <f>CHOOSE('Вхідні дані'!$S$1,AW2,AX2)</f>
        <v>Вихід продажів на планові показники та подальше збільшення обсягів*</v>
      </c>
      <c r="B7" s="176"/>
      <c r="C7" s="176"/>
      <c r="D7" s="168">
        <f>CHOOSE('Узагальнений розрахунок'!$M$1,'Вхідні дані'!$C21,'Вхідні дані'!$D21,'Вхідні дані'!$E21)</f>
        <v>0.8</v>
      </c>
      <c r="E7" s="168">
        <f>CHOOSE('Узагальнений розрахунок'!$M$1,'Вхідні дані'!$C22,'Вхідні дані'!$D22,'Вхідні дані'!$E22)</f>
        <v>1</v>
      </c>
      <c r="F7" s="168">
        <f>CHOOSE('Узагальнений розрахунок'!$M$1,'Вхідні дані'!$C23,'Вхідні дані'!$D23,'Вхідні дані'!$E23)</f>
        <v>1</v>
      </c>
      <c r="G7" s="168">
        <f>CHOOSE('Узагальнений розрахунок'!$M$1,'Вхідні дані'!$C24,'Вхідні дані'!$D24,'Вхідні дані'!$E24)</f>
        <v>1</v>
      </c>
      <c r="H7" s="168">
        <f>CHOOSE('Узагальнений розрахунок'!$M$1,'Вхідні дані'!$C25,'Вхідні дані'!$D25,'Вхідні дані'!$E25)</f>
        <v>1</v>
      </c>
      <c r="I7" s="168">
        <f>CHOOSE('Узагальнений розрахунок'!$M$1,'Вхідні дані'!$C26,'Вхідні дані'!$D26,'Вхідні дані'!$E26)</f>
        <v>1</v>
      </c>
      <c r="J7" s="168">
        <f>CHOOSE('Узагальнений розрахунок'!$M$1,'Вхідні дані'!$C27,'Вхідні дані'!$D27,'Вхідні дані'!$E27)</f>
        <v>1</v>
      </c>
      <c r="K7" s="168">
        <f>CHOOSE('Узагальнений розрахунок'!$M$1,'Вхідні дані'!$C28,'Вхідні дані'!$D28,'Вхідні дані'!$E28)</f>
        <v>1</v>
      </c>
      <c r="L7" s="168">
        <f>CHOOSE('Узагальнений розрахунок'!$M$1,'Вхідні дані'!$C29,'Вхідні дані'!$D29,'Вхідні дані'!$E29)</f>
        <v>1</v>
      </c>
      <c r="M7" s="168">
        <f>CHOOSE('Узагальнений розрахунок'!$M$1,'Вхідні дані'!$C30,'Вхідні дані'!$D30,'Вхідні дані'!$E30)</f>
        <v>1</v>
      </c>
      <c r="N7" s="168">
        <f>CHOOSE('Узагальнений розрахунок'!$M$1,'Вхідні дані'!$C31,'Вхідні дані'!$D31,'Вхідні дані'!$E31)</f>
        <v>1</v>
      </c>
      <c r="O7" s="168">
        <f>CHOOSE('Узагальнений розрахунок'!$M$1,'Вхідні дані'!$C32,'Вхідні дані'!$D32,'Вхідні дані'!$E32)</f>
        <v>1</v>
      </c>
      <c r="P7" s="177"/>
      <c r="Q7" s="177"/>
      <c r="R7" s="168">
        <f>CHOOSE('Узагальнений розрахунок'!$M$1,'Вхідні дані'!$C33,'Вхідні дані'!$D33,'Вхідні дані'!$E33)</f>
        <v>1.2</v>
      </c>
      <c r="S7" s="168">
        <f>CHOOSE('Узагальнений розрахунок'!$M$1,'Вхідні дані'!$C33,'Вхідні дані'!$D33,'Вхідні дані'!$E33)</f>
        <v>1.2</v>
      </c>
      <c r="T7" s="168">
        <f>CHOOSE('Узагальнений розрахунок'!$M$1,'Вхідні дані'!$C33,'Вхідні дані'!$D33,'Вхідні дані'!$E33)</f>
        <v>1.2</v>
      </c>
      <c r="U7" s="168">
        <f>CHOOSE('Узагальнений розрахунок'!$M$1,'Вхідні дані'!$C33,'Вхідні дані'!$D33,'Вхідні дані'!$E33)</f>
        <v>1.2</v>
      </c>
      <c r="V7" s="168">
        <f>CHOOSE('Узагальнений розрахунок'!$M$1,'Вхідні дані'!$C33,'Вхідні дані'!$D33,'Вхідні дані'!$E33)</f>
        <v>1.2</v>
      </c>
      <c r="W7" s="168">
        <f>CHOOSE('Узагальнений розрахунок'!$M$1,'Вхідні дані'!$C33,'Вхідні дані'!$D33,'Вхідні дані'!$E33)</f>
        <v>1.2</v>
      </c>
      <c r="X7" s="168">
        <f>CHOOSE('Узагальнений розрахунок'!$M$1,'Вхідні дані'!$C33,'Вхідні дані'!$D33,'Вхідні дані'!$E33)</f>
        <v>1.2</v>
      </c>
      <c r="Y7" s="168">
        <f>CHOOSE('Узагальнений розрахунок'!$M$1,'Вхідні дані'!$C33,'Вхідні дані'!$D33,'Вхідні дані'!$E33)</f>
        <v>1.2</v>
      </c>
      <c r="Z7" s="168">
        <f>CHOOSE('Узагальнений розрахунок'!$M$1,'Вхідні дані'!$C33,'Вхідні дані'!$D33,'Вхідні дані'!$E33)</f>
        <v>1.2</v>
      </c>
      <c r="AA7" s="168">
        <f>CHOOSE('Узагальнений розрахунок'!$M$1,'Вхідні дані'!$C33,'Вхідні дані'!$D33,'Вхідні дані'!$E33)</f>
        <v>1.2</v>
      </c>
      <c r="AB7" s="168">
        <f>CHOOSE('Узагальнений розрахунок'!$M$1,'Вхідні дані'!$C33,'Вхідні дані'!$D33,'Вхідні дані'!$E33)</f>
        <v>1.2</v>
      </c>
      <c r="AC7" s="168">
        <f>CHOOSE('Узагальнений розрахунок'!$M$1,'Вхідні дані'!$C33,'Вхідні дані'!$D33,'Вхідні дані'!$E33)</f>
        <v>1.2</v>
      </c>
      <c r="AD7" s="177"/>
      <c r="AE7" s="177"/>
      <c r="AF7" s="168">
        <f>CHOOSE('Узагальнений розрахунок'!$M$1,'Вхідні дані'!$C34,'Вхідні дані'!$D34,'Вхідні дані'!$E34)</f>
        <v>1.3</v>
      </c>
      <c r="AG7" s="168">
        <f>CHOOSE('Узагальнений розрахунок'!$M$1,'Вхідні дані'!$C34,'Вхідні дані'!$D34,'Вхідні дані'!$E34)</f>
        <v>1.3</v>
      </c>
      <c r="AH7" s="168">
        <f>CHOOSE('Узагальнений розрахунок'!$M$1,'Вхідні дані'!$C34,'Вхідні дані'!$D34,'Вхідні дані'!$E34)</f>
        <v>1.3</v>
      </c>
      <c r="AI7" s="168">
        <f>CHOOSE('Узагальнений розрахунок'!$M$1,'Вхідні дані'!$C34,'Вхідні дані'!$D34,'Вхідні дані'!$E34)</f>
        <v>1.3</v>
      </c>
      <c r="AJ7" s="168">
        <f>CHOOSE('Узагальнений розрахунок'!$M$1,'Вхідні дані'!$C34,'Вхідні дані'!$D34,'Вхідні дані'!$E34)</f>
        <v>1.3</v>
      </c>
      <c r="AK7" s="168">
        <f>CHOOSE('Узагальнений розрахунок'!$M$1,'Вхідні дані'!$C34,'Вхідні дані'!$D34,'Вхідні дані'!$E34)</f>
        <v>1.3</v>
      </c>
      <c r="AL7" s="168">
        <f>CHOOSE('Узагальнений розрахунок'!$M$1,'Вхідні дані'!$C34,'Вхідні дані'!$D34,'Вхідні дані'!$E34)</f>
        <v>1.3</v>
      </c>
      <c r="AM7" s="168">
        <f>CHOOSE('Узагальнений розрахунок'!$M$1,'Вхідні дані'!$C34,'Вхідні дані'!$D34,'Вхідні дані'!$E34)</f>
        <v>1.3</v>
      </c>
      <c r="AN7" s="168">
        <f>CHOOSE('Узагальнений розрахунок'!$M$1,'Вхідні дані'!$C34,'Вхідні дані'!$D34,'Вхідні дані'!$E34)</f>
        <v>1.3</v>
      </c>
      <c r="AO7" s="168">
        <f>CHOOSE('Узагальнений розрахунок'!$M$1,'Вхідні дані'!$C34,'Вхідні дані'!$D34,'Вхідні дані'!$E34)</f>
        <v>1.3</v>
      </c>
      <c r="AP7" s="168">
        <f>CHOOSE('Узагальнений розрахунок'!$M$1,'Вхідні дані'!$C34,'Вхідні дані'!$D34,'Вхідні дані'!$E34)</f>
        <v>1.3</v>
      </c>
      <c r="AQ7" s="168">
        <f>CHOOSE('Узагальнений розрахунок'!$M$1,'Вхідні дані'!$C34,'Вхідні дані'!$D34,'Вхідні дані'!$E34)</f>
        <v>1.3</v>
      </c>
      <c r="AR7" s="177"/>
      <c r="AS7" s="177"/>
      <c r="AT7" s="168"/>
      <c r="AV7" s="168"/>
      <c r="AW7" s="163" t="s">
        <v>93</v>
      </c>
      <c r="AX7" s="163" t="s">
        <v>219</v>
      </c>
    </row>
    <row r="8" spans="1:55" s="178" customFormat="1" outlineLevel="1" x14ac:dyDescent="0.4">
      <c r="A8" s="175" t="str">
        <f>CHOOSE('Вхідні дані'!$S$1,AW4,AX4)</f>
        <v>Процент впливу сезону на планові показники по виручці*</v>
      </c>
      <c r="B8" s="176"/>
      <c r="C8" s="176"/>
      <c r="D8" s="168">
        <f>CHOOSE('Узагальнений розрахунок'!$M$1,CHOOSE(D2,'Вхідні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дані'!$I$32),CHOOSE(D2,'Вхідні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дані'!$J$32),CHOOSE(D2,'Вхідні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E8" s="168">
        <f>CHOOSE('Узагальнений розрахунок'!$M$1,CHOOSE(E2,'Вхідні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дані'!$I$32),CHOOSE(E2,'Вхідні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дані'!$J$32),CHOOSE(E2,'Вхідні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F8" s="168">
        <f>CHOOSE('Узагальнений розрахунок'!$M$1,CHOOSE(F2,'Вхідні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дані'!$I$32),CHOOSE(F2,'Вхідні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дані'!$J$32),CHOOSE(F2,'Вхідні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G8" s="168">
        <f>CHOOSE('Узагальнений розрахунок'!$M$1,CHOOSE(G2,'Вхідні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дані'!$I$32),CHOOSE(G2,'Вхідні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дані'!$J$32),CHOOSE(G2,'Вхідні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H8" s="168">
        <f>CHOOSE('Узагальнений розрахунок'!$M$1,CHOOSE(H2,'Вхідні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дані'!$I$32),CHOOSE(H2,'Вхідні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дані'!$J$32),CHOOSE(H2,'Вхідні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I8" s="168">
        <f>CHOOSE('Узагальнений розрахунок'!$M$1,CHOOSE(I2,'Вхідні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дані'!$I$32),CHOOSE(I2,'Вхідні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дані'!$J$32),CHOOSE(I2,'Вхідні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J8" s="168">
        <f>CHOOSE('Узагальнений розрахунок'!$M$1,CHOOSE(J2,'Вхідні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дані'!$I$32),CHOOSE(J2,'Вхідні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дані'!$J$32),CHOOSE(J2,'Вхідні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K8" s="168">
        <f>CHOOSE('Узагальнений розрахунок'!$M$1,CHOOSE(K2,'Вхідні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дані'!$I$32),CHOOSE(K2,'Вхідні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дані'!$J$32),CHOOSE(K2,'Вхідні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L8" s="168">
        <f>CHOOSE('Узагальнений розрахунок'!$M$1,CHOOSE(L2,'Вхідні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дані'!$I$32),CHOOSE(L2,'Вхідні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дані'!$J$32),CHOOSE(L2,'Вхідні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M8" s="168">
        <f>CHOOSE('Узагальнений розрахунок'!$M$1,CHOOSE(M2,'Вхідні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дані'!$I$32),CHOOSE(M2,'Вхідні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дані'!$J$32),CHOOSE(M2,'Вхідні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N8" s="168">
        <f>CHOOSE('Узагальнений розрахунок'!$M$1,CHOOSE(N2,'Вхідні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дані'!$I$32),CHOOSE(N2,'Вхідні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дані'!$J$32),CHOOSE(N2,'Вхідні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O8" s="168">
        <f>CHOOSE('Узагальнений розрахунок'!$M$1,CHOOSE(O2,'Вхідні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дані'!$I$32),CHOOSE(O2,'Вхідні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дані'!$J$32),CHOOSE(O2,'Вхідні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P8" s="177"/>
      <c r="Q8" s="177"/>
      <c r="R8" s="168">
        <f>CHOOSE('Узагальнений розрахунок'!$M$1,CHOOSE(R2,'Вхідні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дані'!$I$32),CHOOSE(R2,'Вхідні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дані'!$J$32),CHOOSE(R2,'Вхідні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S8" s="168">
        <f>CHOOSE('Узагальнений розрахунок'!$M$1,CHOOSE(S2,'Вхідні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дані'!$I$32),CHOOSE(S2,'Вхідні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дані'!$J$32),CHOOSE(S2,'Вхідні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T8" s="168">
        <f>CHOOSE('Узагальнений розрахунок'!$M$1,CHOOSE(T2,'Вхідні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дані'!$I$32),CHOOSE(T2,'Вхідні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дані'!$J$32),CHOOSE(T2,'Вхідні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U8" s="168">
        <f>CHOOSE('Узагальнений розрахунок'!$M$1,CHOOSE(U2,'Вхідні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дані'!$I$32),CHOOSE(U2,'Вхідні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дані'!$J$32),CHOOSE(U2,'Вхідні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V8" s="168">
        <f>CHOOSE('Узагальнений розрахунок'!$M$1,CHOOSE(V2,'Вхідні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дані'!$I$32),CHOOSE(V2,'Вхідні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дані'!$J$32),CHOOSE(V2,'Вхідні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W8" s="168">
        <f>CHOOSE('Узагальнений розрахунок'!$M$1,CHOOSE(W2,'Вхідні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дані'!$I$32),CHOOSE(W2,'Вхідні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дані'!$J$32),CHOOSE(W2,'Вхідні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X8" s="168">
        <f>CHOOSE('Узагальнений розрахунок'!$M$1,CHOOSE(X2,'Вхідні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дані'!$I$32),CHOOSE(X2,'Вхідні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дані'!$J$32),CHOOSE(X2,'Вхідні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Y8" s="168">
        <f>CHOOSE('Узагальнений розрахунок'!$M$1,CHOOSE(Y2,'Вхідні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дані'!$I$32),CHOOSE(Y2,'Вхідні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дані'!$J$32),CHOOSE(Y2,'Вхідні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Z8" s="168">
        <f>CHOOSE('Узагальнений розрахунок'!$M$1,CHOOSE(Z2,'Вхідні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дані'!$I$32),CHOOSE(Z2,'Вхідні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дані'!$J$32),CHOOSE(Z2,'Вхідні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A8" s="168">
        <f>CHOOSE('Узагальнений розрахунок'!$M$1,CHOOSE(AA2,'Вхідні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дані'!$I$32),CHOOSE(AA2,'Вхідні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дані'!$J$32),CHOOSE(AA2,'Вхідні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B8" s="168">
        <f>CHOOSE('Узагальнений розрахунок'!$M$1,CHOOSE(AB2,'Вхідні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дані'!$I$32),CHOOSE(AB2,'Вхідні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дані'!$J$32),CHOOSE(AB2,'Вхідні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C8" s="168">
        <f>CHOOSE('Узагальнений розрахунок'!$M$1,CHOOSE(AC2,'Вхідні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дані'!$I$32),CHOOSE(AC2,'Вхідні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дані'!$J$32),CHOOSE(AC2,'Вхідні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D8" s="177"/>
      <c r="AE8" s="177"/>
      <c r="AF8" s="168">
        <f>CHOOSE('Узагальнений розрахунок'!$M$1,CHOOSE(AF2,'Вхідні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дані'!$I$32),CHOOSE(AF2,'Вхідні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дані'!$J$32),CHOOSE(AF2,'Вхідні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G8" s="168">
        <f>CHOOSE('Узагальнений розрахунок'!$M$1,CHOOSE(AG2,'Вхідні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дані'!$I$32),CHOOSE(AG2,'Вхідні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дані'!$J$32),CHOOSE(AG2,'Вхідні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H8" s="168">
        <f>CHOOSE('Узагальнений розрахунок'!$M$1,CHOOSE(AH2,'Вхідні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дані'!$I$32),CHOOSE(AH2,'Вхідні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дані'!$J$32),CHOOSE(AH2,'Вхідні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I8" s="168">
        <f>CHOOSE('Узагальнений розрахунок'!$M$1,CHOOSE(AI2,'Вхідні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дані'!$I$32),CHOOSE(AI2,'Вхідні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дані'!$J$32),CHOOSE(AI2,'Вхідні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J8" s="168">
        <f>CHOOSE('Узагальнений розрахунок'!$M$1,CHOOSE(AJ2,'Вхідні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дані'!$I$32),CHOOSE(AJ2,'Вхідні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дані'!$J$32),CHOOSE(AJ2,'Вхідні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K8" s="168">
        <f>CHOOSE('Узагальнений розрахунок'!$M$1,CHOOSE(AK2,'Вхідні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дані'!$I$32),CHOOSE(AK2,'Вхідні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дані'!$J$32),CHOOSE(AK2,'Вхідні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L8" s="168">
        <f>CHOOSE('Узагальнений розрахунок'!$M$1,CHOOSE(AL2,'Вхідні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дані'!$I$32),CHOOSE(AL2,'Вхідні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дані'!$J$32),CHOOSE(AL2,'Вхідні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M8" s="168">
        <f>CHOOSE('Узагальнений розрахунок'!$M$1,CHOOSE(AM2,'Вхідні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дані'!$I$32),CHOOSE(AM2,'Вхідні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дані'!$J$32),CHOOSE(AM2,'Вхідні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N8" s="168">
        <f>CHOOSE('Узагальнений розрахунок'!$M$1,CHOOSE(AN2,'Вхідні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дані'!$I$32),CHOOSE(AN2,'Вхідні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дані'!$J$32),CHOOSE(AN2,'Вхідні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O8" s="168">
        <f>CHOOSE('Узагальнений розрахунок'!$M$1,CHOOSE(AO2,'Вхідні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дані'!$I$32),CHOOSE(AO2,'Вхідні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дані'!$J$32),CHOOSE(AO2,'Вхідні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P8" s="168">
        <f>CHOOSE('Узагальнений розрахунок'!$M$1,CHOOSE(AP2,'Вхідні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дані'!$I$32),CHOOSE(AP2,'Вхідні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дані'!$J$32),CHOOSE(AP2,'Вхідні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Q8" s="168">
        <f>CHOOSE('Узагальнений розрахунок'!$M$1,CHOOSE(AQ2,'Вхідні дані'!$I$21,'Вхідні дані'!$I$22,'Вхідні дані'!$I$23,'Вхідні дані'!$I$24,'Вхідні дані'!$I$25,'Вхідні дані'!$I$26,'Вхідні дані'!$I$27,'Вхідні дані'!$I$28,'Вхідні дані'!$I$29,'Вхідні дані'!$I$30,'Вхідні дані'!$I$31,'Вхідні дані'!$I$32),CHOOSE(AQ2,'Вхідні дані'!$J$21,'Вхідні дані'!$J$22,'Вхідні дані'!$J$23,'Вхідні дані'!$J$24,'Вхідні дані'!$J$25,'Вхідні дані'!$J$26,'Вхідні дані'!$J$27,'Вхідні дані'!$J$28,'Вхідні дані'!$J$29,'Вхідні дані'!$J$30,'Вхідні дані'!$J$31,'Вхідні дані'!$J$32),CHOOSE(AQ2,'Вхідні дані'!$K$21,'Вхідні дані'!$K$22,'Вхідні дані'!$K$23,'Вхідні дані'!$K$24,'Вхідні дані'!$K$25,'Вхідні дані'!$K$26,'Вхідні дані'!$K$27,'Вхідні дані'!$K$28,'Вхідні дані'!$K$29,'Вхідні дані'!$K$30,'Вхідні дані'!$K$31,'Вхідні дані'!$K$32))</f>
        <v>1</v>
      </c>
      <c r="AR8" s="177"/>
      <c r="AS8" s="177"/>
      <c r="AT8" s="168"/>
      <c r="AV8" s="168"/>
      <c r="AW8" s="163" t="s">
        <v>94</v>
      </c>
      <c r="AX8" s="163" t="s">
        <v>220</v>
      </c>
    </row>
    <row r="9" spans="1:55" s="178" customFormat="1" outlineLevel="1" x14ac:dyDescent="0.4">
      <c r="A9" s="175" t="str">
        <f>CHOOSE('Вхідні дані'!$S$1,AW5,AX5)</f>
        <v>Ріст заробітної плати (фіксованого окладу)*</v>
      </c>
      <c r="B9" s="176"/>
      <c r="C9" s="176"/>
      <c r="D9" s="168">
        <v>1</v>
      </c>
      <c r="E9" s="168">
        <v>1</v>
      </c>
      <c r="F9" s="168">
        <v>1</v>
      </c>
      <c r="G9" s="168">
        <v>1</v>
      </c>
      <c r="H9" s="168">
        <v>1</v>
      </c>
      <c r="I9" s="168">
        <v>1</v>
      </c>
      <c r="J9" s="168">
        <v>1</v>
      </c>
      <c r="K9" s="168">
        <v>1</v>
      </c>
      <c r="L9" s="168">
        <v>1</v>
      </c>
      <c r="M9" s="168">
        <v>1</v>
      </c>
      <c r="N9" s="168">
        <v>1</v>
      </c>
      <c r="O9" s="168">
        <v>1</v>
      </c>
      <c r="P9" s="177"/>
      <c r="Q9" s="177"/>
      <c r="R9" s="168">
        <f>'Вхідні дані'!$C$37</f>
        <v>1</v>
      </c>
      <c r="S9" s="168">
        <f>'Вхідні дані'!$C$37</f>
        <v>1</v>
      </c>
      <c r="T9" s="168">
        <f>'Вхідні дані'!$C$37</f>
        <v>1</v>
      </c>
      <c r="U9" s="168">
        <f>'Вхідні дані'!$C$37</f>
        <v>1</v>
      </c>
      <c r="V9" s="168">
        <f>'Вхідні дані'!$C$37</f>
        <v>1</v>
      </c>
      <c r="W9" s="168">
        <f>'Вхідні дані'!$C$37</f>
        <v>1</v>
      </c>
      <c r="X9" s="168">
        <f>'Вхідні дані'!$C$37</f>
        <v>1</v>
      </c>
      <c r="Y9" s="168">
        <f>'Вхідні дані'!$C$37</f>
        <v>1</v>
      </c>
      <c r="Z9" s="168">
        <f>'Вхідні дані'!$C$37</f>
        <v>1</v>
      </c>
      <c r="AA9" s="168">
        <f>'Вхідні дані'!$C$37</f>
        <v>1</v>
      </c>
      <c r="AB9" s="168">
        <f>'Вхідні дані'!$C$37</f>
        <v>1</v>
      </c>
      <c r="AC9" s="168">
        <f>'Вхідні дані'!$C$37</f>
        <v>1</v>
      </c>
      <c r="AD9" s="177"/>
      <c r="AE9" s="177"/>
      <c r="AF9" s="168">
        <f>'Вхідні дані'!$C$38</f>
        <v>1</v>
      </c>
      <c r="AG9" s="168">
        <f>'Вхідні дані'!$C$38</f>
        <v>1</v>
      </c>
      <c r="AH9" s="168">
        <f>'Вхідні дані'!$C$38</f>
        <v>1</v>
      </c>
      <c r="AI9" s="168">
        <f>'Вхідні дані'!$C$38</f>
        <v>1</v>
      </c>
      <c r="AJ9" s="168">
        <f>'Вхідні дані'!$C$38</f>
        <v>1</v>
      </c>
      <c r="AK9" s="168">
        <f>'Вхідні дані'!$C$38</f>
        <v>1</v>
      </c>
      <c r="AL9" s="168">
        <f>'Вхідні дані'!$C$38</f>
        <v>1</v>
      </c>
      <c r="AM9" s="168">
        <f>'Вхідні дані'!$C$38</f>
        <v>1</v>
      </c>
      <c r="AN9" s="168">
        <f>'Вхідні дані'!$C$38</f>
        <v>1</v>
      </c>
      <c r="AO9" s="168">
        <f>'Вхідні дані'!$C$38</f>
        <v>1</v>
      </c>
      <c r="AP9" s="168">
        <f>'Вхідні дані'!$C$38</f>
        <v>1</v>
      </c>
      <c r="AQ9" s="168">
        <f>'Вхідні дані'!$C$38</f>
        <v>1</v>
      </c>
      <c r="AR9" s="177"/>
      <c r="AS9" s="177"/>
      <c r="AT9" s="168"/>
      <c r="AV9" s="168"/>
      <c r="AW9" s="163" t="s">
        <v>95</v>
      </c>
      <c r="AX9" s="163" t="s">
        <v>221</v>
      </c>
    </row>
    <row r="10" spans="1:55" s="178" customFormat="1" outlineLevel="1" x14ac:dyDescent="0.4">
      <c r="A10" s="178" t="str">
        <f>CHOOSE('Вхідні дані'!$S$1,AW6,AX6)</f>
        <v>Ріст орендної плати*</v>
      </c>
      <c r="D10" s="168">
        <v>1</v>
      </c>
      <c r="E10" s="168">
        <v>1</v>
      </c>
      <c r="F10" s="168">
        <v>1</v>
      </c>
      <c r="G10" s="168">
        <v>1</v>
      </c>
      <c r="H10" s="168">
        <v>1</v>
      </c>
      <c r="I10" s="168">
        <v>1</v>
      </c>
      <c r="J10" s="168">
        <v>1</v>
      </c>
      <c r="K10" s="168">
        <v>1</v>
      </c>
      <c r="L10" s="168">
        <v>1</v>
      </c>
      <c r="M10" s="168">
        <v>1</v>
      </c>
      <c r="N10" s="168">
        <v>1</v>
      </c>
      <c r="O10" s="168">
        <v>1</v>
      </c>
      <c r="P10" s="177"/>
      <c r="Q10" s="177"/>
      <c r="R10" s="168">
        <f>'Вхідні дані'!$E$37</f>
        <v>1</v>
      </c>
      <c r="S10" s="168">
        <f>'Вхідні дані'!$E$37</f>
        <v>1</v>
      </c>
      <c r="T10" s="168">
        <f>'Вхідні дані'!$E$37</f>
        <v>1</v>
      </c>
      <c r="U10" s="168">
        <f>'Вхідні дані'!$E$37</f>
        <v>1</v>
      </c>
      <c r="V10" s="168">
        <f>'Вхідні дані'!$E$37</f>
        <v>1</v>
      </c>
      <c r="W10" s="168">
        <f>'Вхідні дані'!$E$37</f>
        <v>1</v>
      </c>
      <c r="X10" s="168">
        <f>'Вхідні дані'!$E$37</f>
        <v>1</v>
      </c>
      <c r="Y10" s="168">
        <f>'Вхідні дані'!$E$37</f>
        <v>1</v>
      </c>
      <c r="Z10" s="168">
        <f>'Вхідні дані'!$E$37</f>
        <v>1</v>
      </c>
      <c r="AA10" s="168">
        <f>'Вхідні дані'!$E$37</f>
        <v>1</v>
      </c>
      <c r="AB10" s="168">
        <f>'Вхідні дані'!$E$37</f>
        <v>1</v>
      </c>
      <c r="AC10" s="168">
        <f>'Вхідні дані'!$E$37</f>
        <v>1</v>
      </c>
      <c r="AD10" s="177"/>
      <c r="AE10" s="177"/>
      <c r="AF10" s="168">
        <f>'Вхідні дані'!$E$38</f>
        <v>1</v>
      </c>
      <c r="AG10" s="168">
        <f>'Вхідні дані'!$E$38</f>
        <v>1</v>
      </c>
      <c r="AH10" s="168">
        <f>'Вхідні дані'!$E$38</f>
        <v>1</v>
      </c>
      <c r="AI10" s="168">
        <f>'Вхідні дані'!$E$38</f>
        <v>1</v>
      </c>
      <c r="AJ10" s="168">
        <f>'Вхідні дані'!$E$38</f>
        <v>1</v>
      </c>
      <c r="AK10" s="168">
        <f>'Вхідні дані'!$E$38</f>
        <v>1</v>
      </c>
      <c r="AL10" s="168">
        <f>'Вхідні дані'!$E$38</f>
        <v>1</v>
      </c>
      <c r="AM10" s="168">
        <f>'Вхідні дані'!$E$38</f>
        <v>1</v>
      </c>
      <c r="AN10" s="168">
        <f>'Вхідні дані'!$E$38</f>
        <v>1</v>
      </c>
      <c r="AO10" s="168">
        <f>'Вхідні дані'!$E$38</f>
        <v>1</v>
      </c>
      <c r="AP10" s="168">
        <f>'Вхідні дані'!$E$38</f>
        <v>1</v>
      </c>
      <c r="AQ10" s="168">
        <f>'Вхідні дані'!$E$38</f>
        <v>1</v>
      </c>
      <c r="AR10" s="177"/>
      <c r="AS10" s="177"/>
      <c r="AV10" s="168"/>
      <c r="AW10" s="163" t="s">
        <v>68</v>
      </c>
      <c r="AX10" s="163" t="s">
        <v>222</v>
      </c>
    </row>
    <row r="11" spans="1:55" s="178" customFormat="1" outlineLevel="1" x14ac:dyDescent="0.4">
      <c r="A11" s="175" t="str">
        <f>CHOOSE('Вхідні дані'!$S$1,AW7,AX7)</f>
        <v>Ріст комунальних платежів*</v>
      </c>
      <c r="B11" s="176"/>
      <c r="C11" s="176"/>
      <c r="D11" s="168">
        <v>1</v>
      </c>
      <c r="E11" s="168">
        <v>1</v>
      </c>
      <c r="F11" s="168">
        <v>1</v>
      </c>
      <c r="G11" s="168">
        <v>1</v>
      </c>
      <c r="H11" s="168">
        <v>1</v>
      </c>
      <c r="I11" s="168">
        <v>1</v>
      </c>
      <c r="J11" s="168">
        <v>1</v>
      </c>
      <c r="K11" s="168">
        <v>1</v>
      </c>
      <c r="L11" s="168">
        <v>1</v>
      </c>
      <c r="M11" s="168">
        <v>1</v>
      </c>
      <c r="N11" s="168">
        <v>1</v>
      </c>
      <c r="O11" s="168">
        <v>1</v>
      </c>
      <c r="P11" s="177"/>
      <c r="Q11" s="177"/>
      <c r="R11" s="168">
        <f>'Вхідні дані'!$F$37</f>
        <v>1</v>
      </c>
      <c r="S11" s="168">
        <f>'Вхідні дані'!$F$37</f>
        <v>1</v>
      </c>
      <c r="T11" s="168">
        <f>'Вхідні дані'!$F$37</f>
        <v>1</v>
      </c>
      <c r="U11" s="168">
        <f>'Вхідні дані'!$F$37</f>
        <v>1</v>
      </c>
      <c r="V11" s="168">
        <f>'Вхідні дані'!$F$37</f>
        <v>1</v>
      </c>
      <c r="W11" s="168">
        <f>'Вхідні дані'!$F$37</f>
        <v>1</v>
      </c>
      <c r="X11" s="168">
        <f>'Вхідні дані'!$F$37</f>
        <v>1</v>
      </c>
      <c r="Y11" s="168">
        <f>'Вхідні дані'!$F$37</f>
        <v>1</v>
      </c>
      <c r="Z11" s="168">
        <f>'Вхідні дані'!$F$37</f>
        <v>1</v>
      </c>
      <c r="AA11" s="168">
        <f>'Вхідні дані'!$F$37</f>
        <v>1</v>
      </c>
      <c r="AB11" s="168">
        <f>'Вхідні дані'!$F$37</f>
        <v>1</v>
      </c>
      <c r="AC11" s="168">
        <f>'Вхідні дані'!$F$37</f>
        <v>1</v>
      </c>
      <c r="AD11" s="177"/>
      <c r="AE11" s="177"/>
      <c r="AF11" s="168">
        <f>'Вхідні дані'!$F$38</f>
        <v>1</v>
      </c>
      <c r="AG11" s="168">
        <f>'Вхідні дані'!$F$38</f>
        <v>1</v>
      </c>
      <c r="AH11" s="168">
        <f>'Вхідні дані'!$F$38</f>
        <v>1</v>
      </c>
      <c r="AI11" s="168">
        <f>'Вхідні дані'!$F$38</f>
        <v>1</v>
      </c>
      <c r="AJ11" s="168">
        <f>'Вхідні дані'!$F$38</f>
        <v>1</v>
      </c>
      <c r="AK11" s="168">
        <f>'Вхідні дані'!$F$38</f>
        <v>1</v>
      </c>
      <c r="AL11" s="168">
        <f>'Вхідні дані'!$F$38</f>
        <v>1</v>
      </c>
      <c r="AM11" s="168">
        <f>'Вхідні дані'!$F$38</f>
        <v>1</v>
      </c>
      <c r="AN11" s="168">
        <f>'Вхідні дані'!$F$38</f>
        <v>1</v>
      </c>
      <c r="AO11" s="168">
        <f>'Вхідні дані'!$F$38</f>
        <v>1</v>
      </c>
      <c r="AP11" s="168">
        <f>'Вхідні дані'!$F$38</f>
        <v>1</v>
      </c>
      <c r="AQ11" s="168">
        <f>'Вхідні дані'!$F$38</f>
        <v>1</v>
      </c>
      <c r="AR11" s="177"/>
      <c r="AS11" s="177"/>
      <c r="AT11" s="168"/>
      <c r="AV11" s="168"/>
      <c r="AW11" s="163" t="s">
        <v>29</v>
      </c>
      <c r="AX11" s="163" t="s">
        <v>224</v>
      </c>
      <c r="AY11" s="162"/>
      <c r="AZ11" s="162"/>
      <c r="BA11" s="162"/>
      <c r="BB11" s="162"/>
      <c r="BC11" s="162"/>
    </row>
    <row r="12" spans="1:55" s="178" customFormat="1" outlineLevel="1" x14ac:dyDescent="0.4">
      <c r="A12" s="178" t="str">
        <f>CHOOSE('Вхідні дані'!$S$1,AW8,AX8)</f>
        <v>Ріст витрат на послуги зв'язку та інтернет*</v>
      </c>
      <c r="D12" s="168">
        <v>1</v>
      </c>
      <c r="E12" s="168">
        <v>1</v>
      </c>
      <c r="F12" s="168">
        <v>1</v>
      </c>
      <c r="G12" s="168">
        <v>1</v>
      </c>
      <c r="H12" s="168">
        <v>1</v>
      </c>
      <c r="I12" s="168">
        <v>1</v>
      </c>
      <c r="J12" s="168">
        <v>1</v>
      </c>
      <c r="K12" s="168">
        <v>1</v>
      </c>
      <c r="L12" s="168">
        <v>1</v>
      </c>
      <c r="M12" s="168">
        <v>1</v>
      </c>
      <c r="N12" s="168">
        <v>1</v>
      </c>
      <c r="O12" s="168">
        <v>1</v>
      </c>
      <c r="P12" s="177"/>
      <c r="Q12" s="177"/>
      <c r="R12" s="168">
        <f>'Вхідні дані'!$H$37</f>
        <v>1</v>
      </c>
      <c r="S12" s="168">
        <f>'Вхідні дані'!$H$37</f>
        <v>1</v>
      </c>
      <c r="T12" s="168">
        <f>'Вхідні дані'!$H$37</f>
        <v>1</v>
      </c>
      <c r="U12" s="168">
        <f>'Вхідні дані'!$H$37</f>
        <v>1</v>
      </c>
      <c r="V12" s="168">
        <f>'Вхідні дані'!$H$37</f>
        <v>1</v>
      </c>
      <c r="W12" s="168">
        <f>'Вхідні дані'!$H$37</f>
        <v>1</v>
      </c>
      <c r="X12" s="168">
        <f>'Вхідні дані'!$H$37</f>
        <v>1</v>
      </c>
      <c r="Y12" s="168">
        <f>'Вхідні дані'!$H$37</f>
        <v>1</v>
      </c>
      <c r="Z12" s="168">
        <f>'Вхідні дані'!$H$37</f>
        <v>1</v>
      </c>
      <c r="AA12" s="168">
        <f>'Вхідні дані'!$H$37</f>
        <v>1</v>
      </c>
      <c r="AB12" s="168">
        <f>'Вхідні дані'!$H$37</f>
        <v>1</v>
      </c>
      <c r="AC12" s="168">
        <f>'Вхідні дані'!$H$37</f>
        <v>1</v>
      </c>
      <c r="AD12" s="177"/>
      <c r="AE12" s="177"/>
      <c r="AF12" s="168">
        <f>'Вхідні дані'!$H$38</f>
        <v>1</v>
      </c>
      <c r="AG12" s="168">
        <f>'Вхідні дані'!$H$38</f>
        <v>1</v>
      </c>
      <c r="AH12" s="168">
        <f>'Вхідні дані'!$H$38</f>
        <v>1</v>
      </c>
      <c r="AI12" s="168">
        <f>'Вхідні дані'!$H$38</f>
        <v>1</v>
      </c>
      <c r="AJ12" s="168">
        <f>'Вхідні дані'!$H$38</f>
        <v>1</v>
      </c>
      <c r="AK12" s="168">
        <f>'Вхідні дані'!$H$38</f>
        <v>1</v>
      </c>
      <c r="AL12" s="168">
        <f>'Вхідні дані'!$H$38</f>
        <v>1</v>
      </c>
      <c r="AM12" s="168">
        <f>'Вхідні дані'!$H$38</f>
        <v>1</v>
      </c>
      <c r="AN12" s="168">
        <f>'Вхідні дані'!$H$38</f>
        <v>1</v>
      </c>
      <c r="AO12" s="168">
        <f>'Вхідні дані'!$H$38</f>
        <v>1</v>
      </c>
      <c r="AP12" s="168">
        <f>'Вхідні дані'!$H$38</f>
        <v>1</v>
      </c>
      <c r="AQ12" s="168">
        <f>'Вхідні дані'!$H$38</f>
        <v>1</v>
      </c>
      <c r="AR12" s="177"/>
      <c r="AS12" s="177"/>
      <c r="AV12" s="168"/>
      <c r="AW12" s="163" t="s">
        <v>30</v>
      </c>
      <c r="AX12" s="163" t="s">
        <v>153</v>
      </c>
      <c r="AY12" s="162"/>
      <c r="AZ12" s="162"/>
      <c r="BA12" s="162"/>
      <c r="BB12" s="162"/>
      <c r="BC12" s="162"/>
    </row>
    <row r="13" spans="1:55" s="178" customFormat="1" outlineLevel="1" x14ac:dyDescent="0.4">
      <c r="A13" s="175" t="str">
        <f>CHOOSE('Вхідні дані'!$S$1,AW9,AX9)</f>
        <v>Ріст витрат на податки*</v>
      </c>
      <c r="B13" s="176"/>
      <c r="C13" s="176"/>
      <c r="D13" s="168">
        <v>1</v>
      </c>
      <c r="E13" s="168">
        <v>1</v>
      </c>
      <c r="F13" s="168">
        <v>1</v>
      </c>
      <c r="G13" s="168">
        <v>1</v>
      </c>
      <c r="H13" s="168">
        <v>1</v>
      </c>
      <c r="I13" s="168">
        <v>1</v>
      </c>
      <c r="J13" s="168">
        <v>1</v>
      </c>
      <c r="K13" s="168">
        <v>1</v>
      </c>
      <c r="L13" s="168">
        <v>1</v>
      </c>
      <c r="M13" s="168">
        <v>1</v>
      </c>
      <c r="N13" s="168">
        <v>1</v>
      </c>
      <c r="O13" s="168">
        <v>1</v>
      </c>
      <c r="P13" s="177"/>
      <c r="Q13" s="177"/>
      <c r="R13" s="168">
        <f>'Вхідні дані'!$I$37</f>
        <v>1</v>
      </c>
      <c r="S13" s="168">
        <f>'Вхідні дані'!$I$37</f>
        <v>1</v>
      </c>
      <c r="T13" s="168">
        <f>'Вхідні дані'!$I$37</f>
        <v>1</v>
      </c>
      <c r="U13" s="168">
        <f>'Вхідні дані'!$I$37</f>
        <v>1</v>
      </c>
      <c r="V13" s="168">
        <f>'Вхідні дані'!$I$37</f>
        <v>1</v>
      </c>
      <c r="W13" s="168">
        <f>'Вхідні дані'!$I$37</f>
        <v>1</v>
      </c>
      <c r="X13" s="168">
        <f>'Вхідні дані'!$I$37</f>
        <v>1</v>
      </c>
      <c r="Y13" s="168">
        <f>'Вхідні дані'!$I$37</f>
        <v>1</v>
      </c>
      <c r="Z13" s="168">
        <f>'Вхідні дані'!$I$37</f>
        <v>1</v>
      </c>
      <c r="AA13" s="168">
        <f>'Вхідні дані'!$I$37</f>
        <v>1</v>
      </c>
      <c r="AB13" s="168">
        <f>'Вхідні дані'!$I$37</f>
        <v>1</v>
      </c>
      <c r="AC13" s="168">
        <f>'Вхідні дані'!$I$37</f>
        <v>1</v>
      </c>
      <c r="AD13" s="177"/>
      <c r="AE13" s="177"/>
      <c r="AF13" s="168">
        <f>'Вхідні дані'!$I$38</f>
        <v>1</v>
      </c>
      <c r="AG13" s="168">
        <f>'Вхідні дані'!$I$38</f>
        <v>1</v>
      </c>
      <c r="AH13" s="168">
        <f>'Вхідні дані'!$I$38</f>
        <v>1</v>
      </c>
      <c r="AI13" s="168">
        <f>'Вхідні дані'!$I$38</f>
        <v>1</v>
      </c>
      <c r="AJ13" s="168">
        <f>'Вхідні дані'!$I$38</f>
        <v>1</v>
      </c>
      <c r="AK13" s="168">
        <f>'Вхідні дані'!$I$38</f>
        <v>1</v>
      </c>
      <c r="AL13" s="168">
        <f>'Вхідні дані'!$I$38</f>
        <v>1</v>
      </c>
      <c r="AM13" s="168">
        <f>'Вхідні дані'!$I$38</f>
        <v>1</v>
      </c>
      <c r="AN13" s="168">
        <f>'Вхідні дані'!$I$38</f>
        <v>1</v>
      </c>
      <c r="AO13" s="168">
        <f>'Вхідні дані'!$I$38</f>
        <v>1</v>
      </c>
      <c r="AP13" s="168">
        <f>'Вхідні дані'!$I$38</f>
        <v>1</v>
      </c>
      <c r="AQ13" s="168">
        <f>'Вхідні дані'!$I$38</f>
        <v>1</v>
      </c>
      <c r="AR13" s="177"/>
      <c r="AS13" s="177"/>
      <c r="AT13" s="168"/>
      <c r="AV13" s="168"/>
      <c r="AW13" s="163" t="s">
        <v>32</v>
      </c>
      <c r="AX13" s="163" t="s">
        <v>154</v>
      </c>
      <c r="AY13" s="162"/>
      <c r="AZ13" s="162"/>
      <c r="BA13" s="162"/>
      <c r="BB13" s="162"/>
      <c r="BC13" s="162"/>
    </row>
    <row r="14" spans="1:55" outlineLevel="1" x14ac:dyDescent="0.4">
      <c r="A14" s="162" t="str">
        <f>CHOOSE('Вхідні дані'!$S$1,AW10,AX10)</f>
        <v xml:space="preserve"> * - по відношенню до даних, що вказані на сторінці "Вхідні дані".</v>
      </c>
      <c r="AV14" s="168"/>
      <c r="AW14" s="163" t="s">
        <v>33</v>
      </c>
      <c r="AX14" s="163" t="s">
        <v>225</v>
      </c>
    </row>
    <row r="15" spans="1:55" ht="21.6" thickBot="1" x14ac:dyDescent="0.45">
      <c r="A15" s="169"/>
      <c r="B15" s="169"/>
      <c r="C15" s="169"/>
      <c r="D15" s="437" t="str">
        <f>D5</f>
        <v>1-й рік роботи</v>
      </c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8"/>
      <c r="Q15" s="439"/>
      <c r="R15" s="437" t="str">
        <f>R5</f>
        <v>2-й рік роботи</v>
      </c>
      <c r="S15" s="438"/>
      <c r="T15" s="438"/>
      <c r="U15" s="438"/>
      <c r="V15" s="438"/>
      <c r="W15" s="438"/>
      <c r="X15" s="438"/>
      <c r="Y15" s="438"/>
      <c r="Z15" s="438"/>
      <c r="AA15" s="438"/>
      <c r="AB15" s="438"/>
      <c r="AC15" s="438"/>
      <c r="AD15" s="438"/>
      <c r="AE15" s="439"/>
      <c r="AF15" s="440" t="str">
        <f>AF5</f>
        <v>3-й рік роботи</v>
      </c>
      <c r="AG15" s="440"/>
      <c r="AH15" s="440"/>
      <c r="AI15" s="440"/>
      <c r="AJ15" s="440"/>
      <c r="AK15" s="440"/>
      <c r="AL15" s="440"/>
      <c r="AM15" s="440"/>
      <c r="AN15" s="440"/>
      <c r="AO15" s="440"/>
      <c r="AP15" s="440"/>
      <c r="AQ15" s="440"/>
      <c r="AR15" s="440"/>
      <c r="AS15" s="440"/>
      <c r="AT15" s="441" t="str">
        <f>CHOOSE('Вхідні дані'!$S$1,AW20,AX20)</f>
        <v>Разом за три роки</v>
      </c>
      <c r="AV15" s="168"/>
      <c r="AW15" s="163" t="s">
        <v>36</v>
      </c>
      <c r="AX15" s="163" t="s">
        <v>227</v>
      </c>
    </row>
    <row r="16" spans="1:55" s="183" customFormat="1" ht="43.2" thickTop="1" thickBot="1" x14ac:dyDescent="0.45">
      <c r="A16" s="180" t="str">
        <f>CHOOSE('Вхідні дані'!$S$1,AW21,AX21)</f>
        <v>ДИНАМІКА ПРОДАЖІВ</v>
      </c>
      <c r="B16" s="171"/>
      <c r="C16" s="181" t="str">
        <f t="shared" ref="C16:O16" si="25">C$6</f>
        <v>Нульовий період</v>
      </c>
      <c r="D16" s="181" t="str">
        <f t="shared" si="25"/>
        <v>січень</v>
      </c>
      <c r="E16" s="181" t="str">
        <f t="shared" si="25"/>
        <v>лютий</v>
      </c>
      <c r="F16" s="181" t="str">
        <f t="shared" si="25"/>
        <v>березень</v>
      </c>
      <c r="G16" s="181" t="str">
        <f t="shared" si="25"/>
        <v>квітень</v>
      </c>
      <c r="H16" s="181" t="str">
        <f t="shared" si="25"/>
        <v>травень</v>
      </c>
      <c r="I16" s="181" t="str">
        <f t="shared" si="25"/>
        <v>червень</v>
      </c>
      <c r="J16" s="181" t="str">
        <f t="shared" si="25"/>
        <v>липень</v>
      </c>
      <c r="K16" s="181" t="str">
        <f t="shared" si="25"/>
        <v>серпень</v>
      </c>
      <c r="L16" s="181" t="str">
        <f t="shared" si="25"/>
        <v>вересень</v>
      </c>
      <c r="M16" s="181" t="str">
        <f t="shared" si="25"/>
        <v>жовтень</v>
      </c>
      <c r="N16" s="181" t="str">
        <f t="shared" si="25"/>
        <v>листопад</v>
      </c>
      <c r="O16" s="181" t="str">
        <f t="shared" si="25"/>
        <v>грудень</v>
      </c>
      <c r="P16" s="182" t="str">
        <f>CHOOSE('Вхідні дані'!$S$1,AW14,AX14)</f>
        <v>Разом за 1-й рік</v>
      </c>
      <c r="Q16" s="182" t="str">
        <f>CHOOSE('Вхідні дані'!$S$1,AW17,AX17)</f>
        <v>Середньомісячно за 1-й рік</v>
      </c>
      <c r="R16" s="181" t="str">
        <f t="shared" ref="R16:AC16" si="26">R$6</f>
        <v>січень</v>
      </c>
      <c r="S16" s="181" t="str">
        <f t="shared" si="26"/>
        <v>лютий</v>
      </c>
      <c r="T16" s="181" t="str">
        <f t="shared" si="26"/>
        <v>березень</v>
      </c>
      <c r="U16" s="181" t="str">
        <f t="shared" si="26"/>
        <v>квітень</v>
      </c>
      <c r="V16" s="181" t="str">
        <f t="shared" si="26"/>
        <v>травень</v>
      </c>
      <c r="W16" s="181" t="str">
        <f t="shared" si="26"/>
        <v>червень</v>
      </c>
      <c r="X16" s="181" t="str">
        <f t="shared" si="26"/>
        <v>липень</v>
      </c>
      <c r="Y16" s="181" t="str">
        <f t="shared" si="26"/>
        <v>серпень</v>
      </c>
      <c r="Z16" s="181" t="str">
        <f t="shared" si="26"/>
        <v>вересень</v>
      </c>
      <c r="AA16" s="181" t="str">
        <f t="shared" si="26"/>
        <v>жовтень</v>
      </c>
      <c r="AB16" s="181" t="str">
        <f t="shared" si="26"/>
        <v>листопад</v>
      </c>
      <c r="AC16" s="181" t="str">
        <f t="shared" si="26"/>
        <v>грудень</v>
      </c>
      <c r="AD16" s="182" t="str">
        <f>CHOOSE('Вхідні дані'!$S$1,AW15,AX15)</f>
        <v>Разом за 2-й рік</v>
      </c>
      <c r="AE16" s="182" t="str">
        <f>CHOOSE('Вхідні дані'!$S$1,AW18,AX18)</f>
        <v>Середньомісячно за 2-й рік</v>
      </c>
      <c r="AF16" s="181" t="str">
        <f t="shared" ref="AF16:AQ16" si="27">AF$6</f>
        <v>січень</v>
      </c>
      <c r="AG16" s="181" t="str">
        <f t="shared" si="27"/>
        <v>лютий</v>
      </c>
      <c r="AH16" s="181" t="str">
        <f t="shared" si="27"/>
        <v>березень</v>
      </c>
      <c r="AI16" s="181" t="str">
        <f t="shared" si="27"/>
        <v>квітень</v>
      </c>
      <c r="AJ16" s="181" t="str">
        <f t="shared" si="27"/>
        <v>травень</v>
      </c>
      <c r="AK16" s="181" t="str">
        <f t="shared" si="27"/>
        <v>червень</v>
      </c>
      <c r="AL16" s="181" t="str">
        <f t="shared" si="27"/>
        <v>липень</v>
      </c>
      <c r="AM16" s="181" t="str">
        <f t="shared" si="27"/>
        <v>серпень</v>
      </c>
      <c r="AN16" s="181" t="str">
        <f t="shared" si="27"/>
        <v>вересень</v>
      </c>
      <c r="AO16" s="181" t="str">
        <f t="shared" si="27"/>
        <v>жовтень</v>
      </c>
      <c r="AP16" s="181" t="str">
        <f t="shared" si="27"/>
        <v>листопад</v>
      </c>
      <c r="AQ16" s="181" t="str">
        <f t="shared" si="27"/>
        <v>грудень</v>
      </c>
      <c r="AR16" s="182" t="str">
        <f>CHOOSE('Вхідні дані'!$S$1,AW16,AX16)</f>
        <v>Разом за 3-й рік</v>
      </c>
      <c r="AS16" s="182" t="str">
        <f>CHOOSE('Вхідні дані'!$S$1,AW19,AX19)</f>
        <v>Середньомісячно за 3-й рік</v>
      </c>
      <c r="AT16" s="442"/>
      <c r="AV16" s="168"/>
      <c r="AW16" s="163" t="s">
        <v>37</v>
      </c>
      <c r="AX16" s="163" t="s">
        <v>228</v>
      </c>
    </row>
    <row r="17" spans="1:50" s="190" customFormat="1" ht="21.6" thickTop="1" x14ac:dyDescent="0.4">
      <c r="A17" s="184" t="str">
        <f>CHOOSE('Вхідні дані'!$S$1,AW22,AX22)</f>
        <v>Виручка (товарообіг)</v>
      </c>
      <c r="B17" s="185" t="str">
        <f>CHOOSE('Вхідні дані'!$M$1,'Вхідні дані'!$N$1,'Вхідні дані'!$N$2,'Вхідні дані'!$N$3,'Вхідні дані'!$N$4)</f>
        <v>UAH</v>
      </c>
      <c r="C17" s="185"/>
      <c r="D17" s="186">
        <f>D$7*D$8*CHOOSE('Узагальнений розрахунок'!$M$1,'Вхідні дані'!$F$14,'Вхідні дані'!$F$15,'Вхідні дані'!$F$16)*D3</f>
        <v>186000</v>
      </c>
      <c r="E17" s="186">
        <f>E$7*E$8*CHOOSE('Узагальнений розрахунок'!$M$1,'Вхідні дані'!$F$14,'Вхідні дані'!$F$15,'Вхідні дані'!$F$16)*E3</f>
        <v>210000</v>
      </c>
      <c r="F17" s="186">
        <f>F$7*F$8*CHOOSE('Узагальнений розрахунок'!$M$1,'Вхідні дані'!$F$14,'Вхідні дані'!$F$15,'Вхідні дані'!$F$16)*F3</f>
        <v>232500</v>
      </c>
      <c r="G17" s="186">
        <f>G$7*G$8*CHOOSE('Узагальнений розрахунок'!$M$1,'Вхідні дані'!$F$14,'Вхідні дані'!$F$15,'Вхідні дані'!$F$16)*G3</f>
        <v>225000</v>
      </c>
      <c r="H17" s="186">
        <f>H$7*H$8*CHOOSE('Узагальнений розрахунок'!$M$1,'Вхідні дані'!$F$14,'Вхідні дані'!$F$15,'Вхідні дані'!$F$16)*H3</f>
        <v>232500</v>
      </c>
      <c r="I17" s="186">
        <f>I$7*I$8*CHOOSE('Узагальнений розрахунок'!$M$1,'Вхідні дані'!$F$14,'Вхідні дані'!$F$15,'Вхідні дані'!$F$16)*I3</f>
        <v>225000</v>
      </c>
      <c r="J17" s="186">
        <f>J$7*J$8*CHOOSE('Узагальнений розрахунок'!$M$1,'Вхідні дані'!$F$14,'Вхідні дані'!$F$15,'Вхідні дані'!$F$16)*J3</f>
        <v>232500</v>
      </c>
      <c r="K17" s="186">
        <f>K$7*K$8*CHOOSE('Узагальнений розрахунок'!$M$1,'Вхідні дані'!$F$14,'Вхідні дані'!$F$15,'Вхідні дані'!$F$16)*K3</f>
        <v>232500</v>
      </c>
      <c r="L17" s="186">
        <f>L$7*L$8*CHOOSE('Узагальнений розрахунок'!$M$1,'Вхідні дані'!$F$14,'Вхідні дані'!$F$15,'Вхідні дані'!$F$16)*L3</f>
        <v>225000</v>
      </c>
      <c r="M17" s="186">
        <f>M$7*M$8*CHOOSE('Узагальнений розрахунок'!$M$1,'Вхідні дані'!$F$14,'Вхідні дані'!$F$15,'Вхідні дані'!$F$16)*M3</f>
        <v>232500</v>
      </c>
      <c r="N17" s="186">
        <f>N$7*N$8*CHOOSE('Узагальнений розрахунок'!$M$1,'Вхідні дані'!$F$14,'Вхідні дані'!$F$15,'Вхідні дані'!$F$16)*N3</f>
        <v>225000</v>
      </c>
      <c r="O17" s="186">
        <f>O$7*O$8*CHOOSE('Узагальнений розрахунок'!$M$1,'Вхідні дані'!$F$14,'Вхідні дані'!$F$15,'Вхідні дані'!$F$16)*O3</f>
        <v>232500</v>
      </c>
      <c r="P17" s="187">
        <f t="shared" ref="P17" si="28">SUM(D17:O17)</f>
        <v>2691000</v>
      </c>
      <c r="Q17" s="187">
        <f t="shared" ref="Q17" si="29">P17/12</f>
        <v>224250</v>
      </c>
      <c r="R17" s="186">
        <f>R$7*R$8*CHOOSE('Узагальнений розрахунок'!$M$1,'Вхідні дані'!$F$14,'Вхідні дані'!$F$15,'Вхідні дані'!$F$16)*R3</f>
        <v>279000</v>
      </c>
      <c r="S17" s="186">
        <f>S$7*S$8*CHOOSE('Узагальнений розрахунок'!$M$1,'Вхідні дані'!$F$14,'Вхідні дані'!$F$15,'Вхідні дані'!$F$16)*S3</f>
        <v>252000</v>
      </c>
      <c r="T17" s="186">
        <f>T$7*T$8*CHOOSE('Узагальнений розрахунок'!$M$1,'Вхідні дані'!$F$14,'Вхідні дані'!$F$15,'Вхідні дані'!$F$16)*T3</f>
        <v>279000</v>
      </c>
      <c r="U17" s="186">
        <f>U$7*U$8*CHOOSE('Узагальнений розрахунок'!$M$1,'Вхідні дані'!$F$14,'Вхідні дані'!$F$15,'Вхідні дані'!$F$16)*U3</f>
        <v>270000</v>
      </c>
      <c r="V17" s="186">
        <f>V$7*V$8*CHOOSE('Узагальнений розрахунок'!$M$1,'Вхідні дані'!$F$14,'Вхідні дані'!$F$15,'Вхідні дані'!$F$16)*V3</f>
        <v>279000</v>
      </c>
      <c r="W17" s="186">
        <f>W$7*W$8*CHOOSE('Узагальнений розрахунок'!$M$1,'Вхідні дані'!$F$14,'Вхідні дані'!$F$15,'Вхідні дані'!$F$16)*W3</f>
        <v>270000</v>
      </c>
      <c r="X17" s="186">
        <f>X$7*X$8*CHOOSE('Узагальнений розрахунок'!$M$1,'Вхідні дані'!$F$14,'Вхідні дані'!$F$15,'Вхідні дані'!$F$16)*X3</f>
        <v>279000</v>
      </c>
      <c r="Y17" s="186">
        <f>Y$7*Y$8*CHOOSE('Узагальнений розрахунок'!$M$1,'Вхідні дані'!$F$14,'Вхідні дані'!$F$15,'Вхідні дані'!$F$16)*Y3</f>
        <v>279000</v>
      </c>
      <c r="Z17" s="186">
        <f>Z$7*Z$8*CHOOSE('Узагальнений розрахунок'!$M$1,'Вхідні дані'!$F$14,'Вхідні дані'!$F$15,'Вхідні дані'!$F$16)*Z3</f>
        <v>270000</v>
      </c>
      <c r="AA17" s="186">
        <f>AA$7*AA$8*CHOOSE('Узагальнений розрахунок'!$M$1,'Вхідні дані'!$F$14,'Вхідні дані'!$F$15,'Вхідні дані'!$F$16)*AA3</f>
        <v>279000</v>
      </c>
      <c r="AB17" s="186">
        <f>AB$7*AB$8*CHOOSE('Узагальнений розрахунок'!$M$1,'Вхідні дані'!$F$14,'Вхідні дані'!$F$15,'Вхідні дані'!$F$16)*AB3</f>
        <v>270000</v>
      </c>
      <c r="AC17" s="186">
        <f>AC$7*AC$8*CHOOSE('Узагальнений розрахунок'!$M$1,'Вхідні дані'!$F$14,'Вхідні дані'!$F$15,'Вхідні дані'!$F$16)*AC3</f>
        <v>279000</v>
      </c>
      <c r="AD17" s="187">
        <f t="shared" ref="AD17" si="30">SUM(R17:AC17)</f>
        <v>3285000</v>
      </c>
      <c r="AE17" s="187">
        <f t="shared" ref="AE17" si="31">AD17/12</f>
        <v>273750</v>
      </c>
      <c r="AF17" s="186">
        <f>AF$7*AF$8*CHOOSE('Узагальнений розрахунок'!$M$1,'Вхідні дані'!$F$14,'Вхідні дані'!$F$15,'Вхідні дані'!$F$16)*AF3</f>
        <v>302250</v>
      </c>
      <c r="AG17" s="186">
        <f>AG$7*AG$8*CHOOSE('Узагальнений розрахунок'!$M$1,'Вхідні дані'!$F$14,'Вхідні дані'!$F$15,'Вхідні дані'!$F$16)*AG3</f>
        <v>273000</v>
      </c>
      <c r="AH17" s="186">
        <f>AH$7*AH$8*CHOOSE('Узагальнений розрахунок'!$M$1,'Вхідні дані'!$F$14,'Вхідні дані'!$F$15,'Вхідні дані'!$F$16)*AH3</f>
        <v>302250</v>
      </c>
      <c r="AI17" s="186">
        <f>AI$7*AI$8*CHOOSE('Узагальнений розрахунок'!$M$1,'Вхідні дані'!$F$14,'Вхідні дані'!$F$15,'Вхідні дані'!$F$16)*AI3</f>
        <v>292500</v>
      </c>
      <c r="AJ17" s="186">
        <f>AJ$7*AJ$8*CHOOSE('Узагальнений розрахунок'!$M$1,'Вхідні дані'!$F$14,'Вхідні дані'!$F$15,'Вхідні дані'!$F$16)*AJ3</f>
        <v>302250</v>
      </c>
      <c r="AK17" s="186">
        <f>AK$7*AK$8*CHOOSE('Узагальнений розрахунок'!$M$1,'Вхідні дані'!$F$14,'Вхідні дані'!$F$15,'Вхідні дані'!$F$16)*AK3</f>
        <v>292500</v>
      </c>
      <c r="AL17" s="186">
        <f>AL$7*AL$8*CHOOSE('Узагальнений розрахунок'!$M$1,'Вхідні дані'!$F$14,'Вхідні дані'!$F$15,'Вхідні дані'!$F$16)*AL3</f>
        <v>302250</v>
      </c>
      <c r="AM17" s="186">
        <f>AM$7*AM$8*CHOOSE('Узагальнений розрахунок'!$M$1,'Вхідні дані'!$F$14,'Вхідні дані'!$F$15,'Вхідні дані'!$F$16)*AM3</f>
        <v>302250</v>
      </c>
      <c r="AN17" s="186">
        <f>AN$7*AN$8*CHOOSE('Узагальнений розрахунок'!$M$1,'Вхідні дані'!$F$14,'Вхідні дані'!$F$15,'Вхідні дані'!$F$16)*AN3</f>
        <v>292500</v>
      </c>
      <c r="AO17" s="186">
        <f>AO$7*AO$8*CHOOSE('Узагальнений розрахунок'!$M$1,'Вхідні дані'!$F$14,'Вхідні дані'!$F$15,'Вхідні дані'!$F$16)*AO3</f>
        <v>302250</v>
      </c>
      <c r="AP17" s="186">
        <f>AP$7*AP$8*CHOOSE('Узагальнений розрахунок'!$M$1,'Вхідні дані'!$F$14,'Вхідні дані'!$F$15,'Вхідні дані'!$F$16)*AP3</f>
        <v>292500</v>
      </c>
      <c r="AQ17" s="186">
        <f>AQ$7*AQ$8*CHOOSE('Узагальнений розрахунок'!$M$1,'Вхідні дані'!$F$14,'Вхідні дані'!$F$15,'Вхідні дані'!$F$16)*AQ3</f>
        <v>302250</v>
      </c>
      <c r="AR17" s="187">
        <f t="shared" ref="AR17" si="32">SUM(AF17:AQ17)</f>
        <v>3558750</v>
      </c>
      <c r="AS17" s="187">
        <f t="shared" ref="AS17" si="33">AR17/12</f>
        <v>296562.5</v>
      </c>
      <c r="AT17" s="188">
        <f t="shared" ref="AT17" si="34">P17+AD17+AR17</f>
        <v>9534750</v>
      </c>
      <c r="AU17" s="189"/>
      <c r="AW17" s="163" t="s">
        <v>34</v>
      </c>
      <c r="AX17" s="163" t="s">
        <v>226</v>
      </c>
    </row>
    <row r="18" spans="1:50" s="195" customFormat="1" x14ac:dyDescent="0.4">
      <c r="A18" s="191" t="str">
        <f>CHOOSE('Вхідні дані'!$S$1,AW26,AX26)</f>
        <v>Разом</v>
      </c>
      <c r="B18" s="192" t="str">
        <f>CHOOSE('Вхідні дані'!$M$1,'Вхідні дані'!$N$1,'Вхідні дані'!$N$2,'Вхідні дані'!$N$3,'Вхідні дані'!$N$4)</f>
        <v>UAH</v>
      </c>
      <c r="C18" s="192"/>
      <c r="D18" s="193">
        <f t="shared" ref="D18:AT18" si="35">SUM(D17:D17)</f>
        <v>186000</v>
      </c>
      <c r="E18" s="193">
        <f t="shared" si="35"/>
        <v>210000</v>
      </c>
      <c r="F18" s="193">
        <f t="shared" si="35"/>
        <v>232500</v>
      </c>
      <c r="G18" s="193">
        <f t="shared" si="35"/>
        <v>225000</v>
      </c>
      <c r="H18" s="193">
        <f t="shared" si="35"/>
        <v>232500</v>
      </c>
      <c r="I18" s="193">
        <f t="shared" si="35"/>
        <v>225000</v>
      </c>
      <c r="J18" s="193">
        <f t="shared" si="35"/>
        <v>232500</v>
      </c>
      <c r="K18" s="193">
        <f t="shared" si="35"/>
        <v>232500</v>
      </c>
      <c r="L18" s="193">
        <f t="shared" si="35"/>
        <v>225000</v>
      </c>
      <c r="M18" s="193">
        <f t="shared" si="35"/>
        <v>232500</v>
      </c>
      <c r="N18" s="193">
        <f t="shared" si="35"/>
        <v>225000</v>
      </c>
      <c r="O18" s="193">
        <f t="shared" si="35"/>
        <v>232500</v>
      </c>
      <c r="P18" s="193">
        <f t="shared" si="35"/>
        <v>2691000</v>
      </c>
      <c r="Q18" s="193">
        <f t="shared" si="35"/>
        <v>224250</v>
      </c>
      <c r="R18" s="193">
        <f t="shared" si="35"/>
        <v>279000</v>
      </c>
      <c r="S18" s="193">
        <f t="shared" si="35"/>
        <v>252000</v>
      </c>
      <c r="T18" s="193">
        <f t="shared" si="35"/>
        <v>279000</v>
      </c>
      <c r="U18" s="193">
        <f t="shared" si="35"/>
        <v>270000</v>
      </c>
      <c r="V18" s="193">
        <f t="shared" si="35"/>
        <v>279000</v>
      </c>
      <c r="W18" s="193">
        <f t="shared" si="35"/>
        <v>270000</v>
      </c>
      <c r="X18" s="193">
        <f t="shared" si="35"/>
        <v>279000</v>
      </c>
      <c r="Y18" s="193">
        <f t="shared" si="35"/>
        <v>279000</v>
      </c>
      <c r="Z18" s="193">
        <f t="shared" si="35"/>
        <v>270000</v>
      </c>
      <c r="AA18" s="193">
        <f t="shared" si="35"/>
        <v>279000</v>
      </c>
      <c r="AB18" s="193">
        <f t="shared" si="35"/>
        <v>270000</v>
      </c>
      <c r="AC18" s="193">
        <f t="shared" si="35"/>
        <v>279000</v>
      </c>
      <c r="AD18" s="193">
        <f t="shared" si="35"/>
        <v>3285000</v>
      </c>
      <c r="AE18" s="193">
        <f t="shared" si="35"/>
        <v>273750</v>
      </c>
      <c r="AF18" s="193">
        <f t="shared" si="35"/>
        <v>302250</v>
      </c>
      <c r="AG18" s="193">
        <f t="shared" si="35"/>
        <v>273000</v>
      </c>
      <c r="AH18" s="193">
        <f t="shared" si="35"/>
        <v>302250</v>
      </c>
      <c r="AI18" s="193">
        <f t="shared" si="35"/>
        <v>292500</v>
      </c>
      <c r="AJ18" s="193">
        <f t="shared" si="35"/>
        <v>302250</v>
      </c>
      <c r="AK18" s="193">
        <f t="shared" si="35"/>
        <v>292500</v>
      </c>
      <c r="AL18" s="193">
        <f t="shared" si="35"/>
        <v>302250</v>
      </c>
      <c r="AM18" s="193">
        <f t="shared" si="35"/>
        <v>302250</v>
      </c>
      <c r="AN18" s="193">
        <f t="shared" si="35"/>
        <v>292500</v>
      </c>
      <c r="AO18" s="193">
        <f t="shared" si="35"/>
        <v>302250</v>
      </c>
      <c r="AP18" s="193">
        <f t="shared" si="35"/>
        <v>292500</v>
      </c>
      <c r="AQ18" s="193">
        <f t="shared" si="35"/>
        <v>302250</v>
      </c>
      <c r="AR18" s="193">
        <f t="shared" si="35"/>
        <v>3558750</v>
      </c>
      <c r="AS18" s="193">
        <f t="shared" si="35"/>
        <v>296562.5</v>
      </c>
      <c r="AT18" s="193">
        <f t="shared" si="35"/>
        <v>9534750</v>
      </c>
      <c r="AU18" s="194"/>
      <c r="AW18" s="163" t="s">
        <v>35</v>
      </c>
      <c r="AX18" s="163" t="s">
        <v>229</v>
      </c>
    </row>
    <row r="19" spans="1:50" s="183" customFormat="1" ht="21.6" thickBot="1" x14ac:dyDescent="0.45">
      <c r="A19" s="196"/>
      <c r="B19" s="197"/>
      <c r="C19" s="197"/>
      <c r="D19" s="198"/>
      <c r="E19" s="196"/>
      <c r="F19" s="196"/>
      <c r="G19" s="196"/>
      <c r="H19" s="196"/>
      <c r="I19" s="196"/>
      <c r="J19" s="196"/>
      <c r="K19" s="196"/>
      <c r="P19" s="199"/>
      <c r="Q19" s="199"/>
      <c r="R19" s="198"/>
      <c r="S19" s="196"/>
      <c r="T19" s="196"/>
      <c r="U19" s="196"/>
      <c r="V19" s="196"/>
      <c r="W19" s="196"/>
      <c r="X19" s="196"/>
      <c r="Y19" s="196"/>
      <c r="AD19" s="199"/>
      <c r="AE19" s="199"/>
      <c r="AF19" s="198"/>
      <c r="AG19" s="196"/>
      <c r="AH19" s="196"/>
      <c r="AI19" s="196"/>
      <c r="AJ19" s="196"/>
      <c r="AK19" s="196"/>
      <c r="AL19" s="196"/>
      <c r="AM19" s="196"/>
      <c r="AR19" s="199"/>
      <c r="AS19" s="199"/>
      <c r="AW19" s="163" t="s">
        <v>38</v>
      </c>
      <c r="AX19" s="163" t="s">
        <v>230</v>
      </c>
    </row>
    <row r="20" spans="1:50" s="183" customFormat="1" ht="43.2" thickTop="1" thickBot="1" x14ac:dyDescent="0.45">
      <c r="A20" s="180" t="str">
        <f>CHOOSE('Вхідні дані'!$S$1,AW23,AX23)</f>
        <v>ДИНАМІКА СОБІВАРТОСТІ</v>
      </c>
      <c r="B20" s="171"/>
      <c r="C20" s="181" t="str">
        <f t="shared" ref="C20:O20" si="36">C$6</f>
        <v>Нульовий період</v>
      </c>
      <c r="D20" s="181" t="str">
        <f t="shared" si="36"/>
        <v>січень</v>
      </c>
      <c r="E20" s="181" t="str">
        <f t="shared" si="36"/>
        <v>лютий</v>
      </c>
      <c r="F20" s="181" t="str">
        <f t="shared" si="36"/>
        <v>березень</v>
      </c>
      <c r="G20" s="181" t="str">
        <f t="shared" si="36"/>
        <v>квітень</v>
      </c>
      <c r="H20" s="181" t="str">
        <f t="shared" si="36"/>
        <v>травень</v>
      </c>
      <c r="I20" s="181" t="str">
        <f t="shared" si="36"/>
        <v>червень</v>
      </c>
      <c r="J20" s="181" t="str">
        <f t="shared" si="36"/>
        <v>липень</v>
      </c>
      <c r="K20" s="181" t="str">
        <f t="shared" si="36"/>
        <v>серпень</v>
      </c>
      <c r="L20" s="181" t="str">
        <f t="shared" si="36"/>
        <v>вересень</v>
      </c>
      <c r="M20" s="181" t="str">
        <f t="shared" si="36"/>
        <v>жовтень</v>
      </c>
      <c r="N20" s="181" t="str">
        <f t="shared" si="36"/>
        <v>листопад</v>
      </c>
      <c r="O20" s="181" t="str">
        <f t="shared" si="36"/>
        <v>грудень</v>
      </c>
      <c r="P20" s="182" t="str">
        <f>P16</f>
        <v>Разом за 1-й рік</v>
      </c>
      <c r="Q20" s="182" t="str">
        <f>Q16</f>
        <v>Середньомісячно за 1-й рік</v>
      </c>
      <c r="R20" s="181" t="str">
        <f t="shared" ref="R20:AC20" si="37">R$6</f>
        <v>січень</v>
      </c>
      <c r="S20" s="181" t="str">
        <f t="shared" si="37"/>
        <v>лютий</v>
      </c>
      <c r="T20" s="181" t="str">
        <f t="shared" si="37"/>
        <v>березень</v>
      </c>
      <c r="U20" s="181" t="str">
        <f t="shared" si="37"/>
        <v>квітень</v>
      </c>
      <c r="V20" s="181" t="str">
        <f t="shared" si="37"/>
        <v>травень</v>
      </c>
      <c r="W20" s="181" t="str">
        <f t="shared" si="37"/>
        <v>червень</v>
      </c>
      <c r="X20" s="181" t="str">
        <f t="shared" si="37"/>
        <v>липень</v>
      </c>
      <c r="Y20" s="181" t="str">
        <f t="shared" si="37"/>
        <v>серпень</v>
      </c>
      <c r="Z20" s="181" t="str">
        <f t="shared" si="37"/>
        <v>вересень</v>
      </c>
      <c r="AA20" s="181" t="str">
        <f t="shared" si="37"/>
        <v>жовтень</v>
      </c>
      <c r="AB20" s="181" t="str">
        <f t="shared" si="37"/>
        <v>листопад</v>
      </c>
      <c r="AC20" s="181" t="str">
        <f t="shared" si="37"/>
        <v>грудень</v>
      </c>
      <c r="AD20" s="182" t="str">
        <f>AD16</f>
        <v>Разом за 2-й рік</v>
      </c>
      <c r="AE20" s="182" t="str">
        <f>AE16</f>
        <v>Середньомісячно за 2-й рік</v>
      </c>
      <c r="AF20" s="181" t="str">
        <f t="shared" ref="AF20:AQ20" si="38">AF$6</f>
        <v>січень</v>
      </c>
      <c r="AG20" s="181" t="str">
        <f t="shared" si="38"/>
        <v>лютий</v>
      </c>
      <c r="AH20" s="181" t="str">
        <f t="shared" si="38"/>
        <v>березень</v>
      </c>
      <c r="AI20" s="181" t="str">
        <f t="shared" si="38"/>
        <v>квітень</v>
      </c>
      <c r="AJ20" s="181" t="str">
        <f t="shared" si="38"/>
        <v>травень</v>
      </c>
      <c r="AK20" s="181" t="str">
        <f t="shared" si="38"/>
        <v>червень</v>
      </c>
      <c r="AL20" s="181" t="str">
        <f t="shared" si="38"/>
        <v>липень</v>
      </c>
      <c r="AM20" s="181" t="str">
        <f t="shared" si="38"/>
        <v>серпень</v>
      </c>
      <c r="AN20" s="181" t="str">
        <f t="shared" si="38"/>
        <v>вересень</v>
      </c>
      <c r="AO20" s="181" t="str">
        <f t="shared" si="38"/>
        <v>жовтень</v>
      </c>
      <c r="AP20" s="181" t="str">
        <f t="shared" si="38"/>
        <v>листопад</v>
      </c>
      <c r="AQ20" s="181" t="str">
        <f t="shared" si="38"/>
        <v>грудень</v>
      </c>
      <c r="AR20" s="182" t="str">
        <f>AR16</f>
        <v>Разом за 3-й рік</v>
      </c>
      <c r="AS20" s="182" t="str">
        <f>AS16</f>
        <v>Середньомісячно за 3-й рік</v>
      </c>
      <c r="AT20" s="182" t="str">
        <f>AT15</f>
        <v>Разом за три роки</v>
      </c>
      <c r="AV20" s="168"/>
      <c r="AW20" s="163" t="s">
        <v>39</v>
      </c>
      <c r="AX20" s="163" t="s">
        <v>231</v>
      </c>
    </row>
    <row r="21" spans="1:50" s="190" customFormat="1" ht="21.6" thickTop="1" x14ac:dyDescent="0.4">
      <c r="A21" s="184" t="str">
        <f>'Узагальнений розрахунок'!B32</f>
        <v>Собівартість (food cost)</v>
      </c>
      <c r="B21" s="185" t="str">
        <f>CHOOSE('Вхідні дані'!$M$1,'Вхідні дані'!$N$1,'Вхідні дані'!$N$2,'Вхідні дані'!$N$3,'Вхідні дані'!$N$4)</f>
        <v>UAH</v>
      </c>
      <c r="C21" s="185"/>
      <c r="D21" s="186">
        <f>D17*CHOOSE('Узагальнений розрахунок'!$M$1,'Вхідні дані'!$H$14,'Вхідні дані'!$H$15,'Вхідні дані'!$H$16)</f>
        <v>74400</v>
      </c>
      <c r="E21" s="186">
        <f>E17*CHOOSE('Узагальнений розрахунок'!$M$1,'Вхідні дані'!$H$14,'Вхідні дані'!$H$15,'Вхідні дані'!$H$16)</f>
        <v>84000</v>
      </c>
      <c r="F21" s="186">
        <f>F17*CHOOSE('Узагальнений розрахунок'!$M$1,'Вхідні дані'!$H$14,'Вхідні дані'!$H$15,'Вхідні дані'!$H$16)</f>
        <v>93000</v>
      </c>
      <c r="G21" s="186">
        <f>G17*CHOOSE('Узагальнений розрахунок'!$M$1,'Вхідні дані'!$H$14,'Вхідні дані'!$H$15,'Вхідні дані'!$H$16)</f>
        <v>90000</v>
      </c>
      <c r="H21" s="186">
        <f>H17*CHOOSE('Узагальнений розрахунок'!$M$1,'Вхідні дані'!$H$14,'Вхідні дані'!$H$15,'Вхідні дані'!$H$16)</f>
        <v>93000</v>
      </c>
      <c r="I21" s="186">
        <f>I17*CHOOSE('Узагальнений розрахунок'!$M$1,'Вхідні дані'!$H$14,'Вхідні дані'!$H$15,'Вхідні дані'!$H$16)</f>
        <v>90000</v>
      </c>
      <c r="J21" s="186">
        <f>J17*CHOOSE('Узагальнений розрахунок'!$M$1,'Вхідні дані'!$H$14,'Вхідні дані'!$H$15,'Вхідні дані'!$H$16)</f>
        <v>93000</v>
      </c>
      <c r="K21" s="186">
        <f>K17*CHOOSE('Узагальнений розрахунок'!$M$1,'Вхідні дані'!$H$14,'Вхідні дані'!$H$15,'Вхідні дані'!$H$16)</f>
        <v>93000</v>
      </c>
      <c r="L21" s="186">
        <f>L17*CHOOSE('Узагальнений розрахунок'!$M$1,'Вхідні дані'!$H$14,'Вхідні дані'!$H$15,'Вхідні дані'!$H$16)</f>
        <v>90000</v>
      </c>
      <c r="M21" s="186">
        <f>M17*CHOOSE('Узагальнений розрахунок'!$M$1,'Вхідні дані'!$H$14,'Вхідні дані'!$H$15,'Вхідні дані'!$H$16)</f>
        <v>93000</v>
      </c>
      <c r="N21" s="186">
        <f>N17*CHOOSE('Узагальнений розрахунок'!$M$1,'Вхідні дані'!$H$14,'Вхідні дані'!$H$15,'Вхідні дані'!$H$16)</f>
        <v>90000</v>
      </c>
      <c r="O21" s="186">
        <f>O17*CHOOSE('Узагальнений розрахунок'!$M$1,'Вхідні дані'!$H$14,'Вхідні дані'!$H$15,'Вхідні дані'!$H$16)</f>
        <v>93000</v>
      </c>
      <c r="P21" s="187">
        <f t="shared" ref="P21" si="39">SUM(D21:O21)</f>
        <v>1076400</v>
      </c>
      <c r="Q21" s="187">
        <f t="shared" ref="Q21" si="40">P21/12</f>
        <v>89700</v>
      </c>
      <c r="R21" s="186">
        <f>R17*CHOOSE('Узагальнений розрахунок'!$M$1,'Вхідні дані'!$H$14,'Вхідні дані'!$H$15,'Вхідні дані'!$H$16)</f>
        <v>111600</v>
      </c>
      <c r="S21" s="186">
        <f>S17*CHOOSE('Узагальнений розрахунок'!$M$1,'Вхідні дані'!$H$14,'Вхідні дані'!$H$15,'Вхідні дані'!$H$16)</f>
        <v>100800</v>
      </c>
      <c r="T21" s="186">
        <f>T17*CHOOSE('Узагальнений розрахунок'!$M$1,'Вхідні дані'!$H$14,'Вхідні дані'!$H$15,'Вхідні дані'!$H$16)</f>
        <v>111600</v>
      </c>
      <c r="U21" s="186">
        <f>U17*CHOOSE('Узагальнений розрахунок'!$M$1,'Вхідні дані'!$H$14,'Вхідні дані'!$H$15,'Вхідні дані'!$H$16)</f>
        <v>108000</v>
      </c>
      <c r="V21" s="186">
        <f>V17*CHOOSE('Узагальнений розрахунок'!$M$1,'Вхідні дані'!$H$14,'Вхідні дані'!$H$15,'Вхідні дані'!$H$16)</f>
        <v>111600</v>
      </c>
      <c r="W21" s="186">
        <f>W17*CHOOSE('Узагальнений розрахунок'!$M$1,'Вхідні дані'!$H$14,'Вхідні дані'!$H$15,'Вхідні дані'!$H$16)</f>
        <v>108000</v>
      </c>
      <c r="X21" s="186">
        <f>X17*CHOOSE('Узагальнений розрахунок'!$M$1,'Вхідні дані'!$H$14,'Вхідні дані'!$H$15,'Вхідні дані'!$H$16)</f>
        <v>111600</v>
      </c>
      <c r="Y21" s="186">
        <f>Y17*CHOOSE('Узагальнений розрахунок'!$M$1,'Вхідні дані'!$H$14,'Вхідні дані'!$H$15,'Вхідні дані'!$H$16)</f>
        <v>111600</v>
      </c>
      <c r="Z21" s="186">
        <f>Z17*CHOOSE('Узагальнений розрахунок'!$M$1,'Вхідні дані'!$H$14,'Вхідні дані'!$H$15,'Вхідні дані'!$H$16)</f>
        <v>108000</v>
      </c>
      <c r="AA21" s="186">
        <f>AA17*CHOOSE('Узагальнений розрахунок'!$M$1,'Вхідні дані'!$H$14,'Вхідні дані'!$H$15,'Вхідні дані'!$H$16)</f>
        <v>111600</v>
      </c>
      <c r="AB21" s="186">
        <f>AB17*CHOOSE('Узагальнений розрахунок'!$M$1,'Вхідні дані'!$H$14,'Вхідні дані'!$H$15,'Вхідні дані'!$H$16)</f>
        <v>108000</v>
      </c>
      <c r="AC21" s="186">
        <f>AC17*CHOOSE('Узагальнений розрахунок'!$M$1,'Вхідні дані'!$H$14,'Вхідні дані'!$H$15,'Вхідні дані'!$H$16)</f>
        <v>111600</v>
      </c>
      <c r="AD21" s="187">
        <f t="shared" ref="AD21" si="41">SUM(R21:AC21)</f>
        <v>1314000</v>
      </c>
      <c r="AE21" s="187">
        <f t="shared" ref="AE21" si="42">AD21/12</f>
        <v>109500</v>
      </c>
      <c r="AF21" s="186">
        <f>AF17*CHOOSE('Узагальнений розрахунок'!$M$1,'Вхідні дані'!$H$14,'Вхідні дані'!$H$15,'Вхідні дані'!$H$16)</f>
        <v>120900</v>
      </c>
      <c r="AG21" s="186">
        <f>AG17*CHOOSE('Узагальнений розрахунок'!$M$1,'Вхідні дані'!$H$14,'Вхідні дані'!$H$15,'Вхідні дані'!$H$16)</f>
        <v>109200</v>
      </c>
      <c r="AH21" s="186">
        <f>AH17*CHOOSE('Узагальнений розрахунок'!$M$1,'Вхідні дані'!$H$14,'Вхідні дані'!$H$15,'Вхідні дані'!$H$16)</f>
        <v>120900</v>
      </c>
      <c r="AI21" s="186">
        <f>AI17*CHOOSE('Узагальнений розрахунок'!$M$1,'Вхідні дані'!$H$14,'Вхідні дані'!$H$15,'Вхідні дані'!$H$16)</f>
        <v>117000</v>
      </c>
      <c r="AJ21" s="186">
        <f>AJ17*CHOOSE('Узагальнений розрахунок'!$M$1,'Вхідні дані'!$H$14,'Вхідні дані'!$H$15,'Вхідні дані'!$H$16)</f>
        <v>120900</v>
      </c>
      <c r="AK21" s="186">
        <f>AK17*CHOOSE('Узагальнений розрахунок'!$M$1,'Вхідні дані'!$H$14,'Вхідні дані'!$H$15,'Вхідні дані'!$H$16)</f>
        <v>117000</v>
      </c>
      <c r="AL21" s="186">
        <f>AL17*CHOOSE('Узагальнений розрахунок'!$M$1,'Вхідні дані'!$H$14,'Вхідні дані'!$H$15,'Вхідні дані'!$H$16)</f>
        <v>120900</v>
      </c>
      <c r="AM21" s="186">
        <f>AM17*CHOOSE('Узагальнений розрахунок'!$M$1,'Вхідні дані'!$H$14,'Вхідні дані'!$H$15,'Вхідні дані'!$H$16)</f>
        <v>120900</v>
      </c>
      <c r="AN21" s="186">
        <f>AN17*CHOOSE('Узагальнений розрахунок'!$M$1,'Вхідні дані'!$H$14,'Вхідні дані'!$H$15,'Вхідні дані'!$H$16)</f>
        <v>117000</v>
      </c>
      <c r="AO21" s="186">
        <f>AO17*CHOOSE('Узагальнений розрахунок'!$M$1,'Вхідні дані'!$H$14,'Вхідні дані'!$H$15,'Вхідні дані'!$H$16)</f>
        <v>120900</v>
      </c>
      <c r="AP21" s="186">
        <f>AP17*CHOOSE('Узагальнений розрахунок'!$M$1,'Вхідні дані'!$H$14,'Вхідні дані'!$H$15,'Вхідні дані'!$H$16)</f>
        <v>117000</v>
      </c>
      <c r="AQ21" s="186">
        <f>AQ17*CHOOSE('Узагальнений розрахунок'!$M$1,'Вхідні дані'!$H$14,'Вхідні дані'!$H$15,'Вхідні дані'!$H$16)</f>
        <v>120900</v>
      </c>
      <c r="AR21" s="187">
        <f t="shared" ref="AR21" si="43">SUM(AF21:AQ21)</f>
        <v>1423500</v>
      </c>
      <c r="AS21" s="187">
        <f t="shared" ref="AS21" si="44">AR21/12</f>
        <v>118625</v>
      </c>
      <c r="AT21" s="188">
        <f t="shared" ref="AT21" si="45">P21+AD21+AR21</f>
        <v>3813900</v>
      </c>
      <c r="AU21" s="189"/>
      <c r="AW21" s="163" t="s">
        <v>7</v>
      </c>
      <c r="AX21" s="163" t="s">
        <v>232</v>
      </c>
    </row>
    <row r="22" spans="1:50" s="195" customFormat="1" x14ac:dyDescent="0.4">
      <c r="A22" s="191" t="str">
        <f>A18</f>
        <v>Разом</v>
      </c>
      <c r="B22" s="192" t="str">
        <f>CHOOSE('Вхідні дані'!$M$1,'Вхідні дані'!$N$1,'Вхідні дані'!$N$2,'Вхідні дані'!$N$3,'Вхідні дані'!$N$4)</f>
        <v>UAH</v>
      </c>
      <c r="C22" s="192"/>
      <c r="D22" s="193">
        <f t="shared" ref="D22:AT22" si="46">SUM(D21:D21)</f>
        <v>74400</v>
      </c>
      <c r="E22" s="193">
        <f t="shared" si="46"/>
        <v>84000</v>
      </c>
      <c r="F22" s="193">
        <f t="shared" si="46"/>
        <v>93000</v>
      </c>
      <c r="G22" s="193">
        <f t="shared" si="46"/>
        <v>90000</v>
      </c>
      <c r="H22" s="193">
        <f t="shared" si="46"/>
        <v>93000</v>
      </c>
      <c r="I22" s="193">
        <f t="shared" si="46"/>
        <v>90000</v>
      </c>
      <c r="J22" s="193">
        <f t="shared" si="46"/>
        <v>93000</v>
      </c>
      <c r="K22" s="193">
        <f t="shared" si="46"/>
        <v>93000</v>
      </c>
      <c r="L22" s="193">
        <f t="shared" si="46"/>
        <v>90000</v>
      </c>
      <c r="M22" s="193">
        <f t="shared" si="46"/>
        <v>93000</v>
      </c>
      <c r="N22" s="193">
        <f t="shared" si="46"/>
        <v>90000</v>
      </c>
      <c r="O22" s="193">
        <f t="shared" si="46"/>
        <v>93000</v>
      </c>
      <c r="P22" s="193">
        <f t="shared" si="46"/>
        <v>1076400</v>
      </c>
      <c r="Q22" s="193">
        <f t="shared" si="46"/>
        <v>89700</v>
      </c>
      <c r="R22" s="193">
        <f t="shared" si="46"/>
        <v>111600</v>
      </c>
      <c r="S22" s="193">
        <f t="shared" si="46"/>
        <v>100800</v>
      </c>
      <c r="T22" s="193">
        <f t="shared" si="46"/>
        <v>111600</v>
      </c>
      <c r="U22" s="193">
        <f t="shared" si="46"/>
        <v>108000</v>
      </c>
      <c r="V22" s="193">
        <f t="shared" si="46"/>
        <v>111600</v>
      </c>
      <c r="W22" s="193">
        <f t="shared" si="46"/>
        <v>108000</v>
      </c>
      <c r="X22" s="193">
        <f t="shared" si="46"/>
        <v>111600</v>
      </c>
      <c r="Y22" s="193">
        <f t="shared" si="46"/>
        <v>111600</v>
      </c>
      <c r="Z22" s="193">
        <f t="shared" si="46"/>
        <v>108000</v>
      </c>
      <c r="AA22" s="193">
        <f t="shared" si="46"/>
        <v>111600</v>
      </c>
      <c r="AB22" s="193">
        <f t="shared" si="46"/>
        <v>108000</v>
      </c>
      <c r="AC22" s="193">
        <f t="shared" si="46"/>
        <v>111600</v>
      </c>
      <c r="AD22" s="193">
        <f t="shared" si="46"/>
        <v>1314000</v>
      </c>
      <c r="AE22" s="193">
        <f t="shared" si="46"/>
        <v>109500</v>
      </c>
      <c r="AF22" s="193">
        <f t="shared" si="46"/>
        <v>120900</v>
      </c>
      <c r="AG22" s="193">
        <f t="shared" si="46"/>
        <v>109200</v>
      </c>
      <c r="AH22" s="193">
        <f t="shared" si="46"/>
        <v>120900</v>
      </c>
      <c r="AI22" s="193">
        <f t="shared" si="46"/>
        <v>117000</v>
      </c>
      <c r="AJ22" s="193">
        <f t="shared" si="46"/>
        <v>120900</v>
      </c>
      <c r="AK22" s="193">
        <f t="shared" si="46"/>
        <v>117000</v>
      </c>
      <c r="AL22" s="193">
        <f t="shared" si="46"/>
        <v>120900</v>
      </c>
      <c r="AM22" s="193">
        <f t="shared" si="46"/>
        <v>120900</v>
      </c>
      <c r="AN22" s="193">
        <f t="shared" si="46"/>
        <v>117000</v>
      </c>
      <c r="AO22" s="193">
        <f t="shared" si="46"/>
        <v>120900</v>
      </c>
      <c r="AP22" s="193">
        <f t="shared" si="46"/>
        <v>117000</v>
      </c>
      <c r="AQ22" s="193">
        <f t="shared" si="46"/>
        <v>120900</v>
      </c>
      <c r="AR22" s="193">
        <f t="shared" si="46"/>
        <v>1423500</v>
      </c>
      <c r="AS22" s="193">
        <f t="shared" si="46"/>
        <v>118625</v>
      </c>
      <c r="AT22" s="193">
        <f t="shared" si="46"/>
        <v>3813900</v>
      </c>
      <c r="AU22" s="194"/>
      <c r="AW22" s="163" t="s">
        <v>123</v>
      </c>
      <c r="AX22" s="163" t="s">
        <v>235</v>
      </c>
    </row>
    <row r="23" spans="1:50" s="183" customFormat="1" ht="21.6" thickBot="1" x14ac:dyDescent="0.45">
      <c r="A23" s="196"/>
      <c r="B23" s="197"/>
      <c r="C23" s="197"/>
      <c r="D23" s="198"/>
      <c r="E23" s="196"/>
      <c r="F23" s="196"/>
      <c r="G23" s="196"/>
      <c r="H23" s="196"/>
      <c r="I23" s="196"/>
      <c r="J23" s="196"/>
      <c r="K23" s="196"/>
      <c r="P23" s="199"/>
      <c r="Q23" s="199"/>
      <c r="R23" s="198"/>
      <c r="S23" s="196"/>
      <c r="T23" s="196"/>
      <c r="U23" s="196"/>
      <c r="V23" s="196"/>
      <c r="W23" s="196"/>
      <c r="X23" s="196"/>
      <c r="Y23" s="196"/>
      <c r="AD23" s="199"/>
      <c r="AE23" s="199"/>
      <c r="AF23" s="198"/>
      <c r="AG23" s="196"/>
      <c r="AH23" s="196"/>
      <c r="AI23" s="196"/>
      <c r="AJ23" s="196"/>
      <c r="AK23" s="196"/>
      <c r="AL23" s="196"/>
      <c r="AM23" s="196"/>
      <c r="AR23" s="199"/>
      <c r="AS23" s="199"/>
      <c r="AW23" s="163" t="s">
        <v>96</v>
      </c>
      <c r="AX23" s="163" t="s">
        <v>236</v>
      </c>
    </row>
    <row r="24" spans="1:50" ht="43.2" thickTop="1" thickBot="1" x14ac:dyDescent="0.45">
      <c r="A24" s="170" t="str">
        <f>CHOOSE('Вхідні дані'!$S$1,AW25,AX25)</f>
        <v>ІНВЕСТИЦІЇ</v>
      </c>
      <c r="B24" s="200"/>
      <c r="C24" s="171" t="str">
        <f t="shared" ref="C24:O24" si="47">C$6</f>
        <v>Нульовий період</v>
      </c>
      <c r="D24" s="171" t="str">
        <f t="shared" si="47"/>
        <v>січень</v>
      </c>
      <c r="E24" s="171" t="str">
        <f t="shared" si="47"/>
        <v>лютий</v>
      </c>
      <c r="F24" s="171" t="str">
        <f t="shared" si="47"/>
        <v>березень</v>
      </c>
      <c r="G24" s="171" t="str">
        <f t="shared" si="47"/>
        <v>квітень</v>
      </c>
      <c r="H24" s="171" t="str">
        <f t="shared" si="47"/>
        <v>травень</v>
      </c>
      <c r="I24" s="171" t="str">
        <f t="shared" si="47"/>
        <v>червень</v>
      </c>
      <c r="J24" s="171" t="str">
        <f t="shared" si="47"/>
        <v>липень</v>
      </c>
      <c r="K24" s="171" t="str">
        <f t="shared" si="47"/>
        <v>серпень</v>
      </c>
      <c r="L24" s="171" t="str">
        <f t="shared" si="47"/>
        <v>вересень</v>
      </c>
      <c r="M24" s="171" t="str">
        <f t="shared" si="47"/>
        <v>жовтень</v>
      </c>
      <c r="N24" s="171" t="str">
        <f t="shared" si="47"/>
        <v>листопад</v>
      </c>
      <c r="O24" s="171" t="str">
        <f t="shared" si="47"/>
        <v>грудень</v>
      </c>
      <c r="P24" s="201" t="str">
        <f>$P$16</f>
        <v>Разом за 1-й рік</v>
      </c>
      <c r="Q24" s="201" t="str">
        <f>$Q$16</f>
        <v>Середньомісячно за 1-й рік</v>
      </c>
      <c r="R24" s="171" t="str">
        <f t="shared" ref="R24:AC24" si="48">R$6</f>
        <v>січень</v>
      </c>
      <c r="S24" s="171" t="str">
        <f t="shared" si="48"/>
        <v>лютий</v>
      </c>
      <c r="T24" s="171" t="str">
        <f t="shared" si="48"/>
        <v>березень</v>
      </c>
      <c r="U24" s="171" t="str">
        <f t="shared" si="48"/>
        <v>квітень</v>
      </c>
      <c r="V24" s="171" t="str">
        <f t="shared" si="48"/>
        <v>травень</v>
      </c>
      <c r="W24" s="171" t="str">
        <f t="shared" si="48"/>
        <v>червень</v>
      </c>
      <c r="X24" s="171" t="str">
        <f t="shared" si="48"/>
        <v>липень</v>
      </c>
      <c r="Y24" s="171" t="str">
        <f t="shared" si="48"/>
        <v>серпень</v>
      </c>
      <c r="Z24" s="171" t="str">
        <f t="shared" si="48"/>
        <v>вересень</v>
      </c>
      <c r="AA24" s="171" t="str">
        <f t="shared" si="48"/>
        <v>жовтень</v>
      </c>
      <c r="AB24" s="171" t="str">
        <f t="shared" si="48"/>
        <v>листопад</v>
      </c>
      <c r="AC24" s="171" t="str">
        <f t="shared" si="48"/>
        <v>грудень</v>
      </c>
      <c r="AD24" s="201" t="str">
        <f>$AD$16</f>
        <v>Разом за 2-й рік</v>
      </c>
      <c r="AE24" s="201" t="str">
        <f>$AE$16</f>
        <v>Середньомісячно за 2-й рік</v>
      </c>
      <c r="AF24" s="171" t="str">
        <f t="shared" ref="AF24:AQ24" si="49">AF$6</f>
        <v>січень</v>
      </c>
      <c r="AG24" s="171" t="str">
        <f t="shared" si="49"/>
        <v>лютий</v>
      </c>
      <c r="AH24" s="171" t="str">
        <f t="shared" si="49"/>
        <v>березень</v>
      </c>
      <c r="AI24" s="171" t="str">
        <f t="shared" si="49"/>
        <v>квітень</v>
      </c>
      <c r="AJ24" s="171" t="str">
        <f t="shared" si="49"/>
        <v>травень</v>
      </c>
      <c r="AK24" s="171" t="str">
        <f t="shared" si="49"/>
        <v>червень</v>
      </c>
      <c r="AL24" s="171" t="str">
        <f t="shared" si="49"/>
        <v>липень</v>
      </c>
      <c r="AM24" s="171" t="str">
        <f t="shared" si="49"/>
        <v>серпень</v>
      </c>
      <c r="AN24" s="171" t="str">
        <f t="shared" si="49"/>
        <v>вересень</v>
      </c>
      <c r="AO24" s="171" t="str">
        <f t="shared" si="49"/>
        <v>жовтень</v>
      </c>
      <c r="AP24" s="171" t="str">
        <f t="shared" si="49"/>
        <v>листопад</v>
      </c>
      <c r="AQ24" s="171" t="str">
        <f t="shared" si="49"/>
        <v>грудень</v>
      </c>
      <c r="AR24" s="201" t="str">
        <f>AR16</f>
        <v>Разом за 3-й рік</v>
      </c>
      <c r="AS24" s="201" t="str">
        <f>AS16</f>
        <v>Середньомісячно за 3-й рік</v>
      </c>
      <c r="AT24" s="202" t="str">
        <f>AT15</f>
        <v>Разом за три роки</v>
      </c>
    </row>
    <row r="25" spans="1:50" s="208" customFormat="1" ht="21.6" thickTop="1" x14ac:dyDescent="0.4">
      <c r="A25" s="203" t="str">
        <f>'Узагальнений розрахунок'!B11</f>
        <v>Ремонт приміщення</v>
      </c>
      <c r="B25" s="204" t="str">
        <f>CHOOSE('Вхідні дані'!$M$1,'Вхідні дані'!$N$1,'Вхідні дані'!$N$2,'Вхідні дані'!$N$3,'Вхідні дані'!$N$4)</f>
        <v>UAH</v>
      </c>
      <c r="C25" s="205">
        <f>'Узагальнений розрахунок'!D11</f>
        <v>205200</v>
      </c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6">
        <f>SUM(C25:O25)</f>
        <v>205200</v>
      </c>
      <c r="Q25" s="206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6">
        <f t="shared" ref="AD25:AD34" si="50">SUM(R25:AC25)</f>
        <v>0</v>
      </c>
      <c r="AE25" s="206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6">
        <f t="shared" ref="AR25:AR34" si="51">SUM(AF25:AQ25)</f>
        <v>0</v>
      </c>
      <c r="AS25" s="206"/>
      <c r="AT25" s="188">
        <f t="shared" ref="AT25:AT35" si="52">P25+AD25+AR25</f>
        <v>205200</v>
      </c>
      <c r="AU25" s="207"/>
      <c r="AW25" s="163" t="s">
        <v>72</v>
      </c>
      <c r="AX25" s="163" t="s">
        <v>237</v>
      </c>
    </row>
    <row r="26" spans="1:50" s="190" customFormat="1" x14ac:dyDescent="0.4">
      <c r="A26" s="184" t="str">
        <f>'Узагальнений розрахунок'!B12</f>
        <v>Меблі та обладнання</v>
      </c>
      <c r="B26" s="185" t="str">
        <f>CHOOSE('Вхідні дані'!$M$1,'Вхідні дані'!$N$1,'Вхідні дані'!$N$2,'Вхідні дані'!$N$3,'Вхідні дані'!$N$4)</f>
        <v>UAH</v>
      </c>
      <c r="C26" s="186">
        <f>'Узагальнений розрахунок'!D12</f>
        <v>218913</v>
      </c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7">
        <f t="shared" ref="P26:P34" si="53">SUM(C26:O26)</f>
        <v>218913</v>
      </c>
      <c r="Q26" s="187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7">
        <f t="shared" si="50"/>
        <v>0</v>
      </c>
      <c r="AE26" s="187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7">
        <f t="shared" si="51"/>
        <v>0</v>
      </c>
      <c r="AS26" s="187"/>
      <c r="AT26" s="188">
        <f t="shared" si="52"/>
        <v>218913</v>
      </c>
      <c r="AU26" s="189"/>
      <c r="AW26" s="163" t="s">
        <v>3</v>
      </c>
      <c r="AX26" s="163" t="s">
        <v>234</v>
      </c>
    </row>
    <row r="27" spans="1:50" s="208" customFormat="1" x14ac:dyDescent="0.4">
      <c r="A27" s="203" t="str">
        <f>'Узагальнений розрахунок'!B13</f>
        <v>Комп'ютери, офісна техніка та каси</v>
      </c>
      <c r="B27" s="204" t="str">
        <f>CHOOSE('Вхідні дані'!$M$1,'Вхідні дані'!$N$1,'Вхідні дані'!$N$2,'Вхідні дані'!$N$3,'Вхідні дані'!$N$4)</f>
        <v>UAH</v>
      </c>
      <c r="C27" s="205">
        <f>'Узагальнений розрахунок'!D13</f>
        <v>14020</v>
      </c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6">
        <f t="shared" ref="P27" si="54">SUM(C27:O27)</f>
        <v>14020</v>
      </c>
      <c r="Q27" s="206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6">
        <f t="shared" ref="AD27" si="55">SUM(R27:AC27)</f>
        <v>0</v>
      </c>
      <c r="AE27" s="206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6">
        <f t="shared" ref="AR27" si="56">SUM(AF27:AQ27)</f>
        <v>0</v>
      </c>
      <c r="AS27" s="206"/>
      <c r="AT27" s="188">
        <f t="shared" ref="AT27" si="57">P27+AD27+AR27</f>
        <v>14020</v>
      </c>
      <c r="AU27" s="207"/>
      <c r="AW27" s="163"/>
      <c r="AX27" s="163"/>
    </row>
    <row r="28" spans="1:50" s="190" customFormat="1" x14ac:dyDescent="0.4">
      <c r="A28" s="184" t="str">
        <f>'Узагальнений розрахунок'!B14</f>
        <v>Сигналізація (охоронна та пожежна)</v>
      </c>
      <c r="B28" s="185" t="str">
        <f>CHOOSE('Вхідні дані'!$M$1,'Вхідні дані'!$N$1,'Вхідні дані'!$N$2,'Вхідні дані'!$N$3,'Вхідні дані'!$N$4)</f>
        <v>UAH</v>
      </c>
      <c r="C28" s="186">
        <f>'Узагальнений розрахунок'!D14</f>
        <v>0</v>
      </c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7">
        <f t="shared" si="53"/>
        <v>0</v>
      </c>
      <c r="Q28" s="187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7">
        <f t="shared" si="50"/>
        <v>0</v>
      </c>
      <c r="AE28" s="187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7">
        <f t="shared" si="51"/>
        <v>0</v>
      </c>
      <c r="AS28" s="187"/>
      <c r="AT28" s="188">
        <f t="shared" si="52"/>
        <v>0</v>
      </c>
      <c r="AU28" s="189"/>
      <c r="AW28" s="163" t="s">
        <v>274</v>
      </c>
      <c r="AX28" s="163" t="s">
        <v>275</v>
      </c>
    </row>
    <row r="29" spans="1:50" s="208" customFormat="1" x14ac:dyDescent="0.4">
      <c r="A29" s="203" t="str">
        <f>'Узагальнений розрахунок'!B15</f>
        <v>Відеоспостереження</v>
      </c>
      <c r="B29" s="204" t="str">
        <f>CHOOSE('Вхідні дані'!$M$1,'Вхідні дані'!$N$1,'Вхідні дані'!$N$2,'Вхідні дані'!$N$3,'Вхідні дані'!$N$4)</f>
        <v>UAH</v>
      </c>
      <c r="C29" s="205">
        <f>'Узагальнений розрахунок'!D15</f>
        <v>3000</v>
      </c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6">
        <f t="shared" ref="P29" si="58">SUM(C29:O29)</f>
        <v>3000</v>
      </c>
      <c r="Q29" s="206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6">
        <f t="shared" ref="AD29" si="59">SUM(R29:AC29)</f>
        <v>0</v>
      </c>
      <c r="AE29" s="206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6">
        <f t="shared" ref="AR29" si="60">SUM(AF29:AQ29)</f>
        <v>0</v>
      </c>
      <c r="AS29" s="206"/>
      <c r="AT29" s="188">
        <f t="shared" ref="AT29" si="61">P29+AD29+AR29</f>
        <v>3000</v>
      </c>
      <c r="AU29" s="207"/>
      <c r="AW29" s="163"/>
      <c r="AX29" s="163"/>
    </row>
    <row r="30" spans="1:50" s="190" customFormat="1" x14ac:dyDescent="0.4">
      <c r="A30" s="184" t="str">
        <f>'Узагальнений розрахунок'!B16</f>
        <v>Первісний закуп товару</v>
      </c>
      <c r="B30" s="185" t="str">
        <f>CHOOSE('Вхідні дані'!$M$1,'Вхідні дані'!$N$1,'Вхідні дані'!$N$2,'Вхідні дані'!$N$3,'Вхідні дані'!$N$4)</f>
        <v>UAH</v>
      </c>
      <c r="C30" s="186">
        <f>'Узагальнений розрахунок'!D16</f>
        <v>10000</v>
      </c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7">
        <f t="shared" ref="P30" si="62">SUM(C30:O30)</f>
        <v>10000</v>
      </c>
      <c r="Q30" s="187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7">
        <f t="shared" ref="AD30" si="63">SUM(R30:AC30)</f>
        <v>0</v>
      </c>
      <c r="AE30" s="187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7">
        <f t="shared" ref="AR30" si="64">SUM(AF30:AQ30)</f>
        <v>0</v>
      </c>
      <c r="AS30" s="187"/>
      <c r="AT30" s="188">
        <f t="shared" ref="AT30" si="65">P30+AD30+AR30</f>
        <v>10000</v>
      </c>
      <c r="AU30" s="189"/>
      <c r="AW30" s="163"/>
      <c r="AX30" s="163"/>
    </row>
    <row r="31" spans="1:50" s="208" customFormat="1" x14ac:dyDescent="0.4">
      <c r="A31" s="203" t="str">
        <f>'Узагальнений розрахунок'!B17</f>
        <v>Авансовий платіж по оренді</v>
      </c>
      <c r="B31" s="204" t="str">
        <f>CHOOSE('Вхідні дані'!$M$1,'Вхідні дані'!$N$1,'Вхідні дані'!$N$2,'Вхідні дані'!$N$3,'Вхідні дані'!$N$4)</f>
        <v>UAH</v>
      </c>
      <c r="C31" s="205">
        <f>'Узагальнений розрахунок'!D17</f>
        <v>0</v>
      </c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6">
        <f t="shared" si="53"/>
        <v>0</v>
      </c>
      <c r="Q31" s="206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6">
        <f t="shared" si="50"/>
        <v>0</v>
      </c>
      <c r="AE31" s="206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6">
        <f t="shared" si="51"/>
        <v>0</v>
      </c>
      <c r="AS31" s="206"/>
      <c r="AT31" s="188">
        <f t="shared" si="52"/>
        <v>0</v>
      </c>
      <c r="AU31" s="207"/>
      <c r="AW31" s="163"/>
      <c r="AX31" s="163"/>
    </row>
    <row r="32" spans="1:50" s="190" customFormat="1" x14ac:dyDescent="0.4">
      <c r="A32" s="184" t="str">
        <f>'Узагальнений розрахунок'!B18</f>
        <v>Рекламна кампанія</v>
      </c>
      <c r="B32" s="185" t="str">
        <f>CHOOSE('Вхідні дані'!$M$1,'Вхідні дані'!$N$1,'Вхідні дані'!$N$2,'Вхідні дані'!$N$3,'Вхідні дані'!$N$4)</f>
        <v>UAH</v>
      </c>
      <c r="C32" s="186">
        <f>'Узагальнений розрахунок'!D18</f>
        <v>0</v>
      </c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7">
        <f t="shared" si="53"/>
        <v>0</v>
      </c>
      <c r="Q32" s="187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7">
        <f t="shared" si="50"/>
        <v>0</v>
      </c>
      <c r="AE32" s="187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7">
        <f t="shared" si="51"/>
        <v>0</v>
      </c>
      <c r="AS32" s="187"/>
      <c r="AT32" s="188">
        <f t="shared" si="52"/>
        <v>0</v>
      </c>
      <c r="AU32" s="189"/>
      <c r="AW32" s="163"/>
      <c r="AX32" s="163"/>
    </row>
    <row r="33" spans="1:50" s="208" customFormat="1" x14ac:dyDescent="0.4">
      <c r="A33" s="203" t="str">
        <f>'Узагальнений розрахунок'!B19</f>
        <v>Паушальний внесок</v>
      </c>
      <c r="B33" s="204" t="str">
        <f>CHOOSE('Вхідні дані'!$M$1,'Вхідні дані'!$N$1,'Вхідні дані'!$N$2,'Вхідні дані'!$N$3,'Вхідні дані'!$N$4)</f>
        <v>UAH</v>
      </c>
      <c r="C33" s="205">
        <f>'Узагальнений розрахунок'!D19</f>
        <v>81000</v>
      </c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6">
        <f t="shared" si="53"/>
        <v>81000</v>
      </c>
      <c r="Q33" s="206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6">
        <f t="shared" si="50"/>
        <v>0</v>
      </c>
      <c r="AE33" s="206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6">
        <f t="shared" si="51"/>
        <v>0</v>
      </c>
      <c r="AS33" s="206"/>
      <c r="AT33" s="188">
        <f t="shared" si="52"/>
        <v>81000</v>
      </c>
      <c r="AU33" s="207"/>
      <c r="AW33" s="163"/>
      <c r="AX33" s="163"/>
    </row>
    <row r="34" spans="1:50" s="190" customFormat="1" x14ac:dyDescent="0.4">
      <c r="A34" s="184" t="str">
        <f>'Узагальнений розрахунок'!B20</f>
        <v>Інше</v>
      </c>
      <c r="B34" s="185" t="str">
        <f>CHOOSE('Вхідні дані'!$M$1,'Вхідні дані'!$N$1,'Вхідні дані'!$N$2,'Вхідні дані'!$N$3,'Вхідні дані'!$N$4)</f>
        <v>UAH</v>
      </c>
      <c r="C34" s="186">
        <f>'Узагальнений розрахунок'!D20</f>
        <v>0</v>
      </c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7">
        <f t="shared" si="53"/>
        <v>0</v>
      </c>
      <c r="Q34" s="187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7">
        <f t="shared" si="50"/>
        <v>0</v>
      </c>
      <c r="AE34" s="187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7">
        <f t="shared" si="51"/>
        <v>0</v>
      </c>
      <c r="AS34" s="187"/>
      <c r="AT34" s="188">
        <f t="shared" si="52"/>
        <v>0</v>
      </c>
      <c r="AU34" s="189"/>
      <c r="AW34" s="163"/>
      <c r="AX34" s="163"/>
    </row>
    <row r="35" spans="1:50" s="195" customFormat="1" x14ac:dyDescent="0.4">
      <c r="A35" s="191" t="str">
        <f>A22</f>
        <v>Разом</v>
      </c>
      <c r="B35" s="192" t="str">
        <f>CHOOSE('Вхідні дані'!$M$1,'Вхідні дані'!$N$1,'Вхідні дані'!$N$2,'Вхідні дані'!$N$3,'Вхідні дані'!$N$4)</f>
        <v>UAH</v>
      </c>
      <c r="C35" s="193">
        <f t="shared" ref="C35:P35" si="66">SUM(C25:C34)</f>
        <v>532133</v>
      </c>
      <c r="D35" s="193">
        <f t="shared" si="66"/>
        <v>0</v>
      </c>
      <c r="E35" s="193">
        <f t="shared" si="66"/>
        <v>0</v>
      </c>
      <c r="F35" s="193">
        <f t="shared" si="66"/>
        <v>0</v>
      </c>
      <c r="G35" s="193">
        <f t="shared" si="66"/>
        <v>0</v>
      </c>
      <c r="H35" s="193">
        <f t="shared" si="66"/>
        <v>0</v>
      </c>
      <c r="I35" s="193">
        <f t="shared" si="66"/>
        <v>0</v>
      </c>
      <c r="J35" s="193">
        <f t="shared" si="66"/>
        <v>0</v>
      </c>
      <c r="K35" s="193">
        <f t="shared" si="66"/>
        <v>0</v>
      </c>
      <c r="L35" s="193">
        <f t="shared" si="66"/>
        <v>0</v>
      </c>
      <c r="M35" s="193">
        <f t="shared" si="66"/>
        <v>0</v>
      </c>
      <c r="N35" s="193">
        <f t="shared" si="66"/>
        <v>0</v>
      </c>
      <c r="O35" s="193">
        <f t="shared" si="66"/>
        <v>0</v>
      </c>
      <c r="P35" s="193">
        <f t="shared" si="66"/>
        <v>532133</v>
      </c>
      <c r="Q35" s="193"/>
      <c r="R35" s="193">
        <f t="shared" ref="R35:AD35" si="67">SUM(R25:R34)</f>
        <v>0</v>
      </c>
      <c r="S35" s="193">
        <f t="shared" si="67"/>
        <v>0</v>
      </c>
      <c r="T35" s="193">
        <f t="shared" si="67"/>
        <v>0</v>
      </c>
      <c r="U35" s="193">
        <f t="shared" si="67"/>
        <v>0</v>
      </c>
      <c r="V35" s="193">
        <f t="shared" si="67"/>
        <v>0</v>
      </c>
      <c r="W35" s="193">
        <f t="shared" si="67"/>
        <v>0</v>
      </c>
      <c r="X35" s="193">
        <f t="shared" si="67"/>
        <v>0</v>
      </c>
      <c r="Y35" s="193">
        <f t="shared" si="67"/>
        <v>0</v>
      </c>
      <c r="Z35" s="193">
        <f t="shared" si="67"/>
        <v>0</v>
      </c>
      <c r="AA35" s="193">
        <f t="shared" si="67"/>
        <v>0</v>
      </c>
      <c r="AB35" s="193">
        <f t="shared" si="67"/>
        <v>0</v>
      </c>
      <c r="AC35" s="193">
        <f t="shared" si="67"/>
        <v>0</v>
      </c>
      <c r="AD35" s="193">
        <f t="shared" si="67"/>
        <v>0</v>
      </c>
      <c r="AE35" s="193"/>
      <c r="AF35" s="193">
        <f t="shared" ref="AF35:AR35" si="68">SUM(AF25:AF34)</f>
        <v>0</v>
      </c>
      <c r="AG35" s="193">
        <f t="shared" si="68"/>
        <v>0</v>
      </c>
      <c r="AH35" s="193">
        <f t="shared" si="68"/>
        <v>0</v>
      </c>
      <c r="AI35" s="193">
        <f t="shared" si="68"/>
        <v>0</v>
      </c>
      <c r="AJ35" s="193">
        <f t="shared" si="68"/>
        <v>0</v>
      </c>
      <c r="AK35" s="193">
        <f t="shared" si="68"/>
        <v>0</v>
      </c>
      <c r="AL35" s="193">
        <f t="shared" si="68"/>
        <v>0</v>
      </c>
      <c r="AM35" s="193">
        <f t="shared" si="68"/>
        <v>0</v>
      </c>
      <c r="AN35" s="193">
        <f t="shared" si="68"/>
        <v>0</v>
      </c>
      <c r="AO35" s="193">
        <f t="shared" si="68"/>
        <v>0</v>
      </c>
      <c r="AP35" s="193">
        <f t="shared" si="68"/>
        <v>0</v>
      </c>
      <c r="AQ35" s="193">
        <f t="shared" si="68"/>
        <v>0</v>
      </c>
      <c r="AR35" s="193">
        <f t="shared" si="68"/>
        <v>0</v>
      </c>
      <c r="AS35" s="193"/>
      <c r="AT35" s="209">
        <f t="shared" si="52"/>
        <v>532133</v>
      </c>
      <c r="AU35" s="194"/>
      <c r="AW35" s="163"/>
      <c r="AX35" s="163"/>
    </row>
    <row r="36" spans="1:50" s="214" customFormat="1" ht="21.6" thickBot="1" x14ac:dyDescent="0.45">
      <c r="A36" s="210"/>
      <c r="B36" s="211"/>
      <c r="C36" s="211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3"/>
      <c r="AW36" s="163"/>
      <c r="AX36" s="163"/>
    </row>
    <row r="37" spans="1:50" ht="43.2" thickTop="1" thickBot="1" x14ac:dyDescent="0.45">
      <c r="A37" s="170" t="str">
        <f>CHOOSE('Вхідні дані'!$S$1,AW37,AX37)</f>
        <v>ПОТОЧНІ ВИТРАТИ</v>
      </c>
      <c r="B37" s="200"/>
      <c r="C37" s="171" t="str">
        <f t="shared" ref="C37:O37" si="69">C$6</f>
        <v>Нульовий період</v>
      </c>
      <c r="D37" s="171" t="str">
        <f t="shared" si="69"/>
        <v>січень</v>
      </c>
      <c r="E37" s="171" t="str">
        <f t="shared" si="69"/>
        <v>лютий</v>
      </c>
      <c r="F37" s="171" t="str">
        <f t="shared" si="69"/>
        <v>березень</v>
      </c>
      <c r="G37" s="171" t="str">
        <f t="shared" si="69"/>
        <v>квітень</v>
      </c>
      <c r="H37" s="171" t="str">
        <f t="shared" si="69"/>
        <v>травень</v>
      </c>
      <c r="I37" s="171" t="str">
        <f t="shared" si="69"/>
        <v>червень</v>
      </c>
      <c r="J37" s="171" t="str">
        <f t="shared" si="69"/>
        <v>липень</v>
      </c>
      <c r="K37" s="171" t="str">
        <f t="shared" si="69"/>
        <v>серпень</v>
      </c>
      <c r="L37" s="171" t="str">
        <f t="shared" si="69"/>
        <v>вересень</v>
      </c>
      <c r="M37" s="171" t="str">
        <f t="shared" si="69"/>
        <v>жовтень</v>
      </c>
      <c r="N37" s="171" t="str">
        <f t="shared" si="69"/>
        <v>листопад</v>
      </c>
      <c r="O37" s="171" t="str">
        <f t="shared" si="69"/>
        <v>грудень</v>
      </c>
      <c r="P37" s="201" t="str">
        <f>$P$16</f>
        <v>Разом за 1-й рік</v>
      </c>
      <c r="Q37" s="201" t="str">
        <f>$Q$16</f>
        <v>Середньомісячно за 1-й рік</v>
      </c>
      <c r="R37" s="171" t="str">
        <f t="shared" ref="R37:AC37" si="70">R$6</f>
        <v>січень</v>
      </c>
      <c r="S37" s="171" t="str">
        <f t="shared" si="70"/>
        <v>лютий</v>
      </c>
      <c r="T37" s="171" t="str">
        <f t="shared" si="70"/>
        <v>березень</v>
      </c>
      <c r="U37" s="171" t="str">
        <f t="shared" si="70"/>
        <v>квітень</v>
      </c>
      <c r="V37" s="171" t="str">
        <f t="shared" si="70"/>
        <v>травень</v>
      </c>
      <c r="W37" s="171" t="str">
        <f t="shared" si="70"/>
        <v>червень</v>
      </c>
      <c r="X37" s="171" t="str">
        <f t="shared" si="70"/>
        <v>липень</v>
      </c>
      <c r="Y37" s="171" t="str">
        <f t="shared" si="70"/>
        <v>серпень</v>
      </c>
      <c r="Z37" s="171" t="str">
        <f t="shared" si="70"/>
        <v>вересень</v>
      </c>
      <c r="AA37" s="171" t="str">
        <f t="shared" si="70"/>
        <v>жовтень</v>
      </c>
      <c r="AB37" s="171" t="str">
        <f t="shared" si="70"/>
        <v>листопад</v>
      </c>
      <c r="AC37" s="171" t="str">
        <f t="shared" si="70"/>
        <v>грудень</v>
      </c>
      <c r="AD37" s="201" t="str">
        <f>AD24</f>
        <v>Разом за 2-й рік</v>
      </c>
      <c r="AE37" s="201" t="str">
        <f>AE24</f>
        <v>Середньомісячно за 2-й рік</v>
      </c>
      <c r="AF37" s="171" t="str">
        <f t="shared" ref="AF37:AQ37" si="71">AF$6</f>
        <v>січень</v>
      </c>
      <c r="AG37" s="171" t="str">
        <f t="shared" si="71"/>
        <v>лютий</v>
      </c>
      <c r="AH37" s="171" t="str">
        <f t="shared" si="71"/>
        <v>березень</v>
      </c>
      <c r="AI37" s="171" t="str">
        <f t="shared" si="71"/>
        <v>квітень</v>
      </c>
      <c r="AJ37" s="171" t="str">
        <f t="shared" si="71"/>
        <v>травень</v>
      </c>
      <c r="AK37" s="171" t="str">
        <f t="shared" si="71"/>
        <v>червень</v>
      </c>
      <c r="AL37" s="171" t="str">
        <f t="shared" si="71"/>
        <v>липень</v>
      </c>
      <c r="AM37" s="171" t="str">
        <f t="shared" si="71"/>
        <v>серпень</v>
      </c>
      <c r="AN37" s="171" t="str">
        <f t="shared" si="71"/>
        <v>вересень</v>
      </c>
      <c r="AO37" s="171" t="str">
        <f t="shared" si="71"/>
        <v>жовтень</v>
      </c>
      <c r="AP37" s="171" t="str">
        <f t="shared" si="71"/>
        <v>листопад</v>
      </c>
      <c r="AQ37" s="171" t="str">
        <f t="shared" si="71"/>
        <v>грудень</v>
      </c>
      <c r="AR37" s="201" t="str">
        <f>AR24</f>
        <v>Разом за 3-й рік</v>
      </c>
      <c r="AS37" s="201" t="str">
        <f>AS24</f>
        <v>Середньомісячно за 3-й рік</v>
      </c>
      <c r="AT37" s="202" t="str">
        <f>AT24</f>
        <v>Разом за три роки</v>
      </c>
      <c r="AW37" s="163" t="s">
        <v>8</v>
      </c>
      <c r="AX37" s="163" t="s">
        <v>238</v>
      </c>
    </row>
    <row r="38" spans="1:50" s="214" customFormat="1" ht="21.6" hidden="1" thickTop="1" x14ac:dyDescent="0.4">
      <c r="A38" s="215" t="s">
        <v>273</v>
      </c>
      <c r="B38" s="211"/>
      <c r="C38" s="216"/>
      <c r="D38" s="217">
        <f>D18-D22-SUM(D40:D57)</f>
        <v>33540</v>
      </c>
      <c r="E38" s="217">
        <f t="shared" ref="E38:O38" si="72">E18-E22-SUM(E40:E57)</f>
        <v>51000</v>
      </c>
      <c r="F38" s="217">
        <f t="shared" si="72"/>
        <v>59812.5</v>
      </c>
      <c r="G38" s="217">
        <f t="shared" si="72"/>
        <v>56875</v>
      </c>
      <c r="H38" s="217">
        <f t="shared" si="72"/>
        <v>59812.5</v>
      </c>
      <c r="I38" s="217">
        <f t="shared" si="72"/>
        <v>56875</v>
      </c>
      <c r="J38" s="217">
        <f t="shared" si="72"/>
        <v>59812.5</v>
      </c>
      <c r="K38" s="217">
        <f t="shared" si="72"/>
        <v>59812.5</v>
      </c>
      <c r="L38" s="217">
        <f t="shared" si="72"/>
        <v>56875</v>
      </c>
      <c r="M38" s="217">
        <f t="shared" si="72"/>
        <v>59812.5</v>
      </c>
      <c r="N38" s="217">
        <f t="shared" si="72"/>
        <v>56875</v>
      </c>
      <c r="O38" s="217">
        <f t="shared" si="72"/>
        <v>59812.5</v>
      </c>
      <c r="P38" s="218"/>
      <c r="Q38" s="218"/>
      <c r="R38" s="217">
        <f>R18-R22-SUM(R40:R57)</f>
        <v>86085</v>
      </c>
      <c r="S38" s="217">
        <f t="shared" ref="S38:AC38" si="73">S18-S22-SUM(S40:S57)</f>
        <v>74730</v>
      </c>
      <c r="T38" s="217">
        <f t="shared" si="73"/>
        <v>86085</v>
      </c>
      <c r="U38" s="217">
        <f t="shared" si="73"/>
        <v>82300</v>
      </c>
      <c r="V38" s="217">
        <f t="shared" si="73"/>
        <v>86085</v>
      </c>
      <c r="W38" s="217">
        <f t="shared" si="73"/>
        <v>82300</v>
      </c>
      <c r="X38" s="217">
        <f t="shared" si="73"/>
        <v>86085</v>
      </c>
      <c r="Y38" s="217">
        <f t="shared" si="73"/>
        <v>86085</v>
      </c>
      <c r="Z38" s="217">
        <f t="shared" si="73"/>
        <v>82300</v>
      </c>
      <c r="AA38" s="217">
        <f t="shared" si="73"/>
        <v>86085</v>
      </c>
      <c r="AB38" s="217">
        <f t="shared" si="73"/>
        <v>82300</v>
      </c>
      <c r="AC38" s="217">
        <f t="shared" si="73"/>
        <v>86085</v>
      </c>
      <c r="AD38" s="218"/>
      <c r="AE38" s="218"/>
      <c r="AF38" s="217">
        <f>AF18-AF22-SUM(AF40:AF57)</f>
        <v>99221.25</v>
      </c>
      <c r="AG38" s="217">
        <f t="shared" ref="AG38:AQ38" si="74">AG18-AG22-SUM(AG40:AG57)</f>
        <v>86595</v>
      </c>
      <c r="AH38" s="217">
        <f t="shared" si="74"/>
        <v>99221.25</v>
      </c>
      <c r="AI38" s="217">
        <f t="shared" si="74"/>
        <v>95012.5</v>
      </c>
      <c r="AJ38" s="217">
        <f t="shared" si="74"/>
        <v>99221.25</v>
      </c>
      <c r="AK38" s="217">
        <f t="shared" si="74"/>
        <v>95012.5</v>
      </c>
      <c r="AL38" s="217">
        <f t="shared" si="74"/>
        <v>99221.25</v>
      </c>
      <c r="AM38" s="217">
        <f t="shared" si="74"/>
        <v>99221.25</v>
      </c>
      <c r="AN38" s="217">
        <f t="shared" si="74"/>
        <v>95012.5</v>
      </c>
      <c r="AO38" s="217">
        <f t="shared" si="74"/>
        <v>99221.25</v>
      </c>
      <c r="AP38" s="217">
        <f t="shared" si="74"/>
        <v>95012.5</v>
      </c>
      <c r="AQ38" s="217">
        <f t="shared" si="74"/>
        <v>99221.25</v>
      </c>
      <c r="AR38" s="218"/>
      <c r="AS38" s="218"/>
      <c r="AT38" s="219"/>
      <c r="AW38" s="163"/>
      <c r="AX38" s="163"/>
    </row>
    <row r="39" spans="1:50" s="214" customFormat="1" hidden="1" x14ac:dyDescent="0.4">
      <c r="A39" s="215"/>
      <c r="B39" s="211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8"/>
      <c r="Q39" s="218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8"/>
      <c r="AE39" s="218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8"/>
      <c r="AS39" s="218"/>
      <c r="AT39" s="219"/>
      <c r="AW39" s="163"/>
      <c r="AX39" s="163"/>
    </row>
    <row r="40" spans="1:50" s="208" customFormat="1" ht="21.6" thickTop="1" x14ac:dyDescent="0.4">
      <c r="A40" s="203" t="str">
        <f>'Узагальнений розрахунок'!B33</f>
        <v>Зарплата персоналу</v>
      </c>
      <c r="B40" s="204" t="str">
        <f>CHOOSE('Вхідні дані'!$M$1,'Вхідні дані'!$N$1,'Вхідні дані'!$N$2,'Вхідні дані'!$N$3,'Вхідні дані'!$N$4)</f>
        <v>UAH</v>
      </c>
      <c r="C40" s="205"/>
      <c r="D40" s="205">
        <f>D9*D3*('Узагальнений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+D18*'Узагальнений розрахунок'!$G$25</f>
        <v>40300</v>
      </c>
      <c r="E40" s="205">
        <f>E9*E3*('Узагальнений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+E18*'Узагальнений розрахунок'!$G$25</f>
        <v>36400</v>
      </c>
      <c r="F40" s="205">
        <f>F9*F3*('Узагальнений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+F18*'Узагальнений розрахунок'!$G$25</f>
        <v>40300</v>
      </c>
      <c r="G40" s="205">
        <f>G9*G3*('Узагальнений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+G18*'Узагальнений розрахунок'!$G$25</f>
        <v>39000</v>
      </c>
      <c r="H40" s="205">
        <f>H9*H3*('Узагальнений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+H18*'Узагальнений розрахунок'!$G$25</f>
        <v>40300</v>
      </c>
      <c r="I40" s="205">
        <f>I9*I3*('Узагальнений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+I18*'Узагальнений розрахунок'!$G$25</f>
        <v>39000</v>
      </c>
      <c r="J40" s="205">
        <f>J9*J3*('Узагальнений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+J18*'Узагальнений розрахунок'!$G$25</f>
        <v>40300</v>
      </c>
      <c r="K40" s="205">
        <f>K9*K3*('Узагальнений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+K18*'Узагальнений розрахунок'!$G$25</f>
        <v>40300</v>
      </c>
      <c r="L40" s="205">
        <f>L9*L3*('Узагальнений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+L18*'Узагальнений розрахунок'!$G$25</f>
        <v>39000</v>
      </c>
      <c r="M40" s="205">
        <f>M9*M3*('Узагальнений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+M18*'Узагальнений розрахунок'!$G$25</f>
        <v>40300</v>
      </c>
      <c r="N40" s="205">
        <f>N9*N3*('Узагальнений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+N18*'Узагальнений розрахунок'!$G$25</f>
        <v>39000</v>
      </c>
      <c r="O40" s="205">
        <f>O9*O3*('Узагальнений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+O18*'Узагальнений розрахунок'!$G$25</f>
        <v>40300</v>
      </c>
      <c r="P40" s="206">
        <f>SUM(D40:O40)</f>
        <v>474500</v>
      </c>
      <c r="Q40" s="206">
        <f>P40/12</f>
        <v>39541.666666666664</v>
      </c>
      <c r="R40" s="205">
        <f>R9*R3*('Узагальнений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+R18*'Узагальнений розрахунок'!$G$25</f>
        <v>40300</v>
      </c>
      <c r="S40" s="205">
        <f>S9*S3*('Узагальнений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+S18*'Узагальнений розрахунок'!$G$25</f>
        <v>36400</v>
      </c>
      <c r="T40" s="205">
        <f>T9*T3*('Узагальнений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+T18*'Узагальнений розрахунок'!$G$25</f>
        <v>40300</v>
      </c>
      <c r="U40" s="205">
        <f>U9*U3*('Узагальнений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+U18*'Узагальнений розрахунок'!$G$25</f>
        <v>39000</v>
      </c>
      <c r="V40" s="205">
        <f>V9*V3*('Узагальнений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+V18*'Узагальнений розрахунок'!$G$25</f>
        <v>40300</v>
      </c>
      <c r="W40" s="205">
        <f>W9*W3*('Узагальнений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+W18*'Узагальнений розрахунок'!$G$25</f>
        <v>39000</v>
      </c>
      <c r="X40" s="205">
        <f>X9*X3*('Узагальнений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+X18*'Узагальнений розрахунок'!$G$25</f>
        <v>40300</v>
      </c>
      <c r="Y40" s="205">
        <f>Y9*Y3*('Узагальнений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+Y18*'Узагальнений розрахунок'!$G$25</f>
        <v>40300</v>
      </c>
      <c r="Z40" s="205">
        <f>Z9*Z3*('Узагальнений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+Z18*'Узагальнений розрахунок'!$G$25</f>
        <v>39000</v>
      </c>
      <c r="AA40" s="205">
        <f>AA9*AA3*('Узагальнений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+AA18*'Узагальнений розрахунок'!$G$25</f>
        <v>40300</v>
      </c>
      <c r="AB40" s="205">
        <f>AB9*AB3*('Узагальнений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+AB18*'Узагальнений розрахунок'!$G$25</f>
        <v>39000</v>
      </c>
      <c r="AC40" s="205">
        <f>AC9*AC3*('Узагальнений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+AC18*'Узагальнений розрахунок'!$G$25</f>
        <v>40300</v>
      </c>
      <c r="AD40" s="206">
        <f t="shared" ref="AD40:AD45" si="75">SUM(R40:AC40)</f>
        <v>474500</v>
      </c>
      <c r="AE40" s="206">
        <f t="shared" ref="AE40:AE45" si="76">AD40/12</f>
        <v>39541.666666666664</v>
      </c>
      <c r="AF40" s="205">
        <f>AF9*AF3*('Узагальнений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+AF18*'Узагальнений розрахунок'!$G$25</f>
        <v>40300</v>
      </c>
      <c r="AG40" s="205">
        <f>AG9*AG3*('Узагальнений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+AG18*'Узагальнений розрахунок'!$G$25</f>
        <v>36400</v>
      </c>
      <c r="AH40" s="205">
        <f>AH9*AH3*('Узагальнений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+AH18*'Узагальнений розрахунок'!$G$25</f>
        <v>40300</v>
      </c>
      <c r="AI40" s="205">
        <f>AI9*AI3*('Узагальнений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+AI18*'Узагальнений розрахунок'!$G$25</f>
        <v>39000</v>
      </c>
      <c r="AJ40" s="205">
        <f>AJ9*AJ3*('Узагальнений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+AJ18*'Узагальнений розрахунок'!$G$25</f>
        <v>40300</v>
      </c>
      <c r="AK40" s="205">
        <f>AK9*AK3*('Узагальнений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+AK18*'Узагальнений розрахунок'!$G$25</f>
        <v>39000</v>
      </c>
      <c r="AL40" s="205">
        <f>AL9*AL3*('Узагальнений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+AL18*'Узагальнений розрахунок'!$G$25</f>
        <v>40300</v>
      </c>
      <c r="AM40" s="205">
        <f>AM9*AM3*('Узагальнений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+AM18*'Узагальнений розрахунок'!$G$25</f>
        <v>40300</v>
      </c>
      <c r="AN40" s="205">
        <f>AN9*AN3*('Узагальнений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+AN18*'Узагальнений розрахунок'!$G$25</f>
        <v>39000</v>
      </c>
      <c r="AO40" s="205">
        <f>AO9*AO3*('Узагальнений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+AO18*'Узагальнений розрахунок'!$G$25</f>
        <v>40300</v>
      </c>
      <c r="AP40" s="205">
        <f>AP9*AP3*('Узагальнений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+AP18*'Узагальнений розрахунок'!$G$25</f>
        <v>39000</v>
      </c>
      <c r="AQ40" s="205">
        <f>AQ9*AQ3*('Узагальнений розрахунок'!$D$25*'Узагальнений розрахунок'!$E$25/'Узагальнений розрахунок'!$P$25+'Узагальнений розрахунок'!$D$26*'Узагальнений розрахунок'!$E$26/'Узагальнений розрахунок'!$P$26+'Узагальнений розрахунок'!$D$27*'Узагальнений розрахунок'!$E$27/'Узагальнений розрахунок'!$P$27) +AQ18*'Узагальнений розрахунок'!$G$25</f>
        <v>40300</v>
      </c>
      <c r="AR40" s="206">
        <f t="shared" ref="AR40:AR45" si="77">SUM(AF40:AQ40)</f>
        <v>474500</v>
      </c>
      <c r="AS40" s="206">
        <f t="shared" ref="AS40:AS45" si="78">AR40/12</f>
        <v>39541.666666666664</v>
      </c>
      <c r="AT40" s="188">
        <f t="shared" ref="AT40:AT45" si="79">P40+AD40+AR40</f>
        <v>1423500</v>
      </c>
      <c r="AU40" s="207"/>
      <c r="AW40" s="163"/>
      <c r="AX40" s="163"/>
    </row>
    <row r="41" spans="1:50" s="190" customFormat="1" x14ac:dyDescent="0.4">
      <c r="A41" s="184" t="str">
        <f>'Узагальнений розрахунок'!B34</f>
        <v>Роялті</v>
      </c>
      <c r="B41" s="185" t="str">
        <f>CHOOSE('Вхідні дані'!$M$1,'Вхідні дані'!$N$1,'Вхідні дані'!$N$2,'Вхідні дані'!$N$3,'Вхідні дані'!$N$4)</f>
        <v>UAH</v>
      </c>
      <c r="C41" s="186"/>
      <c r="D41" s="186">
        <f>CHOOSE('Узагальнений розрахунок'!$M$1,CHOOSE('Вхідні дані'!$S$85,'Вхідні дані'!$C$85*D$18,'Вхідні дані'!$D$86),CHOOSE('Вхідні дані'!$S$85,'Вхідні дані'!$F$85*D$18,'Вхідні дані'!$G$86),CHOOSE('Вхідні дані'!$S$85,'Вхідні дані'!$I$85*D$18,'Вхідні дані'!$J$86))</f>
        <v>5580</v>
      </c>
      <c r="E41" s="186">
        <f>CHOOSE('Узагальнений розрахунок'!$M$1,CHOOSE('Вхідні дані'!$S$85,'Вхідні дані'!$C$85*E$18,'Вхідні дані'!$D$86),CHOOSE('Вхідні дані'!$S$85,'Вхідні дані'!$F$85*E$18,'Вхідні дані'!$G$86),CHOOSE('Вхідні дані'!$S$85,'Вхідні дані'!$I$85*E$18,'Вхідні дані'!$J$86))</f>
        <v>6300</v>
      </c>
      <c r="F41" s="186">
        <f>CHOOSE('Узагальнений розрахунок'!$M$1,CHOOSE('Вхідні дані'!$S$85,'Вхідні дані'!$C$85*F$18,'Вхідні дані'!$D$86),CHOOSE('Вхідні дані'!$S$85,'Вхідні дані'!$F$85*F$18,'Вхідні дані'!$G$86),CHOOSE('Вхідні дані'!$S$85,'Вхідні дані'!$I$85*F$18,'Вхідні дані'!$J$86))</f>
        <v>6975</v>
      </c>
      <c r="G41" s="186">
        <f>CHOOSE('Узагальнений розрахунок'!$M$1,CHOOSE('Вхідні дані'!$S$85,'Вхідні дані'!$C$85*G$18,'Вхідні дані'!$D$86),CHOOSE('Вхідні дані'!$S$85,'Вхідні дані'!$F$85*G$18,'Вхідні дані'!$G$86),CHOOSE('Вхідні дані'!$S$85,'Вхідні дані'!$I$85*G$18,'Вхідні дані'!$J$86))</f>
        <v>6750</v>
      </c>
      <c r="H41" s="186">
        <f>CHOOSE('Узагальнений розрахунок'!$M$1,CHOOSE('Вхідні дані'!$S$85,'Вхідні дані'!$C$85*H$18,'Вхідні дані'!$D$86),CHOOSE('Вхідні дані'!$S$85,'Вхідні дані'!$F$85*H$18,'Вхідні дані'!$G$86),CHOOSE('Вхідні дані'!$S$85,'Вхідні дані'!$I$85*H$18,'Вхідні дані'!$J$86))</f>
        <v>6975</v>
      </c>
      <c r="I41" s="186">
        <f>CHOOSE('Узагальнений розрахунок'!$M$1,CHOOSE('Вхідні дані'!$S$85,'Вхідні дані'!$C$85*I$18,'Вхідні дані'!$D$86),CHOOSE('Вхідні дані'!$S$85,'Вхідні дані'!$F$85*I$18,'Вхідні дані'!$G$86),CHOOSE('Вхідні дані'!$S$85,'Вхідні дані'!$I$85*I$18,'Вхідні дані'!$J$86))</f>
        <v>6750</v>
      </c>
      <c r="J41" s="186">
        <f>CHOOSE('Узагальнений розрахунок'!$M$1,CHOOSE('Вхідні дані'!$S$85,'Вхідні дані'!$C$85*J$18,'Вхідні дані'!$D$86),CHOOSE('Вхідні дані'!$S$85,'Вхідні дані'!$F$85*J$18,'Вхідні дані'!$G$86),CHOOSE('Вхідні дані'!$S$85,'Вхідні дані'!$I$85*J$18,'Вхідні дані'!$J$86))</f>
        <v>6975</v>
      </c>
      <c r="K41" s="186">
        <f>CHOOSE('Узагальнений розрахунок'!$M$1,CHOOSE('Вхідні дані'!$S$85,'Вхідні дані'!$C$85*K$18,'Вхідні дані'!$D$86),CHOOSE('Вхідні дані'!$S$85,'Вхідні дані'!$F$85*K$18,'Вхідні дані'!$G$86),CHOOSE('Вхідні дані'!$S$85,'Вхідні дані'!$I$85*K$18,'Вхідні дані'!$J$86))</f>
        <v>6975</v>
      </c>
      <c r="L41" s="186">
        <f>CHOOSE('Узагальнений розрахунок'!$M$1,CHOOSE('Вхідні дані'!$S$85,'Вхідні дані'!$C$85*L$18,'Вхідні дані'!$D$86),CHOOSE('Вхідні дані'!$S$85,'Вхідні дані'!$F$85*L$18,'Вхідні дані'!$G$86),CHOOSE('Вхідні дані'!$S$85,'Вхідні дані'!$I$85*L$18,'Вхідні дані'!$J$86))</f>
        <v>6750</v>
      </c>
      <c r="M41" s="186">
        <f>CHOOSE('Узагальнений розрахунок'!$M$1,CHOOSE('Вхідні дані'!$S$85,'Вхідні дані'!$C$85*M$18,'Вхідні дані'!$D$86),CHOOSE('Вхідні дані'!$S$85,'Вхідні дані'!$F$85*M$18,'Вхідні дані'!$G$86),CHOOSE('Вхідні дані'!$S$85,'Вхідні дані'!$I$85*M$18,'Вхідні дані'!$J$86))</f>
        <v>6975</v>
      </c>
      <c r="N41" s="186">
        <f>CHOOSE('Узагальнений розрахунок'!$M$1,CHOOSE('Вхідні дані'!$S$85,'Вхідні дані'!$C$85*N$18,'Вхідні дані'!$D$86),CHOOSE('Вхідні дані'!$S$85,'Вхідні дані'!$F$85*N$18,'Вхідні дані'!$G$86),CHOOSE('Вхідні дані'!$S$85,'Вхідні дані'!$I$85*N$18,'Вхідні дані'!$J$86))</f>
        <v>6750</v>
      </c>
      <c r="O41" s="186">
        <f>CHOOSE('Узагальнений розрахунок'!$M$1,CHOOSE('Вхідні дані'!$S$85,'Вхідні дані'!$C$85*O$18,'Вхідні дані'!$D$86),CHOOSE('Вхідні дані'!$S$85,'Вхідні дані'!$F$85*O$18,'Вхідні дані'!$G$86),CHOOSE('Вхідні дані'!$S$85,'Вхідні дані'!$I$85*O$18,'Вхідні дані'!$J$86))</f>
        <v>6975</v>
      </c>
      <c r="P41" s="187">
        <f t="shared" ref="P41:P58" si="80">SUM(D41:O41)</f>
        <v>80730</v>
      </c>
      <c r="Q41" s="187">
        <f t="shared" ref="Q41:Q58" si="81">P41/12</f>
        <v>6727.5</v>
      </c>
      <c r="R41" s="186">
        <f>CHOOSE('Узагальнений розрахунок'!$M$1,CHOOSE('Вхідні дані'!$S$85,'Вхідні дані'!$C$85*R$18,'Вхідні дані'!$D$86),CHOOSE('Вхідні дані'!$S$85,'Вхідні дані'!$F$85*R$18,'Вхідні дані'!$G$86),CHOOSE('Вхідні дані'!$S$85,'Вхідні дані'!$I$85*R$18,'Вхідні дані'!$J$86))</f>
        <v>8370</v>
      </c>
      <c r="S41" s="186">
        <f>CHOOSE('Узагальнений розрахунок'!$M$1,CHOOSE('Вхідні дані'!$S$85,'Вхідні дані'!$C$85*S$18,'Вхідні дані'!$D$86),CHOOSE('Вхідні дані'!$S$85,'Вхідні дані'!$F$85*S$18,'Вхідні дані'!$G$86),CHOOSE('Вхідні дані'!$S$85,'Вхідні дані'!$I$85*S$18,'Вхідні дані'!$J$86))</f>
        <v>7560</v>
      </c>
      <c r="T41" s="186">
        <f>CHOOSE('Узагальнений розрахунок'!$M$1,CHOOSE('Вхідні дані'!$S$85,'Вхідні дані'!$C$85*T$18,'Вхідні дані'!$D$86),CHOOSE('Вхідні дані'!$S$85,'Вхідні дані'!$F$85*T$18,'Вхідні дані'!$G$86),CHOOSE('Вхідні дані'!$S$85,'Вхідні дані'!$I$85*T$18,'Вхідні дані'!$J$86))</f>
        <v>8370</v>
      </c>
      <c r="U41" s="186">
        <f>CHOOSE('Узагальнений розрахунок'!$M$1,CHOOSE('Вхідні дані'!$S$85,'Вхідні дані'!$C$85*U$18,'Вхідні дані'!$D$86),CHOOSE('Вхідні дані'!$S$85,'Вхідні дані'!$F$85*U$18,'Вхідні дані'!$G$86),CHOOSE('Вхідні дані'!$S$85,'Вхідні дані'!$I$85*U$18,'Вхідні дані'!$J$86))</f>
        <v>8100</v>
      </c>
      <c r="V41" s="186">
        <f>CHOOSE('Узагальнений розрахунок'!$M$1,CHOOSE('Вхідні дані'!$S$85,'Вхідні дані'!$C$85*V$18,'Вхідні дані'!$D$86),CHOOSE('Вхідні дані'!$S$85,'Вхідні дані'!$F$85*V$18,'Вхідні дані'!$G$86),CHOOSE('Вхідні дані'!$S$85,'Вхідні дані'!$I$85*V$18,'Вхідні дані'!$J$86))</f>
        <v>8370</v>
      </c>
      <c r="W41" s="186">
        <f>CHOOSE('Узагальнений розрахунок'!$M$1,CHOOSE('Вхідні дані'!$S$85,'Вхідні дані'!$C$85*W$18,'Вхідні дані'!$D$86),CHOOSE('Вхідні дані'!$S$85,'Вхідні дані'!$F$85*W$18,'Вхідні дані'!$G$86),CHOOSE('Вхідні дані'!$S$85,'Вхідні дані'!$I$85*W$18,'Вхідні дані'!$J$86))</f>
        <v>8100</v>
      </c>
      <c r="X41" s="186">
        <f>CHOOSE('Узагальнений розрахунок'!$M$1,CHOOSE('Вхідні дані'!$S$85,'Вхідні дані'!$C$85*X$18,'Вхідні дані'!$D$86),CHOOSE('Вхідні дані'!$S$85,'Вхідні дані'!$F$85*X$18,'Вхідні дані'!$G$86),CHOOSE('Вхідні дані'!$S$85,'Вхідні дані'!$I$85*X$18,'Вхідні дані'!$J$86))</f>
        <v>8370</v>
      </c>
      <c r="Y41" s="186">
        <f>CHOOSE('Узагальнений розрахунок'!$M$1,CHOOSE('Вхідні дані'!$S$85,'Вхідні дані'!$C$85*Y$18,'Вхідні дані'!$D$86),CHOOSE('Вхідні дані'!$S$85,'Вхідні дані'!$F$85*Y$18,'Вхідні дані'!$G$86),CHOOSE('Вхідні дані'!$S$85,'Вхідні дані'!$I$85*Y$18,'Вхідні дані'!$J$86))</f>
        <v>8370</v>
      </c>
      <c r="Z41" s="186">
        <f>CHOOSE('Узагальнений розрахунок'!$M$1,CHOOSE('Вхідні дані'!$S$85,'Вхідні дані'!$C$85*Z$18,'Вхідні дані'!$D$86),CHOOSE('Вхідні дані'!$S$85,'Вхідні дані'!$F$85*Z$18,'Вхідні дані'!$G$86),CHOOSE('Вхідні дані'!$S$85,'Вхідні дані'!$I$85*Z$18,'Вхідні дані'!$J$86))</f>
        <v>8100</v>
      </c>
      <c r="AA41" s="186">
        <f>CHOOSE('Узагальнений розрахунок'!$M$1,CHOOSE('Вхідні дані'!$S$85,'Вхідні дані'!$C$85*AA$18,'Вхідні дані'!$D$86),CHOOSE('Вхідні дані'!$S$85,'Вхідні дані'!$F$85*AA$18,'Вхідні дані'!$G$86),CHOOSE('Вхідні дані'!$S$85,'Вхідні дані'!$I$85*AA$18,'Вхідні дані'!$J$86))</f>
        <v>8370</v>
      </c>
      <c r="AB41" s="186">
        <f>CHOOSE('Узагальнений розрахунок'!$M$1,CHOOSE('Вхідні дані'!$S$85,'Вхідні дані'!$C$85*AB$18,'Вхідні дані'!$D$86),CHOOSE('Вхідні дані'!$S$85,'Вхідні дані'!$F$85*AB$18,'Вхідні дані'!$G$86),CHOOSE('Вхідні дані'!$S$85,'Вхідні дані'!$I$85*AB$18,'Вхідні дані'!$J$86))</f>
        <v>8100</v>
      </c>
      <c r="AC41" s="186">
        <f>CHOOSE('Узагальнений розрахунок'!$M$1,CHOOSE('Вхідні дані'!$S$85,'Вхідні дані'!$C$85*AC$18,'Вхідні дані'!$D$86),CHOOSE('Вхідні дані'!$S$85,'Вхідні дані'!$F$85*AC$18,'Вхідні дані'!$G$86),CHOOSE('Вхідні дані'!$S$85,'Вхідні дані'!$I$85*AC$18,'Вхідні дані'!$J$86))</f>
        <v>8370</v>
      </c>
      <c r="AD41" s="187">
        <f t="shared" si="75"/>
        <v>98550</v>
      </c>
      <c r="AE41" s="187">
        <f t="shared" si="76"/>
        <v>8212.5</v>
      </c>
      <c r="AF41" s="186">
        <f>CHOOSE('Узагальнений розрахунок'!$M$1,CHOOSE('Вхідні дані'!$S$85,'Вхідні дані'!$C$85*AF$18,'Вхідні дані'!$D$86),CHOOSE('Вхідні дані'!$S$85,'Вхідні дані'!$F$85*AF$18,'Вхідні дані'!$G$86),CHOOSE('Вхідні дані'!$S$85,'Вхідні дані'!$I$85*AF$18,'Вхідні дані'!$J$86))</f>
        <v>9067.5</v>
      </c>
      <c r="AG41" s="186">
        <f>CHOOSE('Узагальнений розрахунок'!$M$1,CHOOSE('Вхідні дані'!$S$85,'Вхідні дані'!$C$85*AG$18,'Вхідні дані'!$D$86),CHOOSE('Вхідні дані'!$S$85,'Вхідні дані'!$F$85*AG$18,'Вхідні дані'!$G$86),CHOOSE('Вхідні дані'!$S$85,'Вхідні дані'!$I$85*AG$18,'Вхідні дані'!$J$86))</f>
        <v>8190</v>
      </c>
      <c r="AH41" s="186">
        <f>CHOOSE('Узагальнений розрахунок'!$M$1,CHOOSE('Вхідні дані'!$S$85,'Вхідні дані'!$C$85*AH$18,'Вхідні дані'!$D$86),CHOOSE('Вхідні дані'!$S$85,'Вхідні дані'!$F$85*AH$18,'Вхідні дані'!$G$86),CHOOSE('Вхідні дані'!$S$85,'Вхідні дані'!$I$85*AH$18,'Вхідні дані'!$J$86))</f>
        <v>9067.5</v>
      </c>
      <c r="AI41" s="186">
        <f>CHOOSE('Узагальнений розрахунок'!$M$1,CHOOSE('Вхідні дані'!$S$85,'Вхідні дані'!$C$85*AI$18,'Вхідні дані'!$D$86),CHOOSE('Вхідні дані'!$S$85,'Вхідні дані'!$F$85*AI$18,'Вхідні дані'!$G$86),CHOOSE('Вхідні дані'!$S$85,'Вхідні дані'!$I$85*AI$18,'Вхідні дані'!$J$86))</f>
        <v>8775</v>
      </c>
      <c r="AJ41" s="186">
        <f>CHOOSE('Узагальнений розрахунок'!$M$1,CHOOSE('Вхідні дані'!$S$85,'Вхідні дані'!$C$85*AJ$18,'Вхідні дані'!$D$86),CHOOSE('Вхідні дані'!$S$85,'Вхідні дані'!$F$85*AJ$18,'Вхідні дані'!$G$86),CHOOSE('Вхідні дані'!$S$85,'Вхідні дані'!$I$85*AJ$18,'Вхідні дані'!$J$86))</f>
        <v>9067.5</v>
      </c>
      <c r="AK41" s="186">
        <f>CHOOSE('Узагальнений розрахунок'!$M$1,CHOOSE('Вхідні дані'!$S$85,'Вхідні дані'!$C$85*AK$18,'Вхідні дані'!$D$86),CHOOSE('Вхідні дані'!$S$85,'Вхідні дані'!$F$85*AK$18,'Вхідні дані'!$G$86),CHOOSE('Вхідні дані'!$S$85,'Вхідні дані'!$I$85*AK$18,'Вхідні дані'!$J$86))</f>
        <v>8775</v>
      </c>
      <c r="AL41" s="186">
        <f>CHOOSE('Узагальнений розрахунок'!$M$1,CHOOSE('Вхідні дані'!$S$85,'Вхідні дані'!$C$85*AL$18,'Вхідні дані'!$D$86),CHOOSE('Вхідні дані'!$S$85,'Вхідні дані'!$F$85*AL$18,'Вхідні дані'!$G$86),CHOOSE('Вхідні дані'!$S$85,'Вхідні дані'!$I$85*AL$18,'Вхідні дані'!$J$86))</f>
        <v>9067.5</v>
      </c>
      <c r="AM41" s="186">
        <f>CHOOSE('Узагальнений розрахунок'!$M$1,CHOOSE('Вхідні дані'!$S$85,'Вхідні дані'!$C$85*AM$18,'Вхідні дані'!$D$86),CHOOSE('Вхідні дані'!$S$85,'Вхідні дані'!$F$85*AM$18,'Вхідні дані'!$G$86),CHOOSE('Вхідні дані'!$S$85,'Вхідні дані'!$I$85*AM$18,'Вхідні дані'!$J$86))</f>
        <v>9067.5</v>
      </c>
      <c r="AN41" s="186">
        <f>CHOOSE('Узагальнений розрахунок'!$M$1,CHOOSE('Вхідні дані'!$S$85,'Вхідні дані'!$C$85*AN$18,'Вхідні дані'!$D$86),CHOOSE('Вхідні дані'!$S$85,'Вхідні дані'!$F$85*AN$18,'Вхідні дані'!$G$86),CHOOSE('Вхідні дані'!$S$85,'Вхідні дані'!$I$85*AN$18,'Вхідні дані'!$J$86))</f>
        <v>8775</v>
      </c>
      <c r="AO41" s="186">
        <f>CHOOSE('Узагальнений розрахунок'!$M$1,CHOOSE('Вхідні дані'!$S$85,'Вхідні дані'!$C$85*AO$18,'Вхідні дані'!$D$86),CHOOSE('Вхідні дані'!$S$85,'Вхідні дані'!$F$85*AO$18,'Вхідні дані'!$G$86),CHOOSE('Вхідні дані'!$S$85,'Вхідні дані'!$I$85*AO$18,'Вхідні дані'!$J$86))</f>
        <v>9067.5</v>
      </c>
      <c r="AP41" s="186">
        <f>CHOOSE('Узагальнений розрахунок'!$M$1,CHOOSE('Вхідні дані'!$S$85,'Вхідні дані'!$C$85*AP$18,'Вхідні дані'!$D$86),CHOOSE('Вхідні дані'!$S$85,'Вхідні дані'!$F$85*AP$18,'Вхідні дані'!$G$86),CHOOSE('Вхідні дані'!$S$85,'Вхідні дані'!$I$85*AP$18,'Вхідні дані'!$J$86))</f>
        <v>8775</v>
      </c>
      <c r="AQ41" s="186">
        <f>CHOOSE('Узагальнений розрахунок'!$M$1,CHOOSE('Вхідні дані'!$S$85,'Вхідні дані'!$C$85*AQ$18,'Вхідні дані'!$D$86),CHOOSE('Вхідні дані'!$S$85,'Вхідні дані'!$F$85*AQ$18,'Вхідні дані'!$G$86),CHOOSE('Вхідні дані'!$S$85,'Вхідні дані'!$I$85*AQ$18,'Вхідні дані'!$J$86))</f>
        <v>9067.5</v>
      </c>
      <c r="AR41" s="187">
        <f t="shared" si="77"/>
        <v>106762.5</v>
      </c>
      <c r="AS41" s="187">
        <f t="shared" si="78"/>
        <v>8896.875</v>
      </c>
      <c r="AT41" s="188">
        <f t="shared" si="79"/>
        <v>286042.5</v>
      </c>
      <c r="AU41" s="189"/>
      <c r="AW41" s="163"/>
      <c r="AX41" s="163"/>
    </row>
    <row r="42" spans="1:50" s="208" customFormat="1" x14ac:dyDescent="0.4">
      <c r="A42" s="203" t="str">
        <f>'Узагальнений розрахунок'!B35</f>
        <v>Маркетингові відрахування</v>
      </c>
      <c r="B42" s="204" t="str">
        <f>CHOOSE('Вхідні дані'!$M$1,'Вхідні дані'!$N$1,'Вхідні дані'!$N$2,'Вхідні дані'!$N$3,'Вхідні дані'!$N$4)</f>
        <v>UAH</v>
      </c>
      <c r="C42" s="205"/>
      <c r="D42" s="205">
        <f>CHOOSE('Узагальнений розрахунок'!$M$1,CHOOSE('Вхідні дані'!$S$86,'Вхідні дані'!$C$87*D$18,'Вхідні дані'!$D$88),CHOOSE('Вхідні дані'!$S$86,'Вхідні дані'!$F$87*D$18,'Вхідні дані'!$G$88),CHOOSE('Вхідні дані'!$S$86,'Вхідні дані'!$I$87*D$18,'Вхідні дані'!$J$88))</f>
        <v>0</v>
      </c>
      <c r="E42" s="205">
        <f>CHOOSE('Узагальнений розрахунок'!$M$1,CHOOSE('Вхідні дані'!$S$86,'Вхідні дані'!$C$87*E$18,'Вхідні дані'!$D$88),CHOOSE('Вхідні дані'!$S$86,'Вхідні дані'!$F$87*E$18,'Вхідні дані'!$G$88),CHOOSE('Вхідні дані'!$S$86,'Вхідні дані'!$I$87*E$18,'Вхідні дані'!$J$88))</f>
        <v>0</v>
      </c>
      <c r="F42" s="205">
        <f>CHOOSE('Узагальнений розрахунок'!$M$1,CHOOSE('Вхідні дані'!$S$86,'Вхідні дані'!$C$87*F$18,'Вхідні дані'!$D$88),CHOOSE('Вхідні дані'!$S$86,'Вхідні дані'!$F$87*F$18,'Вхідні дані'!$G$88),CHOOSE('Вхідні дані'!$S$86,'Вхідні дані'!$I$87*F$18,'Вхідні дані'!$J$88))</f>
        <v>0</v>
      </c>
      <c r="G42" s="205">
        <f>CHOOSE('Узагальнений розрахунок'!$M$1,CHOOSE('Вхідні дані'!$S$86,'Вхідні дані'!$C$87*G$18,'Вхідні дані'!$D$88),CHOOSE('Вхідні дані'!$S$86,'Вхідні дані'!$F$87*G$18,'Вхідні дані'!$G$88),CHOOSE('Вхідні дані'!$S$86,'Вхідні дані'!$I$87*G$18,'Вхідні дані'!$J$88))</f>
        <v>0</v>
      </c>
      <c r="H42" s="205">
        <f>CHOOSE('Узагальнений розрахунок'!$M$1,CHOOSE('Вхідні дані'!$S$86,'Вхідні дані'!$C$87*H$18,'Вхідні дані'!$D$88),CHOOSE('Вхідні дані'!$S$86,'Вхідні дані'!$F$87*H$18,'Вхідні дані'!$G$88),CHOOSE('Вхідні дані'!$S$86,'Вхідні дані'!$I$87*H$18,'Вхідні дані'!$J$88))</f>
        <v>0</v>
      </c>
      <c r="I42" s="205">
        <f>CHOOSE('Узагальнений розрахунок'!$M$1,CHOOSE('Вхідні дані'!$S$86,'Вхідні дані'!$C$87*I$18,'Вхідні дані'!$D$88),CHOOSE('Вхідні дані'!$S$86,'Вхідні дані'!$F$87*I$18,'Вхідні дані'!$G$88),CHOOSE('Вхідні дані'!$S$86,'Вхідні дані'!$I$87*I$18,'Вхідні дані'!$J$88))</f>
        <v>0</v>
      </c>
      <c r="J42" s="205">
        <f>CHOOSE('Узагальнений розрахунок'!$M$1,CHOOSE('Вхідні дані'!$S$86,'Вхідні дані'!$C$87*J$18,'Вхідні дані'!$D$88),CHOOSE('Вхідні дані'!$S$86,'Вхідні дані'!$F$87*J$18,'Вхідні дані'!$G$88),CHOOSE('Вхідні дані'!$S$86,'Вхідні дані'!$I$87*J$18,'Вхідні дані'!$J$88))</f>
        <v>0</v>
      </c>
      <c r="K42" s="205">
        <f>CHOOSE('Узагальнений розрахунок'!$M$1,CHOOSE('Вхідні дані'!$S$86,'Вхідні дані'!$C$87*K$18,'Вхідні дані'!$D$88),CHOOSE('Вхідні дані'!$S$86,'Вхідні дані'!$F$87*K$18,'Вхідні дані'!$G$88),CHOOSE('Вхідні дані'!$S$86,'Вхідні дані'!$I$87*K$18,'Вхідні дані'!$J$88))</f>
        <v>0</v>
      </c>
      <c r="L42" s="205">
        <f>CHOOSE('Узагальнений розрахунок'!$M$1,CHOOSE('Вхідні дані'!$S$86,'Вхідні дані'!$C$87*L$18,'Вхідні дані'!$D$88),CHOOSE('Вхідні дані'!$S$86,'Вхідні дані'!$F$87*L$18,'Вхідні дані'!$G$88),CHOOSE('Вхідні дані'!$S$86,'Вхідні дані'!$I$87*L$18,'Вхідні дані'!$J$88))</f>
        <v>0</v>
      </c>
      <c r="M42" s="205">
        <f>CHOOSE('Узагальнений розрахунок'!$M$1,CHOOSE('Вхідні дані'!$S$86,'Вхідні дані'!$C$87*M$18,'Вхідні дані'!$D$88),CHOOSE('Вхідні дані'!$S$86,'Вхідні дані'!$F$87*M$18,'Вхідні дані'!$G$88),CHOOSE('Вхідні дані'!$S$86,'Вхідні дані'!$I$87*M$18,'Вхідні дані'!$J$88))</f>
        <v>0</v>
      </c>
      <c r="N42" s="205">
        <f>CHOOSE('Узагальнений розрахунок'!$M$1,CHOOSE('Вхідні дані'!$S$86,'Вхідні дані'!$C$87*N$18,'Вхідні дані'!$D$88),CHOOSE('Вхідні дані'!$S$86,'Вхідні дані'!$F$87*N$18,'Вхідні дані'!$G$88),CHOOSE('Вхідні дані'!$S$86,'Вхідні дані'!$I$87*N$18,'Вхідні дані'!$J$88))</f>
        <v>0</v>
      </c>
      <c r="O42" s="205">
        <f>CHOOSE('Узагальнений розрахунок'!$M$1,CHOOSE('Вхідні дані'!$S$86,'Вхідні дані'!$C$87*O$18,'Вхідні дані'!$D$88),CHOOSE('Вхідні дані'!$S$86,'Вхідні дані'!$F$87*O$18,'Вхідні дані'!$G$88),CHOOSE('Вхідні дані'!$S$86,'Вхідні дані'!$I$87*O$18,'Вхідні дані'!$J$88))</f>
        <v>0</v>
      </c>
      <c r="P42" s="206">
        <f t="shared" ref="P42" si="82">SUM(D42:O42)</f>
        <v>0</v>
      </c>
      <c r="Q42" s="206">
        <f t="shared" ref="Q42" si="83">P42/12</f>
        <v>0</v>
      </c>
      <c r="R42" s="205">
        <f>CHOOSE('Узагальнений розрахунок'!$M$1,CHOOSE('Вхідні дані'!$S$86,'Вхідні дані'!$C$87*R$18,'Вхідні дані'!$D$88),CHOOSE('Вхідні дані'!$S$86,'Вхідні дані'!$F$87*R$18,'Вхідні дані'!$G$88),CHOOSE('Вхідні дані'!$S$86,'Вхідні дані'!$I$87*R$18,'Вхідні дані'!$J$88))</f>
        <v>0</v>
      </c>
      <c r="S42" s="205">
        <f>CHOOSE('Узагальнений розрахунок'!$M$1,CHOOSE('Вхідні дані'!$S$86,'Вхідні дані'!$C$87*S$18,'Вхідні дані'!$D$88),CHOOSE('Вхідні дані'!$S$86,'Вхідні дані'!$F$87*S$18,'Вхідні дані'!$G$88),CHOOSE('Вхідні дані'!$S$86,'Вхідні дані'!$I$87*S$18,'Вхідні дані'!$J$88))</f>
        <v>0</v>
      </c>
      <c r="T42" s="205">
        <f>CHOOSE('Узагальнений розрахунок'!$M$1,CHOOSE('Вхідні дані'!$S$86,'Вхідні дані'!$C$87*T$18,'Вхідні дані'!$D$88),CHOOSE('Вхідні дані'!$S$86,'Вхідні дані'!$F$87*T$18,'Вхідні дані'!$G$88),CHOOSE('Вхідні дані'!$S$86,'Вхідні дані'!$I$87*T$18,'Вхідні дані'!$J$88))</f>
        <v>0</v>
      </c>
      <c r="U42" s="205">
        <f>CHOOSE('Узагальнений розрахунок'!$M$1,CHOOSE('Вхідні дані'!$S$86,'Вхідні дані'!$C$87*U$18,'Вхідні дані'!$D$88),CHOOSE('Вхідні дані'!$S$86,'Вхідні дані'!$F$87*U$18,'Вхідні дані'!$G$88),CHOOSE('Вхідні дані'!$S$86,'Вхідні дані'!$I$87*U$18,'Вхідні дані'!$J$88))</f>
        <v>0</v>
      </c>
      <c r="V42" s="205">
        <f>CHOOSE('Узагальнений розрахунок'!$M$1,CHOOSE('Вхідні дані'!$S$86,'Вхідні дані'!$C$87*V$18,'Вхідні дані'!$D$88),CHOOSE('Вхідні дані'!$S$86,'Вхідні дані'!$F$87*V$18,'Вхідні дані'!$G$88),CHOOSE('Вхідні дані'!$S$86,'Вхідні дані'!$I$87*V$18,'Вхідні дані'!$J$88))</f>
        <v>0</v>
      </c>
      <c r="W42" s="205">
        <f>CHOOSE('Узагальнений розрахунок'!$M$1,CHOOSE('Вхідні дані'!$S$86,'Вхідні дані'!$C$87*W$18,'Вхідні дані'!$D$88),CHOOSE('Вхідні дані'!$S$86,'Вхідні дані'!$F$87*W$18,'Вхідні дані'!$G$88),CHOOSE('Вхідні дані'!$S$86,'Вхідні дані'!$I$87*W$18,'Вхідні дані'!$J$88))</f>
        <v>0</v>
      </c>
      <c r="X42" s="205">
        <f>CHOOSE('Узагальнений розрахунок'!$M$1,CHOOSE('Вхідні дані'!$S$86,'Вхідні дані'!$C$87*X$18,'Вхідні дані'!$D$88),CHOOSE('Вхідні дані'!$S$86,'Вхідні дані'!$F$87*X$18,'Вхідні дані'!$G$88),CHOOSE('Вхідні дані'!$S$86,'Вхідні дані'!$I$87*X$18,'Вхідні дані'!$J$88))</f>
        <v>0</v>
      </c>
      <c r="Y42" s="205">
        <f>CHOOSE('Узагальнений розрахунок'!$M$1,CHOOSE('Вхідні дані'!$S$86,'Вхідні дані'!$C$87*Y$18,'Вхідні дані'!$D$88),CHOOSE('Вхідні дані'!$S$86,'Вхідні дані'!$F$87*Y$18,'Вхідні дані'!$G$88),CHOOSE('Вхідні дані'!$S$86,'Вхідні дані'!$I$87*Y$18,'Вхідні дані'!$J$88))</f>
        <v>0</v>
      </c>
      <c r="Z42" s="205">
        <f>CHOOSE('Узагальнений розрахунок'!$M$1,CHOOSE('Вхідні дані'!$S$86,'Вхідні дані'!$C$87*Z$18,'Вхідні дані'!$D$88),CHOOSE('Вхідні дані'!$S$86,'Вхідні дані'!$F$87*Z$18,'Вхідні дані'!$G$88),CHOOSE('Вхідні дані'!$S$86,'Вхідні дані'!$I$87*Z$18,'Вхідні дані'!$J$88))</f>
        <v>0</v>
      </c>
      <c r="AA42" s="205">
        <f>CHOOSE('Узагальнений розрахунок'!$M$1,CHOOSE('Вхідні дані'!$S$86,'Вхідні дані'!$C$87*AA$18,'Вхідні дані'!$D$88),CHOOSE('Вхідні дані'!$S$86,'Вхідні дані'!$F$87*AA$18,'Вхідні дані'!$G$88),CHOOSE('Вхідні дані'!$S$86,'Вхідні дані'!$I$87*AA$18,'Вхідні дані'!$J$88))</f>
        <v>0</v>
      </c>
      <c r="AB42" s="205">
        <f>CHOOSE('Узагальнений розрахунок'!$M$1,CHOOSE('Вхідні дані'!$S$86,'Вхідні дані'!$C$87*AB$18,'Вхідні дані'!$D$88),CHOOSE('Вхідні дані'!$S$86,'Вхідні дані'!$F$87*AB$18,'Вхідні дані'!$G$88),CHOOSE('Вхідні дані'!$S$86,'Вхідні дані'!$I$87*AB$18,'Вхідні дані'!$J$88))</f>
        <v>0</v>
      </c>
      <c r="AC42" s="205">
        <f>CHOOSE('Узагальнений розрахунок'!$M$1,CHOOSE('Вхідні дані'!$S$86,'Вхідні дані'!$C$87*AC$18,'Вхідні дані'!$D$88),CHOOSE('Вхідні дані'!$S$86,'Вхідні дані'!$F$87*AC$18,'Вхідні дані'!$G$88),CHOOSE('Вхідні дані'!$S$86,'Вхідні дані'!$I$87*AC$18,'Вхідні дані'!$J$88))</f>
        <v>0</v>
      </c>
      <c r="AD42" s="206">
        <f t="shared" ref="AD42" si="84">SUM(R42:AC42)</f>
        <v>0</v>
      </c>
      <c r="AE42" s="206">
        <f t="shared" ref="AE42" si="85">AD42/12</f>
        <v>0</v>
      </c>
      <c r="AF42" s="205">
        <f>CHOOSE('Узагальнений розрахунок'!$M$1,CHOOSE('Вхідні дані'!$S$86,'Вхідні дані'!$C$87*AF$18,'Вхідні дані'!$D$88),CHOOSE('Вхідні дані'!$S$86,'Вхідні дані'!$F$87*AF$18,'Вхідні дані'!$G$88),CHOOSE('Вхідні дані'!$S$86,'Вхідні дані'!$I$87*AF$18,'Вхідні дані'!$J$88))</f>
        <v>0</v>
      </c>
      <c r="AG42" s="205">
        <f>CHOOSE('Узагальнений розрахунок'!$M$1,CHOOSE('Вхідні дані'!$S$86,'Вхідні дані'!$C$87*AG$18,'Вхідні дані'!$D$88),CHOOSE('Вхідні дані'!$S$86,'Вхідні дані'!$F$87*AG$18,'Вхідні дані'!$G$88),CHOOSE('Вхідні дані'!$S$86,'Вхідні дані'!$I$87*AG$18,'Вхідні дані'!$J$88))</f>
        <v>0</v>
      </c>
      <c r="AH42" s="205">
        <f>CHOOSE('Узагальнений розрахунок'!$M$1,CHOOSE('Вхідні дані'!$S$86,'Вхідні дані'!$C$87*AH$18,'Вхідні дані'!$D$88),CHOOSE('Вхідні дані'!$S$86,'Вхідні дані'!$F$87*AH$18,'Вхідні дані'!$G$88),CHOOSE('Вхідні дані'!$S$86,'Вхідні дані'!$I$87*AH$18,'Вхідні дані'!$J$88))</f>
        <v>0</v>
      </c>
      <c r="AI42" s="205">
        <f>CHOOSE('Узагальнений розрахунок'!$M$1,CHOOSE('Вхідні дані'!$S$86,'Вхідні дані'!$C$87*AI$18,'Вхідні дані'!$D$88),CHOOSE('Вхідні дані'!$S$86,'Вхідні дані'!$F$87*AI$18,'Вхідні дані'!$G$88),CHOOSE('Вхідні дані'!$S$86,'Вхідні дані'!$I$87*AI$18,'Вхідні дані'!$J$88))</f>
        <v>0</v>
      </c>
      <c r="AJ42" s="205">
        <f>CHOOSE('Узагальнений розрахунок'!$M$1,CHOOSE('Вхідні дані'!$S$86,'Вхідні дані'!$C$87*AJ$18,'Вхідні дані'!$D$88),CHOOSE('Вхідні дані'!$S$86,'Вхідні дані'!$F$87*AJ$18,'Вхідні дані'!$G$88),CHOOSE('Вхідні дані'!$S$86,'Вхідні дані'!$I$87*AJ$18,'Вхідні дані'!$J$88))</f>
        <v>0</v>
      </c>
      <c r="AK42" s="205">
        <f>CHOOSE('Узагальнений розрахунок'!$M$1,CHOOSE('Вхідні дані'!$S$86,'Вхідні дані'!$C$87*AK$18,'Вхідні дані'!$D$88),CHOOSE('Вхідні дані'!$S$86,'Вхідні дані'!$F$87*AK$18,'Вхідні дані'!$G$88),CHOOSE('Вхідні дані'!$S$86,'Вхідні дані'!$I$87*AK$18,'Вхідні дані'!$J$88))</f>
        <v>0</v>
      </c>
      <c r="AL42" s="205">
        <f>CHOOSE('Узагальнений розрахунок'!$M$1,CHOOSE('Вхідні дані'!$S$86,'Вхідні дані'!$C$87*AL$18,'Вхідні дані'!$D$88),CHOOSE('Вхідні дані'!$S$86,'Вхідні дані'!$F$87*AL$18,'Вхідні дані'!$G$88),CHOOSE('Вхідні дані'!$S$86,'Вхідні дані'!$I$87*AL$18,'Вхідні дані'!$J$88))</f>
        <v>0</v>
      </c>
      <c r="AM42" s="205">
        <f>CHOOSE('Узагальнений розрахунок'!$M$1,CHOOSE('Вхідні дані'!$S$86,'Вхідні дані'!$C$87*AM$18,'Вхідні дані'!$D$88),CHOOSE('Вхідні дані'!$S$86,'Вхідні дані'!$F$87*AM$18,'Вхідні дані'!$G$88),CHOOSE('Вхідні дані'!$S$86,'Вхідні дані'!$I$87*AM$18,'Вхідні дані'!$J$88))</f>
        <v>0</v>
      </c>
      <c r="AN42" s="205">
        <f>CHOOSE('Узагальнений розрахунок'!$M$1,CHOOSE('Вхідні дані'!$S$86,'Вхідні дані'!$C$87*AN$18,'Вхідні дані'!$D$88),CHOOSE('Вхідні дані'!$S$86,'Вхідні дані'!$F$87*AN$18,'Вхідні дані'!$G$88),CHOOSE('Вхідні дані'!$S$86,'Вхідні дані'!$I$87*AN$18,'Вхідні дані'!$J$88))</f>
        <v>0</v>
      </c>
      <c r="AO42" s="205">
        <f>CHOOSE('Узагальнений розрахунок'!$M$1,CHOOSE('Вхідні дані'!$S$86,'Вхідні дані'!$C$87*AO$18,'Вхідні дані'!$D$88),CHOOSE('Вхідні дані'!$S$86,'Вхідні дані'!$F$87*AO$18,'Вхідні дані'!$G$88),CHOOSE('Вхідні дані'!$S$86,'Вхідні дані'!$I$87*AO$18,'Вхідні дані'!$J$88))</f>
        <v>0</v>
      </c>
      <c r="AP42" s="205">
        <f>CHOOSE('Узагальнений розрахунок'!$M$1,CHOOSE('Вхідні дані'!$S$86,'Вхідні дані'!$C$87*AP$18,'Вхідні дані'!$D$88),CHOOSE('Вхідні дані'!$S$86,'Вхідні дані'!$F$87*AP$18,'Вхідні дані'!$G$88),CHOOSE('Вхідні дані'!$S$86,'Вхідні дані'!$I$87*AP$18,'Вхідні дані'!$J$88))</f>
        <v>0</v>
      </c>
      <c r="AQ42" s="205">
        <f>CHOOSE('Узагальнений розрахунок'!$M$1,CHOOSE('Вхідні дані'!$S$86,'Вхідні дані'!$C$87*AQ$18,'Вхідні дані'!$D$88),CHOOSE('Вхідні дані'!$S$86,'Вхідні дані'!$F$87*AQ$18,'Вхідні дані'!$G$88),CHOOSE('Вхідні дані'!$S$86,'Вхідні дані'!$I$87*AQ$18,'Вхідні дані'!$J$88))</f>
        <v>0</v>
      </c>
      <c r="AR42" s="206">
        <f t="shared" ref="AR42" si="86">SUM(AF42:AQ42)</f>
        <v>0</v>
      </c>
      <c r="AS42" s="206">
        <f t="shared" ref="AS42" si="87">AR42/12</f>
        <v>0</v>
      </c>
      <c r="AT42" s="188">
        <f t="shared" ref="AT42" si="88">P42+AD42+AR42</f>
        <v>0</v>
      </c>
      <c r="AU42" s="207"/>
      <c r="AW42" s="163"/>
      <c r="AX42" s="163"/>
    </row>
    <row r="43" spans="1:50" s="190" customFormat="1" x14ac:dyDescent="0.4">
      <c r="A43" s="184" t="str">
        <f>'Узагальнений розрахунок'!B36</f>
        <v>Оренда</v>
      </c>
      <c r="B43" s="185" t="str">
        <f>CHOOSE('Вхідні дані'!$M$1,'Вхідні дані'!$N$1,'Вхідні дані'!$N$2,'Вхідні дані'!$N$3,'Вхідні дані'!$N$4)</f>
        <v>UAH</v>
      </c>
      <c r="C43" s="186"/>
      <c r="D43" s="186">
        <f>CHOOSE('Узагальнений розрахунок'!$M$1,'Вхідні дані'!$D$89,'Вхідні дані'!$G$89,'Вхідні дані'!$J$89)*D10</f>
        <v>17000</v>
      </c>
      <c r="E43" s="186">
        <f>CHOOSE('Узагальнений розрахунок'!$M$1,'Вхідні дані'!$D$89,'Вхідні дані'!$G$89,'Вхідні дані'!$J$89)*E10</f>
        <v>17000</v>
      </c>
      <c r="F43" s="186">
        <f>CHOOSE('Узагальнений розрахунок'!$M$1,'Вхідні дані'!$D$89,'Вхідні дані'!$G$89,'Вхідні дані'!$J$89)*F10</f>
        <v>17000</v>
      </c>
      <c r="G43" s="186">
        <f>CHOOSE('Узагальнений розрахунок'!$M$1,'Вхідні дані'!$D$89,'Вхідні дані'!$G$89,'Вхідні дані'!$J$89)*G10</f>
        <v>17000</v>
      </c>
      <c r="H43" s="186">
        <f>CHOOSE('Узагальнений розрахунок'!$M$1,'Вхідні дані'!$D$89,'Вхідні дані'!$G$89,'Вхідні дані'!$J$89)*H10</f>
        <v>17000</v>
      </c>
      <c r="I43" s="186">
        <f>CHOOSE('Узагальнений розрахунок'!$M$1,'Вхідні дані'!$D$89,'Вхідні дані'!$G$89,'Вхідні дані'!$J$89)*I10</f>
        <v>17000</v>
      </c>
      <c r="J43" s="186">
        <f>CHOOSE('Узагальнений розрахунок'!$M$1,'Вхідні дані'!$D$89,'Вхідні дані'!$G$89,'Вхідні дані'!$J$89)*J10</f>
        <v>17000</v>
      </c>
      <c r="K43" s="186">
        <f>CHOOSE('Узагальнений розрахунок'!$M$1,'Вхідні дані'!$D$89,'Вхідні дані'!$G$89,'Вхідні дані'!$J$89)*K10</f>
        <v>17000</v>
      </c>
      <c r="L43" s="186">
        <f>CHOOSE('Узагальнений розрахунок'!$M$1,'Вхідні дані'!$D$89,'Вхідні дані'!$G$89,'Вхідні дані'!$J$89)*L10</f>
        <v>17000</v>
      </c>
      <c r="M43" s="186">
        <f>CHOOSE('Узагальнений розрахунок'!$M$1,'Вхідні дані'!$D$89,'Вхідні дані'!$G$89,'Вхідні дані'!$J$89)*M10</f>
        <v>17000</v>
      </c>
      <c r="N43" s="186">
        <f>CHOOSE('Узагальнений розрахунок'!$M$1,'Вхідні дані'!$D$89,'Вхідні дані'!$G$89,'Вхідні дані'!$J$89)*N10</f>
        <v>17000</v>
      </c>
      <c r="O43" s="186">
        <f>CHOOSE('Узагальнений розрахунок'!$M$1,'Вхідні дані'!$D$89,'Вхідні дані'!$G$89,'Вхідні дані'!$J$89)*O10</f>
        <v>17000</v>
      </c>
      <c r="P43" s="187">
        <f t="shared" si="80"/>
        <v>204000</v>
      </c>
      <c r="Q43" s="187">
        <f t="shared" si="81"/>
        <v>17000</v>
      </c>
      <c r="R43" s="186">
        <f>CHOOSE('Узагальнений розрахунок'!$M$1,'Вхідні дані'!$D$89,'Вхідні дані'!$G$89,'Вхідні дані'!$J$89)*R10</f>
        <v>17000</v>
      </c>
      <c r="S43" s="186">
        <f>CHOOSE('Узагальнений розрахунок'!$M$1,'Вхідні дані'!$D$89,'Вхідні дані'!$G$89,'Вхідні дані'!$J$89)*S10</f>
        <v>17000</v>
      </c>
      <c r="T43" s="186">
        <f>CHOOSE('Узагальнений розрахунок'!$M$1,'Вхідні дані'!$D$89,'Вхідні дані'!$G$89,'Вхідні дані'!$J$89)*T10</f>
        <v>17000</v>
      </c>
      <c r="U43" s="186">
        <f>CHOOSE('Узагальнений розрахунок'!$M$1,'Вхідні дані'!$D$89,'Вхідні дані'!$G$89,'Вхідні дані'!$J$89)*U10</f>
        <v>17000</v>
      </c>
      <c r="V43" s="186">
        <f>CHOOSE('Узагальнений розрахунок'!$M$1,'Вхідні дані'!$D$89,'Вхідні дані'!$G$89,'Вхідні дані'!$J$89)*V10</f>
        <v>17000</v>
      </c>
      <c r="W43" s="186">
        <f>CHOOSE('Узагальнений розрахунок'!$M$1,'Вхідні дані'!$D$89,'Вхідні дані'!$G$89,'Вхідні дані'!$J$89)*W10</f>
        <v>17000</v>
      </c>
      <c r="X43" s="186">
        <f>CHOOSE('Узагальнений розрахунок'!$M$1,'Вхідні дані'!$D$89,'Вхідні дані'!$G$89,'Вхідні дані'!$J$89)*X10</f>
        <v>17000</v>
      </c>
      <c r="Y43" s="186">
        <f>CHOOSE('Узагальнений розрахунок'!$M$1,'Вхідні дані'!$D$89,'Вхідні дані'!$G$89,'Вхідні дані'!$J$89)*Y10</f>
        <v>17000</v>
      </c>
      <c r="Z43" s="186">
        <f>CHOOSE('Узагальнений розрахунок'!$M$1,'Вхідні дані'!$D$89,'Вхідні дані'!$G$89,'Вхідні дані'!$J$89)*Z10</f>
        <v>17000</v>
      </c>
      <c r="AA43" s="186">
        <f>CHOOSE('Узагальнений розрахунок'!$M$1,'Вхідні дані'!$D$89,'Вхідні дані'!$G$89,'Вхідні дані'!$J$89)*AA10</f>
        <v>17000</v>
      </c>
      <c r="AB43" s="186">
        <f>CHOOSE('Узагальнений розрахунок'!$M$1,'Вхідні дані'!$D$89,'Вхідні дані'!$G$89,'Вхідні дані'!$J$89)*AB10</f>
        <v>17000</v>
      </c>
      <c r="AC43" s="186">
        <f>CHOOSE('Узагальнений розрахунок'!$M$1,'Вхідні дані'!$D$89,'Вхідні дані'!$G$89,'Вхідні дані'!$J$89)*AC10</f>
        <v>17000</v>
      </c>
      <c r="AD43" s="187">
        <f t="shared" si="75"/>
        <v>204000</v>
      </c>
      <c r="AE43" s="187">
        <f t="shared" si="76"/>
        <v>17000</v>
      </c>
      <c r="AF43" s="186">
        <f>CHOOSE('Узагальнений розрахунок'!$M$1,'Вхідні дані'!$D$89,'Вхідні дані'!$G$89,'Вхідні дані'!$J$89)*AF10</f>
        <v>17000</v>
      </c>
      <c r="AG43" s="186">
        <f>CHOOSE('Узагальнений розрахунок'!$M$1,'Вхідні дані'!$D$89,'Вхідні дані'!$G$89,'Вхідні дані'!$J$89)*AG10</f>
        <v>17000</v>
      </c>
      <c r="AH43" s="186">
        <f>CHOOSE('Узагальнений розрахунок'!$M$1,'Вхідні дані'!$D$89,'Вхідні дані'!$G$89,'Вхідні дані'!$J$89)*AH10</f>
        <v>17000</v>
      </c>
      <c r="AI43" s="186">
        <f>CHOOSE('Узагальнений розрахунок'!$M$1,'Вхідні дані'!$D$89,'Вхідні дані'!$G$89,'Вхідні дані'!$J$89)*AI10</f>
        <v>17000</v>
      </c>
      <c r="AJ43" s="186">
        <f>CHOOSE('Узагальнений розрахунок'!$M$1,'Вхідні дані'!$D$89,'Вхідні дані'!$G$89,'Вхідні дані'!$J$89)*AJ10</f>
        <v>17000</v>
      </c>
      <c r="AK43" s="186">
        <f>CHOOSE('Узагальнений розрахунок'!$M$1,'Вхідні дані'!$D$89,'Вхідні дані'!$G$89,'Вхідні дані'!$J$89)*AK10</f>
        <v>17000</v>
      </c>
      <c r="AL43" s="186">
        <f>CHOOSE('Узагальнений розрахунок'!$M$1,'Вхідні дані'!$D$89,'Вхідні дані'!$G$89,'Вхідні дані'!$J$89)*AL10</f>
        <v>17000</v>
      </c>
      <c r="AM43" s="186">
        <f>CHOOSE('Узагальнений розрахунок'!$M$1,'Вхідні дані'!$D$89,'Вхідні дані'!$G$89,'Вхідні дані'!$J$89)*AM10</f>
        <v>17000</v>
      </c>
      <c r="AN43" s="186">
        <f>CHOOSE('Узагальнений розрахунок'!$M$1,'Вхідні дані'!$D$89,'Вхідні дані'!$G$89,'Вхідні дані'!$J$89)*AN10</f>
        <v>17000</v>
      </c>
      <c r="AO43" s="186">
        <f>CHOOSE('Узагальнений розрахунок'!$M$1,'Вхідні дані'!$D$89,'Вхідні дані'!$G$89,'Вхідні дані'!$J$89)*AO10</f>
        <v>17000</v>
      </c>
      <c r="AP43" s="186">
        <f>CHOOSE('Узагальнений розрахунок'!$M$1,'Вхідні дані'!$D$89,'Вхідні дані'!$G$89,'Вхідні дані'!$J$89)*AP10</f>
        <v>17000</v>
      </c>
      <c r="AQ43" s="186">
        <f>CHOOSE('Узагальнений розрахунок'!$M$1,'Вхідні дані'!$D$89,'Вхідні дані'!$G$89,'Вхідні дані'!$J$89)*AQ10</f>
        <v>17000</v>
      </c>
      <c r="AR43" s="187">
        <f t="shared" si="77"/>
        <v>204000</v>
      </c>
      <c r="AS43" s="187">
        <f t="shared" si="78"/>
        <v>17000</v>
      </c>
      <c r="AT43" s="188">
        <f t="shared" si="79"/>
        <v>612000</v>
      </c>
      <c r="AU43" s="189"/>
      <c r="AW43" s="163"/>
      <c r="AX43" s="163"/>
    </row>
    <row r="44" spans="1:50" s="208" customFormat="1" x14ac:dyDescent="0.4">
      <c r="A44" s="203" t="str">
        <f>'Узагальнений розрахунок'!B37</f>
        <v>Комунальні платежі</v>
      </c>
      <c r="B44" s="204" t="str">
        <f>CHOOSE('Вхідні дані'!$M$1,'Вхідні дані'!$N$1,'Вхідні дані'!$N$2,'Вхідні дані'!$N$3,'Вхідні дані'!$N$4)</f>
        <v>UAH</v>
      </c>
      <c r="C44" s="205"/>
      <c r="D44" s="205">
        <f>CHOOSE('Узагальнений розрахунок'!$M$1,'Вхідні дані'!$D$90,'Вхідні дані'!$G$90,'Вхідні дані'!$J$90)*D11</f>
        <v>4000</v>
      </c>
      <c r="E44" s="205">
        <f>CHOOSE('Узагальнений розрахунок'!$M$1,'Вхідні дані'!$D$90,'Вхідні дані'!$G$90,'Вхідні дані'!$J$90)*E11</f>
        <v>4000</v>
      </c>
      <c r="F44" s="205">
        <f>CHOOSE('Узагальнений розрахунок'!$M$1,'Вхідні дані'!$D$90,'Вхідні дані'!$G$90,'Вхідні дані'!$J$90)*F11</f>
        <v>4000</v>
      </c>
      <c r="G44" s="205">
        <f>CHOOSE('Узагальнений розрахунок'!$M$1,'Вхідні дані'!$D$90,'Вхідні дані'!$G$90,'Вхідні дані'!$J$90)*G11</f>
        <v>4000</v>
      </c>
      <c r="H44" s="205">
        <f>CHOOSE('Узагальнений розрахунок'!$M$1,'Вхідні дані'!$D$90,'Вхідні дані'!$G$90,'Вхідні дані'!$J$90)*H11</f>
        <v>4000</v>
      </c>
      <c r="I44" s="205">
        <f>CHOOSE('Узагальнений розрахунок'!$M$1,'Вхідні дані'!$D$90,'Вхідні дані'!$G$90,'Вхідні дані'!$J$90)*I11</f>
        <v>4000</v>
      </c>
      <c r="J44" s="205">
        <f>CHOOSE('Узагальнений розрахунок'!$M$1,'Вхідні дані'!$D$90,'Вхідні дані'!$G$90,'Вхідні дані'!$J$90)*J11</f>
        <v>4000</v>
      </c>
      <c r="K44" s="205">
        <f>CHOOSE('Узагальнений розрахунок'!$M$1,'Вхідні дані'!$D$90,'Вхідні дані'!$G$90,'Вхідні дані'!$J$90)*K11</f>
        <v>4000</v>
      </c>
      <c r="L44" s="205">
        <f>CHOOSE('Узагальнений розрахунок'!$M$1,'Вхідні дані'!$D$90,'Вхідні дані'!$G$90,'Вхідні дані'!$J$90)*L11</f>
        <v>4000</v>
      </c>
      <c r="M44" s="205">
        <f>CHOOSE('Узагальнений розрахунок'!$M$1,'Вхідні дані'!$D$90,'Вхідні дані'!$G$90,'Вхідні дані'!$J$90)*M11</f>
        <v>4000</v>
      </c>
      <c r="N44" s="205">
        <f>CHOOSE('Узагальнений розрахунок'!$M$1,'Вхідні дані'!$D$90,'Вхідні дані'!$G$90,'Вхідні дані'!$J$90)*N11</f>
        <v>4000</v>
      </c>
      <c r="O44" s="205">
        <f>CHOOSE('Узагальнений розрахунок'!$M$1,'Вхідні дані'!$D$90,'Вхідні дані'!$G$90,'Вхідні дані'!$J$90)*O11</f>
        <v>4000</v>
      </c>
      <c r="P44" s="206">
        <f t="shared" si="80"/>
        <v>48000</v>
      </c>
      <c r="Q44" s="206">
        <f t="shared" si="81"/>
        <v>4000</v>
      </c>
      <c r="R44" s="205">
        <f>CHOOSE('Узагальнений розрахунок'!$M$1,'Вхідні дані'!$D$90,'Вхідні дані'!$G$90,'Вхідні дані'!$J$90)*R11</f>
        <v>4000</v>
      </c>
      <c r="S44" s="205">
        <f>CHOOSE('Узагальнений розрахунок'!$M$1,'Вхідні дані'!$D$90,'Вхідні дані'!$G$90,'Вхідні дані'!$J$90)*S11</f>
        <v>4000</v>
      </c>
      <c r="T44" s="205">
        <f>CHOOSE('Узагальнений розрахунок'!$M$1,'Вхідні дані'!$D$90,'Вхідні дані'!$G$90,'Вхідні дані'!$J$90)*T11</f>
        <v>4000</v>
      </c>
      <c r="U44" s="205">
        <f>CHOOSE('Узагальнений розрахунок'!$M$1,'Вхідні дані'!$D$90,'Вхідні дані'!$G$90,'Вхідні дані'!$J$90)*U11</f>
        <v>4000</v>
      </c>
      <c r="V44" s="205">
        <f>CHOOSE('Узагальнений розрахунок'!$M$1,'Вхідні дані'!$D$90,'Вхідні дані'!$G$90,'Вхідні дані'!$J$90)*V11</f>
        <v>4000</v>
      </c>
      <c r="W44" s="205">
        <f>CHOOSE('Узагальнений розрахунок'!$M$1,'Вхідні дані'!$D$90,'Вхідні дані'!$G$90,'Вхідні дані'!$J$90)*W11</f>
        <v>4000</v>
      </c>
      <c r="X44" s="205">
        <f>CHOOSE('Узагальнений розрахунок'!$M$1,'Вхідні дані'!$D$90,'Вхідні дані'!$G$90,'Вхідні дані'!$J$90)*X11</f>
        <v>4000</v>
      </c>
      <c r="Y44" s="205">
        <f>CHOOSE('Узагальнений розрахунок'!$M$1,'Вхідні дані'!$D$90,'Вхідні дані'!$G$90,'Вхідні дані'!$J$90)*Y11</f>
        <v>4000</v>
      </c>
      <c r="Z44" s="205">
        <f>CHOOSE('Узагальнений розрахунок'!$M$1,'Вхідні дані'!$D$90,'Вхідні дані'!$G$90,'Вхідні дані'!$J$90)*Z11</f>
        <v>4000</v>
      </c>
      <c r="AA44" s="205">
        <f>CHOOSE('Узагальнений розрахунок'!$M$1,'Вхідні дані'!$D$90,'Вхідні дані'!$G$90,'Вхідні дані'!$J$90)*AA11</f>
        <v>4000</v>
      </c>
      <c r="AB44" s="205">
        <f>CHOOSE('Узагальнений розрахунок'!$M$1,'Вхідні дані'!$D$90,'Вхідні дані'!$G$90,'Вхідні дані'!$J$90)*AB11</f>
        <v>4000</v>
      </c>
      <c r="AC44" s="205">
        <f>CHOOSE('Узагальнений розрахунок'!$M$1,'Вхідні дані'!$D$90,'Вхідні дані'!$G$90,'Вхідні дані'!$J$90)*AC11</f>
        <v>4000</v>
      </c>
      <c r="AD44" s="206">
        <f t="shared" si="75"/>
        <v>48000</v>
      </c>
      <c r="AE44" s="206">
        <f t="shared" si="76"/>
        <v>4000</v>
      </c>
      <c r="AF44" s="205">
        <f>CHOOSE('Узагальнений розрахунок'!$M$1,'Вхідні дані'!$D$90,'Вхідні дані'!$G$90,'Вхідні дані'!$J$90)*AF11</f>
        <v>4000</v>
      </c>
      <c r="AG44" s="205">
        <f>CHOOSE('Узагальнений розрахунок'!$M$1,'Вхідні дані'!$D$90,'Вхідні дані'!$G$90,'Вхідні дані'!$J$90)*AG11</f>
        <v>4000</v>
      </c>
      <c r="AH44" s="205">
        <f>CHOOSE('Узагальнений розрахунок'!$M$1,'Вхідні дані'!$D$90,'Вхідні дані'!$G$90,'Вхідні дані'!$J$90)*AH11</f>
        <v>4000</v>
      </c>
      <c r="AI44" s="205">
        <f>CHOOSE('Узагальнений розрахунок'!$M$1,'Вхідні дані'!$D$90,'Вхідні дані'!$G$90,'Вхідні дані'!$J$90)*AI11</f>
        <v>4000</v>
      </c>
      <c r="AJ44" s="205">
        <f>CHOOSE('Узагальнений розрахунок'!$M$1,'Вхідні дані'!$D$90,'Вхідні дані'!$G$90,'Вхідні дані'!$J$90)*AJ11</f>
        <v>4000</v>
      </c>
      <c r="AK44" s="205">
        <f>CHOOSE('Узагальнений розрахунок'!$M$1,'Вхідні дані'!$D$90,'Вхідні дані'!$G$90,'Вхідні дані'!$J$90)*AK11</f>
        <v>4000</v>
      </c>
      <c r="AL44" s="205">
        <f>CHOOSE('Узагальнений розрахунок'!$M$1,'Вхідні дані'!$D$90,'Вхідні дані'!$G$90,'Вхідні дані'!$J$90)*AL11</f>
        <v>4000</v>
      </c>
      <c r="AM44" s="205">
        <f>CHOOSE('Узагальнений розрахунок'!$M$1,'Вхідні дані'!$D$90,'Вхідні дані'!$G$90,'Вхідні дані'!$J$90)*AM11</f>
        <v>4000</v>
      </c>
      <c r="AN44" s="205">
        <f>CHOOSE('Узагальнений розрахунок'!$M$1,'Вхідні дані'!$D$90,'Вхідні дані'!$G$90,'Вхідні дані'!$J$90)*AN11</f>
        <v>4000</v>
      </c>
      <c r="AO44" s="205">
        <f>CHOOSE('Узагальнений розрахунок'!$M$1,'Вхідні дані'!$D$90,'Вхідні дані'!$G$90,'Вхідні дані'!$J$90)*AO11</f>
        <v>4000</v>
      </c>
      <c r="AP44" s="205">
        <f>CHOOSE('Узагальнений розрахунок'!$M$1,'Вхідні дані'!$D$90,'Вхідні дані'!$G$90,'Вхідні дані'!$J$90)*AP11</f>
        <v>4000</v>
      </c>
      <c r="AQ44" s="205">
        <f>CHOOSE('Узагальнений розрахунок'!$M$1,'Вхідні дані'!$D$90,'Вхідні дані'!$G$90,'Вхідні дані'!$J$90)*AQ11</f>
        <v>4000</v>
      </c>
      <c r="AR44" s="206">
        <f t="shared" si="77"/>
        <v>48000</v>
      </c>
      <c r="AS44" s="206">
        <f t="shared" si="78"/>
        <v>4000</v>
      </c>
      <c r="AT44" s="188">
        <f t="shared" si="79"/>
        <v>144000</v>
      </c>
      <c r="AU44" s="207"/>
      <c r="AW44" s="163"/>
      <c r="AX44" s="163"/>
    </row>
    <row r="45" spans="1:50" s="190" customFormat="1" x14ac:dyDescent="0.4">
      <c r="A45" s="184" t="str">
        <f>'Узагальнений розрахунок'!B38</f>
        <v>Господарські потреби</v>
      </c>
      <c r="B45" s="185" t="str">
        <f>CHOOSE('Вхідні дані'!$M$1,'Вхідні дані'!$N$1,'Вхідні дані'!$N$2,'Вхідні дані'!$N$3,'Вхідні дані'!$N$4)</f>
        <v>UAH</v>
      </c>
      <c r="C45" s="186"/>
      <c r="D45" s="186">
        <f>CHOOSE('Узагальнений розрахунок'!$M$1,'Вхідні дані'!$D91,'Вхідні дані'!$G91,'Вхідні дані'!$J$91)</f>
        <v>500</v>
      </c>
      <c r="E45" s="186">
        <f>CHOOSE('Узагальнений розрахунок'!$M$1,'Вхідні дані'!$D91,'Вхідні дані'!$G91,'Вхідні дані'!$J$91)</f>
        <v>500</v>
      </c>
      <c r="F45" s="186">
        <f>CHOOSE('Узагальнений розрахунок'!$M$1,'Вхідні дані'!$D91,'Вхідні дані'!$G91,'Вхідні дані'!$J$91)</f>
        <v>500</v>
      </c>
      <c r="G45" s="186">
        <f>CHOOSE('Узагальнений розрахунок'!$M$1,'Вхідні дані'!$D91,'Вхідні дані'!$G91,'Вхідні дані'!$J$91)</f>
        <v>500</v>
      </c>
      <c r="H45" s="186">
        <f>CHOOSE('Узагальнений розрахунок'!$M$1,'Вхідні дані'!$D91,'Вхідні дані'!$G91,'Вхідні дані'!$J$91)</f>
        <v>500</v>
      </c>
      <c r="I45" s="186">
        <f>CHOOSE('Узагальнений розрахунок'!$M$1,'Вхідні дані'!$D91,'Вхідні дані'!$G91,'Вхідні дані'!$J$91)</f>
        <v>500</v>
      </c>
      <c r="J45" s="186">
        <f>CHOOSE('Узагальнений розрахунок'!$M$1,'Вхідні дані'!$D91,'Вхідні дані'!$G91,'Вхідні дані'!$J$91)</f>
        <v>500</v>
      </c>
      <c r="K45" s="186">
        <f>CHOOSE('Узагальнений розрахунок'!$M$1,'Вхідні дані'!$D91,'Вхідні дані'!$G91,'Вхідні дані'!$J$91)</f>
        <v>500</v>
      </c>
      <c r="L45" s="186">
        <f>CHOOSE('Узагальнений розрахунок'!$M$1,'Вхідні дані'!$D91,'Вхідні дані'!$G91,'Вхідні дані'!$J$91)</f>
        <v>500</v>
      </c>
      <c r="M45" s="186">
        <f>CHOOSE('Узагальнений розрахунок'!$M$1,'Вхідні дані'!$D91,'Вхідні дані'!$G91,'Вхідні дані'!$J$91)</f>
        <v>500</v>
      </c>
      <c r="N45" s="186">
        <f>CHOOSE('Узагальнений розрахунок'!$M$1,'Вхідні дані'!$D91,'Вхідні дані'!$G91,'Вхідні дані'!$J$91)</f>
        <v>500</v>
      </c>
      <c r="O45" s="186">
        <f>CHOOSE('Узагальнений розрахунок'!$M$1,'Вхідні дані'!$D91,'Вхідні дані'!$G91,'Вхідні дані'!$J$91)</f>
        <v>500</v>
      </c>
      <c r="P45" s="187">
        <f t="shared" si="80"/>
        <v>6000</v>
      </c>
      <c r="Q45" s="187">
        <f t="shared" si="81"/>
        <v>500</v>
      </c>
      <c r="R45" s="186">
        <f>CHOOSE('Узагальнений розрахунок'!$M$1,'Вхідні дані'!$D91,'Вхідні дані'!$G91,'Вхідні дані'!$J91)</f>
        <v>500</v>
      </c>
      <c r="S45" s="186">
        <f>CHOOSE('Узагальнений розрахунок'!$M$1,'Вхідні дані'!$D91,'Вхідні дані'!$G91,'Вхідні дані'!$J$91)</f>
        <v>500</v>
      </c>
      <c r="T45" s="186">
        <f>CHOOSE('Узагальнений розрахунок'!$M$1,'Вхідні дані'!$D91,'Вхідні дані'!$G91,'Вхідні дані'!$J$91)</f>
        <v>500</v>
      </c>
      <c r="U45" s="186">
        <f>CHOOSE('Узагальнений розрахунок'!$M$1,'Вхідні дані'!$D91,'Вхідні дані'!$G91,'Вхідні дані'!$J$91)</f>
        <v>500</v>
      </c>
      <c r="V45" s="186">
        <f>CHOOSE('Узагальнений розрахунок'!$M$1,'Вхідні дані'!$D91,'Вхідні дані'!$G91,'Вхідні дані'!$J$91)</f>
        <v>500</v>
      </c>
      <c r="W45" s="186">
        <f>CHOOSE('Узагальнений розрахунок'!$M$1,'Вхідні дані'!$D91,'Вхідні дані'!$G91,'Вхідні дані'!$J$91)</f>
        <v>500</v>
      </c>
      <c r="X45" s="186">
        <f>CHOOSE('Узагальнений розрахунок'!$M$1,'Вхідні дані'!$D91,'Вхідні дані'!$G91,'Вхідні дані'!$J$91)</f>
        <v>500</v>
      </c>
      <c r="Y45" s="186">
        <f>CHOOSE('Узагальнений розрахунок'!$M$1,'Вхідні дані'!$D91,'Вхідні дані'!$G91,'Вхідні дані'!$J$91)</f>
        <v>500</v>
      </c>
      <c r="Z45" s="186">
        <f>CHOOSE('Узагальнений розрахунок'!$M$1,'Вхідні дані'!$D91,'Вхідні дані'!$G91,'Вхідні дані'!$J$91)</f>
        <v>500</v>
      </c>
      <c r="AA45" s="186">
        <f>CHOOSE('Узагальнений розрахунок'!$M$1,'Вхідні дані'!$D91,'Вхідні дані'!$G91,'Вхідні дані'!$J$91)</f>
        <v>500</v>
      </c>
      <c r="AB45" s="186">
        <f>CHOOSE('Узагальнений розрахунок'!$M$1,'Вхідні дані'!$D91,'Вхідні дані'!$G91,'Вхідні дані'!$J$91)</f>
        <v>500</v>
      </c>
      <c r="AC45" s="186">
        <f>CHOOSE('Узагальнений розрахунок'!$M$1,'Вхідні дані'!$D91,'Вхідні дані'!$G91,'Вхідні дані'!$J$91)</f>
        <v>500</v>
      </c>
      <c r="AD45" s="187">
        <f t="shared" si="75"/>
        <v>6000</v>
      </c>
      <c r="AE45" s="187">
        <f t="shared" si="76"/>
        <v>500</v>
      </c>
      <c r="AF45" s="186">
        <f>CHOOSE('Узагальнений розрахунок'!$M$1,'Вхідні дані'!$D91,'Вхідні дані'!$G91,'Вхідні дані'!$J$91)</f>
        <v>500</v>
      </c>
      <c r="AG45" s="186">
        <f>CHOOSE('Узагальнений розрахунок'!$M$1,'Вхідні дані'!$D91,'Вхідні дані'!$G91,'Вхідні дані'!$J$91)</f>
        <v>500</v>
      </c>
      <c r="AH45" s="186">
        <f>CHOOSE('Узагальнений розрахунок'!$M$1,'Вхідні дані'!$D91,'Вхідні дані'!$G91,'Вхідні дані'!$J$91)</f>
        <v>500</v>
      </c>
      <c r="AI45" s="186">
        <f>CHOOSE('Узагальнений розрахунок'!$M$1,'Вхідні дані'!$D91,'Вхідні дані'!$G91,'Вхідні дані'!$J$91)</f>
        <v>500</v>
      </c>
      <c r="AJ45" s="186">
        <f>CHOOSE('Узагальнений розрахунок'!$M$1,'Вхідні дані'!$D91,'Вхідні дані'!$G91,'Вхідні дані'!$J$91)</f>
        <v>500</v>
      </c>
      <c r="AK45" s="186">
        <f>CHOOSE('Узагальнений розрахунок'!$M$1,'Вхідні дані'!$D91,'Вхідні дані'!$G91,'Вхідні дані'!$J$91)</f>
        <v>500</v>
      </c>
      <c r="AL45" s="186">
        <f>CHOOSE('Узагальнений розрахунок'!$M$1,'Вхідні дані'!$D91,'Вхідні дані'!$G91,'Вхідні дані'!$J$91)</f>
        <v>500</v>
      </c>
      <c r="AM45" s="186">
        <f>CHOOSE('Узагальнений розрахунок'!$M$1,'Вхідні дані'!$D91,'Вхідні дані'!$G91,'Вхідні дані'!$J$91)</f>
        <v>500</v>
      </c>
      <c r="AN45" s="186">
        <f>CHOOSE('Узагальнений розрахунок'!$M$1,'Вхідні дані'!$D91,'Вхідні дані'!$G91,'Вхідні дані'!$J$91)</f>
        <v>500</v>
      </c>
      <c r="AO45" s="186">
        <f>CHOOSE('Узагальнений розрахунок'!$M$1,'Вхідні дані'!$D91,'Вхідні дані'!$G91,'Вхідні дані'!$J$91)</f>
        <v>500</v>
      </c>
      <c r="AP45" s="186">
        <f>CHOOSE('Узагальнений розрахунок'!$M$1,'Вхідні дані'!$D91,'Вхідні дані'!$G91,'Вхідні дані'!$J$91)</f>
        <v>500</v>
      </c>
      <c r="AQ45" s="186">
        <f>CHOOSE('Узагальнений розрахунок'!$M$1,'Вхідні дані'!$D91,'Вхідні дані'!$G91,'Вхідні дані'!$J$91)</f>
        <v>500</v>
      </c>
      <c r="AR45" s="187">
        <f t="shared" si="77"/>
        <v>6000</v>
      </c>
      <c r="AS45" s="187">
        <f t="shared" si="78"/>
        <v>500</v>
      </c>
      <c r="AT45" s="188">
        <f t="shared" si="79"/>
        <v>18000</v>
      </c>
      <c r="AU45" s="189"/>
      <c r="AW45" s="163"/>
      <c r="AX45" s="163"/>
    </row>
    <row r="46" spans="1:50" s="208" customFormat="1" x14ac:dyDescent="0.4">
      <c r="A46" s="203" t="str">
        <f>'Узагальнений розрахунок'!B39</f>
        <v>Списання</v>
      </c>
      <c r="B46" s="204" t="str">
        <f>CHOOSE('Вхідні дані'!$M$1,'Вхідні дані'!$N$1,'Вхідні дані'!$N$2,'Вхідні дані'!$N$3,'Вхідні дані'!$N$4)</f>
        <v>UAH</v>
      </c>
      <c r="C46" s="205"/>
      <c r="D46" s="205">
        <f>D$18*CHOOSE('Узагальнений розрахунок'!$M$1,'Вхідні дані'!$C92,'Вхідні дані'!$F92,'Вхідні дані'!$I92)</f>
        <v>558</v>
      </c>
      <c r="E46" s="205">
        <f>E18*CHOOSE('Узагальнений розрахунок'!$M$1,'Вхідні дані'!$C$92,'Вхідні дані'!$F$92,'Вхідні дані'!$I$92)</f>
        <v>630</v>
      </c>
      <c r="F46" s="205">
        <f>F18*CHOOSE('Узагальнений розрахунок'!$M$1,'Вхідні дані'!$C$92,'Вхідні дані'!$F$92,'Вхідні дані'!$I$92)</f>
        <v>697.5</v>
      </c>
      <c r="G46" s="205">
        <f>G18*CHOOSE('Узагальнений розрахунок'!$M$1,'Вхідні дані'!$C$92,'Вхідні дані'!$F$92,'Вхідні дані'!$I$92)</f>
        <v>675</v>
      </c>
      <c r="H46" s="205">
        <f>H18*CHOOSE('Узагальнений розрахунок'!$M$1,'Вхідні дані'!$C$92,'Вхідні дані'!$F$92,'Вхідні дані'!$I$92)</f>
        <v>697.5</v>
      </c>
      <c r="I46" s="205">
        <f>I18*CHOOSE('Узагальнений розрахунок'!$M$1,'Вхідні дані'!$C$92,'Вхідні дані'!$F$92,'Вхідні дані'!$I$92)</f>
        <v>675</v>
      </c>
      <c r="J46" s="205">
        <f>J18*CHOOSE('Узагальнений розрахунок'!$M$1,'Вхідні дані'!$C$92,'Вхідні дані'!$F$92,'Вхідні дані'!$I$92)</f>
        <v>697.5</v>
      </c>
      <c r="K46" s="205">
        <f>K18*CHOOSE('Узагальнений розрахунок'!$M$1,'Вхідні дані'!$C$92,'Вхідні дані'!$F$92,'Вхідні дані'!$I$92)</f>
        <v>697.5</v>
      </c>
      <c r="L46" s="205">
        <f>L18*CHOOSE('Узагальнений розрахунок'!$M$1,'Вхідні дані'!$C$92,'Вхідні дані'!$F$92,'Вхідні дані'!$I$92)</f>
        <v>675</v>
      </c>
      <c r="M46" s="205">
        <f>M18*CHOOSE('Узагальнений розрахунок'!$M$1,'Вхідні дані'!$C$92,'Вхідні дані'!$F$92,'Вхідні дані'!$I$92)</f>
        <v>697.5</v>
      </c>
      <c r="N46" s="205">
        <f>N18*CHOOSE('Узагальнений розрахунок'!$M$1,'Вхідні дані'!$C$92,'Вхідні дані'!$F$92,'Вхідні дані'!$I$92)</f>
        <v>675</v>
      </c>
      <c r="O46" s="205">
        <f>O18*CHOOSE('Узагальнений розрахунок'!$M$1,'Вхідні дані'!$C$92,'Вхідні дані'!$F$92,'Вхідні дані'!$I$92)</f>
        <v>697.5</v>
      </c>
      <c r="P46" s="206">
        <f t="shared" ref="P46:P47" si="89">SUM(D46:O46)</f>
        <v>8073</v>
      </c>
      <c r="Q46" s="206">
        <f t="shared" ref="Q46:Q47" si="90">P46/12</f>
        <v>672.75</v>
      </c>
      <c r="R46" s="205">
        <f>R18*CHOOSE('Узагальнений розрахунок'!$M$1,'Вхідні дані'!$C$92,'Вхідні дані'!$F$92,'Вхідні дані'!$I$92)</f>
        <v>837</v>
      </c>
      <c r="S46" s="205">
        <f>S18*CHOOSE('Узагальнений розрахунок'!$M$1,'Вхідні дані'!$C$92,'Вхідні дані'!$F$92,'Вхідні дані'!$I$92)</f>
        <v>756</v>
      </c>
      <c r="T46" s="205">
        <f>T18*CHOOSE('Узагальнений розрахунок'!$M$1,'Вхідні дані'!$C$92,'Вхідні дані'!$F$92,'Вхідні дані'!$I$92)</f>
        <v>837</v>
      </c>
      <c r="U46" s="205">
        <f>U18*CHOOSE('Узагальнений розрахунок'!$M$1,'Вхідні дані'!$C$92,'Вхідні дані'!$F$92,'Вхідні дані'!$I$92)</f>
        <v>810</v>
      </c>
      <c r="V46" s="205">
        <f>V18*CHOOSE('Узагальнений розрахунок'!$M$1,'Вхідні дані'!$C$92,'Вхідні дані'!$F$92,'Вхідні дані'!$I$92)</f>
        <v>837</v>
      </c>
      <c r="W46" s="205">
        <f>W18*CHOOSE('Узагальнений розрахунок'!$M$1,'Вхідні дані'!$C$92,'Вхідні дані'!$F$92,'Вхідні дані'!$I$92)</f>
        <v>810</v>
      </c>
      <c r="X46" s="205">
        <f>X18*CHOOSE('Узагальнений розрахунок'!$M$1,'Вхідні дані'!$C$92,'Вхідні дані'!$F$92,'Вхідні дані'!$I$92)</f>
        <v>837</v>
      </c>
      <c r="Y46" s="205">
        <f>Y18*CHOOSE('Узагальнений розрахунок'!$M$1,'Вхідні дані'!$C$92,'Вхідні дані'!$F$92,'Вхідні дані'!$I$92)</f>
        <v>837</v>
      </c>
      <c r="Z46" s="205">
        <f>Z18*CHOOSE('Узагальнений розрахунок'!$M$1,'Вхідні дані'!$C$92,'Вхідні дані'!$F$92,'Вхідні дані'!$I$92)</f>
        <v>810</v>
      </c>
      <c r="AA46" s="205">
        <f>AA18*CHOOSE('Узагальнений розрахунок'!$M$1,'Вхідні дані'!$C$92,'Вхідні дані'!$F$92,'Вхідні дані'!$I$92)</f>
        <v>837</v>
      </c>
      <c r="AB46" s="205">
        <f>AB18*CHOOSE('Узагальнений розрахунок'!$M$1,'Вхідні дані'!$C$92,'Вхідні дані'!$F$92,'Вхідні дані'!$I$92)</f>
        <v>810</v>
      </c>
      <c r="AC46" s="205">
        <f>AC18*CHOOSE('Узагальнений розрахунок'!$M$1,'Вхідні дані'!$C$92,'Вхідні дані'!$F$92,'Вхідні дані'!$I$92)</f>
        <v>837</v>
      </c>
      <c r="AD46" s="206">
        <f>SUM(R46:AC46)</f>
        <v>9855</v>
      </c>
      <c r="AE46" s="206">
        <f>AD46/12</f>
        <v>821.25</v>
      </c>
      <c r="AF46" s="205">
        <f>AF18*CHOOSE('Узагальнений розрахунок'!$M$1,'Вхідні дані'!$C$92,'Вхідні дані'!$F$92,'Вхідні дані'!$I$92)</f>
        <v>906.75</v>
      </c>
      <c r="AG46" s="205">
        <f>AG18*CHOOSE('Узагальнений розрахунок'!$M$1,'Вхідні дані'!$C$92,'Вхідні дані'!$F$92,'Вхідні дані'!$I$92)</f>
        <v>819</v>
      </c>
      <c r="AH46" s="205">
        <f>AH18*CHOOSE('Узагальнений розрахунок'!$M$1,'Вхідні дані'!$C$92,'Вхідні дані'!$F$92,'Вхідні дані'!$I$92)</f>
        <v>906.75</v>
      </c>
      <c r="AI46" s="205">
        <f>AI18*CHOOSE('Узагальнений розрахунок'!$M$1,'Вхідні дані'!$C$92,'Вхідні дані'!$F$92,'Вхідні дані'!$I$92)</f>
        <v>877.5</v>
      </c>
      <c r="AJ46" s="205">
        <f>AJ18*CHOOSE('Узагальнений розрахунок'!$M$1,'Вхідні дані'!$C$92,'Вхідні дані'!$F$92,'Вхідні дані'!$I$92)</f>
        <v>906.75</v>
      </c>
      <c r="AK46" s="205">
        <f>AK18*CHOOSE('Узагальнений розрахунок'!$M$1,'Вхідні дані'!$C$92,'Вхідні дані'!$F$92,'Вхідні дані'!$I$92)</f>
        <v>877.5</v>
      </c>
      <c r="AL46" s="205">
        <f>AL18*CHOOSE('Узагальнений розрахунок'!$M$1,'Вхідні дані'!$C$92,'Вхідні дані'!$F$92,'Вхідні дані'!$I$92)</f>
        <v>906.75</v>
      </c>
      <c r="AM46" s="205">
        <f>AM18*CHOOSE('Узагальнений розрахунок'!$M$1,'Вхідні дані'!$C$92,'Вхідні дані'!$F$92,'Вхідні дані'!$I$92)</f>
        <v>906.75</v>
      </c>
      <c r="AN46" s="205">
        <f>AN18*CHOOSE('Узагальнений розрахунок'!$M$1,'Вхідні дані'!$C$92,'Вхідні дані'!$F$92,'Вхідні дані'!$I$92)</f>
        <v>877.5</v>
      </c>
      <c r="AO46" s="205">
        <f>AO18*CHOOSE('Узагальнений розрахунок'!$M$1,'Вхідні дані'!$C$92,'Вхідні дані'!$F$92,'Вхідні дані'!$I$92)</f>
        <v>906.75</v>
      </c>
      <c r="AP46" s="205">
        <f>AP18*CHOOSE('Узагальнений розрахунок'!$M$1,'Вхідні дані'!$C$92,'Вхідні дані'!$F$92,'Вхідні дані'!$I$92)</f>
        <v>877.5</v>
      </c>
      <c r="AQ46" s="205">
        <f>AQ18*CHOOSE('Узагальнений розрахунок'!$M$1,'Вхідні дані'!$C$92,'Вхідні дані'!$F$92,'Вхідні дані'!$I$92)</f>
        <v>906.75</v>
      </c>
      <c r="AR46" s="206">
        <f>SUM(AF46:AQ46)</f>
        <v>10676.25</v>
      </c>
      <c r="AS46" s="206">
        <f>AR46/12</f>
        <v>889.6875</v>
      </c>
      <c r="AT46" s="188">
        <f>P46+AD46+AR46</f>
        <v>28604.25</v>
      </c>
      <c r="AU46" s="207"/>
      <c r="AW46" s="163" t="s">
        <v>209</v>
      </c>
      <c r="AX46" s="163" t="s">
        <v>239</v>
      </c>
    </row>
    <row r="47" spans="1:50" s="190" customFormat="1" x14ac:dyDescent="0.4">
      <c r="A47" s="184" t="str">
        <f>'Узагальнений розрахунок'!B40</f>
        <v>Харчування персоналу</v>
      </c>
      <c r="B47" s="185" t="str">
        <f>CHOOSE('Вхідні дані'!$M$1,'Вхідні дані'!$N$1,'Вхідні дані'!$N$2,'Вхідні дані'!$N$3,'Вхідні дані'!$N$4)</f>
        <v>UAH</v>
      </c>
      <c r="C47" s="186"/>
      <c r="D47" s="186">
        <f>CHOOSE('Узагальнений розрахунок'!$M$1,'Вхідні дані'!$D$93,'Вхідні дані'!$G$93,'Вхідні дані'!$J$93)</f>
        <v>0</v>
      </c>
      <c r="E47" s="186">
        <f>CHOOSE('Узагальнений розрахунок'!$M$1,'Вхідні дані'!$D$93,'Вхідні дані'!$G$93,'Вхідні дані'!$J$93)</f>
        <v>0</v>
      </c>
      <c r="F47" s="186">
        <f>CHOOSE('Узагальнений розрахунок'!$M$1,'Вхідні дані'!$D$93,'Вхідні дані'!$G$93,'Вхідні дані'!$J$93)</f>
        <v>0</v>
      </c>
      <c r="G47" s="186">
        <f>CHOOSE('Узагальнений розрахунок'!$M$1,'Вхідні дані'!$D$93,'Вхідні дані'!$G$93,'Вхідні дані'!$J$93)</f>
        <v>0</v>
      </c>
      <c r="H47" s="186">
        <f>CHOOSE('Узагальнений розрахунок'!$M$1,'Вхідні дані'!$D$93,'Вхідні дані'!$G$93,'Вхідні дані'!$J$93)</f>
        <v>0</v>
      </c>
      <c r="I47" s="186">
        <f>CHOOSE('Узагальнений розрахунок'!$M$1,'Вхідні дані'!$D$93,'Вхідні дані'!$G$93,'Вхідні дані'!$J$93)</f>
        <v>0</v>
      </c>
      <c r="J47" s="186">
        <f>CHOOSE('Узагальнений розрахунок'!$M$1,'Вхідні дані'!$D$93,'Вхідні дані'!$G$93,'Вхідні дані'!$J$93)</f>
        <v>0</v>
      </c>
      <c r="K47" s="186">
        <f>CHOOSE('Узагальнений розрахунок'!$M$1,'Вхідні дані'!$D$93,'Вхідні дані'!$G$93,'Вхідні дані'!$J$93)</f>
        <v>0</v>
      </c>
      <c r="L47" s="186">
        <f>CHOOSE('Узагальнений розрахунок'!$M$1,'Вхідні дані'!$D$93,'Вхідні дані'!$G$93,'Вхідні дані'!$J$93)</f>
        <v>0</v>
      </c>
      <c r="M47" s="186">
        <f>CHOOSE('Узагальнений розрахунок'!$M$1,'Вхідні дані'!$D$93,'Вхідні дані'!$G$93,'Вхідні дані'!$J$93)</f>
        <v>0</v>
      </c>
      <c r="N47" s="186">
        <f>CHOOSE('Узагальнений розрахунок'!$M$1,'Вхідні дані'!$D$93,'Вхідні дані'!$G$93,'Вхідні дані'!$J$93)</f>
        <v>0</v>
      </c>
      <c r="O47" s="186">
        <f>CHOOSE('Узагальнений розрахунок'!$M$1,'Вхідні дані'!$D$93,'Вхідні дані'!$G$93,'Вхідні дані'!$J$93)</f>
        <v>0</v>
      </c>
      <c r="P47" s="187">
        <f t="shared" si="89"/>
        <v>0</v>
      </c>
      <c r="Q47" s="187">
        <f t="shared" si="90"/>
        <v>0</v>
      </c>
      <c r="R47" s="186">
        <f>CHOOSE('Узагальнений розрахунок'!$M$1,'Вхідні дані'!$D$93,'Вхідні дані'!$G$93,'Вхідні дані'!$J$93)</f>
        <v>0</v>
      </c>
      <c r="S47" s="186">
        <f>CHOOSE('Узагальнений розрахунок'!$M$1,'Вхідні дані'!$D$93,'Вхідні дані'!$G$93,'Вхідні дані'!$J$93)</f>
        <v>0</v>
      </c>
      <c r="T47" s="186">
        <f>CHOOSE('Узагальнений розрахунок'!$M$1,'Вхідні дані'!$D$93,'Вхідні дані'!$G$93,'Вхідні дані'!$J$93)</f>
        <v>0</v>
      </c>
      <c r="U47" s="186">
        <f>CHOOSE('Узагальнений розрахунок'!$M$1,'Вхідні дані'!$D$93,'Вхідні дані'!$G$93,'Вхідні дані'!$J$93)</f>
        <v>0</v>
      </c>
      <c r="V47" s="186">
        <f>CHOOSE('Узагальнений розрахунок'!$M$1,'Вхідні дані'!$D$93,'Вхідні дані'!$G$93,'Вхідні дані'!$J$93)</f>
        <v>0</v>
      </c>
      <c r="W47" s="186">
        <f>CHOOSE('Узагальнений розрахунок'!$M$1,'Вхідні дані'!$D$93,'Вхідні дані'!$G$93,'Вхідні дані'!$J$93)</f>
        <v>0</v>
      </c>
      <c r="X47" s="186">
        <f>CHOOSE('Узагальнений розрахунок'!$M$1,'Вхідні дані'!$D$93,'Вхідні дані'!$G$93,'Вхідні дані'!$J$93)</f>
        <v>0</v>
      </c>
      <c r="Y47" s="186">
        <f>CHOOSE('Узагальнений розрахунок'!$M$1,'Вхідні дані'!$D$93,'Вхідні дані'!$G$93,'Вхідні дані'!$J$93)</f>
        <v>0</v>
      </c>
      <c r="Z47" s="186">
        <f>CHOOSE('Узагальнений розрахунок'!$M$1,'Вхідні дані'!$D$93,'Вхідні дані'!$G$93,'Вхідні дані'!$J$93)</f>
        <v>0</v>
      </c>
      <c r="AA47" s="186">
        <f>CHOOSE('Узагальнений розрахунок'!$M$1,'Вхідні дані'!$D$93,'Вхідні дані'!$G$93,'Вхідні дані'!$J$93)</f>
        <v>0</v>
      </c>
      <c r="AB47" s="186">
        <f>CHOOSE('Узагальнений розрахунок'!$M$1,'Вхідні дані'!$D$93,'Вхідні дані'!$G$93,'Вхідні дані'!$J$93)</f>
        <v>0</v>
      </c>
      <c r="AC47" s="186">
        <f>CHOOSE('Узагальнений розрахунок'!$M$1,'Вхідні дані'!$D$93,'Вхідні дані'!$G$93,'Вхідні дані'!$J$93)</f>
        <v>0</v>
      </c>
      <c r="AD47" s="187">
        <f>SUM(R47:AC47)</f>
        <v>0</v>
      </c>
      <c r="AE47" s="187">
        <f>AD47/12</f>
        <v>0</v>
      </c>
      <c r="AF47" s="186">
        <f>CHOOSE('Узагальнений розрахунок'!$M$1,'Вхідні дані'!$D$93,'Вхідні дані'!$G$93,'Вхідні дані'!$J$93)</f>
        <v>0</v>
      </c>
      <c r="AG47" s="186">
        <f>CHOOSE('Узагальнений розрахунок'!$M$1,'Вхідні дані'!$D$93,'Вхідні дані'!$G$93,'Вхідні дані'!$J$93)</f>
        <v>0</v>
      </c>
      <c r="AH47" s="186">
        <f>CHOOSE('Узагальнений розрахунок'!$M$1,'Вхідні дані'!$D$93,'Вхідні дані'!$G$93,'Вхідні дані'!$J$93)</f>
        <v>0</v>
      </c>
      <c r="AI47" s="186">
        <f>CHOOSE('Узагальнений розрахунок'!$M$1,'Вхідні дані'!$D$93,'Вхідні дані'!$G$93,'Вхідні дані'!$J$93)</f>
        <v>0</v>
      </c>
      <c r="AJ47" s="186">
        <f>CHOOSE('Узагальнений розрахунок'!$M$1,'Вхідні дані'!$D$93,'Вхідні дані'!$G$93,'Вхідні дані'!$J$93)</f>
        <v>0</v>
      </c>
      <c r="AK47" s="186">
        <f>CHOOSE('Узагальнений розрахунок'!$M$1,'Вхідні дані'!$D$93,'Вхідні дані'!$G$93,'Вхідні дані'!$J$93)</f>
        <v>0</v>
      </c>
      <c r="AL47" s="186">
        <f>CHOOSE('Узагальнений розрахунок'!$M$1,'Вхідні дані'!$D$93,'Вхідні дані'!$G$93,'Вхідні дані'!$J$93)</f>
        <v>0</v>
      </c>
      <c r="AM47" s="186">
        <f>CHOOSE('Узагальнений розрахунок'!$M$1,'Вхідні дані'!$D$93,'Вхідні дані'!$G$93,'Вхідні дані'!$J$93)</f>
        <v>0</v>
      </c>
      <c r="AN47" s="186">
        <f>CHOOSE('Узагальнений розрахунок'!$M$1,'Вхідні дані'!$D$93,'Вхідні дані'!$G$93,'Вхідні дані'!$J$93)</f>
        <v>0</v>
      </c>
      <c r="AO47" s="186">
        <f>CHOOSE('Узагальнений розрахунок'!$M$1,'Вхідні дані'!$D$93,'Вхідні дані'!$G$93,'Вхідні дані'!$J$93)</f>
        <v>0</v>
      </c>
      <c r="AP47" s="186">
        <f>CHOOSE('Узагальнений розрахунок'!$M$1,'Вхідні дані'!$D$93,'Вхідні дані'!$G$93,'Вхідні дані'!$J$93)</f>
        <v>0</v>
      </c>
      <c r="AQ47" s="186">
        <f>CHOOSE('Узагальнений розрахунок'!$M$1,'Вхідні дані'!$D$93,'Вхідні дані'!$G$93,'Вхідні дані'!$J$93)</f>
        <v>0</v>
      </c>
      <c r="AR47" s="187">
        <f>SUM(AF47:AQ47)</f>
        <v>0</v>
      </c>
      <c r="AS47" s="187">
        <f>AR47/12</f>
        <v>0</v>
      </c>
      <c r="AT47" s="188">
        <f>P47+AD47+AR47</f>
        <v>0</v>
      </c>
      <c r="AU47" s="189"/>
      <c r="AW47" s="163" t="s">
        <v>10</v>
      </c>
      <c r="AX47" s="163" t="s">
        <v>240</v>
      </c>
    </row>
    <row r="48" spans="1:50" s="208" customFormat="1" x14ac:dyDescent="0.4">
      <c r="A48" s="203" t="str">
        <f>'Узагальнений розрахунок'!B41</f>
        <v>Транспортні витрати</v>
      </c>
      <c r="B48" s="204" t="str">
        <f>CHOOSE('Вхідні дані'!$M$1,'Вхідні дані'!$N$1,'Вхідні дані'!$N$2,'Вхідні дані'!$N$3,'Вхідні дані'!$N$4)</f>
        <v>UAH</v>
      </c>
      <c r="C48" s="205"/>
      <c r="D48" s="205">
        <f>D$18*CHOOSE('Узагальнений розрахунок'!$M$1,'Вхідні дані'!$C94,'Вхідні дані'!$F94,'Вхідні дані'!$I94)</f>
        <v>0</v>
      </c>
      <c r="E48" s="205">
        <f>E$18*CHOOSE('Узагальнений розрахунок'!$M$1,'Вхідні дані'!$C94,'Вхідні дані'!$F94,'Вхідні дані'!$I94)</f>
        <v>0</v>
      </c>
      <c r="F48" s="205">
        <f>F$18*CHOOSE('Узагальнений розрахунок'!$M$1,'Вхідні дані'!$C94,'Вхідні дані'!$F94,'Вхідні дані'!$I94)</f>
        <v>0</v>
      </c>
      <c r="G48" s="205">
        <f>G$18*CHOOSE('Узагальнений розрахунок'!$M$1,'Вхідні дані'!$C94,'Вхідні дані'!$F94,'Вхідні дані'!$I94)</f>
        <v>0</v>
      </c>
      <c r="H48" s="205">
        <f>H$18*CHOOSE('Узагальнений розрахунок'!$M$1,'Вхідні дані'!$C94,'Вхідні дані'!$F94,'Вхідні дані'!$I94)</f>
        <v>0</v>
      </c>
      <c r="I48" s="205">
        <f>I$18*CHOOSE('Узагальнений розрахунок'!$M$1,'Вхідні дані'!$C94,'Вхідні дані'!$F94,'Вхідні дані'!$I94)</f>
        <v>0</v>
      </c>
      <c r="J48" s="205">
        <f>J$18*CHOOSE('Узагальнений розрахунок'!$M$1,'Вхідні дані'!$C94,'Вхідні дані'!$F94,'Вхідні дані'!$I94)</f>
        <v>0</v>
      </c>
      <c r="K48" s="205">
        <f>K$18*CHOOSE('Узагальнений розрахунок'!$M$1,'Вхідні дані'!$C94,'Вхідні дані'!$F94,'Вхідні дані'!$I94)</f>
        <v>0</v>
      </c>
      <c r="L48" s="205">
        <f>L$18*CHOOSE('Узагальнений розрахунок'!$M$1,'Вхідні дані'!$C94,'Вхідні дані'!$F94,'Вхідні дані'!$I94)</f>
        <v>0</v>
      </c>
      <c r="M48" s="205">
        <f>M$18*CHOOSE('Узагальнений розрахунок'!$M$1,'Вхідні дані'!$C94,'Вхідні дані'!$F94,'Вхідні дані'!$I94)</f>
        <v>0</v>
      </c>
      <c r="N48" s="205">
        <f>N$18*CHOOSE('Узагальнений розрахунок'!$M$1,'Вхідні дані'!$C94,'Вхідні дані'!$F94,'Вхідні дані'!$I94)</f>
        <v>0</v>
      </c>
      <c r="O48" s="205">
        <f>O$18*CHOOSE('Узагальнений розрахунок'!$M$1,'Вхідні дані'!$C94,'Вхідні дані'!$F94,'Вхідні дані'!$I94)</f>
        <v>0</v>
      </c>
      <c r="P48" s="206">
        <f t="shared" ref="P48" si="91">SUM(D48:O48)</f>
        <v>0</v>
      </c>
      <c r="Q48" s="206">
        <f t="shared" ref="Q48" si="92">P48/12</f>
        <v>0</v>
      </c>
      <c r="R48" s="205">
        <f>R$18*CHOOSE('Узагальнений розрахунок'!$M$1,'Вхідні дані'!$C94,'Вхідні дані'!$F94,'Вхідні дані'!$I94)</f>
        <v>0</v>
      </c>
      <c r="S48" s="205">
        <f>S$18*CHOOSE('Узагальнений розрахунок'!$M$1,'Вхідні дані'!$C94,'Вхідні дані'!$F94,'Вхідні дані'!$I94)</f>
        <v>0</v>
      </c>
      <c r="T48" s="205">
        <f>T$18*CHOOSE('Узагальнений розрахунок'!$M$1,'Вхідні дані'!$C94,'Вхідні дані'!$F94,'Вхідні дані'!$I94)</f>
        <v>0</v>
      </c>
      <c r="U48" s="205">
        <f>U$18*CHOOSE('Узагальнений розрахунок'!$M$1,'Вхідні дані'!$C94,'Вхідні дані'!$F94,'Вхідні дані'!$I94)</f>
        <v>0</v>
      </c>
      <c r="V48" s="205">
        <f>V$18*CHOOSE('Узагальнений розрахунок'!$M$1,'Вхідні дані'!$C94,'Вхідні дані'!$F94,'Вхідні дані'!$I94)</f>
        <v>0</v>
      </c>
      <c r="W48" s="205">
        <f>W$18*CHOOSE('Узагальнений розрахунок'!$M$1,'Вхідні дані'!$C94,'Вхідні дані'!$F94,'Вхідні дані'!$I94)</f>
        <v>0</v>
      </c>
      <c r="X48" s="205">
        <f>X$18*CHOOSE('Узагальнений розрахунок'!$M$1,'Вхідні дані'!$C94,'Вхідні дані'!$F94,'Вхідні дані'!$I94)</f>
        <v>0</v>
      </c>
      <c r="Y48" s="205">
        <f>Y$18*CHOOSE('Узагальнений розрахунок'!$M$1,'Вхідні дані'!$C94,'Вхідні дані'!$F94,'Вхідні дані'!$I94)</f>
        <v>0</v>
      </c>
      <c r="Z48" s="205">
        <f>Z$18*CHOOSE('Узагальнений розрахунок'!$M$1,'Вхідні дані'!$C94,'Вхідні дані'!$F94,'Вхідні дані'!$I94)</f>
        <v>0</v>
      </c>
      <c r="AA48" s="205">
        <f>AA$18*CHOOSE('Узагальнений розрахунок'!$M$1,'Вхідні дані'!$C94,'Вхідні дані'!$F94,'Вхідні дані'!$I94)</f>
        <v>0</v>
      </c>
      <c r="AB48" s="205">
        <f>AB$18*CHOOSE('Узагальнений розрахунок'!$M$1,'Вхідні дані'!$C94,'Вхідні дані'!$F94,'Вхідні дані'!$I94)</f>
        <v>0</v>
      </c>
      <c r="AC48" s="205">
        <f>AC$18*CHOOSE('Узагальнений розрахунок'!$M$1,'Вхідні дані'!$C94,'Вхідні дані'!$F94,'Вхідні дані'!$I94)</f>
        <v>0</v>
      </c>
      <c r="AD48" s="206">
        <f>SUM(R48:AC48)</f>
        <v>0</v>
      </c>
      <c r="AE48" s="206">
        <f>AD48/12</f>
        <v>0</v>
      </c>
      <c r="AF48" s="205">
        <f>AF$18*CHOOSE('Узагальнений розрахунок'!$M$1,'Вхідні дані'!$C94,'Вхідні дані'!$F94,'Вхідні дані'!$I94)</f>
        <v>0</v>
      </c>
      <c r="AG48" s="205">
        <f>AG$18*CHOOSE('Узагальнений розрахунок'!$M$1,'Вхідні дані'!$C94,'Вхідні дані'!$F94,'Вхідні дані'!$I94)</f>
        <v>0</v>
      </c>
      <c r="AH48" s="205">
        <f>AH$18*CHOOSE('Узагальнений розрахунок'!$M$1,'Вхідні дані'!$C94,'Вхідні дані'!$F94,'Вхідні дані'!$I94)</f>
        <v>0</v>
      </c>
      <c r="AI48" s="205">
        <f>AI$18*CHOOSE('Узагальнений розрахунок'!$M$1,'Вхідні дані'!$C94,'Вхідні дані'!$F94,'Вхідні дані'!$I94)</f>
        <v>0</v>
      </c>
      <c r="AJ48" s="205">
        <f>AJ$18*CHOOSE('Узагальнений розрахунок'!$M$1,'Вхідні дані'!$C94,'Вхідні дані'!$F94,'Вхідні дані'!$I94)</f>
        <v>0</v>
      </c>
      <c r="AK48" s="205">
        <f>AK$18*CHOOSE('Узагальнений розрахунок'!$M$1,'Вхідні дані'!$C94,'Вхідні дані'!$F94,'Вхідні дані'!$I94)</f>
        <v>0</v>
      </c>
      <c r="AL48" s="205">
        <f>AL$18*CHOOSE('Узагальнений розрахунок'!$M$1,'Вхідні дані'!$C94,'Вхідні дані'!$F94,'Вхідні дані'!$I94)</f>
        <v>0</v>
      </c>
      <c r="AM48" s="205">
        <f>AM$18*CHOOSE('Узагальнений розрахунок'!$M$1,'Вхідні дані'!$C94,'Вхідні дані'!$F94,'Вхідні дані'!$I94)</f>
        <v>0</v>
      </c>
      <c r="AN48" s="205">
        <f>AN$18*CHOOSE('Узагальнений розрахунок'!$M$1,'Вхідні дані'!$C94,'Вхідні дані'!$F94,'Вхідні дані'!$I94)</f>
        <v>0</v>
      </c>
      <c r="AO48" s="205">
        <f>AO$18*CHOOSE('Узагальнений розрахунок'!$M$1,'Вхідні дані'!$C94,'Вхідні дані'!$F94,'Вхідні дані'!$I94)</f>
        <v>0</v>
      </c>
      <c r="AP48" s="205">
        <f>AP$18*CHOOSE('Узагальнений розрахунок'!$M$1,'Вхідні дані'!$C94,'Вхідні дані'!$F94,'Вхідні дані'!$I94)</f>
        <v>0</v>
      </c>
      <c r="AQ48" s="205">
        <f>AQ$18*CHOOSE('Узагальнений розрахунок'!$M$1,'Вхідні дані'!$C94,'Вхідні дані'!$F94,'Вхідні дані'!$I94)</f>
        <v>0</v>
      </c>
      <c r="AR48" s="206">
        <f>SUM(AF48:AQ48)</f>
        <v>0</v>
      </c>
      <c r="AS48" s="206">
        <f>AR48/12</f>
        <v>0</v>
      </c>
      <c r="AT48" s="188">
        <f>P48+AD48+AR48</f>
        <v>0</v>
      </c>
      <c r="AU48" s="207"/>
      <c r="AW48" s="163" t="s">
        <v>10</v>
      </c>
      <c r="AX48" s="163" t="s">
        <v>240</v>
      </c>
    </row>
    <row r="49" spans="1:50" s="190" customFormat="1" x14ac:dyDescent="0.4">
      <c r="A49" s="184" t="str">
        <f>'Узагальнений розрахунок'!B42</f>
        <v>Сервісне обслуговування техніки та обладнання</v>
      </c>
      <c r="B49" s="185" t="str">
        <f>CHOOSE('Вхідні дані'!$M$1,'Вхідні дані'!$N$1,'Вхідні дані'!$N$2,'Вхідні дані'!$N$3,'Вхідні дані'!$N$4)</f>
        <v>UAH</v>
      </c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7">
        <f t="shared" ref="P49" si="93">SUM(D49:O49)</f>
        <v>0</v>
      </c>
      <c r="Q49" s="187">
        <f t="shared" ref="Q49" si="94">P49/12</f>
        <v>0</v>
      </c>
      <c r="R49" s="186">
        <f>CHOOSE('Узагальнений розрахунок'!$M$1,'Вхідні дані'!$D95,'Вхідні дані'!$G95,'Вхідні дані'!$J95)</f>
        <v>0</v>
      </c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7">
        <f t="shared" ref="AD49" si="95">SUM(R49:AC49)</f>
        <v>0</v>
      </c>
      <c r="AE49" s="187">
        <f t="shared" ref="AE49" si="96">AD49/12</f>
        <v>0</v>
      </c>
      <c r="AF49" s="186">
        <f>CHOOSE('Узагальнений розрахунок'!$M$1,'Вхідні дані'!$D95,'Вхідні дані'!$G95,'Вхідні дані'!$J95)</f>
        <v>0</v>
      </c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7">
        <f t="shared" ref="AR49" si="97">SUM(AF49:AQ49)</f>
        <v>0</v>
      </c>
      <c r="AS49" s="187">
        <f t="shared" ref="AS49" si="98">AR49/12</f>
        <v>0</v>
      </c>
      <c r="AT49" s="188">
        <f t="shared" ref="AT49" si="99">P49+AD49+AR49</f>
        <v>0</v>
      </c>
      <c r="AU49" s="189"/>
      <c r="AW49" s="163" t="s">
        <v>293</v>
      </c>
      <c r="AX49" s="163" t="s">
        <v>294</v>
      </c>
    </row>
    <row r="50" spans="1:50" s="208" customFormat="1" x14ac:dyDescent="0.4">
      <c r="A50" s="203" t="str">
        <f>'Узагальнений розрахунок'!B43</f>
        <v>Уніформа персоналу</v>
      </c>
      <c r="B50" s="204" t="str">
        <f>CHOOSE('Вхідні дані'!$M$1,'Вхідні дані'!$N$1,'Вхідні дані'!$N$2,'Вхідні дані'!$N$3,'Вхідні дані'!$N$4)</f>
        <v>UAH</v>
      </c>
      <c r="C50" s="205"/>
      <c r="D50" s="205">
        <f>CHOOSE('Узагальнений розрахунок'!$M$1,'Вхідні дані'!$D$96,'Вхідні дані'!$G$96,'Вхідні дані'!$J$96)</f>
        <v>0</v>
      </c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6">
        <f t="shared" si="80"/>
        <v>0</v>
      </c>
      <c r="Q50" s="206">
        <f t="shared" si="81"/>
        <v>0</v>
      </c>
      <c r="R50" s="205">
        <f>CHOOSE('Узагальнений розрахунок'!$M$1,'Вхідні дані'!$D$96,'Вхідні дані'!$G$96,'Вхідні дані'!$J$96)</f>
        <v>0</v>
      </c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6">
        <f t="shared" ref="AD50" si="100">SUM(R50:AC50)</f>
        <v>0</v>
      </c>
      <c r="AE50" s="206">
        <f t="shared" ref="AE50" si="101">AD50/12</f>
        <v>0</v>
      </c>
      <c r="AF50" s="205">
        <f>CHOOSE('Узагальнений розрахунок'!$M$1,'Вхідні дані'!$D$96,'Вхідні дані'!$G$96,'Вхідні дані'!$J$96)</f>
        <v>0</v>
      </c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6">
        <f t="shared" ref="AR50" si="102">SUM(AF50:AQ50)</f>
        <v>0</v>
      </c>
      <c r="AS50" s="206">
        <f t="shared" ref="AS50" si="103">AR50/12</f>
        <v>0</v>
      </c>
      <c r="AT50" s="188">
        <f t="shared" ref="AT50" si="104">P50+AD50+AR50</f>
        <v>0</v>
      </c>
      <c r="AU50" s="207"/>
      <c r="AW50" s="163" t="s">
        <v>9</v>
      </c>
      <c r="AX50" s="163" t="s">
        <v>233</v>
      </c>
    </row>
    <row r="51" spans="1:50" s="190" customFormat="1" x14ac:dyDescent="0.4">
      <c r="A51" s="184" t="str">
        <f>'Узагальнений розрахунок'!B44</f>
        <v>Охорона</v>
      </c>
      <c r="B51" s="185" t="str">
        <f>CHOOSE('Вхідні дані'!$M$1,'Вхідні дані'!$N$1,'Вхідні дані'!$N$2,'Вхідні дані'!$N$3,'Вхідні дані'!$N$4)</f>
        <v>UAH</v>
      </c>
      <c r="C51" s="186"/>
      <c r="D51" s="186">
        <f>CHOOSE('Узагальнений розрахунок'!$M$1,'Вхідні дані'!$D$97,'Вхідні дані'!$G$97,'Вхідні дані'!$J$97)</f>
        <v>0</v>
      </c>
      <c r="E51" s="186">
        <f>CHOOSE('Узагальнений розрахунок'!$M$1,'Вхідні дані'!$D$97,'Вхідні дані'!$G$97,'Вхідні дані'!$J$97)</f>
        <v>0</v>
      </c>
      <c r="F51" s="186">
        <f>CHOOSE('Узагальнений розрахунок'!$M$1,'Вхідні дані'!$D$97,'Вхідні дані'!$G$97,'Вхідні дані'!$J$97)</f>
        <v>0</v>
      </c>
      <c r="G51" s="186">
        <f>CHOOSE('Узагальнений розрахунок'!$M$1,'Вхідні дані'!$D$97,'Вхідні дані'!$G$97,'Вхідні дані'!$J$97)</f>
        <v>0</v>
      </c>
      <c r="H51" s="186">
        <f>CHOOSE('Узагальнений розрахунок'!$M$1,'Вхідні дані'!$D$97,'Вхідні дані'!$G$97,'Вхідні дані'!$J$97)</f>
        <v>0</v>
      </c>
      <c r="I51" s="186">
        <f>CHOOSE('Узагальнений розрахунок'!$M$1,'Вхідні дані'!$D$97,'Вхідні дані'!$G$97,'Вхідні дані'!$J$97)</f>
        <v>0</v>
      </c>
      <c r="J51" s="186">
        <f>CHOOSE('Узагальнений розрахунок'!$M$1,'Вхідні дані'!$D$97,'Вхідні дані'!$G$97,'Вхідні дані'!$J$97)</f>
        <v>0</v>
      </c>
      <c r="K51" s="186">
        <f>CHOOSE('Узагальнений розрахунок'!$M$1,'Вхідні дані'!$D$97,'Вхідні дані'!$G$97,'Вхідні дані'!$J$97)</f>
        <v>0</v>
      </c>
      <c r="L51" s="186">
        <f>CHOOSE('Узагальнений розрахунок'!$M$1,'Вхідні дані'!$D$97,'Вхідні дані'!$G$97,'Вхідні дані'!$J$97)</f>
        <v>0</v>
      </c>
      <c r="M51" s="186">
        <f>CHOOSE('Узагальнений розрахунок'!$M$1,'Вхідні дані'!$D$97,'Вхідні дані'!$G$97,'Вхідні дані'!$J$97)</f>
        <v>0</v>
      </c>
      <c r="N51" s="186">
        <f>CHOOSE('Узагальнений розрахунок'!$M$1,'Вхідні дані'!$D$97,'Вхідні дані'!$G$97,'Вхідні дані'!$J$97)</f>
        <v>0</v>
      </c>
      <c r="O51" s="186">
        <f>CHOOSE('Узагальнений розрахунок'!$M$1,'Вхідні дані'!$D$97,'Вхідні дані'!$G$97,'Вхідні дані'!$J$97)</f>
        <v>0</v>
      </c>
      <c r="P51" s="187">
        <f t="shared" si="80"/>
        <v>0</v>
      </c>
      <c r="Q51" s="187">
        <f t="shared" si="81"/>
        <v>0</v>
      </c>
      <c r="R51" s="186">
        <f>CHOOSE('Узагальнений розрахунок'!$M$1,'Вхідні дані'!$D$97,'Вхідні дані'!$G$97,'Вхідні дані'!$J$97)</f>
        <v>0</v>
      </c>
      <c r="S51" s="186">
        <f>CHOOSE('Узагальнений розрахунок'!$M$1,'Вхідні дані'!$D$97,'Вхідні дані'!$G$97,'Вхідні дані'!$J$97)</f>
        <v>0</v>
      </c>
      <c r="T51" s="186">
        <f>CHOOSE('Узагальнений розрахунок'!$M$1,'Вхідні дані'!$D$97,'Вхідні дані'!$G$97,'Вхідні дані'!$J$97)</f>
        <v>0</v>
      </c>
      <c r="U51" s="186">
        <f>CHOOSE('Узагальнений розрахунок'!$M$1,'Вхідні дані'!$D$97,'Вхідні дані'!$G$97,'Вхідні дані'!$J$97)</f>
        <v>0</v>
      </c>
      <c r="V51" s="186">
        <f>CHOOSE('Узагальнений розрахунок'!$M$1,'Вхідні дані'!$D$97,'Вхідні дані'!$G$97,'Вхідні дані'!$J$97)</f>
        <v>0</v>
      </c>
      <c r="W51" s="186">
        <f>CHOOSE('Узагальнений розрахунок'!$M$1,'Вхідні дані'!$D$97,'Вхідні дані'!$G$97,'Вхідні дані'!$J$97)</f>
        <v>0</v>
      </c>
      <c r="X51" s="186">
        <f>CHOOSE('Узагальнений розрахунок'!$M$1,'Вхідні дані'!$D$97,'Вхідні дані'!$G$97,'Вхідні дані'!$J$97)</f>
        <v>0</v>
      </c>
      <c r="Y51" s="186">
        <f>CHOOSE('Узагальнений розрахунок'!$M$1,'Вхідні дані'!$D$97,'Вхідні дані'!$G$97,'Вхідні дані'!$J$97)</f>
        <v>0</v>
      </c>
      <c r="Z51" s="186">
        <f>CHOOSE('Узагальнений розрахунок'!$M$1,'Вхідні дані'!$D$97,'Вхідні дані'!$G$97,'Вхідні дані'!$J$97)</f>
        <v>0</v>
      </c>
      <c r="AA51" s="186">
        <f>CHOOSE('Узагальнений розрахунок'!$M$1,'Вхідні дані'!$D$97,'Вхідні дані'!$G$97,'Вхідні дані'!$J$97)</f>
        <v>0</v>
      </c>
      <c r="AB51" s="186">
        <f>CHOOSE('Узагальнений розрахунок'!$M$1,'Вхідні дані'!$D$97,'Вхідні дані'!$G$97,'Вхідні дані'!$J$97)</f>
        <v>0</v>
      </c>
      <c r="AC51" s="186">
        <f>CHOOSE('Узагальнений розрахунок'!$M$1,'Вхідні дані'!$D$97,'Вхідні дані'!$G$97,'Вхідні дані'!$J$97)</f>
        <v>0</v>
      </c>
      <c r="AD51" s="187">
        <f>SUM(R51:AC51)</f>
        <v>0</v>
      </c>
      <c r="AE51" s="187">
        <f>AD51/12</f>
        <v>0</v>
      </c>
      <c r="AF51" s="186">
        <f>CHOOSE('Узагальнений розрахунок'!$M$1,'Вхідні дані'!$D$97,'Вхідні дані'!$G$97,'Вхідні дані'!$J$97)</f>
        <v>0</v>
      </c>
      <c r="AG51" s="186">
        <f>CHOOSE('Узагальнений розрахунок'!$M$1,'Вхідні дані'!$D$97,'Вхідні дані'!$G$97,'Вхідні дані'!$J$97)</f>
        <v>0</v>
      </c>
      <c r="AH51" s="186">
        <f>CHOOSE('Узагальнений розрахунок'!$M$1,'Вхідні дані'!$D$97,'Вхідні дані'!$G$97,'Вхідні дані'!$J$97)</f>
        <v>0</v>
      </c>
      <c r="AI51" s="186">
        <f>CHOOSE('Узагальнений розрахунок'!$M$1,'Вхідні дані'!$D$97,'Вхідні дані'!$G$97,'Вхідні дані'!$J$97)</f>
        <v>0</v>
      </c>
      <c r="AJ51" s="186">
        <f>CHOOSE('Узагальнений розрахунок'!$M$1,'Вхідні дані'!$D$97,'Вхідні дані'!$G$97,'Вхідні дані'!$J$97)</f>
        <v>0</v>
      </c>
      <c r="AK51" s="186">
        <f>CHOOSE('Узагальнений розрахунок'!$M$1,'Вхідні дані'!$D$97,'Вхідні дані'!$G$97,'Вхідні дані'!$J$97)</f>
        <v>0</v>
      </c>
      <c r="AL51" s="186">
        <f>CHOOSE('Узагальнений розрахунок'!$M$1,'Вхідні дані'!$D$97,'Вхідні дані'!$G$97,'Вхідні дані'!$J$97)</f>
        <v>0</v>
      </c>
      <c r="AM51" s="186">
        <f>CHOOSE('Узагальнений розрахунок'!$M$1,'Вхідні дані'!$D$97,'Вхідні дані'!$G$97,'Вхідні дані'!$J$97)</f>
        <v>0</v>
      </c>
      <c r="AN51" s="186">
        <f>CHOOSE('Узагальнений розрахунок'!$M$1,'Вхідні дані'!$D$97,'Вхідні дані'!$G$97,'Вхідні дані'!$J$97)</f>
        <v>0</v>
      </c>
      <c r="AO51" s="186">
        <f>CHOOSE('Узагальнений розрахунок'!$M$1,'Вхідні дані'!$D$97,'Вхідні дані'!$G$97,'Вхідні дані'!$J$97)</f>
        <v>0</v>
      </c>
      <c r="AP51" s="186">
        <f>CHOOSE('Узагальнений розрахунок'!$M$1,'Вхідні дані'!$D$97,'Вхідні дані'!$G$97,'Вхідні дані'!$J$97)</f>
        <v>0</v>
      </c>
      <c r="AQ51" s="186">
        <f>CHOOSE('Узагальнений розрахунок'!$M$1,'Вхідні дані'!$D$97,'Вхідні дані'!$G$97,'Вхідні дані'!$J$97)</f>
        <v>0</v>
      </c>
      <c r="AR51" s="187">
        <f>SUM(AF51:AQ51)</f>
        <v>0</v>
      </c>
      <c r="AS51" s="187">
        <f>AR51/12</f>
        <v>0</v>
      </c>
      <c r="AT51" s="188">
        <f>P51+AD51+AR51</f>
        <v>0</v>
      </c>
      <c r="AU51" s="189"/>
      <c r="AW51" s="163" t="s">
        <v>209</v>
      </c>
      <c r="AX51" s="163" t="s">
        <v>239</v>
      </c>
    </row>
    <row r="52" spans="1:50" s="208" customFormat="1" x14ac:dyDescent="0.4">
      <c r="A52" s="203" t="str">
        <f>'Узагальнений розрахунок'!B45</f>
        <v>Послуги зв'язку та інтернет</v>
      </c>
      <c r="B52" s="204" t="str">
        <f>CHOOSE('Вхідні дані'!$M$1,'Вхідні дані'!$N$1,'Вхідні дані'!$N$2,'Вхідні дані'!$N$3,'Вхідні дані'!$N$4)</f>
        <v>UAH</v>
      </c>
      <c r="C52" s="205"/>
      <c r="D52" s="205">
        <f>CHOOSE('Узагальнений розрахунок'!$M$1,'Вхідні дані'!$D$98,'Вхідні дані'!$G$98,'Вхідні дані'!$J$98)*D12</f>
        <v>200</v>
      </c>
      <c r="E52" s="205">
        <f>CHOOSE('Узагальнений розрахунок'!$M$1,'Вхідні дані'!$D$98,'Вхідні дані'!$G$98,'Вхідні дані'!$J$98)*E12</f>
        <v>200</v>
      </c>
      <c r="F52" s="205">
        <f>CHOOSE('Узагальнений розрахунок'!$M$1,'Вхідні дані'!$D$98,'Вхідні дані'!$G$98,'Вхідні дані'!$J$98)*F12</f>
        <v>200</v>
      </c>
      <c r="G52" s="205">
        <f>CHOOSE('Узагальнений розрахунок'!$M$1,'Вхідні дані'!$D$98,'Вхідні дані'!$G$98,'Вхідні дані'!$J$98)*G12</f>
        <v>200</v>
      </c>
      <c r="H52" s="205">
        <f>CHOOSE('Узагальнений розрахунок'!$M$1,'Вхідні дані'!$D$98,'Вхідні дані'!$G$98,'Вхідні дані'!$J$98)*H12</f>
        <v>200</v>
      </c>
      <c r="I52" s="205">
        <f>CHOOSE('Узагальнений розрахунок'!$M$1,'Вхідні дані'!$D$98,'Вхідні дані'!$G$98,'Вхідні дані'!$J$98)*I12</f>
        <v>200</v>
      </c>
      <c r="J52" s="205">
        <f>CHOOSE('Узагальнений розрахунок'!$M$1,'Вхідні дані'!$D$98,'Вхідні дані'!$G$98,'Вхідні дані'!$J$98)*J12</f>
        <v>200</v>
      </c>
      <c r="K52" s="205">
        <f>CHOOSE('Узагальнений розрахунок'!$M$1,'Вхідні дані'!$D$98,'Вхідні дані'!$G$98,'Вхідні дані'!$J$98)*K12</f>
        <v>200</v>
      </c>
      <c r="L52" s="205">
        <f>CHOOSE('Узагальнений розрахунок'!$M$1,'Вхідні дані'!$D$98,'Вхідні дані'!$G$98,'Вхідні дані'!$J$98)*L12</f>
        <v>200</v>
      </c>
      <c r="M52" s="205">
        <f>CHOOSE('Узагальнений розрахунок'!$M$1,'Вхідні дані'!$D$98,'Вхідні дані'!$G$98,'Вхідні дані'!$J$98)*M12</f>
        <v>200</v>
      </c>
      <c r="N52" s="205">
        <f>CHOOSE('Узагальнений розрахунок'!$M$1,'Вхідні дані'!$D$98,'Вхідні дані'!$G$98,'Вхідні дані'!$J$98)*N12</f>
        <v>200</v>
      </c>
      <c r="O52" s="205">
        <f>CHOOSE('Узагальнений розрахунок'!$M$1,'Вхідні дані'!$D$98,'Вхідні дані'!$G$98,'Вхідні дані'!$J$98)*O12</f>
        <v>200</v>
      </c>
      <c r="P52" s="206">
        <f t="shared" si="80"/>
        <v>2400</v>
      </c>
      <c r="Q52" s="206">
        <f t="shared" si="81"/>
        <v>200</v>
      </c>
      <c r="R52" s="205">
        <f>CHOOSE('Узагальнений розрахунок'!$M$1,'Вхідні дані'!$D$98,'Вхідні дані'!$G$98,'Вхідні дані'!$J$98)*R12</f>
        <v>200</v>
      </c>
      <c r="S52" s="205">
        <f>CHOOSE('Узагальнений розрахунок'!$M$1,'Вхідні дані'!$D$98,'Вхідні дані'!$G$98,'Вхідні дані'!$J$98)*S12</f>
        <v>200</v>
      </c>
      <c r="T52" s="205">
        <f>CHOOSE('Узагальнений розрахунок'!$M$1,'Вхідні дані'!$D$98,'Вхідні дані'!$G$98,'Вхідні дані'!$J$98)*T12</f>
        <v>200</v>
      </c>
      <c r="U52" s="205">
        <f>CHOOSE('Узагальнений розрахунок'!$M$1,'Вхідні дані'!$D$98,'Вхідні дані'!$G$98,'Вхідні дані'!$J$98)*U12</f>
        <v>200</v>
      </c>
      <c r="V52" s="205">
        <f>CHOOSE('Узагальнений розрахунок'!$M$1,'Вхідні дані'!$D$98,'Вхідні дані'!$G$98,'Вхідні дані'!$J$98)*V12</f>
        <v>200</v>
      </c>
      <c r="W52" s="205">
        <f>CHOOSE('Узагальнений розрахунок'!$M$1,'Вхідні дані'!$D$98,'Вхідні дані'!$G$98,'Вхідні дані'!$J$98)*W12</f>
        <v>200</v>
      </c>
      <c r="X52" s="205">
        <f>CHOOSE('Узагальнений розрахунок'!$M$1,'Вхідні дані'!$D$98,'Вхідні дані'!$G$98,'Вхідні дані'!$J$98)*X12</f>
        <v>200</v>
      </c>
      <c r="Y52" s="205">
        <f>CHOOSE('Узагальнений розрахунок'!$M$1,'Вхідні дані'!$D$98,'Вхідні дані'!$G$98,'Вхідні дані'!$J$98)*Y12</f>
        <v>200</v>
      </c>
      <c r="Z52" s="205">
        <f>CHOOSE('Узагальнений розрахунок'!$M$1,'Вхідні дані'!$D$98,'Вхідні дані'!$G$98,'Вхідні дані'!$J$98)*Z12</f>
        <v>200</v>
      </c>
      <c r="AA52" s="205">
        <f>CHOOSE('Узагальнений розрахунок'!$M$1,'Вхідні дані'!$D$98,'Вхідні дані'!$G$98,'Вхідні дані'!$J$98)*AA12</f>
        <v>200</v>
      </c>
      <c r="AB52" s="205">
        <f>CHOOSE('Узагальнений розрахунок'!$M$1,'Вхідні дані'!$D$98,'Вхідні дані'!$G$98,'Вхідні дані'!$J$98)*AB12</f>
        <v>200</v>
      </c>
      <c r="AC52" s="205">
        <f>CHOOSE('Узагальнений розрахунок'!$M$1,'Вхідні дані'!$D$98,'Вхідні дані'!$G$98,'Вхідні дані'!$J$98)*AC12</f>
        <v>200</v>
      </c>
      <c r="AD52" s="206">
        <f>SUM(R52:AC52)</f>
        <v>2400</v>
      </c>
      <c r="AE52" s="206">
        <f>AD52/12</f>
        <v>200</v>
      </c>
      <c r="AF52" s="205">
        <f>CHOOSE('Узагальнений розрахунок'!$M$1,'Вхідні дані'!$D$98,'Вхідні дані'!$G$98,'Вхідні дані'!$J$98)*AF12</f>
        <v>200</v>
      </c>
      <c r="AG52" s="205">
        <f>CHOOSE('Узагальнений розрахунок'!$M$1,'Вхідні дані'!$D$98,'Вхідні дані'!$G$98,'Вхідні дані'!$J$98)*AG12</f>
        <v>200</v>
      </c>
      <c r="AH52" s="205">
        <f>CHOOSE('Узагальнений розрахунок'!$M$1,'Вхідні дані'!$D$98,'Вхідні дані'!$G$98,'Вхідні дані'!$J$98)*AH12</f>
        <v>200</v>
      </c>
      <c r="AI52" s="205">
        <f>CHOOSE('Узагальнений розрахунок'!$M$1,'Вхідні дані'!$D$98,'Вхідні дані'!$G$98,'Вхідні дані'!$J$98)*AI12</f>
        <v>200</v>
      </c>
      <c r="AJ52" s="205">
        <f>CHOOSE('Узагальнений розрахунок'!$M$1,'Вхідні дані'!$D$98,'Вхідні дані'!$G$98,'Вхідні дані'!$J$98)*AJ12</f>
        <v>200</v>
      </c>
      <c r="AK52" s="205">
        <f>CHOOSE('Узагальнений розрахунок'!$M$1,'Вхідні дані'!$D$98,'Вхідні дані'!$G$98,'Вхідні дані'!$J$98)*AK12</f>
        <v>200</v>
      </c>
      <c r="AL52" s="205">
        <f>CHOOSE('Узагальнений розрахунок'!$M$1,'Вхідні дані'!$D$98,'Вхідні дані'!$G$98,'Вхідні дані'!$J$98)*AL12</f>
        <v>200</v>
      </c>
      <c r="AM52" s="205">
        <f>CHOOSE('Узагальнений розрахунок'!$M$1,'Вхідні дані'!$D$98,'Вхідні дані'!$G$98,'Вхідні дані'!$J$98)*AM12</f>
        <v>200</v>
      </c>
      <c r="AN52" s="205">
        <f>CHOOSE('Узагальнений розрахунок'!$M$1,'Вхідні дані'!$D$98,'Вхідні дані'!$G$98,'Вхідні дані'!$J$98)*AN12</f>
        <v>200</v>
      </c>
      <c r="AO52" s="205">
        <f>CHOOSE('Узагальнений розрахунок'!$M$1,'Вхідні дані'!$D$98,'Вхідні дані'!$G$98,'Вхідні дані'!$J$98)*AO12</f>
        <v>200</v>
      </c>
      <c r="AP52" s="205">
        <f>CHOOSE('Узагальнений розрахунок'!$M$1,'Вхідні дані'!$D$98,'Вхідні дані'!$G$98,'Вхідні дані'!$J$98)*AP12</f>
        <v>200</v>
      </c>
      <c r="AQ52" s="205">
        <f>CHOOSE('Узагальнений розрахунок'!$M$1,'Вхідні дані'!$D$98,'Вхідні дані'!$G$98,'Вхідні дані'!$J$98)*AQ12</f>
        <v>200</v>
      </c>
      <c r="AR52" s="206">
        <f>SUM(AF52:AQ52)</f>
        <v>2400</v>
      </c>
      <c r="AS52" s="206">
        <f>AR52/12</f>
        <v>200</v>
      </c>
      <c r="AT52" s="188">
        <f>P52+AD52+AR52</f>
        <v>7200</v>
      </c>
      <c r="AU52" s="207"/>
      <c r="AW52" s="163" t="s">
        <v>10</v>
      </c>
      <c r="AX52" s="163" t="s">
        <v>240</v>
      </c>
    </row>
    <row r="53" spans="1:50" s="190" customFormat="1" x14ac:dyDescent="0.4">
      <c r="A53" s="184" t="str">
        <f>'Узагальнений розрахунок'!B46</f>
        <v>Ведення бухгалтерського обліку</v>
      </c>
      <c r="B53" s="185" t="str">
        <f>CHOOSE('Вхідні дані'!$M$1,'Вхідні дані'!$N$1,'Вхідні дані'!$N$2,'Вхідні дані'!$N$3,'Вхідні дані'!$N$4)</f>
        <v>UAH</v>
      </c>
      <c r="C53" s="186"/>
      <c r="D53" s="186">
        <f>CHOOSE('Узагальнений розрахунок'!$M$1,'Вхідні дані'!$D$99,'Вхідні дані'!$G$99,'Вхідні дані'!$J$99)</f>
        <v>750</v>
      </c>
      <c r="E53" s="186">
        <f>CHOOSE('Узагальнений розрахунок'!$M$1,'Вхідні дані'!$D$99,'Вхідні дані'!$G$99,'Вхідні дані'!$J$99)</f>
        <v>750</v>
      </c>
      <c r="F53" s="186">
        <f>CHOOSE('Узагальнений розрахунок'!$M$1,'Вхідні дані'!$D$99,'Вхідні дані'!$G$99,'Вхідні дані'!$J$99)</f>
        <v>750</v>
      </c>
      <c r="G53" s="186">
        <f>CHOOSE('Узагальнений розрахунок'!$M$1,'Вхідні дані'!$D$99,'Вхідні дані'!$G$99,'Вхідні дані'!$J$99)</f>
        <v>750</v>
      </c>
      <c r="H53" s="186">
        <f>CHOOSE('Узагальнений розрахунок'!$M$1,'Вхідні дані'!$D$99,'Вхідні дані'!$G$99,'Вхідні дані'!$J$99)</f>
        <v>750</v>
      </c>
      <c r="I53" s="186">
        <f>CHOOSE('Узагальнений розрахунок'!$M$1,'Вхідні дані'!$D$99,'Вхідні дані'!$G$99,'Вхідні дані'!$J$99)</f>
        <v>750</v>
      </c>
      <c r="J53" s="186">
        <f>CHOOSE('Узагальнений розрахунок'!$M$1,'Вхідні дані'!$D$99,'Вхідні дані'!$G$99,'Вхідні дані'!$J$99)</f>
        <v>750</v>
      </c>
      <c r="K53" s="186">
        <f>CHOOSE('Узагальнений розрахунок'!$M$1,'Вхідні дані'!$D$99,'Вхідні дані'!$G$99,'Вхідні дані'!$J$99)</f>
        <v>750</v>
      </c>
      <c r="L53" s="186">
        <f>CHOOSE('Узагальнений розрахунок'!$M$1,'Вхідні дані'!$D$99,'Вхідні дані'!$G$99,'Вхідні дані'!$J$99)</f>
        <v>750</v>
      </c>
      <c r="M53" s="186">
        <f>CHOOSE('Узагальнений розрахунок'!$M$1,'Вхідні дані'!$D$99,'Вхідні дані'!$G$99,'Вхідні дані'!$J$99)</f>
        <v>750</v>
      </c>
      <c r="N53" s="186">
        <f>CHOOSE('Узагальнений розрахунок'!$M$1,'Вхідні дані'!$D$99,'Вхідні дані'!$G$99,'Вхідні дані'!$J$99)</f>
        <v>750</v>
      </c>
      <c r="O53" s="186">
        <f>CHOOSE('Узагальнений розрахунок'!$M$1,'Вхідні дані'!$D$99,'Вхідні дані'!$G$99,'Вхідні дані'!$J$99)</f>
        <v>750</v>
      </c>
      <c r="P53" s="187">
        <f t="shared" si="80"/>
        <v>9000</v>
      </c>
      <c r="Q53" s="187">
        <f t="shared" si="81"/>
        <v>750</v>
      </c>
      <c r="R53" s="186">
        <f>CHOOSE('Узагальнений розрахунок'!$M$1,'Вхідні дані'!$D$99,'Вхідні дані'!$G$99,'Вхідні дані'!$J$99)</f>
        <v>750</v>
      </c>
      <c r="S53" s="186">
        <f>CHOOSE('Узагальнений розрахунок'!$M$1,'Вхідні дані'!$D$99,'Вхідні дані'!$G$99,'Вхідні дані'!$J$99)</f>
        <v>750</v>
      </c>
      <c r="T53" s="186">
        <f>CHOOSE('Узагальнений розрахунок'!$M$1,'Вхідні дані'!$D$99,'Вхідні дані'!$G$99,'Вхідні дані'!$J$99)</f>
        <v>750</v>
      </c>
      <c r="U53" s="186">
        <f>CHOOSE('Узагальнений розрахунок'!$M$1,'Вхідні дані'!$D$99,'Вхідні дані'!$G$99,'Вхідні дані'!$J$99)</f>
        <v>750</v>
      </c>
      <c r="V53" s="186">
        <f>CHOOSE('Узагальнений розрахунок'!$M$1,'Вхідні дані'!$D$99,'Вхідні дані'!$G$99,'Вхідні дані'!$J$99)</f>
        <v>750</v>
      </c>
      <c r="W53" s="186">
        <f>CHOOSE('Узагальнений розрахунок'!$M$1,'Вхідні дані'!$D$99,'Вхідні дані'!$G$99,'Вхідні дані'!$J$99)</f>
        <v>750</v>
      </c>
      <c r="X53" s="186">
        <f>CHOOSE('Узагальнений розрахунок'!$M$1,'Вхідні дані'!$D$99,'Вхідні дані'!$G$99,'Вхідні дані'!$J$99)</f>
        <v>750</v>
      </c>
      <c r="Y53" s="186">
        <f>CHOOSE('Узагальнений розрахунок'!$M$1,'Вхідні дані'!$D$99,'Вхідні дані'!$G$99,'Вхідні дані'!$J$99)</f>
        <v>750</v>
      </c>
      <c r="Z53" s="186">
        <f>CHOOSE('Узагальнений розрахунок'!$M$1,'Вхідні дані'!$D$99,'Вхідні дані'!$G$99,'Вхідні дані'!$J$99)</f>
        <v>750</v>
      </c>
      <c r="AA53" s="186">
        <f>CHOOSE('Узагальнений розрахунок'!$M$1,'Вхідні дані'!$D$99,'Вхідні дані'!$G$99,'Вхідні дані'!$J$99)</f>
        <v>750</v>
      </c>
      <c r="AB53" s="186">
        <f>CHOOSE('Узагальнений розрахунок'!$M$1,'Вхідні дані'!$D$99,'Вхідні дані'!$G$99,'Вхідні дані'!$J$99)</f>
        <v>750</v>
      </c>
      <c r="AC53" s="186">
        <f>CHOOSE('Узагальнений розрахунок'!$M$1,'Вхідні дані'!$D$99,'Вхідні дані'!$G$99,'Вхідні дані'!$J$99)</f>
        <v>750</v>
      </c>
      <c r="AD53" s="187">
        <f t="shared" ref="AD53:AD58" si="105">SUM(R53:AC53)</f>
        <v>9000</v>
      </c>
      <c r="AE53" s="187">
        <f t="shared" ref="AE53:AE58" si="106">AD53/12</f>
        <v>750</v>
      </c>
      <c r="AF53" s="186">
        <f>CHOOSE('Узагальнений розрахунок'!$M$1,'Вхідні дані'!$D$99,'Вхідні дані'!$G$99,'Вхідні дані'!$J$99)</f>
        <v>750</v>
      </c>
      <c r="AG53" s="186">
        <f>CHOOSE('Узагальнений розрахунок'!$M$1,'Вхідні дані'!$D$99,'Вхідні дані'!$G$99,'Вхідні дані'!$J$99)</f>
        <v>750</v>
      </c>
      <c r="AH53" s="186">
        <f>CHOOSE('Узагальнений розрахунок'!$M$1,'Вхідні дані'!$D$99,'Вхідні дані'!$G$99,'Вхідні дані'!$J$99)</f>
        <v>750</v>
      </c>
      <c r="AI53" s="186">
        <f>CHOOSE('Узагальнений розрахунок'!$M$1,'Вхідні дані'!$D$99,'Вхідні дані'!$G$99,'Вхідні дані'!$J$99)</f>
        <v>750</v>
      </c>
      <c r="AJ53" s="186">
        <f>CHOOSE('Узагальнений розрахунок'!$M$1,'Вхідні дані'!$D$99,'Вхідні дані'!$G$99,'Вхідні дані'!$J$99)</f>
        <v>750</v>
      </c>
      <c r="AK53" s="186">
        <f>CHOOSE('Узагальнений розрахунок'!$M$1,'Вхідні дані'!$D$99,'Вхідні дані'!$G$99,'Вхідні дані'!$J$99)</f>
        <v>750</v>
      </c>
      <c r="AL53" s="186">
        <f>CHOOSE('Узагальнений розрахунок'!$M$1,'Вхідні дані'!$D$99,'Вхідні дані'!$G$99,'Вхідні дані'!$J$99)</f>
        <v>750</v>
      </c>
      <c r="AM53" s="186">
        <f>CHOOSE('Узагальнений розрахунок'!$M$1,'Вхідні дані'!$D$99,'Вхідні дані'!$G$99,'Вхідні дані'!$J$99)</f>
        <v>750</v>
      </c>
      <c r="AN53" s="186">
        <f>CHOOSE('Узагальнений розрахунок'!$M$1,'Вхідні дані'!$D$99,'Вхідні дані'!$G$99,'Вхідні дані'!$J$99)</f>
        <v>750</v>
      </c>
      <c r="AO53" s="186">
        <f>CHOOSE('Узагальнений розрахунок'!$M$1,'Вхідні дані'!$D$99,'Вхідні дані'!$G$99,'Вхідні дані'!$J$99)</f>
        <v>750</v>
      </c>
      <c r="AP53" s="186">
        <f>CHOOSE('Узагальнений розрахунок'!$M$1,'Вхідні дані'!$D$99,'Вхідні дані'!$G$99,'Вхідні дані'!$J$99)</f>
        <v>750</v>
      </c>
      <c r="AQ53" s="186">
        <f>CHOOSE('Узагальнений розрахунок'!$M$1,'Вхідні дані'!$D$99,'Вхідні дані'!$G$99,'Вхідні дані'!$J$99)</f>
        <v>750</v>
      </c>
      <c r="AR53" s="187">
        <f t="shared" ref="AR53:AR58" si="107">SUM(AF53:AQ53)</f>
        <v>9000</v>
      </c>
      <c r="AS53" s="187">
        <f t="shared" ref="AS53:AS58" si="108">AR53/12</f>
        <v>750</v>
      </c>
      <c r="AT53" s="188">
        <f t="shared" ref="AT53:AT58" si="109">P53+AD53+AR53</f>
        <v>27000</v>
      </c>
      <c r="AU53" s="189"/>
      <c r="AW53" s="163" t="s">
        <v>210</v>
      </c>
      <c r="AX53" s="163" t="s">
        <v>241</v>
      </c>
    </row>
    <row r="54" spans="1:50" s="208" customFormat="1" x14ac:dyDescent="0.4">
      <c r="A54" s="203" t="str">
        <f>'Узагальнений розрахунок'!B47</f>
        <v>Локальна реклама</v>
      </c>
      <c r="B54" s="204" t="str">
        <f>CHOOSE('Вхідні дані'!$M$1,'Вхідні дані'!$N$1,'Вхідні дані'!$N$2,'Вхідні дані'!$N$3,'Вхідні дані'!$N$4)</f>
        <v>UAH</v>
      </c>
      <c r="C54" s="205"/>
      <c r="D54" s="205">
        <f>CHOOSE('Узагальнений розрахунок'!$M$1,'Вхідні дані'!$D$100,'Вхідні дані'!$G$100,'Вхідні дані'!$J$100)</f>
        <v>0</v>
      </c>
      <c r="E54" s="205">
        <f>CHOOSE('Узагальнений розрахунок'!$M$1,'Вхідні дані'!$D$100,'Вхідні дані'!$G$100,'Вхідні дані'!$J$100)</f>
        <v>0</v>
      </c>
      <c r="F54" s="205">
        <f>CHOOSE('Узагальнений розрахунок'!$M$1,'Вхідні дані'!$D$100,'Вхідні дані'!$G$100,'Вхідні дані'!$J$100)</f>
        <v>0</v>
      </c>
      <c r="G54" s="205">
        <f>CHOOSE('Узагальнений розрахунок'!$M$1,'Вхідні дані'!$D$100,'Вхідні дані'!$G$100,'Вхідні дані'!$J$100)</f>
        <v>0</v>
      </c>
      <c r="H54" s="205">
        <f>CHOOSE('Узагальнений розрахунок'!$M$1,'Вхідні дані'!$D$100,'Вхідні дані'!$G$100,'Вхідні дані'!$J$100)</f>
        <v>0</v>
      </c>
      <c r="I54" s="205">
        <f>CHOOSE('Узагальнений розрахунок'!$M$1,'Вхідні дані'!$D$100,'Вхідні дані'!$G$100,'Вхідні дані'!$J$100)</f>
        <v>0</v>
      </c>
      <c r="J54" s="205">
        <f>CHOOSE('Узагальнений розрахунок'!$M$1,'Вхідні дані'!$D$100,'Вхідні дані'!$G$100,'Вхідні дані'!$J$100)</f>
        <v>0</v>
      </c>
      <c r="K54" s="205">
        <f>CHOOSE('Узагальнений розрахунок'!$M$1,'Вхідні дані'!$D$100,'Вхідні дані'!$G$100,'Вхідні дані'!$J$100)</f>
        <v>0</v>
      </c>
      <c r="L54" s="205">
        <f>CHOOSE('Узагальнений розрахунок'!$M$1,'Вхідні дані'!$D$100,'Вхідні дані'!$G$100,'Вхідні дані'!$J$100)</f>
        <v>0</v>
      </c>
      <c r="M54" s="205">
        <f>CHOOSE('Узагальнений розрахунок'!$M$1,'Вхідні дані'!$D$100,'Вхідні дані'!$G$100,'Вхідні дані'!$J$100)</f>
        <v>0</v>
      </c>
      <c r="N54" s="205">
        <f>CHOOSE('Узагальнений розрахунок'!$M$1,'Вхідні дані'!$D$100,'Вхідні дані'!$G$100,'Вхідні дані'!$J$100)</f>
        <v>0</v>
      </c>
      <c r="O54" s="205">
        <f>CHOOSE('Узагальнений розрахунок'!$M$1,'Вхідні дані'!$D$100,'Вхідні дані'!$G$100,'Вхідні дані'!$J$100)</f>
        <v>0</v>
      </c>
      <c r="P54" s="206">
        <f>SUM(D54:O54)</f>
        <v>0</v>
      </c>
      <c r="Q54" s="206">
        <f>P54/12</f>
        <v>0</v>
      </c>
      <c r="R54" s="205">
        <f>CHOOSE('Узагальнений розрахунок'!$M$1,'Вхідні дані'!$D$100,'Вхідні дані'!$G$100,'Вхідні дані'!$J$100)</f>
        <v>0</v>
      </c>
      <c r="S54" s="205">
        <f>CHOOSE('Узагальнений розрахунок'!$M$1,'Вхідні дані'!$D$100,'Вхідні дані'!$G$100,'Вхідні дані'!$J$100)</f>
        <v>0</v>
      </c>
      <c r="T54" s="205">
        <f>CHOOSE('Узагальнений розрахунок'!$M$1,'Вхідні дані'!$D$100,'Вхідні дані'!$G$100,'Вхідні дані'!$J$100)</f>
        <v>0</v>
      </c>
      <c r="U54" s="205">
        <f>CHOOSE('Узагальнений розрахунок'!$M$1,'Вхідні дані'!$D$100,'Вхідні дані'!$G$100,'Вхідні дані'!$J$100)</f>
        <v>0</v>
      </c>
      <c r="V54" s="205">
        <f>CHOOSE('Узагальнений розрахунок'!$M$1,'Вхідні дані'!$D$100,'Вхідні дані'!$G$100,'Вхідні дані'!$J$100)</f>
        <v>0</v>
      </c>
      <c r="W54" s="205">
        <f>CHOOSE('Узагальнений розрахунок'!$M$1,'Вхідні дані'!$D$100,'Вхідні дані'!$G$100,'Вхідні дані'!$J$100)</f>
        <v>0</v>
      </c>
      <c r="X54" s="205">
        <f>CHOOSE('Узагальнений розрахунок'!$M$1,'Вхідні дані'!$D$100,'Вхідні дані'!$G$100,'Вхідні дані'!$J$100)</f>
        <v>0</v>
      </c>
      <c r="Y54" s="205">
        <f>CHOOSE('Узагальнений розрахунок'!$M$1,'Вхідні дані'!$D$100,'Вхідні дані'!$G$100,'Вхідні дані'!$J$100)</f>
        <v>0</v>
      </c>
      <c r="Z54" s="205">
        <f>CHOOSE('Узагальнений розрахунок'!$M$1,'Вхідні дані'!$D$100,'Вхідні дані'!$G$100,'Вхідні дані'!$J$100)</f>
        <v>0</v>
      </c>
      <c r="AA54" s="205">
        <f>CHOOSE('Узагальнений розрахунок'!$M$1,'Вхідні дані'!$D$100,'Вхідні дані'!$G$100,'Вхідні дані'!$J$100)</f>
        <v>0</v>
      </c>
      <c r="AB54" s="205">
        <f>CHOOSE('Узагальнений розрахунок'!$M$1,'Вхідні дані'!$D$100,'Вхідні дані'!$G$100,'Вхідні дані'!$J$100)</f>
        <v>0</v>
      </c>
      <c r="AC54" s="205">
        <f>CHOOSE('Узагальнений розрахунок'!$M$1,'Вхідні дані'!$D$100,'Вхідні дані'!$G$100,'Вхідні дані'!$J$100)</f>
        <v>0</v>
      </c>
      <c r="AD54" s="206">
        <f>SUM(R54:AC54)</f>
        <v>0</v>
      </c>
      <c r="AE54" s="206">
        <f>AD54/12</f>
        <v>0</v>
      </c>
      <c r="AF54" s="205">
        <f>CHOOSE('Узагальнений розрахунок'!$M$1,'Вхідні дані'!$D$100,'Вхідні дані'!$G$100,'Вхідні дані'!$J$100)</f>
        <v>0</v>
      </c>
      <c r="AG54" s="205">
        <f>CHOOSE('Узагальнений розрахунок'!$M$1,'Вхідні дані'!$D$100,'Вхідні дані'!$G$100,'Вхідні дані'!$J$100)</f>
        <v>0</v>
      </c>
      <c r="AH54" s="205">
        <f>CHOOSE('Узагальнений розрахунок'!$M$1,'Вхідні дані'!$D$100,'Вхідні дані'!$G$100,'Вхідні дані'!$J$100)</f>
        <v>0</v>
      </c>
      <c r="AI54" s="205">
        <f>CHOOSE('Узагальнений розрахунок'!$M$1,'Вхідні дані'!$D$100,'Вхідні дані'!$G$100,'Вхідні дані'!$J$100)</f>
        <v>0</v>
      </c>
      <c r="AJ54" s="205">
        <f>CHOOSE('Узагальнений розрахунок'!$M$1,'Вхідні дані'!$D$100,'Вхідні дані'!$G$100,'Вхідні дані'!$J$100)</f>
        <v>0</v>
      </c>
      <c r="AK54" s="205">
        <f>CHOOSE('Узагальнений розрахунок'!$M$1,'Вхідні дані'!$D$100,'Вхідні дані'!$G$100,'Вхідні дані'!$J$100)</f>
        <v>0</v>
      </c>
      <c r="AL54" s="205">
        <f>CHOOSE('Узагальнений розрахунок'!$M$1,'Вхідні дані'!$D$100,'Вхідні дані'!$G$100,'Вхідні дані'!$J$100)</f>
        <v>0</v>
      </c>
      <c r="AM54" s="205">
        <f>CHOOSE('Узагальнений розрахунок'!$M$1,'Вхідні дані'!$D$100,'Вхідні дані'!$G$100,'Вхідні дані'!$J$100)</f>
        <v>0</v>
      </c>
      <c r="AN54" s="205">
        <f>CHOOSE('Узагальнений розрахунок'!$M$1,'Вхідні дані'!$D$100,'Вхідні дані'!$G$100,'Вхідні дані'!$J$100)</f>
        <v>0</v>
      </c>
      <c r="AO54" s="205">
        <f>CHOOSE('Узагальнений розрахунок'!$M$1,'Вхідні дані'!$D$100,'Вхідні дані'!$G$100,'Вхідні дані'!$J$100)</f>
        <v>0</v>
      </c>
      <c r="AP54" s="205">
        <f>CHOOSE('Узагальнений розрахунок'!$M$1,'Вхідні дані'!$D$100,'Вхідні дані'!$G$100,'Вхідні дані'!$J$100)</f>
        <v>0</v>
      </c>
      <c r="AQ54" s="205">
        <f>CHOOSE('Узагальнений розрахунок'!$M$1,'Вхідні дані'!$D$100,'Вхідні дані'!$G$100,'Вхідні дані'!$J$100)</f>
        <v>0</v>
      </c>
      <c r="AR54" s="206">
        <f>SUM(AF54:AQ54)</f>
        <v>0</v>
      </c>
      <c r="AS54" s="206">
        <f>AR54/12</f>
        <v>0</v>
      </c>
      <c r="AT54" s="188">
        <f>P54+AD54+AR54</f>
        <v>0</v>
      </c>
      <c r="AU54" s="207"/>
      <c r="AW54" s="163" t="s">
        <v>214</v>
      </c>
      <c r="AX54" s="163" t="s">
        <v>243</v>
      </c>
    </row>
    <row r="55" spans="1:50" s="190" customFormat="1" x14ac:dyDescent="0.4">
      <c r="A55" s="184" t="str">
        <f>'Узагальнений розрахунок'!B48</f>
        <v>Інше</v>
      </c>
      <c r="B55" s="185" t="str">
        <f>CHOOSE('Вхідні дані'!$M$1,'Вхідні дані'!$N$1,'Вхідні дані'!$N$2,'Вхідні дані'!$N$3,'Вхідні дані'!$N$4)</f>
        <v>UAH</v>
      </c>
      <c r="C55" s="186"/>
      <c r="D55" s="186">
        <f>CHOOSE('Узагальнений розрахунок'!$M$1,'Вхідні дані'!$D$101,'Вхідні дані'!$G$101,'Вхідні дані'!$J$101)</f>
        <v>0</v>
      </c>
      <c r="E55" s="186">
        <f>CHOOSE('Узагальнений розрахунок'!$M$1,'Вхідні дані'!$D$101,'Вхідні дані'!$G$101,'Вхідні дані'!$J$101)</f>
        <v>0</v>
      </c>
      <c r="F55" s="186">
        <f>CHOOSE('Узагальнений розрахунок'!$M$1,'Вхідні дані'!$D$101,'Вхідні дані'!$G$101,'Вхідні дані'!$J$101)</f>
        <v>0</v>
      </c>
      <c r="G55" s="186">
        <f>CHOOSE('Узагальнений розрахунок'!$M$1,'Вхідні дані'!$D$101,'Вхідні дані'!$G$101,'Вхідні дані'!$J$101)</f>
        <v>0</v>
      </c>
      <c r="H55" s="186">
        <f>CHOOSE('Узагальнений розрахунок'!$M$1,'Вхідні дані'!$D$101,'Вхідні дані'!$G$101,'Вхідні дані'!$J$101)</f>
        <v>0</v>
      </c>
      <c r="I55" s="186">
        <f>CHOOSE('Узагальнений розрахунок'!$M$1,'Вхідні дані'!$D$101,'Вхідні дані'!$G$101,'Вхідні дані'!$J$101)</f>
        <v>0</v>
      </c>
      <c r="J55" s="186">
        <f>CHOOSE('Узагальнений розрахунок'!$M$1,'Вхідні дані'!$D$101,'Вхідні дані'!$G$101,'Вхідні дані'!$J$101)</f>
        <v>0</v>
      </c>
      <c r="K55" s="186">
        <f>CHOOSE('Узагальнений розрахунок'!$M$1,'Вхідні дані'!$D$101,'Вхідні дані'!$G$101,'Вхідні дані'!$J$101)</f>
        <v>0</v>
      </c>
      <c r="L55" s="186">
        <f>CHOOSE('Узагальнений розрахунок'!$M$1,'Вхідні дані'!$D$101,'Вхідні дані'!$G$101,'Вхідні дані'!$J$101)</f>
        <v>0</v>
      </c>
      <c r="M55" s="186">
        <f>CHOOSE('Узагальнений розрахунок'!$M$1,'Вхідні дані'!$D$101,'Вхідні дані'!$G$101,'Вхідні дані'!$J$101)</f>
        <v>0</v>
      </c>
      <c r="N55" s="186">
        <f>CHOOSE('Узагальнений розрахунок'!$M$1,'Вхідні дані'!$D$101,'Вхідні дані'!$G$101,'Вхідні дані'!$J$101)</f>
        <v>0</v>
      </c>
      <c r="O55" s="186">
        <f>CHOOSE('Узагальнений розрахунок'!$M$1,'Вхідні дані'!$D$101,'Вхідні дані'!$G$101,'Вхідні дані'!$J$101)</f>
        <v>0</v>
      </c>
      <c r="P55" s="187">
        <f>SUM(D55:O55)</f>
        <v>0</v>
      </c>
      <c r="Q55" s="187">
        <f>P55/12</f>
        <v>0</v>
      </c>
      <c r="R55" s="186">
        <f>CHOOSE('Узагальнений розрахунок'!$M$1,'Вхідні дані'!$D$101,'Вхідні дані'!$G$101,'Вхідні дані'!$J$101)</f>
        <v>0</v>
      </c>
      <c r="S55" s="186">
        <f>CHOOSE('Узагальнений розрахунок'!$M$1,'Вхідні дані'!$D$101,'Вхідні дані'!$G$101,'Вхідні дані'!$J$101)</f>
        <v>0</v>
      </c>
      <c r="T55" s="186">
        <f>CHOOSE('Узагальнений розрахунок'!$M$1,'Вхідні дані'!$D$101,'Вхідні дані'!$G$101,'Вхідні дані'!$J$101)</f>
        <v>0</v>
      </c>
      <c r="U55" s="186">
        <f>CHOOSE('Узагальнений розрахунок'!$M$1,'Вхідні дані'!$D$101,'Вхідні дані'!$G$101,'Вхідні дані'!$J$101)</f>
        <v>0</v>
      </c>
      <c r="V55" s="186">
        <f>CHOOSE('Узагальнений розрахунок'!$M$1,'Вхідні дані'!$D$101,'Вхідні дані'!$G$101,'Вхідні дані'!$J$101)</f>
        <v>0</v>
      </c>
      <c r="W55" s="186">
        <f>CHOOSE('Узагальнений розрахунок'!$M$1,'Вхідні дані'!$D$101,'Вхідні дані'!$G$101,'Вхідні дані'!$J$101)</f>
        <v>0</v>
      </c>
      <c r="X55" s="186">
        <f>CHOOSE('Узагальнений розрахунок'!$M$1,'Вхідні дані'!$D$101,'Вхідні дані'!$G$101,'Вхідні дані'!$J$101)</f>
        <v>0</v>
      </c>
      <c r="Y55" s="186">
        <f>CHOOSE('Узагальнений розрахунок'!$M$1,'Вхідні дані'!$D$101,'Вхідні дані'!$G$101,'Вхідні дані'!$J$101)</f>
        <v>0</v>
      </c>
      <c r="Z55" s="186">
        <f>CHOOSE('Узагальнений розрахунок'!$M$1,'Вхідні дані'!$D$101,'Вхідні дані'!$G$101,'Вхідні дані'!$J$101)</f>
        <v>0</v>
      </c>
      <c r="AA55" s="186">
        <f>CHOOSE('Узагальнений розрахунок'!$M$1,'Вхідні дані'!$D$101,'Вхідні дані'!$G$101,'Вхідні дані'!$J$101)</f>
        <v>0</v>
      </c>
      <c r="AB55" s="186">
        <f>CHOOSE('Узагальнений розрахунок'!$M$1,'Вхідні дані'!$D$101,'Вхідні дані'!$G$101,'Вхідні дані'!$J$101)</f>
        <v>0</v>
      </c>
      <c r="AC55" s="186">
        <f>CHOOSE('Узагальнений розрахунок'!$M$1,'Вхідні дані'!$D$101,'Вхідні дані'!$G$101,'Вхідні дані'!$J$101)</f>
        <v>0</v>
      </c>
      <c r="AD55" s="187">
        <f>SUM(R55:AC55)</f>
        <v>0</v>
      </c>
      <c r="AE55" s="187">
        <f>AD55/12</f>
        <v>0</v>
      </c>
      <c r="AF55" s="186">
        <f>CHOOSE('Узагальнений розрахунок'!$M$1,'Вхідні дані'!$D$101,'Вхідні дані'!$G$101,'Вхідні дані'!$J$101)</f>
        <v>0</v>
      </c>
      <c r="AG55" s="186">
        <f>CHOOSE('Узагальнений розрахунок'!$M$1,'Вхідні дані'!$D$101,'Вхідні дані'!$G$101,'Вхідні дані'!$J$101)</f>
        <v>0</v>
      </c>
      <c r="AH55" s="186">
        <f>CHOOSE('Узагальнений розрахунок'!$M$1,'Вхідні дані'!$D$101,'Вхідні дані'!$G$101,'Вхідні дані'!$J$101)</f>
        <v>0</v>
      </c>
      <c r="AI55" s="186">
        <f>CHOOSE('Узагальнений розрахунок'!$M$1,'Вхідні дані'!$D$101,'Вхідні дані'!$G$101,'Вхідні дані'!$J$101)</f>
        <v>0</v>
      </c>
      <c r="AJ55" s="186">
        <f>CHOOSE('Узагальнений розрахунок'!$M$1,'Вхідні дані'!$D$101,'Вхідні дані'!$G$101,'Вхідні дані'!$J$101)</f>
        <v>0</v>
      </c>
      <c r="AK55" s="186">
        <f>CHOOSE('Узагальнений розрахунок'!$M$1,'Вхідні дані'!$D$101,'Вхідні дані'!$G$101,'Вхідні дані'!$J$101)</f>
        <v>0</v>
      </c>
      <c r="AL55" s="186">
        <f>CHOOSE('Узагальнений розрахунок'!$M$1,'Вхідні дані'!$D$101,'Вхідні дані'!$G$101,'Вхідні дані'!$J$101)</f>
        <v>0</v>
      </c>
      <c r="AM55" s="186">
        <f>CHOOSE('Узагальнений розрахунок'!$M$1,'Вхідні дані'!$D$101,'Вхідні дані'!$G$101,'Вхідні дані'!$J$101)</f>
        <v>0</v>
      </c>
      <c r="AN55" s="186">
        <f>CHOOSE('Узагальнений розрахунок'!$M$1,'Вхідні дані'!$D$101,'Вхідні дані'!$G$101,'Вхідні дані'!$J$101)</f>
        <v>0</v>
      </c>
      <c r="AO55" s="186">
        <f>CHOOSE('Узагальнений розрахунок'!$M$1,'Вхідні дані'!$D$101,'Вхідні дані'!$G$101,'Вхідні дані'!$J$101)</f>
        <v>0</v>
      </c>
      <c r="AP55" s="186">
        <f>CHOOSE('Узагальнений розрахунок'!$M$1,'Вхідні дані'!$D$101,'Вхідні дані'!$G$101,'Вхідні дані'!$J$101)</f>
        <v>0</v>
      </c>
      <c r="AQ55" s="186">
        <f>CHOOSE('Узагальнений розрахунок'!$M$1,'Вхідні дані'!$D$101,'Вхідні дані'!$G$101,'Вхідні дані'!$J$101)</f>
        <v>0</v>
      </c>
      <c r="AR55" s="187">
        <f>SUM(AF55:AQ55)</f>
        <v>0</v>
      </c>
      <c r="AS55" s="187">
        <f>AR55/12</f>
        <v>0</v>
      </c>
      <c r="AT55" s="188">
        <f>P55+AD55+AR55</f>
        <v>0</v>
      </c>
      <c r="AU55" s="189"/>
      <c r="AW55" s="163" t="s">
        <v>11</v>
      </c>
      <c r="AX55" s="163" t="s">
        <v>244</v>
      </c>
    </row>
    <row r="56" spans="1:50" s="208" customFormat="1" x14ac:dyDescent="0.4">
      <c r="A56" s="203" t="str">
        <f>'Узагальнений розрахунок'!B49</f>
        <v>Банковське обслуговування</v>
      </c>
      <c r="B56" s="204" t="str">
        <f>CHOOSE('Вхідні дані'!$M$1,'Вхідні дані'!$N$1,'Вхідні дані'!$N$2,'Вхідні дані'!$N$3,'Вхідні дані'!$N$4)</f>
        <v>UAH</v>
      </c>
      <c r="C56" s="205"/>
      <c r="D56" s="205">
        <f>CHOOSE('Узагальнений розрахунок'!$M$1,D18*'Вхідні дані'!$C$103*'Вхідні дані'!$C$104+'Вхідні дані'!$D$102,D18*'Вхідні дані'!$F$103*'Вхідні дані'!$F$104+'Вхідні дані'!$G$102,D18*'Вхідні дані'!$I$103*'Вхідні дані'!$I$104+'Вхідні дані'!$J$102)</f>
        <v>772</v>
      </c>
      <c r="E56" s="205">
        <f>CHOOSE('Узагальнений розрахунок'!$M$1,E18*'Вхідні дані'!$C$103*'Вхідні дані'!$C$104+'Вхідні дані'!$D$102,E18*'Вхідні дані'!$F$103*'Вхідні дані'!$F$104+'Вхідні дані'!$G$102,E18*'Вхідні дані'!$I$103*'Вхідні дані'!$I$104+'Вхідні дані'!$J$102)</f>
        <v>820</v>
      </c>
      <c r="F56" s="205">
        <f>CHOOSE('Узагальнений розрахунок'!$M$1,F18*'Вхідні дані'!$C$103*'Вхідні дані'!$C$104+'Вхідні дані'!$D$102,F18*'Вхідні дані'!$F$103*'Вхідні дані'!$F$104+'Вхідні дані'!$G$102,F18*'Вхідні дані'!$I$103*'Вхідні дані'!$I$104+'Вхідні дані'!$J$102)</f>
        <v>865</v>
      </c>
      <c r="G56" s="205">
        <f>CHOOSE('Узагальнений розрахунок'!$M$1,G18*'Вхідні дані'!$C$103*'Вхідні дані'!$C$104+'Вхідні дані'!$D$102,G18*'Вхідні дані'!$F$103*'Вхідні дані'!$F$104+'Вхідні дані'!$G$102,G18*'Вхідні дані'!$I$103*'Вхідні дані'!$I$104+'Вхідні дані'!$J$102)</f>
        <v>850</v>
      </c>
      <c r="H56" s="205">
        <f>CHOOSE('Узагальнений розрахунок'!$M$1,H18*'Вхідні дані'!$C$103*'Вхідні дані'!$C$104+'Вхідні дані'!$D$102,H18*'Вхідні дані'!$F$103*'Вхідні дані'!$F$104+'Вхідні дані'!$G$102,H18*'Вхідні дані'!$I$103*'Вхідні дані'!$I$104+'Вхідні дані'!$J$102)</f>
        <v>865</v>
      </c>
      <c r="I56" s="205">
        <f>CHOOSE('Узагальнений розрахунок'!$M$1,I18*'Вхідні дані'!$C$103*'Вхідні дані'!$C$104+'Вхідні дані'!$D$102,I18*'Вхідні дані'!$F$103*'Вхідні дані'!$F$104+'Вхідні дані'!$G$102,I18*'Вхідні дані'!$I$103*'Вхідні дані'!$I$104+'Вхідні дані'!$J$102)</f>
        <v>850</v>
      </c>
      <c r="J56" s="205">
        <f>CHOOSE('Узагальнений розрахунок'!$M$1,J18*'Вхідні дані'!$C$103*'Вхідні дані'!$C$104+'Вхідні дані'!$D$102,J18*'Вхідні дані'!$F$103*'Вхідні дані'!$F$104+'Вхідні дані'!$G$102,J18*'Вхідні дані'!$I$103*'Вхідні дані'!$I$104+'Вхідні дані'!$J$102)</f>
        <v>865</v>
      </c>
      <c r="K56" s="205">
        <f>CHOOSE('Узагальнений розрахунок'!$M$1,K18*'Вхідні дані'!$C$103*'Вхідні дані'!$C$104+'Вхідні дані'!$D$102,K18*'Вхідні дані'!$F$103*'Вхідні дані'!$F$104+'Вхідні дані'!$G$102,K18*'Вхідні дані'!$I$103*'Вхідні дані'!$I$104+'Вхідні дані'!$J$102)</f>
        <v>865</v>
      </c>
      <c r="L56" s="205">
        <f>CHOOSE('Узагальнений розрахунок'!$M$1,L18*'Вхідні дані'!$C$103*'Вхідні дані'!$C$104+'Вхідні дані'!$D$102,L18*'Вхідні дані'!$F$103*'Вхідні дані'!$F$104+'Вхідні дані'!$G$102,L18*'Вхідні дані'!$I$103*'Вхідні дані'!$I$104+'Вхідні дані'!$J$102)</f>
        <v>850</v>
      </c>
      <c r="M56" s="205">
        <f>CHOOSE('Узагальнений розрахунок'!$M$1,M18*'Вхідні дані'!$C$103*'Вхідні дані'!$C$104+'Вхідні дані'!$D$102,M18*'Вхідні дані'!$F$103*'Вхідні дані'!$F$104+'Вхідні дані'!$G$102,M18*'Вхідні дані'!$I$103*'Вхідні дані'!$I$104+'Вхідні дані'!$J$102)</f>
        <v>865</v>
      </c>
      <c r="N56" s="205">
        <f>CHOOSE('Узагальнений розрахунок'!$M$1,N18*'Вхідні дані'!$C$103*'Вхідні дані'!$C$104+'Вхідні дані'!$D$102,N18*'Вхідні дані'!$F$103*'Вхідні дані'!$F$104+'Вхідні дані'!$G$102,N18*'Вхідні дані'!$I$103*'Вхідні дані'!$I$104+'Вхідні дані'!$J$102)</f>
        <v>850</v>
      </c>
      <c r="O56" s="205">
        <f>CHOOSE('Узагальнений розрахунок'!$M$1,O18*'Вхідні дані'!$C$103*'Вхідні дані'!$C$104+'Вхідні дані'!$D$102,O18*'Вхідні дані'!$F$103*'Вхідні дані'!$F$104+'Вхідні дані'!$G$102,O18*'Вхідні дані'!$I$103*'Вхідні дані'!$I$104+'Вхідні дані'!$J$102)</f>
        <v>865</v>
      </c>
      <c r="P56" s="206">
        <f t="shared" si="80"/>
        <v>10182</v>
      </c>
      <c r="Q56" s="206">
        <f t="shared" si="81"/>
        <v>848.5</v>
      </c>
      <c r="R56" s="205">
        <f>CHOOSE('Узагальнений розрахунок'!$M$1,R18*'Вхідні дані'!$C$103*'Вхідні дані'!$C$104+'Вхідні дані'!$D$102,R18*'Вхідні дані'!$F$103*'Вхідні дані'!$F$104+'Вхідні дані'!$G$102,R18*'Вхідні дані'!$I$103*'Вхідні дані'!$I$104+'Вхідні дані'!$J$102)</f>
        <v>958</v>
      </c>
      <c r="S56" s="205">
        <f>CHOOSE('Узагальнений розрахунок'!$M$1,S18*'Вхідні дані'!$C$103*'Вхідні дані'!$C$104+'Вхідні дані'!$D$102,S18*'Вхідні дані'!$F$103*'Вхідні дані'!$F$104+'Вхідні дані'!$G$102,S18*'Вхідні дані'!$I$103*'Вхідні дані'!$I$104+'Вхідні дані'!$J$102)</f>
        <v>904</v>
      </c>
      <c r="T56" s="205">
        <f>CHOOSE('Узагальнений розрахунок'!$M$1,T18*'Вхідні дані'!$C$103*'Вхідні дані'!$C$104+'Вхідні дані'!$D$102,T18*'Вхідні дані'!$F$103*'Вхідні дані'!$F$104+'Вхідні дані'!$G$102,T18*'Вхідні дані'!$I$103*'Вхідні дані'!$I$104+'Вхідні дані'!$J$102)</f>
        <v>958</v>
      </c>
      <c r="U56" s="205">
        <f>CHOOSE('Узагальнений розрахунок'!$M$1,U18*'Вхідні дані'!$C$103*'Вхідні дані'!$C$104+'Вхідні дані'!$D$102,U18*'Вхідні дані'!$F$103*'Вхідні дані'!$F$104+'Вхідні дані'!$G$102,U18*'Вхідні дані'!$I$103*'Вхідні дані'!$I$104+'Вхідні дані'!$J$102)</f>
        <v>940</v>
      </c>
      <c r="V56" s="205">
        <f>CHOOSE('Узагальнений розрахунок'!$M$1,V18*'Вхідні дані'!$C$103*'Вхідні дані'!$C$104+'Вхідні дані'!$D$102,V18*'Вхідні дані'!$F$103*'Вхідні дані'!$F$104+'Вхідні дані'!$G$102,V18*'Вхідні дані'!$I$103*'Вхідні дані'!$I$104+'Вхідні дані'!$J$102)</f>
        <v>958</v>
      </c>
      <c r="W56" s="205">
        <f>CHOOSE('Узагальнений розрахунок'!$M$1,W18*'Вхідні дані'!$C$103*'Вхідні дані'!$C$104+'Вхідні дані'!$D$102,W18*'Вхідні дані'!$F$103*'Вхідні дані'!$F$104+'Вхідні дані'!$G$102,W18*'Вхідні дані'!$I$103*'Вхідні дані'!$I$104+'Вхідні дані'!$J$102)</f>
        <v>940</v>
      </c>
      <c r="X56" s="205">
        <f>CHOOSE('Узагальнений розрахунок'!$M$1,X18*'Вхідні дані'!$C$103*'Вхідні дані'!$C$104+'Вхідні дані'!$D$102,X18*'Вхідні дані'!$F$103*'Вхідні дані'!$F$104+'Вхідні дані'!$G$102,X18*'Вхідні дані'!$I$103*'Вхідні дані'!$I$104+'Вхідні дані'!$J$102)</f>
        <v>958</v>
      </c>
      <c r="Y56" s="205">
        <f>CHOOSE('Узагальнений розрахунок'!$M$1,Y18*'Вхідні дані'!$C$103*'Вхідні дані'!$C$104+'Вхідні дані'!$D$102,Y18*'Вхідні дані'!$F$103*'Вхідні дані'!$F$104+'Вхідні дані'!$G$102,Y18*'Вхідні дані'!$I$103*'Вхідні дані'!$I$104+'Вхідні дані'!$J$102)</f>
        <v>958</v>
      </c>
      <c r="Z56" s="205">
        <f>CHOOSE('Узагальнений розрахунок'!$M$1,Z18*'Вхідні дані'!$C$103*'Вхідні дані'!$C$104+'Вхідні дані'!$D$102,Z18*'Вхідні дані'!$F$103*'Вхідні дані'!$F$104+'Вхідні дані'!$G$102,Z18*'Вхідні дані'!$I$103*'Вхідні дані'!$I$104+'Вхідні дані'!$J$102)</f>
        <v>940</v>
      </c>
      <c r="AA56" s="205">
        <f>CHOOSE('Узагальнений розрахунок'!$M$1,AA18*'Вхідні дані'!$C$103*'Вхідні дані'!$C$104+'Вхідні дані'!$D$102,AA18*'Вхідні дані'!$F$103*'Вхідні дані'!$F$104+'Вхідні дані'!$G$102,AA18*'Вхідні дані'!$I$103*'Вхідні дані'!$I$104+'Вхідні дані'!$J$102)</f>
        <v>958</v>
      </c>
      <c r="AB56" s="205">
        <f>CHOOSE('Узагальнений розрахунок'!$M$1,AB18*'Вхідні дані'!$C$103*'Вхідні дані'!$C$104+'Вхідні дані'!$D$102,AB18*'Вхідні дані'!$F$103*'Вхідні дані'!$F$104+'Вхідні дані'!$G$102,AB18*'Вхідні дані'!$I$103*'Вхідні дані'!$I$104+'Вхідні дані'!$J$102)</f>
        <v>940</v>
      </c>
      <c r="AC56" s="205">
        <f>CHOOSE('Узагальнений розрахунок'!$M$1,AC18*'Вхідні дані'!$C$103*'Вхідні дані'!$C$104+'Вхідні дані'!$D$102,AC18*'Вхідні дані'!$F$103*'Вхідні дані'!$F$104+'Вхідні дані'!$G$102,AC18*'Вхідні дані'!$I$103*'Вхідні дані'!$I$104+'Вхідні дані'!$J$102)</f>
        <v>958</v>
      </c>
      <c r="AD56" s="206">
        <f t="shared" si="105"/>
        <v>11370</v>
      </c>
      <c r="AE56" s="206">
        <f t="shared" si="106"/>
        <v>947.5</v>
      </c>
      <c r="AF56" s="205">
        <f>CHOOSE('Узагальнений розрахунок'!$M$1,AF18*'Вхідні дані'!$C$103*'Вхідні дані'!$C$104+'Вхідні дані'!$D$102,AF18*'Вхідні дані'!$F$103*'Вхідні дані'!$F$104+'Вхідні дані'!$G$102,AF18*'Вхідні дані'!$I$103*'Вхідні дані'!$I$104+'Вхідні дані'!$J$102)</f>
        <v>1004.5</v>
      </c>
      <c r="AG56" s="205">
        <f>CHOOSE('Узагальнений розрахунок'!$M$1,AG18*'Вхідні дані'!$C$103*'Вхідні дані'!$C$104+'Вхідні дані'!$D$102,AG18*'Вхідні дані'!$F$103*'Вхідні дані'!$F$104+'Вхідні дані'!$G$102,AG18*'Вхідні дані'!$I$103*'Вхідні дані'!$I$104+'Вхідні дані'!$J$102)</f>
        <v>946</v>
      </c>
      <c r="AH56" s="205">
        <f>CHOOSE('Узагальнений розрахунок'!$M$1,AH18*'Вхідні дані'!$C$103*'Вхідні дані'!$C$104+'Вхідні дані'!$D$102,AH18*'Вхідні дані'!$F$103*'Вхідні дані'!$F$104+'Вхідні дані'!$G$102,AH18*'Вхідні дані'!$I$103*'Вхідні дані'!$I$104+'Вхідні дані'!$J$102)</f>
        <v>1004.5</v>
      </c>
      <c r="AI56" s="205">
        <f>CHOOSE('Узагальнений розрахунок'!$M$1,AI18*'Вхідні дані'!$C$103*'Вхідні дані'!$C$104+'Вхідні дані'!$D$102,AI18*'Вхідні дані'!$F$103*'Вхідні дані'!$F$104+'Вхідні дані'!$G$102,AI18*'Вхідні дані'!$I$103*'Вхідні дані'!$I$104+'Вхідні дані'!$J$102)</f>
        <v>985</v>
      </c>
      <c r="AJ56" s="205">
        <f>CHOOSE('Узагальнений розрахунок'!$M$1,AJ18*'Вхідні дані'!$C$103*'Вхідні дані'!$C$104+'Вхідні дані'!$D$102,AJ18*'Вхідні дані'!$F$103*'Вхідні дані'!$F$104+'Вхідні дані'!$G$102,AJ18*'Вхідні дані'!$I$103*'Вхідні дані'!$I$104+'Вхідні дані'!$J$102)</f>
        <v>1004.5</v>
      </c>
      <c r="AK56" s="205">
        <f>CHOOSE('Узагальнений розрахунок'!$M$1,AK18*'Вхідні дані'!$C$103*'Вхідні дані'!$C$104+'Вхідні дані'!$D$102,AK18*'Вхідні дані'!$F$103*'Вхідні дані'!$F$104+'Вхідні дані'!$G$102,AK18*'Вхідні дані'!$I$103*'Вхідні дані'!$I$104+'Вхідні дані'!$J$102)</f>
        <v>985</v>
      </c>
      <c r="AL56" s="205">
        <f>CHOOSE('Узагальнений розрахунок'!$M$1,AL18*'Вхідні дані'!$C$103*'Вхідні дані'!$C$104+'Вхідні дані'!$D$102,AL18*'Вхідні дані'!$F$103*'Вхідні дані'!$F$104+'Вхідні дані'!$G$102,AL18*'Вхідні дані'!$I$103*'Вхідні дані'!$I$104+'Вхідні дані'!$J$102)</f>
        <v>1004.5</v>
      </c>
      <c r="AM56" s="205">
        <f>CHOOSE('Узагальнений розрахунок'!$M$1,AM18*'Вхідні дані'!$C$103*'Вхідні дані'!$C$104+'Вхідні дані'!$D$102,AM18*'Вхідні дані'!$F$103*'Вхідні дані'!$F$104+'Вхідні дані'!$G$102,AM18*'Вхідні дані'!$I$103*'Вхідні дані'!$I$104+'Вхідні дані'!$J$102)</f>
        <v>1004.5</v>
      </c>
      <c r="AN56" s="205">
        <f>CHOOSE('Узагальнений розрахунок'!$M$1,AN18*'Вхідні дані'!$C$103*'Вхідні дані'!$C$104+'Вхідні дані'!$D$102,AN18*'Вхідні дані'!$F$103*'Вхідні дані'!$F$104+'Вхідні дані'!$G$102,AN18*'Вхідні дані'!$I$103*'Вхідні дані'!$I$104+'Вхідні дані'!$J$102)</f>
        <v>985</v>
      </c>
      <c r="AO56" s="205">
        <f>CHOOSE('Узагальнений розрахунок'!$M$1,AO18*'Вхідні дані'!$C$103*'Вхідні дані'!$C$104+'Вхідні дані'!$D$102,AO18*'Вхідні дані'!$F$103*'Вхідні дані'!$F$104+'Вхідні дані'!$G$102,AO18*'Вхідні дані'!$I$103*'Вхідні дані'!$I$104+'Вхідні дані'!$J$102)</f>
        <v>1004.5</v>
      </c>
      <c r="AP56" s="205">
        <f>CHOOSE('Узагальнений розрахунок'!$M$1,AP18*'Вхідні дані'!$C$103*'Вхідні дані'!$C$104+'Вхідні дані'!$D$102,AP18*'Вхідні дані'!$F$103*'Вхідні дані'!$F$104+'Вхідні дані'!$G$102,AP18*'Вхідні дані'!$I$103*'Вхідні дані'!$I$104+'Вхідні дані'!$J$102)</f>
        <v>985</v>
      </c>
      <c r="AQ56" s="205">
        <f>CHOOSE('Узагальнений розрахунок'!$M$1,AQ18*'Вхідні дані'!$C$103*'Вхідні дані'!$C$104+'Вхідні дані'!$D$102,AQ18*'Вхідні дані'!$F$103*'Вхідні дані'!$F$104+'Вхідні дані'!$G$102,AQ18*'Вхідні дані'!$I$103*'Вхідні дані'!$I$104+'Вхідні дані'!$J$102)</f>
        <v>1004.5</v>
      </c>
      <c r="AR56" s="206">
        <f t="shared" si="107"/>
        <v>11917.5</v>
      </c>
      <c r="AS56" s="206">
        <f t="shared" si="108"/>
        <v>993.125</v>
      </c>
      <c r="AT56" s="188">
        <f t="shared" si="109"/>
        <v>33469.5</v>
      </c>
      <c r="AU56" s="207"/>
      <c r="AW56" s="163" t="s">
        <v>211</v>
      </c>
      <c r="AX56" s="163" t="s">
        <v>242</v>
      </c>
    </row>
    <row r="57" spans="1:50" s="190" customFormat="1" x14ac:dyDescent="0.4">
      <c r="A57" s="184" t="str">
        <f>'Узагальнений розрахунок'!B50</f>
        <v>Податки на зарплату співробітників</v>
      </c>
      <c r="B57" s="185" t="str">
        <f>CHOOSE('Вхідні дані'!$M$1,'Вхідні дані'!$N$1,'Вхідні дані'!$N$2,'Вхідні дані'!$N$3,'Вхідні дані'!$N$4)</f>
        <v>UAH</v>
      </c>
      <c r="C57" s="186"/>
      <c r="D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E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F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G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H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I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J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K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L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M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N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O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P57" s="187">
        <f t="shared" si="80"/>
        <v>100800</v>
      </c>
      <c r="Q57" s="187">
        <f t="shared" si="81"/>
        <v>8400</v>
      </c>
      <c r="R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S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T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U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V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W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X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Y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Z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A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B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C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D57" s="187">
        <f t="shared" ref="AD57" si="110">SUM(R57:AC57)</f>
        <v>100800</v>
      </c>
      <c r="AE57" s="187">
        <f t="shared" ref="AE57" si="111">AD57/12</f>
        <v>8400</v>
      </c>
      <c r="AF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G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H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I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J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K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L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M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N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O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P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Q57" s="186">
        <f>CHOOSE('Узагальнений розрахунок'!$M$1,'Вхідні дані'!$D$105*'Вхідні дані'!$E$63,'Вхідні дані'!$D$105*'Вхідні дані'!$E$71,'Вхідні дані'!$G$105*'Вхідні дані'!$E$79)</f>
        <v>8400</v>
      </c>
      <c r="AR57" s="187">
        <f t="shared" ref="AR57" si="112">SUM(AF57:AQ57)</f>
        <v>100800</v>
      </c>
      <c r="AS57" s="187">
        <f t="shared" ref="AS57" si="113">AR57/12</f>
        <v>8400</v>
      </c>
      <c r="AT57" s="188">
        <f t="shared" ref="AT57" si="114">P57+AD57+AR57</f>
        <v>302400</v>
      </c>
      <c r="AU57" s="189"/>
      <c r="AW57" s="163" t="s">
        <v>212</v>
      </c>
      <c r="AX57" s="163" t="s">
        <v>276</v>
      </c>
    </row>
    <row r="58" spans="1:50" s="208" customFormat="1" x14ac:dyDescent="0.4">
      <c r="A58" s="203" t="str">
        <f>'Узагальнений розрахунок'!B51</f>
        <v>Податки</v>
      </c>
      <c r="B58" s="204" t="str">
        <f>CHOOSE('Вхідні дані'!$M$1,'Вхідні дані'!$N$1,'Вхідні дані'!$N$2,'Вхідні дані'!$N$3,'Вхідні дані'!$N$4)</f>
        <v>UAH</v>
      </c>
      <c r="C58" s="205"/>
      <c r="D58" s="205">
        <f>CHOOSE('Узагальнений розрахунок'!$O$1,CHOOSE('Узагальнений розрахунок'!$M$1,'Вхідні дані'!$C$106,'Вхідні дані'!$F$106,'Вхідні дані'!$I$106)*D18,IF(D38&gt;0,CHOOSE('Узагальнений розрахунок'!$M$1,'Вхідні дані'!$C$107,'Вхідні дані'!$F$107,'Вхідні дані'!$I$107)*D38,0),D13*CHOOSE('Узагальнений розрахунок'!$M$1,'Вхідні дані'!$D$108,'Вхідні дані'!$G$108,'Вхідні дані'!$J$108))</f>
        <v>2100</v>
      </c>
      <c r="E58" s="205">
        <f>CHOOSE('Узагальнений розрахунок'!$O$1,CHOOSE('Узагальнений розрахунок'!$M$1,'Вхідні дані'!$C$106,'Вхідні дані'!$F$106,'Вхідні дані'!$I$106)*E18,IF(E38&gt;0,CHOOSE('Узагальнений розрахунок'!$M$1,'Вхідні дані'!$C$107,'Вхідні дані'!$F$107,'Вхідні дані'!$I$107)*E38,0),E13*CHOOSE('Узагальнений розрахунок'!$M$1,'Вхідні дані'!$D$108,'Вхідні дані'!$G$108,'Вхідні дані'!$J$108))</f>
        <v>2100</v>
      </c>
      <c r="F58" s="205">
        <f>CHOOSE('Узагальнений розрахунок'!$O$1,CHOOSE('Узагальнений розрахунок'!$M$1,'Вхідні дані'!$C$106,'Вхідні дані'!$F$106,'Вхідні дані'!$I$106)*F18,IF(F38&gt;0,CHOOSE('Узагальнений розрахунок'!$M$1,'Вхідні дані'!$C$107,'Вхідні дані'!$F$107,'Вхідні дані'!$I$107)*F38,0),F13*CHOOSE('Узагальнений розрахунок'!$M$1,'Вхідні дані'!$D$108,'Вхідні дані'!$G$108,'Вхідні дані'!$J$108))</f>
        <v>2100</v>
      </c>
      <c r="G58" s="205">
        <f>CHOOSE('Узагальнений розрахунок'!$O$1,CHOOSE('Узагальнений розрахунок'!$M$1,'Вхідні дані'!$C$106,'Вхідні дані'!$F$106,'Вхідні дані'!$I$106)*G18,IF(G38&gt;0,CHOOSE('Узагальнений розрахунок'!$M$1,'Вхідні дані'!$C$107,'Вхідні дані'!$F$107,'Вхідні дані'!$I$107)*G38,0),G13*CHOOSE('Узагальнений розрахунок'!$M$1,'Вхідні дані'!$D$108,'Вхідні дані'!$G$108,'Вхідні дані'!$J$108))</f>
        <v>2100</v>
      </c>
      <c r="H58" s="205">
        <f>CHOOSE('Узагальнений розрахунок'!$O$1,CHOOSE('Узагальнений розрахунок'!$M$1,'Вхідні дані'!$C$106,'Вхідні дані'!$F$106,'Вхідні дані'!$I$106)*H18,IF(H38&gt;0,CHOOSE('Узагальнений розрахунок'!$M$1,'Вхідні дані'!$C$107,'Вхідні дані'!$F$107,'Вхідні дані'!$I$107)*H38,0),H13*CHOOSE('Узагальнений розрахунок'!$M$1,'Вхідні дані'!$D$108,'Вхідні дані'!$G$108,'Вхідні дані'!$J$108))</f>
        <v>2100</v>
      </c>
      <c r="I58" s="205">
        <f>CHOOSE('Узагальнений розрахунок'!$O$1,CHOOSE('Узагальнений розрахунок'!$M$1,'Вхідні дані'!$C$106,'Вхідні дані'!$F$106,'Вхідні дані'!$I$106)*I18,IF(I38&gt;0,CHOOSE('Узагальнений розрахунок'!$M$1,'Вхідні дані'!$C$107,'Вхідні дані'!$F$107,'Вхідні дані'!$I$107)*I38,0),I13*CHOOSE('Узагальнений розрахунок'!$M$1,'Вхідні дані'!$D$108,'Вхідні дані'!$G$108,'Вхідні дані'!$J$108))</f>
        <v>2100</v>
      </c>
      <c r="J58" s="205">
        <f>CHOOSE('Узагальнений розрахунок'!$O$1,CHOOSE('Узагальнений розрахунок'!$M$1,'Вхідні дані'!$C$106,'Вхідні дані'!$F$106,'Вхідні дані'!$I$106)*J18,IF(J38&gt;0,CHOOSE('Узагальнений розрахунок'!$M$1,'Вхідні дані'!$C$107,'Вхідні дані'!$F$107,'Вхідні дані'!$I$107)*J38,0),J13*CHOOSE('Узагальнений розрахунок'!$M$1,'Вхідні дані'!$D$108,'Вхідні дані'!$G$108,'Вхідні дані'!$J$108))</f>
        <v>2100</v>
      </c>
      <c r="K58" s="205">
        <f>CHOOSE('Узагальнений розрахунок'!$O$1,CHOOSE('Узагальнений розрахунок'!$M$1,'Вхідні дані'!$C$106,'Вхідні дані'!$F$106,'Вхідні дані'!$I$106)*K18,IF(K38&gt;0,CHOOSE('Узагальнений розрахунок'!$M$1,'Вхідні дані'!$C$107,'Вхідні дані'!$F$107,'Вхідні дані'!$I$107)*K38,0),K13*CHOOSE('Узагальнений розрахунок'!$M$1,'Вхідні дані'!$D$108,'Вхідні дані'!$G$108,'Вхідні дані'!$J$108))</f>
        <v>2100</v>
      </c>
      <c r="L58" s="205">
        <f>CHOOSE('Узагальнений розрахунок'!$O$1,CHOOSE('Узагальнений розрахунок'!$M$1,'Вхідні дані'!$C$106,'Вхідні дані'!$F$106,'Вхідні дані'!$I$106)*L18,IF(L38&gt;0,CHOOSE('Узагальнений розрахунок'!$M$1,'Вхідні дані'!$C$107,'Вхідні дані'!$F$107,'Вхідні дані'!$I$107)*L38,0),L13*CHOOSE('Узагальнений розрахунок'!$M$1,'Вхідні дані'!$D$108,'Вхідні дані'!$G$108,'Вхідні дані'!$J$108))</f>
        <v>2100</v>
      </c>
      <c r="M58" s="205">
        <f>CHOOSE('Узагальнений розрахунок'!$O$1,CHOOSE('Узагальнений розрахунок'!$M$1,'Вхідні дані'!$C$106,'Вхідні дані'!$F$106,'Вхідні дані'!$I$106)*M18,IF(M38&gt;0,CHOOSE('Узагальнений розрахунок'!$M$1,'Вхідні дані'!$C$107,'Вхідні дані'!$F$107,'Вхідні дані'!$I$107)*M38,0),M13*CHOOSE('Узагальнений розрахунок'!$M$1,'Вхідні дані'!$D$108,'Вхідні дані'!$G$108,'Вхідні дані'!$J$108))</f>
        <v>2100</v>
      </c>
      <c r="N58" s="205">
        <f>CHOOSE('Узагальнений розрахунок'!$O$1,CHOOSE('Узагальнений розрахунок'!$M$1,'Вхідні дані'!$C$106,'Вхідні дані'!$F$106,'Вхідні дані'!$I$106)*N18,IF(N38&gt;0,CHOOSE('Узагальнений розрахунок'!$M$1,'Вхідні дані'!$C$107,'Вхідні дані'!$F$107,'Вхідні дані'!$I$107)*N38,0),N13*CHOOSE('Узагальнений розрахунок'!$M$1,'Вхідні дані'!$D$108,'Вхідні дані'!$G$108,'Вхідні дані'!$J$108))</f>
        <v>2100</v>
      </c>
      <c r="O58" s="205">
        <f>CHOOSE('Узагальнений розрахунок'!$O$1,CHOOSE('Узагальнений розрахунок'!$M$1,'Вхідні дані'!$C$106,'Вхідні дані'!$F$106,'Вхідні дані'!$I$106)*O18,IF(O38&gt;0,CHOOSE('Узагальнений розрахунок'!$M$1,'Вхідні дані'!$C$107,'Вхідні дані'!$F$107,'Вхідні дані'!$I$107)*O38,0),O13*CHOOSE('Узагальнений розрахунок'!$M$1,'Вхідні дані'!$D$108,'Вхідні дані'!$G$108,'Вхідні дані'!$J$108))</f>
        <v>2100</v>
      </c>
      <c r="P58" s="206">
        <f t="shared" si="80"/>
        <v>25200</v>
      </c>
      <c r="Q58" s="206">
        <f t="shared" si="81"/>
        <v>2100</v>
      </c>
      <c r="R58" s="205">
        <f>CHOOSE('Узагальнений розрахунок'!$O$1,CHOOSE('Узагальнений розрахунок'!$M$1,'Вхідні дані'!$C$106,'Вхідні дані'!$F$106,'Вхідні дані'!$I$106)*R18,IF(R38&gt;0,CHOOSE('Узагальнений розрахунок'!$M$1,'Вхідні дані'!$C$107,'Вхідні дані'!$F$107,'Вхідні дані'!$I$107)*R38,0),R13*CHOOSE('Узагальнений розрахунок'!$M$1,'Вхідні дані'!$D$108,'Вхідні дані'!$G$108,'Вхідні дані'!$J$108))</f>
        <v>2100</v>
      </c>
      <c r="S58" s="205">
        <f>CHOOSE('Узагальнений розрахунок'!$O$1,CHOOSE('Узагальнений розрахунок'!$M$1,'Вхідні дані'!$C$106,'Вхідні дані'!$F$106,'Вхідні дані'!$I$106)*S18,IF(S38&gt;0,CHOOSE('Узагальнений розрахунок'!$M$1,'Вхідні дані'!$C$107,'Вхідні дані'!$F$107,'Вхідні дані'!$I$107)*S38,0),S13*CHOOSE('Узагальнений розрахунок'!$M$1,'Вхідні дані'!$D$108,'Вхідні дані'!$G$108,'Вхідні дані'!$J$108))</f>
        <v>2100</v>
      </c>
      <c r="T58" s="205">
        <f>CHOOSE('Узагальнений розрахунок'!$O$1,CHOOSE('Узагальнений розрахунок'!$M$1,'Вхідні дані'!$C$106,'Вхідні дані'!$F$106,'Вхідні дані'!$I$106)*T18,IF(T38&gt;0,CHOOSE('Узагальнений розрахунок'!$M$1,'Вхідні дані'!$C$107,'Вхідні дані'!$F$107,'Вхідні дані'!$I$107)*T38,0),T13*CHOOSE('Узагальнений розрахунок'!$M$1,'Вхідні дані'!$D$108,'Вхідні дані'!$G$108,'Вхідні дані'!$J$108))</f>
        <v>2100</v>
      </c>
      <c r="U58" s="205">
        <f>CHOOSE('Узагальнений розрахунок'!$O$1,CHOOSE('Узагальнений розрахунок'!$M$1,'Вхідні дані'!$C$106,'Вхідні дані'!$F$106,'Вхідні дані'!$I$106)*U18,IF(U38&gt;0,CHOOSE('Узагальнений розрахунок'!$M$1,'Вхідні дані'!$C$107,'Вхідні дані'!$F$107,'Вхідні дані'!$I$107)*U38,0),U13*CHOOSE('Узагальнений розрахунок'!$M$1,'Вхідні дані'!$D$108,'Вхідні дані'!$G$108,'Вхідні дані'!$J$108))</f>
        <v>2100</v>
      </c>
      <c r="V58" s="205">
        <f>CHOOSE('Узагальнений розрахунок'!$O$1,CHOOSE('Узагальнений розрахунок'!$M$1,'Вхідні дані'!$C$106,'Вхідні дані'!$F$106,'Вхідні дані'!$I$106)*V18,IF(V38&gt;0,CHOOSE('Узагальнений розрахунок'!$M$1,'Вхідні дані'!$C$107,'Вхідні дані'!$F$107,'Вхідні дані'!$I$107)*V38,0),V13*CHOOSE('Узагальнений розрахунок'!$M$1,'Вхідні дані'!$D$108,'Вхідні дані'!$G$108,'Вхідні дані'!$J$108))</f>
        <v>2100</v>
      </c>
      <c r="W58" s="205">
        <f>CHOOSE('Узагальнений розрахунок'!$O$1,CHOOSE('Узагальнений розрахунок'!$M$1,'Вхідні дані'!$C$106,'Вхідні дані'!$F$106,'Вхідні дані'!$I$106)*W18,IF(W38&gt;0,CHOOSE('Узагальнений розрахунок'!$M$1,'Вхідні дані'!$C$107,'Вхідні дані'!$F$107,'Вхідні дані'!$I$107)*W38,0),W13*CHOOSE('Узагальнений розрахунок'!$M$1,'Вхідні дані'!$D$108,'Вхідні дані'!$G$108,'Вхідні дані'!$J$108))</f>
        <v>2100</v>
      </c>
      <c r="X58" s="205">
        <f>CHOOSE('Узагальнений розрахунок'!$O$1,CHOOSE('Узагальнений розрахунок'!$M$1,'Вхідні дані'!$C$106,'Вхідні дані'!$F$106,'Вхідні дані'!$I$106)*X18,IF(X38&gt;0,CHOOSE('Узагальнений розрахунок'!$M$1,'Вхідні дані'!$C$107,'Вхідні дані'!$F$107,'Вхідні дані'!$I$107)*X38,0),X13*CHOOSE('Узагальнений розрахунок'!$M$1,'Вхідні дані'!$D$108,'Вхідні дані'!$G$108,'Вхідні дані'!$J$108))</f>
        <v>2100</v>
      </c>
      <c r="Y58" s="205">
        <f>CHOOSE('Узагальнений розрахунок'!$O$1,CHOOSE('Узагальнений розрахунок'!$M$1,'Вхідні дані'!$C$106,'Вхідні дані'!$F$106,'Вхідні дані'!$I$106)*Y18,IF(Y38&gt;0,CHOOSE('Узагальнений розрахунок'!$M$1,'Вхідні дані'!$C$107,'Вхідні дані'!$F$107,'Вхідні дані'!$I$107)*Y38,0),Y13*CHOOSE('Узагальнений розрахунок'!$M$1,'Вхідні дані'!$D$108,'Вхідні дані'!$G$108,'Вхідні дані'!$J$108))</f>
        <v>2100</v>
      </c>
      <c r="Z58" s="205">
        <f>CHOOSE('Узагальнений розрахунок'!$O$1,CHOOSE('Узагальнений розрахунок'!$M$1,'Вхідні дані'!$C$106,'Вхідні дані'!$F$106,'Вхідні дані'!$I$106)*Z18,IF(Z38&gt;0,CHOOSE('Узагальнений розрахунок'!$M$1,'Вхідні дані'!$C$107,'Вхідні дані'!$F$107,'Вхідні дані'!$I$107)*Z38,0),Z13*CHOOSE('Узагальнений розрахунок'!$M$1,'Вхідні дані'!$D$108,'Вхідні дані'!$G$108,'Вхідні дані'!$J$108))</f>
        <v>2100</v>
      </c>
      <c r="AA58" s="205">
        <f>CHOOSE('Узагальнений розрахунок'!$O$1,CHOOSE('Узагальнений розрахунок'!$M$1,'Вхідні дані'!$C$106,'Вхідні дані'!$F$106,'Вхідні дані'!$I$106)*AA18,IF(AA38&gt;0,CHOOSE('Узагальнений розрахунок'!$M$1,'Вхідні дані'!$C$107,'Вхідні дані'!$F$107,'Вхідні дані'!$I$107)*AA38,0),AA13*CHOOSE('Узагальнений розрахунок'!$M$1,'Вхідні дані'!$D$108,'Вхідні дані'!$G$108,'Вхідні дані'!$J$108))</f>
        <v>2100</v>
      </c>
      <c r="AB58" s="205">
        <f>CHOOSE('Узагальнений розрахунок'!$O$1,CHOOSE('Узагальнений розрахунок'!$M$1,'Вхідні дані'!$C$106,'Вхідні дані'!$F$106,'Вхідні дані'!$I$106)*AB18,IF(AB38&gt;0,CHOOSE('Узагальнений розрахунок'!$M$1,'Вхідні дані'!$C$107,'Вхідні дані'!$F$107,'Вхідні дані'!$I$107)*AB38,0),AB13*CHOOSE('Узагальнений розрахунок'!$M$1,'Вхідні дані'!$D$108,'Вхідні дані'!$G$108,'Вхідні дані'!$J$108))</f>
        <v>2100</v>
      </c>
      <c r="AC58" s="205">
        <f>CHOOSE('Узагальнений розрахунок'!$O$1,CHOOSE('Узагальнений розрахунок'!$M$1,'Вхідні дані'!$C$106,'Вхідні дані'!$F$106,'Вхідні дані'!$I$106)*AC18,IF(AC38&gt;0,CHOOSE('Узагальнений розрахунок'!$M$1,'Вхідні дані'!$C$107,'Вхідні дані'!$F$107,'Вхідні дані'!$I$107)*AC38,0),AC13*CHOOSE('Узагальнений розрахунок'!$M$1,'Вхідні дані'!$D$108,'Вхідні дані'!$G$108,'Вхідні дані'!$J$108))</f>
        <v>2100</v>
      </c>
      <c r="AD58" s="206">
        <f t="shared" si="105"/>
        <v>25200</v>
      </c>
      <c r="AE58" s="206">
        <f t="shared" si="106"/>
        <v>2100</v>
      </c>
      <c r="AF58" s="205">
        <f>CHOOSE('Узагальнений розрахунок'!$O$1,CHOOSE('Узагальнений розрахунок'!$M$1,'Вхідні дані'!$C$106,'Вхідні дані'!$F$106,'Вхідні дані'!$I$106)*AF18,IF(AF38&gt;0,CHOOSE('Узагальнений розрахунок'!$M$1,'Вхідні дані'!$C$107,'Вхідні дані'!$F$107,'Вхідні дані'!$I$107)*AF38,0),AF13*CHOOSE('Узагальнений розрахунок'!$M$1,'Вхідні дані'!$D$108,'Вхідні дані'!$G$108,'Вхідні дані'!$J$108))</f>
        <v>2100</v>
      </c>
      <c r="AG58" s="205">
        <f>CHOOSE('Узагальнений розрахунок'!$O$1,CHOOSE('Узагальнений розрахунок'!$M$1,'Вхідні дані'!$C$106,'Вхідні дані'!$F$106,'Вхідні дані'!$I$106)*AG18,IF(AG38&gt;0,CHOOSE('Узагальнений розрахунок'!$M$1,'Вхідні дані'!$C$107,'Вхідні дані'!$F$107,'Вхідні дані'!$I$107)*AG38,0),AG13*CHOOSE('Узагальнений розрахунок'!$M$1,'Вхідні дані'!$D$108,'Вхідні дані'!$G$108,'Вхідні дані'!$J$108))</f>
        <v>2100</v>
      </c>
      <c r="AH58" s="205">
        <f>CHOOSE('Узагальнений розрахунок'!$O$1,CHOOSE('Узагальнений розрахунок'!$M$1,'Вхідні дані'!$C$106,'Вхідні дані'!$F$106,'Вхідні дані'!$I$106)*AH18,IF(AH38&gt;0,CHOOSE('Узагальнений розрахунок'!$M$1,'Вхідні дані'!$C$107,'Вхідні дані'!$F$107,'Вхідні дані'!$I$107)*AH38,0),AH13*CHOOSE('Узагальнений розрахунок'!$M$1,'Вхідні дані'!$D$108,'Вхідні дані'!$G$108,'Вхідні дані'!$J$108))</f>
        <v>2100</v>
      </c>
      <c r="AI58" s="205">
        <f>CHOOSE('Узагальнений розрахунок'!$O$1,CHOOSE('Узагальнений розрахунок'!$M$1,'Вхідні дані'!$C$106,'Вхідні дані'!$F$106,'Вхідні дані'!$I$106)*AI18,IF(AI38&gt;0,CHOOSE('Узагальнений розрахунок'!$M$1,'Вхідні дані'!$C$107,'Вхідні дані'!$F$107,'Вхідні дані'!$I$107)*AI38,0),AI13*CHOOSE('Узагальнений розрахунок'!$M$1,'Вхідні дані'!$D$108,'Вхідні дані'!$G$108,'Вхідні дані'!$J$108))</f>
        <v>2100</v>
      </c>
      <c r="AJ58" s="205">
        <f>CHOOSE('Узагальнений розрахунок'!$O$1,CHOOSE('Узагальнений розрахунок'!$M$1,'Вхідні дані'!$C$106,'Вхідні дані'!$F$106,'Вхідні дані'!$I$106)*AJ18,IF(AJ38&gt;0,CHOOSE('Узагальнений розрахунок'!$M$1,'Вхідні дані'!$C$107,'Вхідні дані'!$F$107,'Вхідні дані'!$I$107)*AJ38,0),AJ13*CHOOSE('Узагальнений розрахунок'!$M$1,'Вхідні дані'!$D$108,'Вхідні дані'!$G$108,'Вхідні дані'!$J$108))</f>
        <v>2100</v>
      </c>
      <c r="AK58" s="205">
        <f>CHOOSE('Узагальнений розрахунок'!$O$1,CHOOSE('Узагальнений розрахунок'!$M$1,'Вхідні дані'!$C$106,'Вхідні дані'!$F$106,'Вхідні дані'!$I$106)*AK18,IF(AK38&gt;0,CHOOSE('Узагальнений розрахунок'!$M$1,'Вхідні дані'!$C$107,'Вхідні дані'!$F$107,'Вхідні дані'!$I$107)*AK38,0),AK13*CHOOSE('Узагальнений розрахунок'!$M$1,'Вхідні дані'!$D$108,'Вхідні дані'!$G$108,'Вхідні дані'!$J$108))</f>
        <v>2100</v>
      </c>
      <c r="AL58" s="205">
        <f>CHOOSE('Узагальнений розрахунок'!$O$1,CHOOSE('Узагальнений розрахунок'!$M$1,'Вхідні дані'!$C$106,'Вхідні дані'!$F$106,'Вхідні дані'!$I$106)*AL18,IF(AL38&gt;0,CHOOSE('Узагальнений розрахунок'!$M$1,'Вхідні дані'!$C$107,'Вхідні дані'!$F$107,'Вхідні дані'!$I$107)*AL38,0),AL13*CHOOSE('Узагальнений розрахунок'!$M$1,'Вхідні дані'!$D$108,'Вхідні дані'!$G$108,'Вхідні дані'!$J$108))</f>
        <v>2100</v>
      </c>
      <c r="AM58" s="205">
        <f>CHOOSE('Узагальнений розрахунок'!$O$1,CHOOSE('Узагальнений розрахунок'!$M$1,'Вхідні дані'!$C$106,'Вхідні дані'!$F$106,'Вхідні дані'!$I$106)*AM18,IF(AM38&gt;0,CHOOSE('Узагальнений розрахунок'!$M$1,'Вхідні дані'!$C$107,'Вхідні дані'!$F$107,'Вхідні дані'!$I$107)*AM38,0),AM13*CHOOSE('Узагальнений розрахунок'!$M$1,'Вхідні дані'!$D$108,'Вхідні дані'!$G$108,'Вхідні дані'!$J$108))</f>
        <v>2100</v>
      </c>
      <c r="AN58" s="205">
        <f>CHOOSE('Узагальнений розрахунок'!$O$1,CHOOSE('Узагальнений розрахунок'!$M$1,'Вхідні дані'!$C$106,'Вхідні дані'!$F$106,'Вхідні дані'!$I$106)*AN18,IF(AN38&gt;0,CHOOSE('Узагальнений розрахунок'!$M$1,'Вхідні дані'!$C$107,'Вхідні дані'!$F$107,'Вхідні дані'!$I$107)*AN38,0),AN13*CHOOSE('Узагальнений розрахунок'!$M$1,'Вхідні дані'!$D$108,'Вхідні дані'!$G$108,'Вхідні дані'!$J$108))</f>
        <v>2100</v>
      </c>
      <c r="AO58" s="205">
        <f>CHOOSE('Узагальнений розрахунок'!$O$1,CHOOSE('Узагальнений розрахунок'!$M$1,'Вхідні дані'!$C$106,'Вхідні дані'!$F$106,'Вхідні дані'!$I$106)*AO18,IF(AO38&gt;0,CHOOSE('Узагальнений розрахунок'!$M$1,'Вхідні дані'!$C$107,'Вхідні дані'!$F$107,'Вхідні дані'!$I$107)*AO38,0),AO13*CHOOSE('Узагальнений розрахунок'!$M$1,'Вхідні дані'!$D$108,'Вхідні дані'!$G$108,'Вхідні дані'!$J$108))</f>
        <v>2100</v>
      </c>
      <c r="AP58" s="205">
        <f>CHOOSE('Узагальнений розрахунок'!$O$1,CHOOSE('Узагальнений розрахунок'!$M$1,'Вхідні дані'!$C$106,'Вхідні дані'!$F$106,'Вхідні дані'!$I$106)*AP18,IF(AP38&gt;0,CHOOSE('Узагальнений розрахунок'!$M$1,'Вхідні дані'!$C$107,'Вхідні дані'!$F$107,'Вхідні дані'!$I$107)*AP38,0),AP13*CHOOSE('Узагальнений розрахунок'!$M$1,'Вхідні дані'!$D$108,'Вхідні дані'!$G$108,'Вхідні дані'!$J$108))</f>
        <v>2100</v>
      </c>
      <c r="AQ58" s="205">
        <f>CHOOSE('Узагальнений розрахунок'!$O$1,CHOOSE('Узагальнений розрахунок'!$M$1,'Вхідні дані'!$C$106,'Вхідні дані'!$F$106,'Вхідні дані'!$I$106)*AQ18,IF(AQ38&gt;0,CHOOSE('Узагальнений розрахунок'!$M$1,'Вхідні дані'!$C$107,'Вхідні дані'!$F$107,'Вхідні дані'!$I$107)*AQ38,0),AQ13*CHOOSE('Узагальнений розрахунок'!$M$1,'Вхідні дані'!$D$108,'Вхідні дані'!$G$108,'Вхідні дані'!$J$108))</f>
        <v>2100</v>
      </c>
      <c r="AR58" s="206">
        <f t="shared" si="107"/>
        <v>25200</v>
      </c>
      <c r="AS58" s="206">
        <f t="shared" si="108"/>
        <v>2100</v>
      </c>
      <c r="AT58" s="188">
        <f t="shared" si="109"/>
        <v>75600</v>
      </c>
      <c r="AU58" s="207"/>
      <c r="AW58" s="163" t="s">
        <v>213</v>
      </c>
      <c r="AX58" s="163" t="s">
        <v>277</v>
      </c>
    </row>
    <row r="59" spans="1:50" s="178" customFormat="1" x14ac:dyDescent="0.4">
      <c r="A59" s="220" t="str">
        <f>A22</f>
        <v>Разом</v>
      </c>
      <c r="B59" s="221" t="str">
        <f>CHOOSE('Вхідні дані'!$M$1,'Вхідні дані'!$N$1,'Вхідні дані'!$N$2,'Вхідні дані'!$N$3,'Вхідні дані'!$N$4)</f>
        <v>UAH</v>
      </c>
      <c r="C59" s="222">
        <f t="shared" ref="C59:AT59" si="115">SUM(C40:C58)</f>
        <v>0</v>
      </c>
      <c r="D59" s="222">
        <f t="shared" si="115"/>
        <v>80160</v>
      </c>
      <c r="E59" s="222">
        <f t="shared" si="115"/>
        <v>77100</v>
      </c>
      <c r="F59" s="222">
        <f t="shared" si="115"/>
        <v>81787.5</v>
      </c>
      <c r="G59" s="222">
        <f t="shared" si="115"/>
        <v>80225</v>
      </c>
      <c r="H59" s="222">
        <f t="shared" si="115"/>
        <v>81787.5</v>
      </c>
      <c r="I59" s="222">
        <f t="shared" si="115"/>
        <v>80225</v>
      </c>
      <c r="J59" s="222">
        <f t="shared" si="115"/>
        <v>81787.5</v>
      </c>
      <c r="K59" s="222">
        <f t="shared" si="115"/>
        <v>81787.5</v>
      </c>
      <c r="L59" s="222">
        <f t="shared" si="115"/>
        <v>80225</v>
      </c>
      <c r="M59" s="222">
        <f t="shared" si="115"/>
        <v>81787.5</v>
      </c>
      <c r="N59" s="222">
        <f t="shared" si="115"/>
        <v>80225</v>
      </c>
      <c r="O59" s="222">
        <f t="shared" si="115"/>
        <v>81787.5</v>
      </c>
      <c r="P59" s="222">
        <f t="shared" si="115"/>
        <v>968885</v>
      </c>
      <c r="Q59" s="222">
        <f t="shared" si="115"/>
        <v>80740.416666666657</v>
      </c>
      <c r="R59" s="222">
        <f t="shared" si="115"/>
        <v>83415</v>
      </c>
      <c r="S59" s="222">
        <f t="shared" si="115"/>
        <v>78570</v>
      </c>
      <c r="T59" s="222">
        <f t="shared" si="115"/>
        <v>83415</v>
      </c>
      <c r="U59" s="222">
        <f t="shared" si="115"/>
        <v>81800</v>
      </c>
      <c r="V59" s="222">
        <f t="shared" si="115"/>
        <v>83415</v>
      </c>
      <c r="W59" s="222">
        <f t="shared" si="115"/>
        <v>81800</v>
      </c>
      <c r="X59" s="222">
        <f t="shared" si="115"/>
        <v>83415</v>
      </c>
      <c r="Y59" s="222">
        <f t="shared" si="115"/>
        <v>83415</v>
      </c>
      <c r="Z59" s="222">
        <f t="shared" si="115"/>
        <v>81800</v>
      </c>
      <c r="AA59" s="222">
        <f t="shared" si="115"/>
        <v>83415</v>
      </c>
      <c r="AB59" s="222">
        <f t="shared" si="115"/>
        <v>81800</v>
      </c>
      <c r="AC59" s="222">
        <f t="shared" si="115"/>
        <v>83415</v>
      </c>
      <c r="AD59" s="222">
        <f t="shared" si="115"/>
        <v>989675</v>
      </c>
      <c r="AE59" s="222">
        <f t="shared" si="115"/>
        <v>82472.916666666657</v>
      </c>
      <c r="AF59" s="222">
        <f t="shared" si="115"/>
        <v>84228.75</v>
      </c>
      <c r="AG59" s="222">
        <f t="shared" si="115"/>
        <v>79305</v>
      </c>
      <c r="AH59" s="222">
        <f t="shared" si="115"/>
        <v>84228.75</v>
      </c>
      <c r="AI59" s="222">
        <f t="shared" si="115"/>
        <v>82587.5</v>
      </c>
      <c r="AJ59" s="222">
        <f t="shared" si="115"/>
        <v>84228.75</v>
      </c>
      <c r="AK59" s="222">
        <f t="shared" si="115"/>
        <v>82587.5</v>
      </c>
      <c r="AL59" s="222">
        <f t="shared" si="115"/>
        <v>84228.75</v>
      </c>
      <c r="AM59" s="222">
        <f t="shared" si="115"/>
        <v>84228.75</v>
      </c>
      <c r="AN59" s="222">
        <f t="shared" si="115"/>
        <v>82587.5</v>
      </c>
      <c r="AO59" s="222">
        <f t="shared" si="115"/>
        <v>84228.75</v>
      </c>
      <c r="AP59" s="222">
        <f t="shared" si="115"/>
        <v>82587.5</v>
      </c>
      <c r="AQ59" s="222">
        <f t="shared" si="115"/>
        <v>84228.75</v>
      </c>
      <c r="AR59" s="222">
        <f t="shared" si="115"/>
        <v>999256.25</v>
      </c>
      <c r="AS59" s="222">
        <f t="shared" si="115"/>
        <v>83271.354166666657</v>
      </c>
      <c r="AT59" s="222">
        <f t="shared" si="115"/>
        <v>2957816.25</v>
      </c>
      <c r="AW59" s="163" t="s">
        <v>12</v>
      </c>
      <c r="AX59" s="163" t="s">
        <v>245</v>
      </c>
    </row>
    <row r="60" spans="1:50" ht="21.6" thickBot="1" x14ac:dyDescent="0.45">
      <c r="A60" s="223"/>
      <c r="B60" s="224"/>
      <c r="C60" s="224"/>
      <c r="D60" s="225"/>
      <c r="E60" s="225"/>
      <c r="F60" s="225"/>
      <c r="G60" s="225"/>
      <c r="H60" s="225"/>
      <c r="I60" s="225"/>
      <c r="J60" s="223"/>
      <c r="K60" s="223"/>
      <c r="L60" s="223"/>
      <c r="M60" s="223"/>
      <c r="N60" s="223"/>
      <c r="O60" s="223"/>
      <c r="P60" s="226"/>
      <c r="Q60" s="226"/>
      <c r="R60" s="225"/>
      <c r="S60" s="225"/>
      <c r="T60" s="225"/>
      <c r="U60" s="225"/>
      <c r="V60" s="225"/>
      <c r="W60" s="225"/>
      <c r="X60" s="223"/>
      <c r="Y60" s="223"/>
      <c r="Z60" s="223"/>
      <c r="AA60" s="223"/>
      <c r="AB60" s="223"/>
      <c r="AC60" s="223"/>
      <c r="AD60" s="226"/>
      <c r="AE60" s="226"/>
      <c r="AF60" s="225"/>
      <c r="AG60" s="225"/>
      <c r="AH60" s="225"/>
      <c r="AI60" s="225"/>
      <c r="AJ60" s="225"/>
      <c r="AK60" s="225"/>
      <c r="AL60" s="223"/>
      <c r="AM60" s="223"/>
      <c r="AN60" s="223"/>
      <c r="AO60" s="223"/>
      <c r="AP60" s="223"/>
      <c r="AQ60" s="223"/>
      <c r="AR60" s="226"/>
      <c r="AS60" s="226"/>
      <c r="AT60" s="223"/>
      <c r="AW60" s="163" t="s">
        <v>1</v>
      </c>
      <c r="AX60" s="163" t="s">
        <v>174</v>
      </c>
    </row>
    <row r="61" spans="1:50" s="183" customFormat="1" ht="43.2" thickTop="1" thickBot="1" x14ac:dyDescent="0.45">
      <c r="A61" s="180" t="str">
        <f>CHOOSE('Вхідні дані'!$S$1,AW49,AX49)</f>
        <v>ЗВІТ ПРО ПРИБУТКИ ТА ЗБИТКИ</v>
      </c>
      <c r="B61" s="171"/>
      <c r="C61" s="171" t="str">
        <f t="shared" ref="C61:O61" si="116">C$6</f>
        <v>Нульовий період</v>
      </c>
      <c r="D61" s="171" t="str">
        <f t="shared" si="116"/>
        <v>січень</v>
      </c>
      <c r="E61" s="171" t="str">
        <f t="shared" si="116"/>
        <v>лютий</v>
      </c>
      <c r="F61" s="171" t="str">
        <f t="shared" si="116"/>
        <v>березень</v>
      </c>
      <c r="G61" s="171" t="str">
        <f t="shared" si="116"/>
        <v>квітень</v>
      </c>
      <c r="H61" s="171" t="str">
        <f t="shared" si="116"/>
        <v>травень</v>
      </c>
      <c r="I61" s="171" t="str">
        <f t="shared" si="116"/>
        <v>червень</v>
      </c>
      <c r="J61" s="171" t="str">
        <f t="shared" si="116"/>
        <v>липень</v>
      </c>
      <c r="K61" s="171" t="str">
        <f t="shared" si="116"/>
        <v>серпень</v>
      </c>
      <c r="L61" s="171" t="str">
        <f t="shared" si="116"/>
        <v>вересень</v>
      </c>
      <c r="M61" s="171" t="str">
        <f t="shared" si="116"/>
        <v>жовтень</v>
      </c>
      <c r="N61" s="171" t="str">
        <f t="shared" si="116"/>
        <v>листопад</v>
      </c>
      <c r="O61" s="171" t="str">
        <f t="shared" si="116"/>
        <v>грудень</v>
      </c>
      <c r="P61" s="201" t="str">
        <f>$P$16</f>
        <v>Разом за 1-й рік</v>
      </c>
      <c r="Q61" s="201" t="str">
        <f>$Q$16</f>
        <v>Середньомісячно за 1-й рік</v>
      </c>
      <c r="R61" s="171" t="str">
        <f t="shared" ref="R61:AC61" si="117">R$6</f>
        <v>січень</v>
      </c>
      <c r="S61" s="171" t="str">
        <f t="shared" si="117"/>
        <v>лютий</v>
      </c>
      <c r="T61" s="171" t="str">
        <f t="shared" si="117"/>
        <v>березень</v>
      </c>
      <c r="U61" s="171" t="str">
        <f t="shared" si="117"/>
        <v>квітень</v>
      </c>
      <c r="V61" s="171" t="str">
        <f t="shared" si="117"/>
        <v>травень</v>
      </c>
      <c r="W61" s="171" t="str">
        <f t="shared" si="117"/>
        <v>червень</v>
      </c>
      <c r="X61" s="171" t="str">
        <f t="shared" si="117"/>
        <v>липень</v>
      </c>
      <c r="Y61" s="171" t="str">
        <f t="shared" si="117"/>
        <v>серпень</v>
      </c>
      <c r="Z61" s="171" t="str">
        <f t="shared" si="117"/>
        <v>вересень</v>
      </c>
      <c r="AA61" s="171" t="str">
        <f t="shared" si="117"/>
        <v>жовтень</v>
      </c>
      <c r="AB61" s="171" t="str">
        <f t="shared" si="117"/>
        <v>листопад</v>
      </c>
      <c r="AC61" s="171" t="str">
        <f t="shared" si="117"/>
        <v>грудень</v>
      </c>
      <c r="AD61" s="201" t="str">
        <f>AD37</f>
        <v>Разом за 2-й рік</v>
      </c>
      <c r="AE61" s="201" t="str">
        <f>AE37</f>
        <v>Середньомісячно за 2-й рік</v>
      </c>
      <c r="AF61" s="171" t="str">
        <f t="shared" ref="AF61:AQ61" si="118">AF$6</f>
        <v>січень</v>
      </c>
      <c r="AG61" s="171" t="str">
        <f t="shared" si="118"/>
        <v>лютий</v>
      </c>
      <c r="AH61" s="171" t="str">
        <f t="shared" si="118"/>
        <v>березень</v>
      </c>
      <c r="AI61" s="171" t="str">
        <f t="shared" si="118"/>
        <v>квітень</v>
      </c>
      <c r="AJ61" s="171" t="str">
        <f t="shared" si="118"/>
        <v>травень</v>
      </c>
      <c r="AK61" s="171" t="str">
        <f t="shared" si="118"/>
        <v>червень</v>
      </c>
      <c r="AL61" s="171" t="str">
        <f t="shared" si="118"/>
        <v>липень</v>
      </c>
      <c r="AM61" s="171" t="str">
        <f t="shared" si="118"/>
        <v>серпень</v>
      </c>
      <c r="AN61" s="171" t="str">
        <f t="shared" si="118"/>
        <v>вересень</v>
      </c>
      <c r="AO61" s="171" t="str">
        <f t="shared" si="118"/>
        <v>жовтень</v>
      </c>
      <c r="AP61" s="171" t="str">
        <f t="shared" si="118"/>
        <v>листопад</v>
      </c>
      <c r="AQ61" s="171" t="str">
        <f t="shared" si="118"/>
        <v>грудень</v>
      </c>
      <c r="AR61" s="201" t="str">
        <f>AR37</f>
        <v>Разом за 3-й рік</v>
      </c>
      <c r="AS61" s="201" t="str">
        <f>AS37</f>
        <v>Середньомісячно за 3-й рік</v>
      </c>
      <c r="AT61" s="227" t="str">
        <f>AT37</f>
        <v>Разом за три роки</v>
      </c>
      <c r="AW61" s="163" t="s">
        <v>348</v>
      </c>
      <c r="AX61" s="163" t="s">
        <v>349</v>
      </c>
    </row>
    <row r="62" spans="1:50" s="183" customFormat="1" ht="21.6" thickTop="1" x14ac:dyDescent="0.4">
      <c r="A62" s="228" t="str">
        <f>CHOOSE('Вхідні дані'!$S$1,AW50,AX50)</f>
        <v>Виручка</v>
      </c>
      <c r="B62" s="204" t="str">
        <f>CHOOSE('Вхідні дані'!$M$1,'Вхідні дані'!$N$1,'Вхідні дані'!$N$2,'Вхідні дані'!$N$3,'Вхідні дані'!$N$4)</f>
        <v>UAH</v>
      </c>
      <c r="C62" s="229">
        <f t="shared" ref="C62:O62" si="119">C18</f>
        <v>0</v>
      </c>
      <c r="D62" s="229">
        <f t="shared" si="119"/>
        <v>186000</v>
      </c>
      <c r="E62" s="229">
        <f t="shared" si="119"/>
        <v>210000</v>
      </c>
      <c r="F62" s="229">
        <f t="shared" si="119"/>
        <v>232500</v>
      </c>
      <c r="G62" s="229">
        <f t="shared" si="119"/>
        <v>225000</v>
      </c>
      <c r="H62" s="229">
        <f t="shared" si="119"/>
        <v>232500</v>
      </c>
      <c r="I62" s="229">
        <f t="shared" si="119"/>
        <v>225000</v>
      </c>
      <c r="J62" s="229">
        <f t="shared" si="119"/>
        <v>232500</v>
      </c>
      <c r="K62" s="229">
        <f t="shared" si="119"/>
        <v>232500</v>
      </c>
      <c r="L62" s="229">
        <f t="shared" si="119"/>
        <v>225000</v>
      </c>
      <c r="M62" s="229">
        <f t="shared" si="119"/>
        <v>232500</v>
      </c>
      <c r="N62" s="229">
        <f t="shared" si="119"/>
        <v>225000</v>
      </c>
      <c r="O62" s="229">
        <f t="shared" si="119"/>
        <v>232500</v>
      </c>
      <c r="P62" s="230">
        <f>SUM(C62:O62)</f>
        <v>2691000</v>
      </c>
      <c r="Q62" s="230">
        <f t="shared" ref="Q62:Q68" si="120">P62/12</f>
        <v>224250</v>
      </c>
      <c r="R62" s="229">
        <f t="shared" ref="R62:AC62" si="121">R18</f>
        <v>279000</v>
      </c>
      <c r="S62" s="229">
        <f t="shared" si="121"/>
        <v>252000</v>
      </c>
      <c r="T62" s="229">
        <f t="shared" si="121"/>
        <v>279000</v>
      </c>
      <c r="U62" s="229">
        <f t="shared" si="121"/>
        <v>270000</v>
      </c>
      <c r="V62" s="229">
        <f t="shared" si="121"/>
        <v>279000</v>
      </c>
      <c r="W62" s="229">
        <f t="shared" si="121"/>
        <v>270000</v>
      </c>
      <c r="X62" s="229">
        <f t="shared" si="121"/>
        <v>279000</v>
      </c>
      <c r="Y62" s="229">
        <f t="shared" si="121"/>
        <v>279000</v>
      </c>
      <c r="Z62" s="229">
        <f t="shared" si="121"/>
        <v>270000</v>
      </c>
      <c r="AA62" s="229">
        <f t="shared" si="121"/>
        <v>279000</v>
      </c>
      <c r="AB62" s="229">
        <f t="shared" si="121"/>
        <v>270000</v>
      </c>
      <c r="AC62" s="229">
        <f t="shared" si="121"/>
        <v>279000</v>
      </c>
      <c r="AD62" s="230">
        <f t="shared" ref="AD62:AD68" si="122">SUM(R62:AC62)</f>
        <v>3285000</v>
      </c>
      <c r="AE62" s="230">
        <f t="shared" ref="AE62:AE68" si="123">AD62/12</f>
        <v>273750</v>
      </c>
      <c r="AF62" s="229">
        <f t="shared" ref="AF62:AQ62" si="124">AF18</f>
        <v>302250</v>
      </c>
      <c r="AG62" s="229">
        <f t="shared" si="124"/>
        <v>273000</v>
      </c>
      <c r="AH62" s="229">
        <f t="shared" si="124"/>
        <v>302250</v>
      </c>
      <c r="AI62" s="229">
        <f t="shared" si="124"/>
        <v>292500</v>
      </c>
      <c r="AJ62" s="229">
        <f t="shared" si="124"/>
        <v>302250</v>
      </c>
      <c r="AK62" s="229">
        <f t="shared" si="124"/>
        <v>292500</v>
      </c>
      <c r="AL62" s="229">
        <f t="shared" si="124"/>
        <v>302250</v>
      </c>
      <c r="AM62" s="229">
        <f t="shared" si="124"/>
        <v>302250</v>
      </c>
      <c r="AN62" s="229">
        <f t="shared" si="124"/>
        <v>292500</v>
      </c>
      <c r="AO62" s="229">
        <f t="shared" si="124"/>
        <v>302250</v>
      </c>
      <c r="AP62" s="229">
        <f t="shared" si="124"/>
        <v>292500</v>
      </c>
      <c r="AQ62" s="229">
        <f t="shared" si="124"/>
        <v>302250</v>
      </c>
      <c r="AR62" s="230">
        <f t="shared" ref="AR62:AR68" si="125">SUM(AF62:AQ62)</f>
        <v>3558750</v>
      </c>
      <c r="AS62" s="230">
        <f t="shared" ref="AS62:AS68" si="126">AR62/12</f>
        <v>296562.5</v>
      </c>
      <c r="AT62" s="231">
        <f t="shared" ref="AT62:AT67" si="127">P62+AD62+AR62</f>
        <v>9534750</v>
      </c>
      <c r="AW62" s="163" t="s">
        <v>13</v>
      </c>
      <c r="AX62" s="163" t="s">
        <v>246</v>
      </c>
    </row>
    <row r="63" spans="1:50" s="183" customFormat="1" x14ac:dyDescent="0.4">
      <c r="A63" s="232" t="str">
        <f>CHOOSE('Вхідні дані'!$S$1,AW51,AX51)</f>
        <v>- Собівартість</v>
      </c>
      <c r="B63" s="204" t="str">
        <f>CHOOSE('Вхідні дані'!$M$1,'Вхідні дані'!$N$1,'Вхідні дані'!$N$2,'Вхідні дані'!$N$3,'Вхідні дані'!$N$4)</f>
        <v>UAH</v>
      </c>
      <c r="C63" s="229">
        <f t="shared" ref="C63:O63" si="128">C22</f>
        <v>0</v>
      </c>
      <c r="D63" s="229">
        <f t="shared" si="128"/>
        <v>74400</v>
      </c>
      <c r="E63" s="229">
        <f t="shared" si="128"/>
        <v>84000</v>
      </c>
      <c r="F63" s="229">
        <f t="shared" si="128"/>
        <v>93000</v>
      </c>
      <c r="G63" s="229">
        <f t="shared" si="128"/>
        <v>90000</v>
      </c>
      <c r="H63" s="229">
        <f t="shared" si="128"/>
        <v>93000</v>
      </c>
      <c r="I63" s="229">
        <f t="shared" si="128"/>
        <v>90000</v>
      </c>
      <c r="J63" s="229">
        <f t="shared" si="128"/>
        <v>93000</v>
      </c>
      <c r="K63" s="229">
        <f t="shared" si="128"/>
        <v>93000</v>
      </c>
      <c r="L63" s="229">
        <f t="shared" si="128"/>
        <v>90000</v>
      </c>
      <c r="M63" s="229">
        <f t="shared" si="128"/>
        <v>93000</v>
      </c>
      <c r="N63" s="229">
        <f t="shared" si="128"/>
        <v>90000</v>
      </c>
      <c r="O63" s="229">
        <f t="shared" si="128"/>
        <v>93000</v>
      </c>
      <c r="P63" s="230">
        <f t="shared" ref="P63:P68" si="129">SUM(C63:O63)</f>
        <v>1076400</v>
      </c>
      <c r="Q63" s="230">
        <f t="shared" si="120"/>
        <v>89700</v>
      </c>
      <c r="R63" s="229">
        <f t="shared" ref="R63:AC63" si="130">R22</f>
        <v>111600</v>
      </c>
      <c r="S63" s="229">
        <f t="shared" si="130"/>
        <v>100800</v>
      </c>
      <c r="T63" s="229">
        <f t="shared" si="130"/>
        <v>111600</v>
      </c>
      <c r="U63" s="229">
        <f t="shared" si="130"/>
        <v>108000</v>
      </c>
      <c r="V63" s="229">
        <f t="shared" si="130"/>
        <v>111600</v>
      </c>
      <c r="W63" s="229">
        <f t="shared" si="130"/>
        <v>108000</v>
      </c>
      <c r="X63" s="229">
        <f t="shared" si="130"/>
        <v>111600</v>
      </c>
      <c r="Y63" s="229">
        <f t="shared" si="130"/>
        <v>111600</v>
      </c>
      <c r="Z63" s="229">
        <f t="shared" si="130"/>
        <v>108000</v>
      </c>
      <c r="AA63" s="229">
        <f t="shared" si="130"/>
        <v>111600</v>
      </c>
      <c r="AB63" s="229">
        <f t="shared" si="130"/>
        <v>108000</v>
      </c>
      <c r="AC63" s="229">
        <f t="shared" si="130"/>
        <v>111600</v>
      </c>
      <c r="AD63" s="230">
        <f t="shared" si="122"/>
        <v>1314000</v>
      </c>
      <c r="AE63" s="230">
        <f t="shared" si="123"/>
        <v>109500</v>
      </c>
      <c r="AF63" s="229">
        <f t="shared" ref="AF63:AQ63" si="131">AF22</f>
        <v>120900</v>
      </c>
      <c r="AG63" s="229">
        <f t="shared" si="131"/>
        <v>109200</v>
      </c>
      <c r="AH63" s="229">
        <f t="shared" si="131"/>
        <v>120900</v>
      </c>
      <c r="AI63" s="229">
        <f t="shared" si="131"/>
        <v>117000</v>
      </c>
      <c r="AJ63" s="229">
        <f t="shared" si="131"/>
        <v>120900</v>
      </c>
      <c r="AK63" s="229">
        <f t="shared" si="131"/>
        <v>117000</v>
      </c>
      <c r="AL63" s="229">
        <f t="shared" si="131"/>
        <v>120900</v>
      </c>
      <c r="AM63" s="229">
        <f t="shared" si="131"/>
        <v>120900</v>
      </c>
      <c r="AN63" s="229">
        <f t="shared" si="131"/>
        <v>117000</v>
      </c>
      <c r="AO63" s="229">
        <f t="shared" si="131"/>
        <v>120900</v>
      </c>
      <c r="AP63" s="229">
        <f t="shared" si="131"/>
        <v>117000</v>
      </c>
      <c r="AQ63" s="229">
        <f t="shared" si="131"/>
        <v>120900</v>
      </c>
      <c r="AR63" s="230">
        <f t="shared" si="125"/>
        <v>1423500</v>
      </c>
      <c r="AS63" s="230">
        <f t="shared" si="126"/>
        <v>118625</v>
      </c>
      <c r="AT63" s="231">
        <f t="shared" si="127"/>
        <v>3813900</v>
      </c>
      <c r="AW63" s="163" t="s">
        <v>14</v>
      </c>
      <c r="AX63" s="163" t="s">
        <v>247</v>
      </c>
    </row>
    <row r="64" spans="1:50" s="183" customFormat="1" x14ac:dyDescent="0.4">
      <c r="A64" s="228" t="str">
        <f>CHOOSE('Вхідні дані'!$S$1,AW52,AX52)</f>
        <v>Валовий прибуток</v>
      </c>
      <c r="B64" s="204" t="str">
        <f>CHOOSE('Вхідні дані'!$M$1,'Вхідні дані'!$N$1,'Вхідні дані'!$N$2,'Вхідні дані'!$N$3,'Вхідні дані'!$N$4)</f>
        <v>UAH</v>
      </c>
      <c r="C64" s="229">
        <f>C62-C63</f>
        <v>0</v>
      </c>
      <c r="D64" s="229">
        <f>D62-D63</f>
        <v>111600</v>
      </c>
      <c r="E64" s="229">
        <f t="shared" ref="E64:O64" si="132">E62-E63</f>
        <v>126000</v>
      </c>
      <c r="F64" s="229">
        <f t="shared" si="132"/>
        <v>139500</v>
      </c>
      <c r="G64" s="229">
        <f t="shared" si="132"/>
        <v>135000</v>
      </c>
      <c r="H64" s="229">
        <f t="shared" si="132"/>
        <v>139500</v>
      </c>
      <c r="I64" s="229">
        <f t="shared" si="132"/>
        <v>135000</v>
      </c>
      <c r="J64" s="229">
        <f t="shared" si="132"/>
        <v>139500</v>
      </c>
      <c r="K64" s="229">
        <f t="shared" si="132"/>
        <v>139500</v>
      </c>
      <c r="L64" s="229">
        <f t="shared" si="132"/>
        <v>135000</v>
      </c>
      <c r="M64" s="229">
        <f t="shared" si="132"/>
        <v>139500</v>
      </c>
      <c r="N64" s="229">
        <f t="shared" si="132"/>
        <v>135000</v>
      </c>
      <c r="O64" s="229">
        <f t="shared" si="132"/>
        <v>139500</v>
      </c>
      <c r="P64" s="230">
        <f t="shared" si="129"/>
        <v>1614600</v>
      </c>
      <c r="Q64" s="230">
        <f t="shared" si="120"/>
        <v>134550</v>
      </c>
      <c r="R64" s="229">
        <f>R62-R63</f>
        <v>167400</v>
      </c>
      <c r="S64" s="229">
        <f t="shared" ref="S64:AC64" si="133">S62-S63</f>
        <v>151200</v>
      </c>
      <c r="T64" s="229">
        <f t="shared" si="133"/>
        <v>167400</v>
      </c>
      <c r="U64" s="229">
        <f t="shared" si="133"/>
        <v>162000</v>
      </c>
      <c r="V64" s="229">
        <f t="shared" si="133"/>
        <v>167400</v>
      </c>
      <c r="W64" s="229">
        <f t="shared" si="133"/>
        <v>162000</v>
      </c>
      <c r="X64" s="229">
        <f t="shared" si="133"/>
        <v>167400</v>
      </c>
      <c r="Y64" s="229">
        <f t="shared" si="133"/>
        <v>167400</v>
      </c>
      <c r="Z64" s="229">
        <f t="shared" si="133"/>
        <v>162000</v>
      </c>
      <c r="AA64" s="229">
        <f t="shared" si="133"/>
        <v>167400</v>
      </c>
      <c r="AB64" s="229">
        <f t="shared" si="133"/>
        <v>162000</v>
      </c>
      <c r="AC64" s="229">
        <f t="shared" si="133"/>
        <v>167400</v>
      </c>
      <c r="AD64" s="230">
        <f t="shared" si="122"/>
        <v>1971000</v>
      </c>
      <c r="AE64" s="230">
        <f t="shared" si="123"/>
        <v>164250</v>
      </c>
      <c r="AF64" s="229">
        <f>AF62-AF63</f>
        <v>181350</v>
      </c>
      <c r="AG64" s="229">
        <f t="shared" ref="AG64:AQ64" si="134">AG62-AG63</f>
        <v>163800</v>
      </c>
      <c r="AH64" s="229">
        <f t="shared" si="134"/>
        <v>181350</v>
      </c>
      <c r="AI64" s="229">
        <f t="shared" si="134"/>
        <v>175500</v>
      </c>
      <c r="AJ64" s="229">
        <f t="shared" si="134"/>
        <v>181350</v>
      </c>
      <c r="AK64" s="229">
        <f t="shared" si="134"/>
        <v>175500</v>
      </c>
      <c r="AL64" s="229">
        <f t="shared" si="134"/>
        <v>181350</v>
      </c>
      <c r="AM64" s="229">
        <f t="shared" si="134"/>
        <v>181350</v>
      </c>
      <c r="AN64" s="229">
        <f t="shared" si="134"/>
        <v>175500</v>
      </c>
      <c r="AO64" s="229">
        <f t="shared" si="134"/>
        <v>181350</v>
      </c>
      <c r="AP64" s="229">
        <f t="shared" si="134"/>
        <v>175500</v>
      </c>
      <c r="AQ64" s="229">
        <f t="shared" si="134"/>
        <v>181350</v>
      </c>
      <c r="AR64" s="230">
        <f t="shared" si="125"/>
        <v>2135250</v>
      </c>
      <c r="AS64" s="230">
        <f t="shared" si="126"/>
        <v>177937.5</v>
      </c>
      <c r="AT64" s="231">
        <f t="shared" si="127"/>
        <v>5720850</v>
      </c>
      <c r="AW64" s="163" t="s">
        <v>15</v>
      </c>
      <c r="AX64" s="163" t="s">
        <v>248</v>
      </c>
    </row>
    <row r="65" spans="1:50" s="236" customFormat="1" x14ac:dyDescent="0.4">
      <c r="A65" s="233" t="str">
        <f>CHOOSE('Вхідні дані'!$S$1,AW53,AX53)</f>
        <v>- Інвестиції</v>
      </c>
      <c r="B65" s="234" t="str">
        <f>CHOOSE('Вхідні дані'!$M$1,'Вхідні дані'!$N$1,'Вхідні дані'!$N$2,'Вхідні дані'!$N$3,'Вхідні дані'!$N$4)</f>
        <v>UAH</v>
      </c>
      <c r="C65" s="235">
        <f t="shared" ref="C65:O65" si="135">C35</f>
        <v>532133</v>
      </c>
      <c r="D65" s="235">
        <f t="shared" si="135"/>
        <v>0</v>
      </c>
      <c r="E65" s="235">
        <f t="shared" si="135"/>
        <v>0</v>
      </c>
      <c r="F65" s="235">
        <f t="shared" si="135"/>
        <v>0</v>
      </c>
      <c r="G65" s="235">
        <f t="shared" si="135"/>
        <v>0</v>
      </c>
      <c r="H65" s="235">
        <f t="shared" si="135"/>
        <v>0</v>
      </c>
      <c r="I65" s="235">
        <f t="shared" si="135"/>
        <v>0</v>
      </c>
      <c r="J65" s="235">
        <f t="shared" si="135"/>
        <v>0</v>
      </c>
      <c r="K65" s="235">
        <f t="shared" si="135"/>
        <v>0</v>
      </c>
      <c r="L65" s="235">
        <f t="shared" si="135"/>
        <v>0</v>
      </c>
      <c r="M65" s="235">
        <f t="shared" si="135"/>
        <v>0</v>
      </c>
      <c r="N65" s="235">
        <f t="shared" si="135"/>
        <v>0</v>
      </c>
      <c r="O65" s="235">
        <f t="shared" si="135"/>
        <v>0</v>
      </c>
      <c r="P65" s="230">
        <f t="shared" si="129"/>
        <v>532133</v>
      </c>
      <c r="Q65" s="230"/>
      <c r="R65" s="235">
        <f t="shared" ref="R65:AC65" si="136">R35</f>
        <v>0</v>
      </c>
      <c r="S65" s="235">
        <f t="shared" si="136"/>
        <v>0</v>
      </c>
      <c r="T65" s="235">
        <f t="shared" si="136"/>
        <v>0</v>
      </c>
      <c r="U65" s="235">
        <f t="shared" si="136"/>
        <v>0</v>
      </c>
      <c r="V65" s="235">
        <f t="shared" si="136"/>
        <v>0</v>
      </c>
      <c r="W65" s="235">
        <f t="shared" si="136"/>
        <v>0</v>
      </c>
      <c r="X65" s="235">
        <f t="shared" si="136"/>
        <v>0</v>
      </c>
      <c r="Y65" s="235">
        <f t="shared" si="136"/>
        <v>0</v>
      </c>
      <c r="Z65" s="235">
        <f t="shared" si="136"/>
        <v>0</v>
      </c>
      <c r="AA65" s="235">
        <f t="shared" si="136"/>
        <v>0</v>
      </c>
      <c r="AB65" s="235">
        <f t="shared" si="136"/>
        <v>0</v>
      </c>
      <c r="AC65" s="235">
        <f t="shared" si="136"/>
        <v>0</v>
      </c>
      <c r="AD65" s="230">
        <f t="shared" si="122"/>
        <v>0</v>
      </c>
      <c r="AE65" s="230"/>
      <c r="AF65" s="235">
        <f t="shared" ref="AF65:AQ65" si="137">AF35</f>
        <v>0</v>
      </c>
      <c r="AG65" s="235">
        <f t="shared" si="137"/>
        <v>0</v>
      </c>
      <c r="AH65" s="235">
        <f t="shared" si="137"/>
        <v>0</v>
      </c>
      <c r="AI65" s="235">
        <f t="shared" si="137"/>
        <v>0</v>
      </c>
      <c r="AJ65" s="235">
        <f t="shared" si="137"/>
        <v>0</v>
      </c>
      <c r="AK65" s="235">
        <f t="shared" si="137"/>
        <v>0</v>
      </c>
      <c r="AL65" s="235">
        <f t="shared" si="137"/>
        <v>0</v>
      </c>
      <c r="AM65" s="235">
        <f t="shared" si="137"/>
        <v>0</v>
      </c>
      <c r="AN65" s="235">
        <f t="shared" si="137"/>
        <v>0</v>
      </c>
      <c r="AO65" s="235">
        <f t="shared" si="137"/>
        <v>0</v>
      </c>
      <c r="AP65" s="235">
        <f t="shared" si="137"/>
        <v>0</v>
      </c>
      <c r="AQ65" s="235">
        <f t="shared" si="137"/>
        <v>0</v>
      </c>
      <c r="AR65" s="230">
        <f t="shared" si="125"/>
        <v>0</v>
      </c>
      <c r="AS65" s="230"/>
      <c r="AT65" s="231">
        <f t="shared" si="127"/>
        <v>532133</v>
      </c>
      <c r="AW65" s="163" t="s">
        <v>16</v>
      </c>
      <c r="AX65" s="163" t="s">
        <v>249</v>
      </c>
    </row>
    <row r="66" spans="1:50" s="183" customFormat="1" x14ac:dyDescent="0.4">
      <c r="A66" s="232" t="str">
        <f>CHOOSE('Вхідні дані'!$S$1,AW56,AX56)</f>
        <v>- Поточні витрати</v>
      </c>
      <c r="B66" s="204" t="str">
        <f>CHOOSE('Вхідні дані'!$M$1,'Вхідні дані'!$N$1,'Вхідні дані'!$N$2,'Вхідні дані'!$N$3,'Вхідні дані'!$N$4)</f>
        <v>UAH</v>
      </c>
      <c r="C66" s="229">
        <f t="shared" ref="C66:O66" si="138">C59</f>
        <v>0</v>
      </c>
      <c r="D66" s="229">
        <f t="shared" si="138"/>
        <v>80160</v>
      </c>
      <c r="E66" s="229">
        <f t="shared" si="138"/>
        <v>77100</v>
      </c>
      <c r="F66" s="229">
        <f t="shared" si="138"/>
        <v>81787.5</v>
      </c>
      <c r="G66" s="229">
        <f t="shared" si="138"/>
        <v>80225</v>
      </c>
      <c r="H66" s="229">
        <f t="shared" si="138"/>
        <v>81787.5</v>
      </c>
      <c r="I66" s="229">
        <f t="shared" si="138"/>
        <v>80225</v>
      </c>
      <c r="J66" s="229">
        <f t="shared" si="138"/>
        <v>81787.5</v>
      </c>
      <c r="K66" s="229">
        <f t="shared" si="138"/>
        <v>81787.5</v>
      </c>
      <c r="L66" s="229">
        <f t="shared" si="138"/>
        <v>80225</v>
      </c>
      <c r="M66" s="229">
        <f t="shared" si="138"/>
        <v>81787.5</v>
      </c>
      <c r="N66" s="229">
        <f t="shared" si="138"/>
        <v>80225</v>
      </c>
      <c r="O66" s="229">
        <f t="shared" si="138"/>
        <v>81787.5</v>
      </c>
      <c r="P66" s="230">
        <f t="shared" si="129"/>
        <v>968885</v>
      </c>
      <c r="Q66" s="230">
        <f t="shared" si="120"/>
        <v>80740.416666666672</v>
      </c>
      <c r="R66" s="229">
        <f t="shared" ref="R66:AC66" si="139">R59</f>
        <v>83415</v>
      </c>
      <c r="S66" s="229">
        <f t="shared" si="139"/>
        <v>78570</v>
      </c>
      <c r="T66" s="229">
        <f t="shared" si="139"/>
        <v>83415</v>
      </c>
      <c r="U66" s="229">
        <f t="shared" si="139"/>
        <v>81800</v>
      </c>
      <c r="V66" s="229">
        <f t="shared" si="139"/>
        <v>83415</v>
      </c>
      <c r="W66" s="229">
        <f t="shared" si="139"/>
        <v>81800</v>
      </c>
      <c r="X66" s="229">
        <f t="shared" si="139"/>
        <v>83415</v>
      </c>
      <c r="Y66" s="229">
        <f t="shared" si="139"/>
        <v>83415</v>
      </c>
      <c r="Z66" s="229">
        <f t="shared" si="139"/>
        <v>81800</v>
      </c>
      <c r="AA66" s="229">
        <f t="shared" si="139"/>
        <v>83415</v>
      </c>
      <c r="AB66" s="229">
        <f t="shared" si="139"/>
        <v>81800</v>
      </c>
      <c r="AC66" s="229">
        <f t="shared" si="139"/>
        <v>83415</v>
      </c>
      <c r="AD66" s="230">
        <f t="shared" si="122"/>
        <v>989675</v>
      </c>
      <c r="AE66" s="230">
        <f t="shared" si="123"/>
        <v>82472.916666666672</v>
      </c>
      <c r="AF66" s="229">
        <f t="shared" ref="AF66:AQ66" si="140">AF59</f>
        <v>84228.75</v>
      </c>
      <c r="AG66" s="229">
        <f t="shared" si="140"/>
        <v>79305</v>
      </c>
      <c r="AH66" s="229">
        <f t="shared" si="140"/>
        <v>84228.75</v>
      </c>
      <c r="AI66" s="229">
        <f t="shared" si="140"/>
        <v>82587.5</v>
      </c>
      <c r="AJ66" s="229">
        <f t="shared" si="140"/>
        <v>84228.75</v>
      </c>
      <c r="AK66" s="229">
        <f t="shared" si="140"/>
        <v>82587.5</v>
      </c>
      <c r="AL66" s="229">
        <f t="shared" si="140"/>
        <v>84228.75</v>
      </c>
      <c r="AM66" s="229">
        <f t="shared" si="140"/>
        <v>84228.75</v>
      </c>
      <c r="AN66" s="229">
        <f t="shared" si="140"/>
        <v>82587.5</v>
      </c>
      <c r="AO66" s="229">
        <f t="shared" si="140"/>
        <v>84228.75</v>
      </c>
      <c r="AP66" s="229">
        <f t="shared" si="140"/>
        <v>82587.5</v>
      </c>
      <c r="AQ66" s="229">
        <f t="shared" si="140"/>
        <v>84228.75</v>
      </c>
      <c r="AR66" s="230">
        <f t="shared" si="125"/>
        <v>999256.25</v>
      </c>
      <c r="AS66" s="230">
        <f t="shared" si="126"/>
        <v>83271.354166666672</v>
      </c>
      <c r="AT66" s="231">
        <f t="shared" si="127"/>
        <v>2957816.25</v>
      </c>
      <c r="AW66" s="163" t="s">
        <v>17</v>
      </c>
      <c r="AX66" s="163" t="s">
        <v>250</v>
      </c>
    </row>
    <row r="67" spans="1:50" s="183" customFormat="1" x14ac:dyDescent="0.4">
      <c r="A67" s="237" t="str">
        <f>CHOOSE('Вхідні дані'!$S$1,AW57,AX57)</f>
        <v xml:space="preserve">Чистий прибуток (збиток) з урахуванням інвестицій </v>
      </c>
      <c r="B67" s="204" t="str">
        <f>CHOOSE('Вхідні дані'!$M$1,'Вхідні дані'!$N$1,'Вхідні дані'!$N$2,'Вхідні дані'!$N$3,'Вхідні дані'!$N$4)</f>
        <v>UAH</v>
      </c>
      <c r="C67" s="229">
        <f>C64-C65-C66</f>
        <v>-532133</v>
      </c>
      <c r="D67" s="229">
        <f>D64-D65-D66</f>
        <v>31440</v>
      </c>
      <c r="E67" s="229">
        <f>E64-E65-E66</f>
        <v>48900</v>
      </c>
      <c r="F67" s="229">
        <f t="shared" ref="F67:O67" si="141">F64-F65-F66</f>
        <v>57712.5</v>
      </c>
      <c r="G67" s="229">
        <f t="shared" si="141"/>
        <v>54775</v>
      </c>
      <c r="H67" s="229">
        <f t="shared" si="141"/>
        <v>57712.5</v>
      </c>
      <c r="I67" s="229">
        <f t="shared" si="141"/>
        <v>54775</v>
      </c>
      <c r="J67" s="229">
        <f t="shared" si="141"/>
        <v>57712.5</v>
      </c>
      <c r="K67" s="229">
        <f t="shared" si="141"/>
        <v>57712.5</v>
      </c>
      <c r="L67" s="229">
        <f t="shared" si="141"/>
        <v>54775</v>
      </c>
      <c r="M67" s="229">
        <f t="shared" si="141"/>
        <v>57712.5</v>
      </c>
      <c r="N67" s="229">
        <f t="shared" si="141"/>
        <v>54775</v>
      </c>
      <c r="O67" s="229">
        <f t="shared" si="141"/>
        <v>57712.5</v>
      </c>
      <c r="P67" s="230">
        <f t="shared" si="129"/>
        <v>113582</v>
      </c>
      <c r="Q67" s="230">
        <f t="shared" si="120"/>
        <v>9465.1666666666661</v>
      </c>
      <c r="R67" s="229">
        <f>R64-R65-R66</f>
        <v>83985</v>
      </c>
      <c r="S67" s="229">
        <f>S64-S65-S66</f>
        <v>72630</v>
      </c>
      <c r="T67" s="229">
        <f t="shared" ref="T67:AC67" si="142">T64-T65-T66</f>
        <v>83985</v>
      </c>
      <c r="U67" s="229">
        <f t="shared" si="142"/>
        <v>80200</v>
      </c>
      <c r="V67" s="229">
        <f t="shared" si="142"/>
        <v>83985</v>
      </c>
      <c r="W67" s="229">
        <f t="shared" si="142"/>
        <v>80200</v>
      </c>
      <c r="X67" s="229">
        <f t="shared" si="142"/>
        <v>83985</v>
      </c>
      <c r="Y67" s="229">
        <f t="shared" si="142"/>
        <v>83985</v>
      </c>
      <c r="Z67" s="229">
        <f t="shared" si="142"/>
        <v>80200</v>
      </c>
      <c r="AA67" s="229">
        <f t="shared" si="142"/>
        <v>83985</v>
      </c>
      <c r="AB67" s="229">
        <f t="shared" si="142"/>
        <v>80200</v>
      </c>
      <c r="AC67" s="229">
        <f t="shared" si="142"/>
        <v>83985</v>
      </c>
      <c r="AD67" s="230">
        <f t="shared" si="122"/>
        <v>981325</v>
      </c>
      <c r="AE67" s="230">
        <f t="shared" si="123"/>
        <v>81777.083333333328</v>
      </c>
      <c r="AF67" s="229">
        <f>AF64-AF65-AF66</f>
        <v>97121.25</v>
      </c>
      <c r="AG67" s="229">
        <f>AG64-AG65-AG66</f>
        <v>84495</v>
      </c>
      <c r="AH67" s="229">
        <f t="shared" ref="AH67:AQ67" si="143">AH64-AH65-AH66</f>
        <v>97121.25</v>
      </c>
      <c r="AI67" s="229">
        <f t="shared" si="143"/>
        <v>92912.5</v>
      </c>
      <c r="AJ67" s="229">
        <f t="shared" si="143"/>
        <v>97121.25</v>
      </c>
      <c r="AK67" s="229">
        <f t="shared" si="143"/>
        <v>92912.5</v>
      </c>
      <c r="AL67" s="229">
        <f t="shared" si="143"/>
        <v>97121.25</v>
      </c>
      <c r="AM67" s="229">
        <f t="shared" si="143"/>
        <v>97121.25</v>
      </c>
      <c r="AN67" s="229">
        <f t="shared" si="143"/>
        <v>92912.5</v>
      </c>
      <c r="AO67" s="229">
        <f t="shared" si="143"/>
        <v>97121.25</v>
      </c>
      <c r="AP67" s="229">
        <f t="shared" si="143"/>
        <v>92912.5</v>
      </c>
      <c r="AQ67" s="229">
        <f t="shared" si="143"/>
        <v>97121.25</v>
      </c>
      <c r="AR67" s="230">
        <f t="shared" si="125"/>
        <v>1135993.75</v>
      </c>
      <c r="AS67" s="230">
        <f t="shared" si="126"/>
        <v>94666.145833333328</v>
      </c>
      <c r="AT67" s="231">
        <f t="shared" si="127"/>
        <v>2230900.75</v>
      </c>
      <c r="AW67" s="163" t="s">
        <v>81</v>
      </c>
      <c r="AX67" s="163" t="s">
        <v>161</v>
      </c>
    </row>
    <row r="68" spans="1:50" s="183" customFormat="1" x14ac:dyDescent="0.4">
      <c r="A68" s="238" t="str">
        <f>CHOOSE('Вхідні дані'!$S$1,AW58,AX58)</f>
        <v xml:space="preserve">Чистий прибуток (збиток) без урахуванням інвестицій </v>
      </c>
      <c r="B68" s="204" t="str">
        <f>CHOOSE('Вхідні дані'!$M$1,'Вхідні дані'!$N$1,'Вхідні дані'!$N$2,'Вхідні дані'!$N$3,'Вхідні дані'!$N$4)</f>
        <v>UAH</v>
      </c>
      <c r="C68" s="229">
        <f t="shared" ref="C68:O68" si="144">C64-C66</f>
        <v>0</v>
      </c>
      <c r="D68" s="229">
        <f t="shared" si="144"/>
        <v>31440</v>
      </c>
      <c r="E68" s="229">
        <f t="shared" si="144"/>
        <v>48900</v>
      </c>
      <c r="F68" s="229">
        <f t="shared" si="144"/>
        <v>57712.5</v>
      </c>
      <c r="G68" s="229">
        <f t="shared" si="144"/>
        <v>54775</v>
      </c>
      <c r="H68" s="229">
        <f t="shared" si="144"/>
        <v>57712.5</v>
      </c>
      <c r="I68" s="229">
        <f t="shared" si="144"/>
        <v>54775</v>
      </c>
      <c r="J68" s="229">
        <f t="shared" si="144"/>
        <v>57712.5</v>
      </c>
      <c r="K68" s="229">
        <f t="shared" si="144"/>
        <v>57712.5</v>
      </c>
      <c r="L68" s="229">
        <f t="shared" si="144"/>
        <v>54775</v>
      </c>
      <c r="M68" s="229">
        <f t="shared" si="144"/>
        <v>57712.5</v>
      </c>
      <c r="N68" s="229">
        <f t="shared" si="144"/>
        <v>54775</v>
      </c>
      <c r="O68" s="229">
        <f t="shared" si="144"/>
        <v>57712.5</v>
      </c>
      <c r="P68" s="230">
        <f t="shared" si="129"/>
        <v>645715</v>
      </c>
      <c r="Q68" s="230">
        <f t="shared" si="120"/>
        <v>53809.583333333336</v>
      </c>
      <c r="R68" s="229">
        <f t="shared" ref="R68:AC68" si="145">R64-R66</f>
        <v>83985</v>
      </c>
      <c r="S68" s="229">
        <f t="shared" si="145"/>
        <v>72630</v>
      </c>
      <c r="T68" s="229">
        <f t="shared" si="145"/>
        <v>83985</v>
      </c>
      <c r="U68" s="229">
        <f t="shared" si="145"/>
        <v>80200</v>
      </c>
      <c r="V68" s="229">
        <f t="shared" si="145"/>
        <v>83985</v>
      </c>
      <c r="W68" s="229">
        <f t="shared" si="145"/>
        <v>80200</v>
      </c>
      <c r="X68" s="229">
        <f t="shared" si="145"/>
        <v>83985</v>
      </c>
      <c r="Y68" s="229">
        <f t="shared" si="145"/>
        <v>83985</v>
      </c>
      <c r="Z68" s="229">
        <f t="shared" si="145"/>
        <v>80200</v>
      </c>
      <c r="AA68" s="229">
        <f t="shared" si="145"/>
        <v>83985</v>
      </c>
      <c r="AB68" s="229">
        <f t="shared" si="145"/>
        <v>80200</v>
      </c>
      <c r="AC68" s="229">
        <f t="shared" si="145"/>
        <v>83985</v>
      </c>
      <c r="AD68" s="230">
        <f t="shared" si="122"/>
        <v>981325</v>
      </c>
      <c r="AE68" s="230">
        <f t="shared" si="123"/>
        <v>81777.083333333328</v>
      </c>
      <c r="AF68" s="229">
        <f t="shared" ref="AF68:AQ68" si="146">AF64-AF66</f>
        <v>97121.25</v>
      </c>
      <c r="AG68" s="229">
        <f t="shared" si="146"/>
        <v>84495</v>
      </c>
      <c r="AH68" s="229">
        <f t="shared" si="146"/>
        <v>97121.25</v>
      </c>
      <c r="AI68" s="229">
        <f t="shared" si="146"/>
        <v>92912.5</v>
      </c>
      <c r="AJ68" s="229">
        <f t="shared" si="146"/>
        <v>97121.25</v>
      </c>
      <c r="AK68" s="229">
        <f t="shared" si="146"/>
        <v>92912.5</v>
      </c>
      <c r="AL68" s="229">
        <f t="shared" si="146"/>
        <v>97121.25</v>
      </c>
      <c r="AM68" s="229">
        <f t="shared" si="146"/>
        <v>97121.25</v>
      </c>
      <c r="AN68" s="229">
        <f t="shared" si="146"/>
        <v>92912.5</v>
      </c>
      <c r="AO68" s="229">
        <f t="shared" si="146"/>
        <v>97121.25</v>
      </c>
      <c r="AP68" s="229">
        <f t="shared" si="146"/>
        <v>92912.5</v>
      </c>
      <c r="AQ68" s="229">
        <f t="shared" si="146"/>
        <v>97121.25</v>
      </c>
      <c r="AR68" s="230">
        <f t="shared" si="125"/>
        <v>1135993.75</v>
      </c>
      <c r="AS68" s="230">
        <f t="shared" si="126"/>
        <v>94666.145833333328</v>
      </c>
      <c r="AT68" s="239"/>
      <c r="AW68" s="163" t="str">
        <f>"Чистый денежный поток (NCF), "&amp;CHOOSE('Вхідні дані'!$M$1,'Вхідні дані'!$N$1,'Вхідні дані'!$N$2,'Вхідні дані'!$N$3,'Вхідні дані'!$N$4)&amp;""</f>
        <v>Чистый денежный поток (NCF), UAH</v>
      </c>
      <c r="AX68" s="163" t="str">
        <f>"Чистий грошовий потік (NCF), "&amp;CHOOSE('Вхідні дані'!$M$1,'Вхідні дані'!$N$1,'Вхідні дані'!$N$2,'Вхідні дані'!$N$3,'Вхідні дані'!$N$4)&amp;""</f>
        <v>Чистий грошовий потік (NCF), UAH</v>
      </c>
    </row>
    <row r="69" spans="1:50" s="183" customFormat="1" x14ac:dyDescent="0.4">
      <c r="A69" s="233" t="str">
        <f>CHOOSE('Вхідні дані'!$S$1,AW54,AX54)</f>
        <v>- Прибуток (збиток) накопичувальним підсумком</v>
      </c>
      <c r="B69" s="204" t="str">
        <f>CHOOSE('Вхідні дані'!$M$1,'Вхідні дані'!$N$1,'Вхідні дані'!$N$2,'Вхідні дані'!$N$3,'Вхідні дані'!$N$4)</f>
        <v>UAH</v>
      </c>
      <c r="C69" s="240">
        <f>C67+IF(ISNUMBER(B69),B69,0)</f>
        <v>-532133</v>
      </c>
      <c r="D69" s="240">
        <f>D67+IF(ISNUMBER(C69),C69,0)</f>
        <v>-500693</v>
      </c>
      <c r="E69" s="229">
        <f t="shared" ref="E69:O69" si="147">E67+IF(ISNUMBER(D69),D69,0)</f>
        <v>-451793</v>
      </c>
      <c r="F69" s="229">
        <f t="shared" si="147"/>
        <v>-394080.5</v>
      </c>
      <c r="G69" s="229">
        <f t="shared" si="147"/>
        <v>-339305.5</v>
      </c>
      <c r="H69" s="229">
        <f t="shared" si="147"/>
        <v>-281593</v>
      </c>
      <c r="I69" s="229">
        <f t="shared" si="147"/>
        <v>-226818</v>
      </c>
      <c r="J69" s="229">
        <f t="shared" si="147"/>
        <v>-169105.5</v>
      </c>
      <c r="K69" s="229">
        <f t="shared" si="147"/>
        <v>-111393</v>
      </c>
      <c r="L69" s="229">
        <f t="shared" si="147"/>
        <v>-56618</v>
      </c>
      <c r="M69" s="229">
        <f t="shared" si="147"/>
        <v>1094.5</v>
      </c>
      <c r="N69" s="229">
        <f t="shared" si="147"/>
        <v>55869.5</v>
      </c>
      <c r="O69" s="229">
        <f t="shared" si="147"/>
        <v>113582</v>
      </c>
      <c r="P69" s="230">
        <f>O69</f>
        <v>113582</v>
      </c>
      <c r="Q69" s="230"/>
      <c r="R69" s="229">
        <f>R67+IF(ISNUMBER(O69),O69,0)</f>
        <v>197567</v>
      </c>
      <c r="S69" s="229">
        <f t="shared" ref="S69:AC69" si="148">S67+IF(ISNUMBER(R69),R69,0)</f>
        <v>270197</v>
      </c>
      <c r="T69" s="229">
        <f t="shared" si="148"/>
        <v>354182</v>
      </c>
      <c r="U69" s="229">
        <f t="shared" si="148"/>
        <v>434382</v>
      </c>
      <c r="V69" s="229">
        <f t="shared" si="148"/>
        <v>518367</v>
      </c>
      <c r="W69" s="229">
        <f t="shared" si="148"/>
        <v>598567</v>
      </c>
      <c r="X69" s="229">
        <f t="shared" si="148"/>
        <v>682552</v>
      </c>
      <c r="Y69" s="229">
        <f t="shared" si="148"/>
        <v>766537</v>
      </c>
      <c r="Z69" s="229">
        <f t="shared" si="148"/>
        <v>846737</v>
      </c>
      <c r="AA69" s="229">
        <f t="shared" si="148"/>
        <v>930722</v>
      </c>
      <c r="AB69" s="229">
        <f t="shared" si="148"/>
        <v>1010922</v>
      </c>
      <c r="AC69" s="229">
        <f t="shared" si="148"/>
        <v>1094907</v>
      </c>
      <c r="AD69" s="230">
        <f>AC69</f>
        <v>1094907</v>
      </c>
      <c r="AE69" s="230"/>
      <c r="AF69" s="229">
        <f>AF67+IF(ISNUMBER(AC69),AC69,0)</f>
        <v>1192028.25</v>
      </c>
      <c r="AG69" s="229">
        <f t="shared" ref="AG69:AQ69" si="149">AG67+IF(ISNUMBER(AF69),AF69,0)</f>
        <v>1276523.25</v>
      </c>
      <c r="AH69" s="229">
        <f t="shared" si="149"/>
        <v>1373644.5</v>
      </c>
      <c r="AI69" s="229">
        <f t="shared" si="149"/>
        <v>1466557</v>
      </c>
      <c r="AJ69" s="229">
        <f t="shared" si="149"/>
        <v>1563678.25</v>
      </c>
      <c r="AK69" s="229">
        <f t="shared" si="149"/>
        <v>1656590.75</v>
      </c>
      <c r="AL69" s="229">
        <f t="shared" si="149"/>
        <v>1753712</v>
      </c>
      <c r="AM69" s="229">
        <f t="shared" si="149"/>
        <v>1850833.25</v>
      </c>
      <c r="AN69" s="229">
        <f t="shared" si="149"/>
        <v>1943745.75</v>
      </c>
      <c r="AO69" s="229">
        <f t="shared" si="149"/>
        <v>2040867</v>
      </c>
      <c r="AP69" s="229">
        <f t="shared" si="149"/>
        <v>2133779.5</v>
      </c>
      <c r="AQ69" s="229">
        <f t="shared" si="149"/>
        <v>2230900.75</v>
      </c>
      <c r="AR69" s="230">
        <f>AQ69</f>
        <v>2230900.75</v>
      </c>
      <c r="AS69" s="230"/>
      <c r="AT69" s="239"/>
      <c r="AW69" s="163" t="str">
        <f>"Чистый денежный поток (NCF) нарастающим итогом, "&amp;CHOOSE('Вхідні дані'!$M$1,'Вхідні дані'!$N$1,'Вхідні дані'!$N$2,'Вхідні дані'!$N$3,'Вхідні дані'!$N$4)&amp;""</f>
        <v>Чистый денежный поток (NCF) нарастающим итогом, UAH</v>
      </c>
      <c r="AX69" s="163" t="str">
        <f>"Чистий грошовий потік (NCF) накопичувальним підсумком, "&amp;CHOOSE('Вхідні дані'!$M$1,'Вхідні дані'!$N$1,'Вхідні дані'!$N$2,'Вхідні дані'!$N$3,'Вхідні дані'!$N$4)&amp;""</f>
        <v>Чистий грошовий потік (NCF) накопичувальним підсумком, UAH</v>
      </c>
    </row>
    <row r="70" spans="1:50" s="183" customFormat="1" ht="21.6" thickBot="1" x14ac:dyDescent="0.45">
      <c r="P70" s="199"/>
      <c r="Q70" s="199"/>
      <c r="AD70" s="199"/>
      <c r="AE70" s="199"/>
      <c r="AR70" s="199"/>
      <c r="AS70" s="199"/>
      <c r="AW70" s="163" t="str">
        <f>"Чистая приведенная стоимость (NPV), "&amp;CHOOSE('Вхідні дані'!$M$1,'Вхідні дані'!$N$1,'Вхідні дані'!$N$2,'Вхідні дані'!$N$3,'Вхідні дані'!$N$4)&amp;""</f>
        <v>Чистая приведенная стоимость (NPV), UAH</v>
      </c>
      <c r="AX70" s="163" t="str">
        <f>"Чиста приведена вартість (NPV), "&amp;CHOOSE('Вхідні дані'!$M$1,'Вхідні дані'!$N$1,'Вхідні дані'!$N$2,'Вхідні дані'!$N$3,'Вхідні дані'!$N$4)&amp;""</f>
        <v>Чиста приведена вартість (NPV), UAH</v>
      </c>
    </row>
    <row r="71" spans="1:50" s="183" customFormat="1" ht="43.2" thickTop="1" thickBot="1" x14ac:dyDescent="0.45">
      <c r="A71" s="180" t="str">
        <f>CHOOSE('Вхідні дані'!$S$1,AW55,AX55)</f>
        <v>РУХ ГРОШОВИХ КОШТІВ (КЕШ-ФЛО)</v>
      </c>
      <c r="B71" s="171"/>
      <c r="C71" s="171" t="str">
        <f t="shared" ref="C71:O71" si="150">C$6</f>
        <v>Нульовий період</v>
      </c>
      <c r="D71" s="171" t="str">
        <f t="shared" si="150"/>
        <v>січень</v>
      </c>
      <c r="E71" s="171" t="str">
        <f t="shared" si="150"/>
        <v>лютий</v>
      </c>
      <c r="F71" s="171" t="str">
        <f t="shared" si="150"/>
        <v>березень</v>
      </c>
      <c r="G71" s="171" t="str">
        <f t="shared" si="150"/>
        <v>квітень</v>
      </c>
      <c r="H71" s="171" t="str">
        <f t="shared" si="150"/>
        <v>травень</v>
      </c>
      <c r="I71" s="171" t="str">
        <f t="shared" si="150"/>
        <v>червень</v>
      </c>
      <c r="J71" s="171" t="str">
        <f t="shared" si="150"/>
        <v>липень</v>
      </c>
      <c r="K71" s="171" t="str">
        <f t="shared" si="150"/>
        <v>серпень</v>
      </c>
      <c r="L71" s="171" t="str">
        <f t="shared" si="150"/>
        <v>вересень</v>
      </c>
      <c r="M71" s="171" t="str">
        <f t="shared" si="150"/>
        <v>жовтень</v>
      </c>
      <c r="N71" s="171" t="str">
        <f t="shared" si="150"/>
        <v>листопад</v>
      </c>
      <c r="O71" s="171" t="str">
        <f t="shared" si="150"/>
        <v>грудень</v>
      </c>
      <c r="P71" s="201" t="str">
        <f>$P$16</f>
        <v>Разом за 1-й рік</v>
      </c>
      <c r="Q71" s="201" t="str">
        <f>$Q$16</f>
        <v>Середньомісячно за 1-й рік</v>
      </c>
      <c r="R71" s="171" t="str">
        <f t="shared" ref="R71:AC71" si="151">R$6</f>
        <v>січень</v>
      </c>
      <c r="S71" s="171" t="str">
        <f t="shared" si="151"/>
        <v>лютий</v>
      </c>
      <c r="T71" s="171" t="str">
        <f t="shared" si="151"/>
        <v>березень</v>
      </c>
      <c r="U71" s="171" t="str">
        <f t="shared" si="151"/>
        <v>квітень</v>
      </c>
      <c r="V71" s="171" t="str">
        <f t="shared" si="151"/>
        <v>травень</v>
      </c>
      <c r="W71" s="171" t="str">
        <f t="shared" si="151"/>
        <v>червень</v>
      </c>
      <c r="X71" s="171" t="str">
        <f t="shared" si="151"/>
        <v>липень</v>
      </c>
      <c r="Y71" s="171" t="str">
        <f t="shared" si="151"/>
        <v>серпень</v>
      </c>
      <c r="Z71" s="171" t="str">
        <f t="shared" si="151"/>
        <v>вересень</v>
      </c>
      <c r="AA71" s="171" t="str">
        <f t="shared" si="151"/>
        <v>жовтень</v>
      </c>
      <c r="AB71" s="171" t="str">
        <f t="shared" si="151"/>
        <v>листопад</v>
      </c>
      <c r="AC71" s="171" t="str">
        <f t="shared" si="151"/>
        <v>грудень</v>
      </c>
      <c r="AD71" s="201" t="str">
        <f>AD61</f>
        <v>Разом за 2-й рік</v>
      </c>
      <c r="AE71" s="201" t="str">
        <f>AE61</f>
        <v>Середньомісячно за 2-й рік</v>
      </c>
      <c r="AF71" s="171" t="str">
        <f t="shared" ref="AF71:AQ71" si="152">AF$6</f>
        <v>січень</v>
      </c>
      <c r="AG71" s="171" t="str">
        <f t="shared" si="152"/>
        <v>лютий</v>
      </c>
      <c r="AH71" s="171" t="str">
        <f t="shared" si="152"/>
        <v>березень</v>
      </c>
      <c r="AI71" s="171" t="str">
        <f t="shared" si="152"/>
        <v>квітень</v>
      </c>
      <c r="AJ71" s="171" t="str">
        <f t="shared" si="152"/>
        <v>травень</v>
      </c>
      <c r="AK71" s="171" t="str">
        <f t="shared" si="152"/>
        <v>червень</v>
      </c>
      <c r="AL71" s="171" t="str">
        <f t="shared" si="152"/>
        <v>липень</v>
      </c>
      <c r="AM71" s="171" t="str">
        <f t="shared" si="152"/>
        <v>серпень</v>
      </c>
      <c r="AN71" s="171" t="str">
        <f t="shared" si="152"/>
        <v>вересень</v>
      </c>
      <c r="AO71" s="171" t="str">
        <f t="shared" si="152"/>
        <v>жовтень</v>
      </c>
      <c r="AP71" s="171" t="str">
        <f t="shared" si="152"/>
        <v>листопад</v>
      </c>
      <c r="AQ71" s="171" t="str">
        <f t="shared" si="152"/>
        <v>грудень</v>
      </c>
      <c r="AR71" s="201" t="str">
        <f>AR61</f>
        <v>Разом за 3-й рік</v>
      </c>
      <c r="AS71" s="201" t="str">
        <f>AS61</f>
        <v>Середньомісячно за 3-й рік</v>
      </c>
      <c r="AT71" s="227" t="str">
        <f>AT61</f>
        <v>Разом за три роки</v>
      </c>
      <c r="AW71" s="163" t="str">
        <f>"Чистая приведенная стоимость (NPV) нарастающим итогом, "&amp;CHOOSE('Вхідні дані'!$M$1,'Вхідні дані'!$N$1,'Вхідні дані'!$N$2,'Вхідні дані'!$N$3,'Вхідні дані'!$N$4)&amp;""</f>
        <v>Чистая приведенная стоимость (NPV) нарастающим итогом, UAH</v>
      </c>
      <c r="AX71" s="163" t="str">
        <f>"Чиста приведена вартість (NPV) накопичувальним підсумком, "&amp;CHOOSE('Вхідні дані'!$M$1,'Вхідні дані'!$N$1,'Вхідні дані'!$N$2,'Вхідні дані'!$N$3,'Вхідні дані'!$N$4)&amp;""</f>
        <v>Чиста приведена вартість (NPV) накопичувальним підсумком, UAH</v>
      </c>
    </row>
    <row r="72" spans="1:50" s="190" customFormat="1" ht="21.6" thickTop="1" x14ac:dyDescent="0.4">
      <c r="A72" s="241" t="str">
        <f>CHOOSE('Вхідні дані'!$S$1,AW59,AX59)</f>
        <v>Надходження від основної діяльності</v>
      </c>
      <c r="B72" s="204" t="str">
        <f>CHOOSE('Вхідні дані'!$M$1,'Вхідні дані'!$N$1,'Вхідні дані'!$N$2,'Вхідні дані'!$N$3,'Вхідні дані'!$N$4)</f>
        <v>UAH</v>
      </c>
      <c r="C72" s="205">
        <f t="shared" ref="C72:O72" si="153">C62</f>
        <v>0</v>
      </c>
      <c r="D72" s="205">
        <f t="shared" si="153"/>
        <v>186000</v>
      </c>
      <c r="E72" s="205">
        <f t="shared" si="153"/>
        <v>210000</v>
      </c>
      <c r="F72" s="205">
        <f t="shared" si="153"/>
        <v>232500</v>
      </c>
      <c r="G72" s="205">
        <f t="shared" si="153"/>
        <v>225000</v>
      </c>
      <c r="H72" s="205">
        <f t="shared" si="153"/>
        <v>232500</v>
      </c>
      <c r="I72" s="205">
        <f t="shared" si="153"/>
        <v>225000</v>
      </c>
      <c r="J72" s="205">
        <f t="shared" si="153"/>
        <v>232500</v>
      </c>
      <c r="K72" s="205">
        <f t="shared" si="153"/>
        <v>232500</v>
      </c>
      <c r="L72" s="205">
        <f t="shared" si="153"/>
        <v>225000</v>
      </c>
      <c r="M72" s="205">
        <f t="shared" si="153"/>
        <v>232500</v>
      </c>
      <c r="N72" s="205">
        <f t="shared" si="153"/>
        <v>225000</v>
      </c>
      <c r="O72" s="205">
        <f t="shared" si="153"/>
        <v>232500</v>
      </c>
      <c r="P72" s="206">
        <f>SUM(C72:O72)</f>
        <v>2691000</v>
      </c>
      <c r="Q72" s="206">
        <f>P72/12</f>
        <v>224250</v>
      </c>
      <c r="R72" s="205">
        <f t="shared" ref="R72:AC72" si="154">R62</f>
        <v>279000</v>
      </c>
      <c r="S72" s="205">
        <f t="shared" si="154"/>
        <v>252000</v>
      </c>
      <c r="T72" s="205">
        <f t="shared" si="154"/>
        <v>279000</v>
      </c>
      <c r="U72" s="205">
        <f t="shared" si="154"/>
        <v>270000</v>
      </c>
      <c r="V72" s="205">
        <f t="shared" si="154"/>
        <v>279000</v>
      </c>
      <c r="W72" s="205">
        <f t="shared" si="154"/>
        <v>270000</v>
      </c>
      <c r="X72" s="205">
        <f t="shared" si="154"/>
        <v>279000</v>
      </c>
      <c r="Y72" s="205">
        <f t="shared" si="154"/>
        <v>279000</v>
      </c>
      <c r="Z72" s="205">
        <f t="shared" si="154"/>
        <v>270000</v>
      </c>
      <c r="AA72" s="205">
        <f t="shared" si="154"/>
        <v>279000</v>
      </c>
      <c r="AB72" s="205">
        <f t="shared" si="154"/>
        <v>270000</v>
      </c>
      <c r="AC72" s="205">
        <f t="shared" si="154"/>
        <v>279000</v>
      </c>
      <c r="AD72" s="206">
        <f>SUM(R72:AC72)</f>
        <v>3285000</v>
      </c>
      <c r="AE72" s="206">
        <f>AD72/12</f>
        <v>273750</v>
      </c>
      <c r="AF72" s="205">
        <f t="shared" ref="AF72:AQ72" si="155">AF62</f>
        <v>302250</v>
      </c>
      <c r="AG72" s="205">
        <f t="shared" si="155"/>
        <v>273000</v>
      </c>
      <c r="AH72" s="205">
        <f t="shared" si="155"/>
        <v>302250</v>
      </c>
      <c r="AI72" s="205">
        <f t="shared" si="155"/>
        <v>292500</v>
      </c>
      <c r="AJ72" s="205">
        <f t="shared" si="155"/>
        <v>302250</v>
      </c>
      <c r="AK72" s="205">
        <f t="shared" si="155"/>
        <v>292500</v>
      </c>
      <c r="AL72" s="205">
        <f t="shared" si="155"/>
        <v>302250</v>
      </c>
      <c r="AM72" s="205">
        <f t="shared" si="155"/>
        <v>302250</v>
      </c>
      <c r="AN72" s="205">
        <f t="shared" si="155"/>
        <v>292500</v>
      </c>
      <c r="AO72" s="205">
        <f t="shared" si="155"/>
        <v>302250</v>
      </c>
      <c r="AP72" s="205">
        <f t="shared" si="155"/>
        <v>292500</v>
      </c>
      <c r="AQ72" s="205">
        <f t="shared" si="155"/>
        <v>302250</v>
      </c>
      <c r="AR72" s="206">
        <f>SUM(AF72:AQ72)</f>
        <v>3558750</v>
      </c>
      <c r="AS72" s="206">
        <f>AR72/12</f>
        <v>296562.5</v>
      </c>
      <c r="AT72" s="242">
        <f>P72+AD72+AR72</f>
        <v>9534750</v>
      </c>
      <c r="AW72" s="163" t="str">
        <f>"Чистая приведенная стоимость (NPV) на конец 3-го года, "&amp;CHOOSE('Вхідні дані'!$M$1,'Вхідні дані'!$N$1,'Вхідні дані'!$N$2,'Вхідні дані'!$N$3,'Вхідні дані'!$N$4)&amp;""</f>
        <v>Чистая приведенная стоимость (NPV) на конец 3-го года, UAH</v>
      </c>
      <c r="AX72" s="163" t="str">
        <f>"Чиста приведена вартість (NPV) на кінець 3-го року, "&amp;CHOOSE('Вхідні дані'!$M$1,'Вхідні дані'!$N$1,'Вхідні дані'!$N$2,'Вхідні дані'!$N$3,'Вхідні дані'!$N$4)&amp;""</f>
        <v>Чиста приведена вартість (NPV) на кінець 3-го року, UAH</v>
      </c>
    </row>
    <row r="73" spans="1:50" s="190" customFormat="1" x14ac:dyDescent="0.4">
      <c r="A73" s="241" t="str">
        <f>CHOOSE('Вхідні дані'!$S$1,AW60,AX60)</f>
        <v>Поточні витрати</v>
      </c>
      <c r="B73" s="204" t="str">
        <f>CHOOSE('Вхідні дані'!$M$1,'Вхідні дані'!$N$1,'Вхідні дані'!$N$2,'Вхідні дані'!$N$3,'Вхідні дані'!$N$4)</f>
        <v>UAH</v>
      </c>
      <c r="C73" s="243">
        <f t="shared" ref="C73:O73" si="156">-(C59+C22)</f>
        <v>0</v>
      </c>
      <c r="D73" s="243">
        <f t="shared" si="156"/>
        <v>-154560</v>
      </c>
      <c r="E73" s="243">
        <f t="shared" si="156"/>
        <v>-161100</v>
      </c>
      <c r="F73" s="243">
        <f t="shared" si="156"/>
        <v>-174787.5</v>
      </c>
      <c r="G73" s="243">
        <f t="shared" si="156"/>
        <v>-170225</v>
      </c>
      <c r="H73" s="243">
        <f t="shared" si="156"/>
        <v>-174787.5</v>
      </c>
      <c r="I73" s="243">
        <f t="shared" si="156"/>
        <v>-170225</v>
      </c>
      <c r="J73" s="243">
        <f t="shared" si="156"/>
        <v>-174787.5</v>
      </c>
      <c r="K73" s="243">
        <f t="shared" si="156"/>
        <v>-174787.5</v>
      </c>
      <c r="L73" s="243">
        <f t="shared" si="156"/>
        <v>-170225</v>
      </c>
      <c r="M73" s="243">
        <f t="shared" si="156"/>
        <v>-174787.5</v>
      </c>
      <c r="N73" s="243">
        <f t="shared" si="156"/>
        <v>-170225</v>
      </c>
      <c r="O73" s="243">
        <f t="shared" si="156"/>
        <v>-174787.5</v>
      </c>
      <c r="P73" s="206">
        <f t="shared" ref="P73:P76" si="157">SUM(C73:O73)</f>
        <v>-2045285</v>
      </c>
      <c r="Q73" s="206">
        <f>P73/12</f>
        <v>-170440.41666666666</v>
      </c>
      <c r="R73" s="243">
        <f t="shared" ref="R73:AC73" si="158">-(R59+R22)</f>
        <v>-195015</v>
      </c>
      <c r="S73" s="243">
        <f t="shared" si="158"/>
        <v>-179370</v>
      </c>
      <c r="T73" s="243">
        <f t="shared" si="158"/>
        <v>-195015</v>
      </c>
      <c r="U73" s="243">
        <f t="shared" si="158"/>
        <v>-189800</v>
      </c>
      <c r="V73" s="243">
        <f t="shared" si="158"/>
        <v>-195015</v>
      </c>
      <c r="W73" s="243">
        <f t="shared" si="158"/>
        <v>-189800</v>
      </c>
      <c r="X73" s="243">
        <f t="shared" si="158"/>
        <v>-195015</v>
      </c>
      <c r="Y73" s="243">
        <f t="shared" si="158"/>
        <v>-195015</v>
      </c>
      <c r="Z73" s="243">
        <f t="shared" si="158"/>
        <v>-189800</v>
      </c>
      <c r="AA73" s="243">
        <f t="shared" si="158"/>
        <v>-195015</v>
      </c>
      <c r="AB73" s="243">
        <f t="shared" si="158"/>
        <v>-189800</v>
      </c>
      <c r="AC73" s="243">
        <f t="shared" si="158"/>
        <v>-195015</v>
      </c>
      <c r="AD73" s="206">
        <f>SUM(R73:AC73)</f>
        <v>-2303675</v>
      </c>
      <c r="AE73" s="206">
        <f>AD73/12</f>
        <v>-191972.91666666666</v>
      </c>
      <c r="AF73" s="243">
        <f t="shared" ref="AF73:AQ73" si="159">-(AF59+AF22)</f>
        <v>-205128.75</v>
      </c>
      <c r="AG73" s="243">
        <f t="shared" si="159"/>
        <v>-188505</v>
      </c>
      <c r="AH73" s="243">
        <f t="shared" si="159"/>
        <v>-205128.75</v>
      </c>
      <c r="AI73" s="243">
        <f t="shared" si="159"/>
        <v>-199587.5</v>
      </c>
      <c r="AJ73" s="243">
        <f t="shared" si="159"/>
        <v>-205128.75</v>
      </c>
      <c r="AK73" s="243">
        <f t="shared" si="159"/>
        <v>-199587.5</v>
      </c>
      <c r="AL73" s="243">
        <f t="shared" si="159"/>
        <v>-205128.75</v>
      </c>
      <c r="AM73" s="243">
        <f t="shared" si="159"/>
        <v>-205128.75</v>
      </c>
      <c r="AN73" s="243">
        <f t="shared" si="159"/>
        <v>-199587.5</v>
      </c>
      <c r="AO73" s="243">
        <f t="shared" si="159"/>
        <v>-205128.75</v>
      </c>
      <c r="AP73" s="243">
        <f t="shared" si="159"/>
        <v>-199587.5</v>
      </c>
      <c r="AQ73" s="243">
        <f t="shared" si="159"/>
        <v>-205128.75</v>
      </c>
      <c r="AR73" s="206">
        <f>SUM(AF73:AQ73)</f>
        <v>-2422756.25</v>
      </c>
      <c r="AS73" s="206">
        <f>AR73/12</f>
        <v>-201896.35416666666</v>
      </c>
      <c r="AT73" s="242">
        <f>P73+AD73+AR73</f>
        <v>-6771716.25</v>
      </c>
      <c r="AW73" s="163" t="s">
        <v>18</v>
      </c>
      <c r="AX73" s="163" t="s">
        <v>251</v>
      </c>
    </row>
    <row r="74" spans="1:50" s="190" customFormat="1" x14ac:dyDescent="0.4">
      <c r="A74" s="241" t="str">
        <f>CHOOSE('Вхідні дані'!$S$1,AW61,AX61)</f>
        <v>Кеш-фло від операційної діяльності</v>
      </c>
      <c r="B74" s="204" t="str">
        <f>CHOOSE('Вхідні дані'!$M$1,'Вхідні дані'!$N$1,'Вхідні дані'!$N$2,'Вхідні дані'!$N$3,'Вхідні дані'!$N$4)</f>
        <v>UAH</v>
      </c>
      <c r="C74" s="243">
        <f t="shared" ref="C74:O74" si="160">SUM(C72:C73)</f>
        <v>0</v>
      </c>
      <c r="D74" s="243">
        <f t="shared" si="160"/>
        <v>31440</v>
      </c>
      <c r="E74" s="205">
        <f t="shared" si="160"/>
        <v>48900</v>
      </c>
      <c r="F74" s="205">
        <f t="shared" si="160"/>
        <v>57712.5</v>
      </c>
      <c r="G74" s="205">
        <f t="shared" si="160"/>
        <v>54775</v>
      </c>
      <c r="H74" s="205">
        <f t="shared" si="160"/>
        <v>57712.5</v>
      </c>
      <c r="I74" s="205">
        <f t="shared" si="160"/>
        <v>54775</v>
      </c>
      <c r="J74" s="205">
        <f t="shared" si="160"/>
        <v>57712.5</v>
      </c>
      <c r="K74" s="243">
        <f t="shared" si="160"/>
        <v>57712.5</v>
      </c>
      <c r="L74" s="243">
        <f t="shared" si="160"/>
        <v>54775</v>
      </c>
      <c r="M74" s="243">
        <f t="shared" si="160"/>
        <v>57712.5</v>
      </c>
      <c r="N74" s="243">
        <f t="shared" si="160"/>
        <v>54775</v>
      </c>
      <c r="O74" s="243">
        <f t="shared" si="160"/>
        <v>57712.5</v>
      </c>
      <c r="P74" s="206">
        <f t="shared" si="157"/>
        <v>645715</v>
      </c>
      <c r="Q74" s="206">
        <f>P74/12</f>
        <v>53809.583333333336</v>
      </c>
      <c r="R74" s="243">
        <f t="shared" ref="R74:AC74" si="161">SUM(R72:R73)</f>
        <v>83985</v>
      </c>
      <c r="S74" s="205">
        <f t="shared" si="161"/>
        <v>72630</v>
      </c>
      <c r="T74" s="205">
        <f t="shared" si="161"/>
        <v>83985</v>
      </c>
      <c r="U74" s="205">
        <f t="shared" si="161"/>
        <v>80200</v>
      </c>
      <c r="V74" s="205">
        <f t="shared" si="161"/>
        <v>83985</v>
      </c>
      <c r="W74" s="205">
        <f t="shared" si="161"/>
        <v>80200</v>
      </c>
      <c r="X74" s="205">
        <f t="shared" si="161"/>
        <v>83985</v>
      </c>
      <c r="Y74" s="243">
        <f t="shared" si="161"/>
        <v>83985</v>
      </c>
      <c r="Z74" s="243">
        <f t="shared" si="161"/>
        <v>80200</v>
      </c>
      <c r="AA74" s="243">
        <f t="shared" si="161"/>
        <v>83985</v>
      </c>
      <c r="AB74" s="243">
        <f t="shared" si="161"/>
        <v>80200</v>
      </c>
      <c r="AC74" s="243">
        <f t="shared" si="161"/>
        <v>83985</v>
      </c>
      <c r="AD74" s="206">
        <f>SUM(R74:AC74)</f>
        <v>981325</v>
      </c>
      <c r="AE74" s="206">
        <f>AD74/12</f>
        <v>81777.083333333328</v>
      </c>
      <c r="AF74" s="243">
        <f t="shared" ref="AF74:AQ74" si="162">SUM(AF72:AF73)</f>
        <v>97121.25</v>
      </c>
      <c r="AG74" s="205">
        <f t="shared" si="162"/>
        <v>84495</v>
      </c>
      <c r="AH74" s="205">
        <f t="shared" si="162"/>
        <v>97121.25</v>
      </c>
      <c r="AI74" s="205">
        <f t="shared" si="162"/>
        <v>92912.5</v>
      </c>
      <c r="AJ74" s="205">
        <f t="shared" si="162"/>
        <v>97121.25</v>
      </c>
      <c r="AK74" s="205">
        <f t="shared" si="162"/>
        <v>92912.5</v>
      </c>
      <c r="AL74" s="205">
        <f t="shared" si="162"/>
        <v>97121.25</v>
      </c>
      <c r="AM74" s="243">
        <f t="shared" si="162"/>
        <v>97121.25</v>
      </c>
      <c r="AN74" s="243">
        <f t="shared" si="162"/>
        <v>92912.5</v>
      </c>
      <c r="AO74" s="243">
        <f t="shared" si="162"/>
        <v>97121.25</v>
      </c>
      <c r="AP74" s="243">
        <f t="shared" si="162"/>
        <v>92912.5</v>
      </c>
      <c r="AQ74" s="243">
        <f t="shared" si="162"/>
        <v>97121.25</v>
      </c>
      <c r="AR74" s="206">
        <f>SUM(AF74:AQ74)</f>
        <v>1135993.75</v>
      </c>
      <c r="AS74" s="206">
        <f>AR74/12</f>
        <v>94666.145833333328</v>
      </c>
      <c r="AT74" s="242">
        <f>P74+AD74+AR74</f>
        <v>2763033.75</v>
      </c>
      <c r="AW74" s="163" t="s">
        <v>85</v>
      </c>
      <c r="AX74" s="163" t="s">
        <v>252</v>
      </c>
    </row>
    <row r="75" spans="1:50" s="190" customFormat="1" x14ac:dyDescent="0.4">
      <c r="A75" s="241" t="str">
        <f>CHOOSE('Вхідні дані'!$S$1,AW62,AX62)</f>
        <v>Кеш-фло від інвестиційної діяльності</v>
      </c>
      <c r="B75" s="204" t="str">
        <f>CHOOSE('Вхідні дані'!$M$1,'Вхідні дані'!$N$1,'Вхідні дані'!$N$2,'Вхідні дані'!$N$3,'Вхідні дані'!$N$4)</f>
        <v>UAH</v>
      </c>
      <c r="C75" s="243">
        <f t="shared" ref="C75:O75" si="163">-(C35)</f>
        <v>-532133</v>
      </c>
      <c r="D75" s="243">
        <f t="shared" si="163"/>
        <v>0</v>
      </c>
      <c r="E75" s="243">
        <f t="shared" si="163"/>
        <v>0</v>
      </c>
      <c r="F75" s="243">
        <f t="shared" si="163"/>
        <v>0</v>
      </c>
      <c r="G75" s="243">
        <f t="shared" si="163"/>
        <v>0</v>
      </c>
      <c r="H75" s="243">
        <f t="shared" si="163"/>
        <v>0</v>
      </c>
      <c r="I75" s="243">
        <f t="shared" si="163"/>
        <v>0</v>
      </c>
      <c r="J75" s="243">
        <f t="shared" si="163"/>
        <v>0</v>
      </c>
      <c r="K75" s="243">
        <f t="shared" si="163"/>
        <v>0</v>
      </c>
      <c r="L75" s="243">
        <f t="shared" si="163"/>
        <v>0</v>
      </c>
      <c r="M75" s="243">
        <f t="shared" si="163"/>
        <v>0</v>
      </c>
      <c r="N75" s="243">
        <f t="shared" si="163"/>
        <v>0</v>
      </c>
      <c r="O75" s="243">
        <f t="shared" si="163"/>
        <v>0</v>
      </c>
      <c r="P75" s="206">
        <f t="shared" si="157"/>
        <v>-532133</v>
      </c>
      <c r="Q75" s="206"/>
      <c r="R75" s="243">
        <f t="shared" ref="R75:AC75" si="164">-(R35)</f>
        <v>0</v>
      </c>
      <c r="S75" s="243">
        <f t="shared" si="164"/>
        <v>0</v>
      </c>
      <c r="T75" s="243">
        <f t="shared" si="164"/>
        <v>0</v>
      </c>
      <c r="U75" s="243">
        <f t="shared" si="164"/>
        <v>0</v>
      </c>
      <c r="V75" s="243">
        <f t="shared" si="164"/>
        <v>0</v>
      </c>
      <c r="W75" s="243">
        <f t="shared" si="164"/>
        <v>0</v>
      </c>
      <c r="X75" s="243">
        <f t="shared" si="164"/>
        <v>0</v>
      </c>
      <c r="Y75" s="243">
        <f t="shared" si="164"/>
        <v>0</v>
      </c>
      <c r="Z75" s="243">
        <f t="shared" si="164"/>
        <v>0</v>
      </c>
      <c r="AA75" s="243">
        <f t="shared" si="164"/>
        <v>0</v>
      </c>
      <c r="AB75" s="243">
        <f t="shared" si="164"/>
        <v>0</v>
      </c>
      <c r="AC75" s="243">
        <f t="shared" si="164"/>
        <v>0</v>
      </c>
      <c r="AD75" s="206">
        <f>SUM(R75:AC75)</f>
        <v>0</v>
      </c>
      <c r="AE75" s="206"/>
      <c r="AF75" s="243">
        <f t="shared" ref="AF75:AQ75" si="165">-(AF35)</f>
        <v>0</v>
      </c>
      <c r="AG75" s="243">
        <f t="shared" si="165"/>
        <v>0</v>
      </c>
      <c r="AH75" s="243">
        <f t="shared" si="165"/>
        <v>0</v>
      </c>
      <c r="AI75" s="243">
        <f t="shared" si="165"/>
        <v>0</v>
      </c>
      <c r="AJ75" s="243">
        <f t="shared" si="165"/>
        <v>0</v>
      </c>
      <c r="AK75" s="243">
        <f t="shared" si="165"/>
        <v>0</v>
      </c>
      <c r="AL75" s="243">
        <f t="shared" si="165"/>
        <v>0</v>
      </c>
      <c r="AM75" s="243">
        <f t="shared" si="165"/>
        <v>0</v>
      </c>
      <c r="AN75" s="243">
        <f t="shared" si="165"/>
        <v>0</v>
      </c>
      <c r="AO75" s="243">
        <f t="shared" si="165"/>
        <v>0</v>
      </c>
      <c r="AP75" s="243">
        <f t="shared" si="165"/>
        <v>0</v>
      </c>
      <c r="AQ75" s="243">
        <f t="shared" si="165"/>
        <v>0</v>
      </c>
      <c r="AR75" s="206">
        <f>SUM(AF75:AQ75)</f>
        <v>0</v>
      </c>
      <c r="AS75" s="206"/>
      <c r="AT75" s="242">
        <f>P75+AD75+AR75</f>
        <v>-532133</v>
      </c>
      <c r="AW75" s="163" t="s">
        <v>43</v>
      </c>
      <c r="AX75" s="163" t="s">
        <v>253</v>
      </c>
    </row>
    <row r="76" spans="1:50" s="246" customFormat="1" x14ac:dyDescent="0.4">
      <c r="A76" s="241" t="str">
        <f>CHOOSE('Вхідні дані'!$S$1,AW63,AX63)</f>
        <v>Кеш-фло від фінансової діяльності</v>
      </c>
      <c r="B76" s="234" t="str">
        <f>CHOOSE('Вхідні дані'!$M$1,'Вхідні дані'!$N$1,'Вхідні дані'!$N$2,'Вхідні дані'!$N$3,'Вхідні дані'!$N$4)</f>
        <v>UAH</v>
      </c>
      <c r="C76" s="244">
        <f t="shared" ref="C76:O76" si="166">C35</f>
        <v>532133</v>
      </c>
      <c r="D76" s="244">
        <f t="shared" si="166"/>
        <v>0</v>
      </c>
      <c r="E76" s="244">
        <f t="shared" si="166"/>
        <v>0</v>
      </c>
      <c r="F76" s="244">
        <f t="shared" si="166"/>
        <v>0</v>
      </c>
      <c r="G76" s="244">
        <f t="shared" si="166"/>
        <v>0</v>
      </c>
      <c r="H76" s="244">
        <f t="shared" si="166"/>
        <v>0</v>
      </c>
      <c r="I76" s="244">
        <f t="shared" si="166"/>
        <v>0</v>
      </c>
      <c r="J76" s="244">
        <f t="shared" si="166"/>
        <v>0</v>
      </c>
      <c r="K76" s="244">
        <f t="shared" si="166"/>
        <v>0</v>
      </c>
      <c r="L76" s="244">
        <f t="shared" si="166"/>
        <v>0</v>
      </c>
      <c r="M76" s="244">
        <f t="shared" si="166"/>
        <v>0</v>
      </c>
      <c r="N76" s="244">
        <f t="shared" si="166"/>
        <v>0</v>
      </c>
      <c r="O76" s="244">
        <f t="shared" si="166"/>
        <v>0</v>
      </c>
      <c r="P76" s="206">
        <f t="shared" si="157"/>
        <v>532133</v>
      </c>
      <c r="Q76" s="206"/>
      <c r="R76" s="244">
        <f t="shared" ref="R76:AC76" si="167">R35</f>
        <v>0</v>
      </c>
      <c r="S76" s="244">
        <f t="shared" si="167"/>
        <v>0</v>
      </c>
      <c r="T76" s="244">
        <f t="shared" si="167"/>
        <v>0</v>
      </c>
      <c r="U76" s="244">
        <f t="shared" si="167"/>
        <v>0</v>
      </c>
      <c r="V76" s="244">
        <f t="shared" si="167"/>
        <v>0</v>
      </c>
      <c r="W76" s="244">
        <f t="shared" si="167"/>
        <v>0</v>
      </c>
      <c r="X76" s="244">
        <f t="shared" si="167"/>
        <v>0</v>
      </c>
      <c r="Y76" s="244">
        <f t="shared" si="167"/>
        <v>0</v>
      </c>
      <c r="Z76" s="244">
        <f t="shared" si="167"/>
        <v>0</v>
      </c>
      <c r="AA76" s="244">
        <f t="shared" si="167"/>
        <v>0</v>
      </c>
      <c r="AB76" s="244">
        <f t="shared" si="167"/>
        <v>0</v>
      </c>
      <c r="AC76" s="244">
        <f t="shared" si="167"/>
        <v>0</v>
      </c>
      <c r="AD76" s="206">
        <f>SUM(R76:AC76)</f>
        <v>0</v>
      </c>
      <c r="AE76" s="206"/>
      <c r="AF76" s="244">
        <f t="shared" ref="AF76:AQ76" si="168">AF35</f>
        <v>0</v>
      </c>
      <c r="AG76" s="244">
        <f t="shared" si="168"/>
        <v>0</v>
      </c>
      <c r="AH76" s="244">
        <f t="shared" si="168"/>
        <v>0</v>
      </c>
      <c r="AI76" s="244">
        <f t="shared" si="168"/>
        <v>0</v>
      </c>
      <c r="AJ76" s="244">
        <f t="shared" si="168"/>
        <v>0</v>
      </c>
      <c r="AK76" s="244">
        <f t="shared" si="168"/>
        <v>0</v>
      </c>
      <c r="AL76" s="244">
        <f t="shared" si="168"/>
        <v>0</v>
      </c>
      <c r="AM76" s="244">
        <f t="shared" si="168"/>
        <v>0</v>
      </c>
      <c r="AN76" s="244">
        <f t="shared" si="168"/>
        <v>0</v>
      </c>
      <c r="AO76" s="244">
        <f t="shared" si="168"/>
        <v>0</v>
      </c>
      <c r="AP76" s="244">
        <f t="shared" si="168"/>
        <v>0</v>
      </c>
      <c r="AQ76" s="244">
        <f t="shared" si="168"/>
        <v>0</v>
      </c>
      <c r="AR76" s="206">
        <f>SUM(AF76:AQ76)</f>
        <v>0</v>
      </c>
      <c r="AS76" s="206"/>
      <c r="AT76" s="245">
        <f>P76+AD76+AR76</f>
        <v>532133</v>
      </c>
      <c r="AW76" s="163"/>
      <c r="AX76" s="163"/>
    </row>
    <row r="77" spans="1:50" s="190" customFormat="1" x14ac:dyDescent="0.4">
      <c r="A77" s="241" t="str">
        <f>CHOOSE('Вхідні дані'!$S$1,AW64,AX64)</f>
        <v>Баланс готівки на початок періоду</v>
      </c>
      <c r="B77" s="204" t="str">
        <f>CHOOSE('Вхідні дані'!$M$1,'Вхідні дані'!$N$1,'Вхідні дані'!$N$2,'Вхідні дані'!$N$3,'Вхідні дані'!$N$4)</f>
        <v>UAH</v>
      </c>
      <c r="C77" s="247">
        <v>0</v>
      </c>
      <c r="D77" s="205">
        <f>C78</f>
        <v>0</v>
      </c>
      <c r="E77" s="205">
        <f>D78</f>
        <v>31440</v>
      </c>
      <c r="F77" s="205">
        <f t="shared" ref="F77:O77" si="169">E78</f>
        <v>80340</v>
      </c>
      <c r="G77" s="205">
        <f t="shared" si="169"/>
        <v>138052.5</v>
      </c>
      <c r="H77" s="205">
        <f t="shared" si="169"/>
        <v>192827.5</v>
      </c>
      <c r="I77" s="205">
        <f t="shared" si="169"/>
        <v>250540</v>
      </c>
      <c r="J77" s="205">
        <f t="shared" si="169"/>
        <v>305315</v>
      </c>
      <c r="K77" s="243">
        <f t="shared" si="169"/>
        <v>363027.5</v>
      </c>
      <c r="L77" s="243">
        <f t="shared" si="169"/>
        <v>420740</v>
      </c>
      <c r="M77" s="243">
        <f t="shared" si="169"/>
        <v>475515</v>
      </c>
      <c r="N77" s="243">
        <f t="shared" si="169"/>
        <v>533227.5</v>
      </c>
      <c r="O77" s="243">
        <f t="shared" si="169"/>
        <v>588002.5</v>
      </c>
      <c r="P77" s="248">
        <f>D77</f>
        <v>0</v>
      </c>
      <c r="Q77" s="248"/>
      <c r="R77" s="243">
        <f>O78</f>
        <v>645715</v>
      </c>
      <c r="S77" s="205">
        <f t="shared" ref="S77:AC77" si="170">R78</f>
        <v>729700</v>
      </c>
      <c r="T77" s="205">
        <f t="shared" si="170"/>
        <v>802330</v>
      </c>
      <c r="U77" s="205">
        <f t="shared" si="170"/>
        <v>886315</v>
      </c>
      <c r="V77" s="205">
        <f t="shared" si="170"/>
        <v>966515</v>
      </c>
      <c r="W77" s="205">
        <f t="shared" si="170"/>
        <v>1050500</v>
      </c>
      <c r="X77" s="205">
        <f t="shared" si="170"/>
        <v>1130700</v>
      </c>
      <c r="Y77" s="243">
        <f t="shared" si="170"/>
        <v>1214685</v>
      </c>
      <c r="Z77" s="243">
        <f t="shared" si="170"/>
        <v>1298670</v>
      </c>
      <c r="AA77" s="243">
        <f t="shared" si="170"/>
        <v>1378870</v>
      </c>
      <c r="AB77" s="243">
        <f t="shared" si="170"/>
        <v>1462855</v>
      </c>
      <c r="AC77" s="243">
        <f t="shared" si="170"/>
        <v>1543055</v>
      </c>
      <c r="AD77" s="248">
        <f>R77</f>
        <v>645715</v>
      </c>
      <c r="AE77" s="248"/>
      <c r="AF77" s="243">
        <f>AC78</f>
        <v>1627040</v>
      </c>
      <c r="AG77" s="205">
        <f t="shared" ref="AG77:AQ77" si="171">AF78</f>
        <v>1724161.25</v>
      </c>
      <c r="AH77" s="205">
        <f t="shared" si="171"/>
        <v>1808656.25</v>
      </c>
      <c r="AI77" s="205">
        <f t="shared" si="171"/>
        <v>1905777.5</v>
      </c>
      <c r="AJ77" s="205">
        <f t="shared" si="171"/>
        <v>1998690</v>
      </c>
      <c r="AK77" s="205">
        <f t="shared" si="171"/>
        <v>2095811.25</v>
      </c>
      <c r="AL77" s="205">
        <f t="shared" si="171"/>
        <v>2188723.75</v>
      </c>
      <c r="AM77" s="243">
        <f t="shared" si="171"/>
        <v>2285845</v>
      </c>
      <c r="AN77" s="243">
        <f t="shared" si="171"/>
        <v>2382966.25</v>
      </c>
      <c r="AO77" s="243">
        <f t="shared" si="171"/>
        <v>2475878.75</v>
      </c>
      <c r="AP77" s="243">
        <f t="shared" si="171"/>
        <v>2573000</v>
      </c>
      <c r="AQ77" s="243">
        <f t="shared" si="171"/>
        <v>2665912.5</v>
      </c>
      <c r="AR77" s="248">
        <f>AF77</f>
        <v>1627040</v>
      </c>
      <c r="AS77" s="248"/>
      <c r="AT77" s="242">
        <f>P77</f>
        <v>0</v>
      </c>
      <c r="AW77" s="163"/>
      <c r="AX77" s="163"/>
    </row>
    <row r="78" spans="1:50" s="190" customFormat="1" x14ac:dyDescent="0.4">
      <c r="A78" s="241" t="str">
        <f>CHOOSE('Вхідні дані'!$S$1,AW65,AX65)</f>
        <v>Баланс готівки на кінець періоду</v>
      </c>
      <c r="B78" s="204" t="str">
        <f>CHOOSE('Вхідні дані'!$M$1,'Вхідні дані'!$N$1,'Вхідні дані'!$N$2,'Вхідні дані'!$N$3,'Вхідні дані'!$N$4)</f>
        <v>UAH</v>
      </c>
      <c r="C78" s="243">
        <f>C74+C75+C76+C77</f>
        <v>0</v>
      </c>
      <c r="D78" s="243">
        <f>D74+D75+D76+D77</f>
        <v>31440</v>
      </c>
      <c r="E78" s="205">
        <f>E74+E75+E76+E77</f>
        <v>80340</v>
      </c>
      <c r="F78" s="205">
        <f t="shared" ref="F78:O78" si="172">F74+F75+F76+F77</f>
        <v>138052.5</v>
      </c>
      <c r="G78" s="205">
        <f t="shared" si="172"/>
        <v>192827.5</v>
      </c>
      <c r="H78" s="205">
        <f t="shared" si="172"/>
        <v>250540</v>
      </c>
      <c r="I78" s="205">
        <f t="shared" si="172"/>
        <v>305315</v>
      </c>
      <c r="J78" s="205">
        <f t="shared" si="172"/>
        <v>363027.5</v>
      </c>
      <c r="K78" s="243">
        <f t="shared" si="172"/>
        <v>420740</v>
      </c>
      <c r="L78" s="243">
        <f t="shared" si="172"/>
        <v>475515</v>
      </c>
      <c r="M78" s="243">
        <f t="shared" si="172"/>
        <v>533227.5</v>
      </c>
      <c r="N78" s="243">
        <f t="shared" si="172"/>
        <v>588002.5</v>
      </c>
      <c r="O78" s="243">
        <f t="shared" si="172"/>
        <v>645715</v>
      </c>
      <c r="P78" s="248">
        <f>O78</f>
        <v>645715</v>
      </c>
      <c r="Q78" s="248"/>
      <c r="R78" s="243">
        <f>R74+R75+R76+R77</f>
        <v>729700</v>
      </c>
      <c r="S78" s="205">
        <f>S74+S75+S76+S77</f>
        <v>802330</v>
      </c>
      <c r="T78" s="205">
        <f t="shared" ref="T78:AC78" si="173">T74+T75+T76+T77</f>
        <v>886315</v>
      </c>
      <c r="U78" s="205">
        <f t="shared" si="173"/>
        <v>966515</v>
      </c>
      <c r="V78" s="205">
        <f t="shared" si="173"/>
        <v>1050500</v>
      </c>
      <c r="W78" s="205">
        <f t="shared" si="173"/>
        <v>1130700</v>
      </c>
      <c r="X78" s="205">
        <f t="shared" si="173"/>
        <v>1214685</v>
      </c>
      <c r="Y78" s="243">
        <f t="shared" si="173"/>
        <v>1298670</v>
      </c>
      <c r="Z78" s="243">
        <f t="shared" si="173"/>
        <v>1378870</v>
      </c>
      <c r="AA78" s="243">
        <f t="shared" si="173"/>
        <v>1462855</v>
      </c>
      <c r="AB78" s="243">
        <f t="shared" si="173"/>
        <v>1543055</v>
      </c>
      <c r="AC78" s="243">
        <f t="shared" si="173"/>
        <v>1627040</v>
      </c>
      <c r="AD78" s="248">
        <f>AC78</f>
        <v>1627040</v>
      </c>
      <c r="AE78" s="248"/>
      <c r="AF78" s="243">
        <f>AF74+AF75+AF76+AF77</f>
        <v>1724161.25</v>
      </c>
      <c r="AG78" s="205">
        <f>AG74+AG75+AG76+AG77</f>
        <v>1808656.25</v>
      </c>
      <c r="AH78" s="205">
        <f t="shared" ref="AH78:AQ78" si="174">AH74+AH75+AH76+AH77</f>
        <v>1905777.5</v>
      </c>
      <c r="AI78" s="205">
        <f t="shared" si="174"/>
        <v>1998690</v>
      </c>
      <c r="AJ78" s="205">
        <f t="shared" si="174"/>
        <v>2095811.25</v>
      </c>
      <c r="AK78" s="205">
        <f t="shared" si="174"/>
        <v>2188723.75</v>
      </c>
      <c r="AL78" s="205">
        <f t="shared" si="174"/>
        <v>2285845</v>
      </c>
      <c r="AM78" s="243">
        <f t="shared" si="174"/>
        <v>2382966.25</v>
      </c>
      <c r="AN78" s="243">
        <f t="shared" si="174"/>
        <v>2475878.75</v>
      </c>
      <c r="AO78" s="243">
        <f t="shared" si="174"/>
        <v>2573000</v>
      </c>
      <c r="AP78" s="243">
        <f t="shared" si="174"/>
        <v>2665912.5</v>
      </c>
      <c r="AQ78" s="243">
        <f t="shared" si="174"/>
        <v>2763033.75</v>
      </c>
      <c r="AR78" s="248">
        <f>AQ78</f>
        <v>2763033.75</v>
      </c>
      <c r="AS78" s="248"/>
      <c r="AT78" s="242">
        <f>AR78</f>
        <v>2763033.75</v>
      </c>
      <c r="AW78" s="163"/>
      <c r="AX78" s="163"/>
    </row>
    <row r="79" spans="1:50" s="183" customFormat="1" ht="21.6" thickBot="1" x14ac:dyDescent="0.45">
      <c r="P79" s="199"/>
      <c r="Q79" s="199"/>
      <c r="AD79" s="199"/>
      <c r="AE79" s="199"/>
      <c r="AR79" s="199"/>
      <c r="AS79" s="199"/>
      <c r="AW79" s="163"/>
      <c r="AX79" s="163"/>
    </row>
    <row r="80" spans="1:50" s="183" customFormat="1" ht="22.2" thickTop="1" thickBot="1" x14ac:dyDescent="0.45">
      <c r="A80" s="180" t="str">
        <f>CHOOSE('Вхідні дані'!$S$1,AW66,AX66)</f>
        <v>ОКУПНІСТЬ ПРОЕКТУ</v>
      </c>
      <c r="B80" s="171"/>
      <c r="C80" s="171" t="str">
        <f t="shared" ref="C80:AQ80" si="175">C$6</f>
        <v>Нульовий період</v>
      </c>
      <c r="D80" s="171" t="str">
        <f t="shared" si="175"/>
        <v>січень</v>
      </c>
      <c r="E80" s="171" t="str">
        <f t="shared" si="175"/>
        <v>лютий</v>
      </c>
      <c r="F80" s="171" t="str">
        <f t="shared" si="175"/>
        <v>березень</v>
      </c>
      <c r="G80" s="171" t="str">
        <f t="shared" si="175"/>
        <v>квітень</v>
      </c>
      <c r="H80" s="171" t="str">
        <f t="shared" si="175"/>
        <v>травень</v>
      </c>
      <c r="I80" s="171" t="str">
        <f t="shared" si="175"/>
        <v>червень</v>
      </c>
      <c r="J80" s="171" t="str">
        <f t="shared" si="175"/>
        <v>липень</v>
      </c>
      <c r="K80" s="171" t="str">
        <f t="shared" si="175"/>
        <v>серпень</v>
      </c>
      <c r="L80" s="171" t="str">
        <f t="shared" si="175"/>
        <v>вересень</v>
      </c>
      <c r="M80" s="171" t="str">
        <f t="shared" si="175"/>
        <v>жовтень</v>
      </c>
      <c r="N80" s="171" t="str">
        <f t="shared" si="175"/>
        <v>листопад</v>
      </c>
      <c r="O80" s="171" t="str">
        <f t="shared" si="175"/>
        <v>грудень</v>
      </c>
      <c r="P80" s="249"/>
      <c r="Q80" s="249"/>
      <c r="R80" s="171" t="str">
        <f t="shared" si="175"/>
        <v>січень</v>
      </c>
      <c r="S80" s="171" t="str">
        <f t="shared" si="175"/>
        <v>лютий</v>
      </c>
      <c r="T80" s="171" t="str">
        <f t="shared" si="175"/>
        <v>березень</v>
      </c>
      <c r="U80" s="171" t="str">
        <f t="shared" si="175"/>
        <v>квітень</v>
      </c>
      <c r="V80" s="171" t="str">
        <f t="shared" si="175"/>
        <v>травень</v>
      </c>
      <c r="W80" s="171" t="str">
        <f t="shared" si="175"/>
        <v>червень</v>
      </c>
      <c r="X80" s="171" t="str">
        <f t="shared" si="175"/>
        <v>липень</v>
      </c>
      <c r="Y80" s="171" t="str">
        <f t="shared" si="175"/>
        <v>серпень</v>
      </c>
      <c r="Z80" s="171" t="str">
        <f t="shared" si="175"/>
        <v>вересень</v>
      </c>
      <c r="AA80" s="171" t="str">
        <f t="shared" si="175"/>
        <v>жовтень</v>
      </c>
      <c r="AB80" s="171" t="str">
        <f t="shared" si="175"/>
        <v>листопад</v>
      </c>
      <c r="AC80" s="171" t="str">
        <f t="shared" si="175"/>
        <v>грудень</v>
      </c>
      <c r="AD80" s="249"/>
      <c r="AE80" s="249"/>
      <c r="AF80" s="171" t="str">
        <f t="shared" si="175"/>
        <v>січень</v>
      </c>
      <c r="AG80" s="171" t="str">
        <f t="shared" si="175"/>
        <v>лютий</v>
      </c>
      <c r="AH80" s="171" t="str">
        <f t="shared" si="175"/>
        <v>березень</v>
      </c>
      <c r="AI80" s="171" t="str">
        <f t="shared" si="175"/>
        <v>квітень</v>
      </c>
      <c r="AJ80" s="171" t="str">
        <f t="shared" si="175"/>
        <v>травень</v>
      </c>
      <c r="AK80" s="171" t="str">
        <f t="shared" si="175"/>
        <v>червень</v>
      </c>
      <c r="AL80" s="171" t="str">
        <f t="shared" si="175"/>
        <v>липень</v>
      </c>
      <c r="AM80" s="171" t="str">
        <f t="shared" si="175"/>
        <v>серпень</v>
      </c>
      <c r="AN80" s="171" t="str">
        <f t="shared" si="175"/>
        <v>вересень</v>
      </c>
      <c r="AO80" s="171" t="str">
        <f t="shared" si="175"/>
        <v>жовтень</v>
      </c>
      <c r="AP80" s="171" t="str">
        <f t="shared" si="175"/>
        <v>листопад</v>
      </c>
      <c r="AQ80" s="171" t="str">
        <f t="shared" si="175"/>
        <v>грудень</v>
      </c>
      <c r="AR80" s="249"/>
      <c r="AS80" s="249"/>
      <c r="AT80" s="171"/>
      <c r="AW80" s="163"/>
      <c r="AX80" s="163"/>
    </row>
    <row r="81" spans="1:50" s="183" customFormat="1" ht="21.6" thickTop="1" x14ac:dyDescent="0.4">
      <c r="A81" s="250"/>
      <c r="B81" s="250"/>
      <c r="C81" s="250"/>
      <c r="D81" s="250"/>
      <c r="E81" s="250"/>
      <c r="F81" s="250"/>
      <c r="G81" s="250"/>
      <c r="H81" s="250"/>
      <c r="I81" s="250"/>
      <c r="J81" s="251"/>
      <c r="P81" s="199"/>
      <c r="Q81" s="199"/>
      <c r="R81" s="250"/>
      <c r="S81" s="250"/>
      <c r="T81" s="250"/>
      <c r="U81" s="250"/>
      <c r="V81" s="250"/>
      <c r="W81" s="250"/>
      <c r="X81" s="251"/>
      <c r="AD81" s="199"/>
      <c r="AE81" s="199"/>
      <c r="AF81" s="250"/>
      <c r="AG81" s="250"/>
      <c r="AH81" s="250"/>
      <c r="AI81" s="250"/>
      <c r="AJ81" s="250"/>
      <c r="AK81" s="250"/>
      <c r="AL81" s="251"/>
      <c r="AR81" s="199"/>
      <c r="AS81" s="199"/>
      <c r="AT81" s="252"/>
      <c r="AW81" s="163"/>
      <c r="AX81" s="163"/>
    </row>
    <row r="82" spans="1:50" s="258" customFormat="1" x14ac:dyDescent="0.4">
      <c r="A82" s="253" t="str">
        <f>CHOOSE('Вхідні дані'!$S$1,AW67,AX67)</f>
        <v>Коефіцієнт дисконтування, % річних</v>
      </c>
      <c r="B82" s="254">
        <f>'Вхідні дані'!J37</f>
        <v>0.1</v>
      </c>
      <c r="C82" s="255">
        <f>1/POWER((1+$B$82/12),C83)</f>
        <v>1</v>
      </c>
      <c r="D82" s="255">
        <f t="shared" ref="D82:O82" si="176">1/POWER((1+$B$82/12),D83)</f>
        <v>0.99173553719008267</v>
      </c>
      <c r="E82" s="255">
        <f t="shared" si="176"/>
        <v>0.98353937572570183</v>
      </c>
      <c r="F82" s="255">
        <f t="shared" si="176"/>
        <v>0.97541095113292753</v>
      </c>
      <c r="G82" s="255">
        <f t="shared" si="176"/>
        <v>0.9673497036029034</v>
      </c>
      <c r="H82" s="255">
        <f t="shared" si="176"/>
        <v>0.95935507795329267</v>
      </c>
      <c r="I82" s="255">
        <f t="shared" si="176"/>
        <v>0.95142652359004232</v>
      </c>
      <c r="J82" s="255">
        <f t="shared" si="176"/>
        <v>0.94356349446946353</v>
      </c>
      <c r="K82" s="255">
        <f t="shared" si="176"/>
        <v>0.93576544906062498</v>
      </c>
      <c r="L82" s="255">
        <f t="shared" si="176"/>
        <v>0.9280318503080579</v>
      </c>
      <c r="M82" s="255">
        <f t="shared" si="176"/>
        <v>0.92036216559476813</v>
      </c>
      <c r="N82" s="255">
        <f t="shared" si="176"/>
        <v>0.91275586670555531</v>
      </c>
      <c r="O82" s="255">
        <f t="shared" si="176"/>
        <v>0.90521242979063321</v>
      </c>
      <c r="P82" s="256"/>
      <c r="Q82" s="256"/>
      <c r="R82" s="255">
        <f t="shared" ref="R82:AC82" si="177">1/POWER((1+$B$82/12),R83)</f>
        <v>0.89773133532955385</v>
      </c>
      <c r="S82" s="255">
        <f t="shared" si="177"/>
        <v>0.89031206809542529</v>
      </c>
      <c r="T82" s="255">
        <f t="shared" si="177"/>
        <v>0.88295411711943006</v>
      </c>
      <c r="U82" s="255">
        <f t="shared" si="177"/>
        <v>0.87565697565563305</v>
      </c>
      <c r="V82" s="255">
        <f t="shared" si="177"/>
        <v>0.86842014114608246</v>
      </c>
      <c r="W82" s="255">
        <f t="shared" si="177"/>
        <v>0.86124311518619745</v>
      </c>
      <c r="X82" s="255">
        <f t="shared" si="177"/>
        <v>0.85412540349044375</v>
      </c>
      <c r="Y82" s="255">
        <f t="shared" si="177"/>
        <v>0.84706651585829151</v>
      </c>
      <c r="Z82" s="255">
        <f t="shared" si="177"/>
        <v>0.84006596614045448</v>
      </c>
      <c r="AA82" s="255">
        <f t="shared" si="177"/>
        <v>0.83312327220540916</v>
      </c>
      <c r="AB82" s="255">
        <f t="shared" si="177"/>
        <v>0.82623795590619109</v>
      </c>
      <c r="AC82" s="255">
        <f t="shared" si="177"/>
        <v>0.81940954304746227</v>
      </c>
      <c r="AD82" s="256"/>
      <c r="AE82" s="256"/>
      <c r="AF82" s="255">
        <f t="shared" ref="AF82:AQ82" si="178">1/POWER((1+$B$82/12),AF83)</f>
        <v>0.81263756335285531</v>
      </c>
      <c r="AG82" s="255">
        <f t="shared" si="178"/>
        <v>0.80592155043258373</v>
      </c>
      <c r="AH82" s="255">
        <f t="shared" si="178"/>
        <v>0.79926104175132262</v>
      </c>
      <c r="AI82" s="255">
        <f t="shared" si="178"/>
        <v>0.79265557859635305</v>
      </c>
      <c r="AJ82" s="255">
        <f t="shared" si="178"/>
        <v>0.78610470604597016</v>
      </c>
      <c r="AK82" s="255">
        <f t="shared" si="178"/>
        <v>0.77960797293815209</v>
      </c>
      <c r="AL82" s="255">
        <f t="shared" si="178"/>
        <v>0.77316493183948976</v>
      </c>
      <c r="AM82" s="255">
        <f t="shared" si="178"/>
        <v>0.76677513901437</v>
      </c>
      <c r="AN82" s="255">
        <f t="shared" si="178"/>
        <v>0.76043815439441664</v>
      </c>
      <c r="AO82" s="255">
        <f t="shared" si="178"/>
        <v>0.75415354154818171</v>
      </c>
      <c r="AP82" s="255">
        <f t="shared" si="178"/>
        <v>0.74792086765108945</v>
      </c>
      <c r="AQ82" s="255">
        <f t="shared" si="178"/>
        <v>0.7417397034556259</v>
      </c>
      <c r="AR82" s="256"/>
      <c r="AS82" s="256"/>
      <c r="AT82" s="257"/>
      <c r="AW82" s="163"/>
      <c r="AX82" s="163"/>
    </row>
    <row r="83" spans="1:50" s="263" customFormat="1" hidden="1" x14ac:dyDescent="0.4">
      <c r="A83" s="259"/>
      <c r="B83" s="254"/>
      <c r="C83" s="260">
        <v>0</v>
      </c>
      <c r="D83" s="260">
        <f>C83+1</f>
        <v>1</v>
      </c>
      <c r="E83" s="260">
        <f t="shared" ref="E83:O83" si="179">D83+1</f>
        <v>2</v>
      </c>
      <c r="F83" s="260">
        <f t="shared" si="179"/>
        <v>3</v>
      </c>
      <c r="G83" s="260">
        <f t="shared" si="179"/>
        <v>4</v>
      </c>
      <c r="H83" s="260">
        <f t="shared" si="179"/>
        <v>5</v>
      </c>
      <c r="I83" s="260">
        <f t="shared" si="179"/>
        <v>6</v>
      </c>
      <c r="J83" s="260">
        <f t="shared" si="179"/>
        <v>7</v>
      </c>
      <c r="K83" s="260">
        <f t="shared" si="179"/>
        <v>8</v>
      </c>
      <c r="L83" s="260">
        <f t="shared" si="179"/>
        <v>9</v>
      </c>
      <c r="M83" s="260">
        <f t="shared" si="179"/>
        <v>10</v>
      </c>
      <c r="N83" s="260">
        <f t="shared" si="179"/>
        <v>11</v>
      </c>
      <c r="O83" s="260">
        <f t="shared" si="179"/>
        <v>12</v>
      </c>
      <c r="P83" s="261"/>
      <c r="Q83" s="261"/>
      <c r="R83" s="260">
        <f>O83+1</f>
        <v>13</v>
      </c>
      <c r="S83" s="260">
        <f>R83+1</f>
        <v>14</v>
      </c>
      <c r="T83" s="260">
        <f t="shared" ref="T83:AC83" si="180">S83+1</f>
        <v>15</v>
      </c>
      <c r="U83" s="260">
        <f t="shared" si="180"/>
        <v>16</v>
      </c>
      <c r="V83" s="260">
        <f t="shared" si="180"/>
        <v>17</v>
      </c>
      <c r="W83" s="260">
        <f t="shared" si="180"/>
        <v>18</v>
      </c>
      <c r="X83" s="260">
        <f t="shared" si="180"/>
        <v>19</v>
      </c>
      <c r="Y83" s="260">
        <f t="shared" si="180"/>
        <v>20</v>
      </c>
      <c r="Z83" s="260">
        <f t="shared" si="180"/>
        <v>21</v>
      </c>
      <c r="AA83" s="260">
        <f t="shared" si="180"/>
        <v>22</v>
      </c>
      <c r="AB83" s="260">
        <f t="shared" si="180"/>
        <v>23</v>
      </c>
      <c r="AC83" s="260">
        <f t="shared" si="180"/>
        <v>24</v>
      </c>
      <c r="AD83" s="261"/>
      <c r="AE83" s="261"/>
      <c r="AF83" s="260">
        <f>AC83+1</f>
        <v>25</v>
      </c>
      <c r="AG83" s="260">
        <f>AF83+1</f>
        <v>26</v>
      </c>
      <c r="AH83" s="260">
        <f t="shared" ref="AH83:AQ83" si="181">AG83+1</f>
        <v>27</v>
      </c>
      <c r="AI83" s="260">
        <f t="shared" si="181"/>
        <v>28</v>
      </c>
      <c r="AJ83" s="260">
        <f t="shared" si="181"/>
        <v>29</v>
      </c>
      <c r="AK83" s="260">
        <f t="shared" si="181"/>
        <v>30</v>
      </c>
      <c r="AL83" s="260">
        <f t="shared" si="181"/>
        <v>31</v>
      </c>
      <c r="AM83" s="260">
        <f t="shared" si="181"/>
        <v>32</v>
      </c>
      <c r="AN83" s="260">
        <f t="shared" si="181"/>
        <v>33</v>
      </c>
      <c r="AO83" s="260">
        <f t="shared" si="181"/>
        <v>34</v>
      </c>
      <c r="AP83" s="260">
        <f t="shared" si="181"/>
        <v>35</v>
      </c>
      <c r="AQ83" s="260">
        <f t="shared" si="181"/>
        <v>36</v>
      </c>
      <c r="AR83" s="261"/>
      <c r="AS83" s="261"/>
      <c r="AT83" s="262"/>
      <c r="AW83" s="163"/>
      <c r="AX83" s="163"/>
    </row>
    <row r="84" spans="1:50" s="263" customFormat="1" x14ac:dyDescent="0.4">
      <c r="A84" s="233" t="str">
        <f>CHOOSE('Вхідні дані'!$S$1,AW68,AX68)</f>
        <v>Чистий грошовий потік (NCF), UAH</v>
      </c>
      <c r="B84" s="254"/>
      <c r="C84" s="205">
        <f>C68</f>
        <v>0</v>
      </c>
      <c r="D84" s="205">
        <f>D68</f>
        <v>31440</v>
      </c>
      <c r="E84" s="205">
        <f t="shared" ref="E84:O84" si="182">E68</f>
        <v>48900</v>
      </c>
      <c r="F84" s="205">
        <f t="shared" si="182"/>
        <v>57712.5</v>
      </c>
      <c r="G84" s="205">
        <f t="shared" si="182"/>
        <v>54775</v>
      </c>
      <c r="H84" s="205">
        <f t="shared" si="182"/>
        <v>57712.5</v>
      </c>
      <c r="I84" s="205">
        <f t="shared" si="182"/>
        <v>54775</v>
      </c>
      <c r="J84" s="205">
        <f t="shared" si="182"/>
        <v>57712.5</v>
      </c>
      <c r="K84" s="205">
        <f t="shared" si="182"/>
        <v>57712.5</v>
      </c>
      <c r="L84" s="205">
        <f t="shared" si="182"/>
        <v>54775</v>
      </c>
      <c r="M84" s="205">
        <f t="shared" si="182"/>
        <v>57712.5</v>
      </c>
      <c r="N84" s="205">
        <f t="shared" si="182"/>
        <v>54775</v>
      </c>
      <c r="O84" s="205">
        <f t="shared" si="182"/>
        <v>57712.5</v>
      </c>
      <c r="P84" s="261"/>
      <c r="Q84" s="261"/>
      <c r="R84" s="205">
        <f>R68</f>
        <v>83985</v>
      </c>
      <c r="S84" s="205">
        <f t="shared" ref="S84:AC84" si="183">S68</f>
        <v>72630</v>
      </c>
      <c r="T84" s="205">
        <f t="shared" si="183"/>
        <v>83985</v>
      </c>
      <c r="U84" s="205">
        <f t="shared" si="183"/>
        <v>80200</v>
      </c>
      <c r="V84" s="205">
        <f t="shared" si="183"/>
        <v>83985</v>
      </c>
      <c r="W84" s="205">
        <f t="shared" si="183"/>
        <v>80200</v>
      </c>
      <c r="X84" s="205">
        <f t="shared" si="183"/>
        <v>83985</v>
      </c>
      <c r="Y84" s="205">
        <f t="shared" si="183"/>
        <v>83985</v>
      </c>
      <c r="Z84" s="205">
        <f t="shared" si="183"/>
        <v>80200</v>
      </c>
      <c r="AA84" s="205">
        <f t="shared" si="183"/>
        <v>83985</v>
      </c>
      <c r="AB84" s="205">
        <f t="shared" si="183"/>
        <v>80200</v>
      </c>
      <c r="AC84" s="205">
        <f t="shared" si="183"/>
        <v>83985</v>
      </c>
      <c r="AD84" s="261"/>
      <c r="AE84" s="261"/>
      <c r="AF84" s="205">
        <f>AF68</f>
        <v>97121.25</v>
      </c>
      <c r="AG84" s="205">
        <f t="shared" ref="AG84:AQ84" si="184">AG68</f>
        <v>84495</v>
      </c>
      <c r="AH84" s="205">
        <f t="shared" si="184"/>
        <v>97121.25</v>
      </c>
      <c r="AI84" s="205">
        <f t="shared" si="184"/>
        <v>92912.5</v>
      </c>
      <c r="AJ84" s="205">
        <f t="shared" si="184"/>
        <v>97121.25</v>
      </c>
      <c r="AK84" s="205">
        <f t="shared" si="184"/>
        <v>92912.5</v>
      </c>
      <c r="AL84" s="205">
        <f t="shared" si="184"/>
        <v>97121.25</v>
      </c>
      <c r="AM84" s="205">
        <f t="shared" si="184"/>
        <v>97121.25</v>
      </c>
      <c r="AN84" s="205">
        <f t="shared" si="184"/>
        <v>92912.5</v>
      </c>
      <c r="AO84" s="205">
        <f t="shared" si="184"/>
        <v>97121.25</v>
      </c>
      <c r="AP84" s="205">
        <f t="shared" si="184"/>
        <v>92912.5</v>
      </c>
      <c r="AQ84" s="205">
        <f t="shared" si="184"/>
        <v>97121.25</v>
      </c>
      <c r="AR84" s="261"/>
      <c r="AS84" s="261"/>
      <c r="AT84" s="262"/>
      <c r="AW84" s="163"/>
      <c r="AX84" s="163"/>
    </row>
    <row r="85" spans="1:50" s="263" customFormat="1" x14ac:dyDescent="0.4">
      <c r="A85" s="233" t="str">
        <f>CHOOSE('Вхідні дані'!$S$1,AW69,AX69)</f>
        <v>Чистий грошовий потік (NCF) накопичувальним підсумком, UAH</v>
      </c>
      <c r="B85" s="254"/>
      <c r="C85" s="205">
        <f>B85+C84</f>
        <v>0</v>
      </c>
      <c r="D85" s="205">
        <f>C85+D84</f>
        <v>31440</v>
      </c>
      <c r="E85" s="205">
        <f t="shared" ref="E85:O85" si="185">D85+E84</f>
        <v>80340</v>
      </c>
      <c r="F85" s="205">
        <f t="shared" si="185"/>
        <v>138052.5</v>
      </c>
      <c r="G85" s="205">
        <f t="shared" si="185"/>
        <v>192827.5</v>
      </c>
      <c r="H85" s="205">
        <f t="shared" si="185"/>
        <v>250540</v>
      </c>
      <c r="I85" s="205">
        <f t="shared" si="185"/>
        <v>305315</v>
      </c>
      <c r="J85" s="205">
        <f t="shared" si="185"/>
        <v>363027.5</v>
      </c>
      <c r="K85" s="205">
        <f t="shared" si="185"/>
        <v>420740</v>
      </c>
      <c r="L85" s="205">
        <f t="shared" si="185"/>
        <v>475515</v>
      </c>
      <c r="M85" s="205">
        <f t="shared" si="185"/>
        <v>533227.5</v>
      </c>
      <c r="N85" s="205">
        <f t="shared" si="185"/>
        <v>588002.5</v>
      </c>
      <c r="O85" s="205">
        <f t="shared" si="185"/>
        <v>645715</v>
      </c>
      <c r="P85" s="261"/>
      <c r="Q85" s="261"/>
      <c r="R85" s="205">
        <f>O85+R84</f>
        <v>729700</v>
      </c>
      <c r="S85" s="205">
        <f t="shared" ref="S85:AC85" si="186">R85+S84</f>
        <v>802330</v>
      </c>
      <c r="T85" s="205">
        <f t="shared" si="186"/>
        <v>886315</v>
      </c>
      <c r="U85" s="205">
        <f t="shared" si="186"/>
        <v>966515</v>
      </c>
      <c r="V85" s="205">
        <f t="shared" si="186"/>
        <v>1050500</v>
      </c>
      <c r="W85" s="205">
        <f t="shared" si="186"/>
        <v>1130700</v>
      </c>
      <c r="X85" s="205">
        <f t="shared" si="186"/>
        <v>1214685</v>
      </c>
      <c r="Y85" s="205">
        <f t="shared" si="186"/>
        <v>1298670</v>
      </c>
      <c r="Z85" s="205">
        <f t="shared" si="186"/>
        <v>1378870</v>
      </c>
      <c r="AA85" s="205">
        <f t="shared" si="186"/>
        <v>1462855</v>
      </c>
      <c r="AB85" s="205">
        <f t="shared" si="186"/>
        <v>1543055</v>
      </c>
      <c r="AC85" s="205">
        <f t="shared" si="186"/>
        <v>1627040</v>
      </c>
      <c r="AD85" s="261"/>
      <c r="AE85" s="261"/>
      <c r="AF85" s="205">
        <f>AC85+AF84</f>
        <v>1724161.25</v>
      </c>
      <c r="AG85" s="205">
        <f t="shared" ref="AG85:AQ85" si="187">AF85+AG84</f>
        <v>1808656.25</v>
      </c>
      <c r="AH85" s="205">
        <f t="shared" si="187"/>
        <v>1905777.5</v>
      </c>
      <c r="AI85" s="205">
        <f t="shared" si="187"/>
        <v>1998690</v>
      </c>
      <c r="AJ85" s="205">
        <f t="shared" si="187"/>
        <v>2095811.25</v>
      </c>
      <c r="AK85" s="205">
        <f t="shared" si="187"/>
        <v>2188723.75</v>
      </c>
      <c r="AL85" s="205">
        <f t="shared" si="187"/>
        <v>2285845</v>
      </c>
      <c r="AM85" s="205">
        <f t="shared" si="187"/>
        <v>2382966.25</v>
      </c>
      <c r="AN85" s="205">
        <f t="shared" si="187"/>
        <v>2475878.75</v>
      </c>
      <c r="AO85" s="205">
        <f t="shared" si="187"/>
        <v>2573000</v>
      </c>
      <c r="AP85" s="205">
        <f t="shared" si="187"/>
        <v>2665912.5</v>
      </c>
      <c r="AQ85" s="205">
        <f t="shared" si="187"/>
        <v>2763033.75</v>
      </c>
      <c r="AR85" s="261"/>
      <c r="AS85" s="261"/>
      <c r="AT85" s="262"/>
      <c r="AW85" s="163"/>
      <c r="AX85" s="163"/>
    </row>
    <row r="86" spans="1:50" s="183" customFormat="1" x14ac:dyDescent="0.4">
      <c r="A86" s="236" t="str">
        <f>CHOOSE('Вхідні дані'!$S$1,AW70,AX70)</f>
        <v>Чиста приведена вартість (NPV), UAH</v>
      </c>
      <c r="B86" s="264"/>
      <c r="C86" s="205">
        <f>IF(C84*C82&lt;0,C84,C84*C82)</f>
        <v>0</v>
      </c>
      <c r="D86" s="205">
        <f>IF(D84*D82&lt;0,D84,D84*D82)</f>
        <v>31180.165289256198</v>
      </c>
      <c r="E86" s="205">
        <f t="shared" ref="E86:O86" si="188">IF(E84*E82&lt;0,E84,E84*E82)</f>
        <v>48095.07547298682</v>
      </c>
      <c r="F86" s="205">
        <f t="shared" si="188"/>
        <v>56293.404517259078</v>
      </c>
      <c r="G86" s="205">
        <f t="shared" si="188"/>
        <v>52986.580014849031</v>
      </c>
      <c r="H86" s="205">
        <f t="shared" si="188"/>
        <v>55366.779936379404</v>
      </c>
      <c r="I86" s="205">
        <f t="shared" si="188"/>
        <v>52114.387829644569</v>
      </c>
      <c r="J86" s="205">
        <f t="shared" si="188"/>
        <v>54455.408174568911</v>
      </c>
      <c r="K86" s="205">
        <f t="shared" si="188"/>
        <v>54005.36347891132</v>
      </c>
      <c r="L86" s="205">
        <f>IF(L84*L82&lt;0,L84,L84*L82)</f>
        <v>50832.944600623872</v>
      </c>
      <c r="M86" s="205">
        <f t="shared" si="188"/>
        <v>53116.401481888053</v>
      </c>
      <c r="N86" s="205">
        <f t="shared" si="188"/>
        <v>49996.202598796794</v>
      </c>
      <c r="O86" s="205">
        <f t="shared" si="188"/>
        <v>52242.072354291922</v>
      </c>
      <c r="P86" s="206"/>
      <c r="Q86" s="206"/>
      <c r="R86" s="205">
        <f>IF(R84*R82&lt;0,R84,R84*R82)</f>
        <v>75395.966197652582</v>
      </c>
      <c r="S86" s="205">
        <f t="shared" ref="S86:AC86" si="189">IF(S84*S82&lt;0,S84,S84*S82)</f>
        <v>64663.365505770736</v>
      </c>
      <c r="T86" s="205">
        <f t="shared" si="189"/>
        <v>74154.901526275338</v>
      </c>
      <c r="U86" s="205">
        <f t="shared" si="189"/>
        <v>70227.689447581768</v>
      </c>
      <c r="V86" s="205">
        <f t="shared" si="189"/>
        <v>72934.265554153739</v>
      </c>
      <c r="W86" s="205">
        <f t="shared" si="189"/>
        <v>69071.697837933039</v>
      </c>
      <c r="X86" s="205">
        <f t="shared" si="189"/>
        <v>71733.722012144921</v>
      </c>
      <c r="Y86" s="205">
        <f t="shared" si="189"/>
        <v>71140.881334358608</v>
      </c>
      <c r="Z86" s="205">
        <f>IF(Z84*Z82&lt;0,Z84,Z84*Z82)</f>
        <v>67373.290484464451</v>
      </c>
      <c r="AA86" s="205">
        <f t="shared" si="189"/>
        <v>69969.858016171289</v>
      </c>
      <c r="AB86" s="205">
        <f t="shared" si="189"/>
        <v>66264.284063676532</v>
      </c>
      <c r="AC86" s="205">
        <f t="shared" si="189"/>
        <v>68818.110472841116</v>
      </c>
      <c r="AD86" s="206"/>
      <c r="AE86" s="206"/>
      <c r="AF86" s="205">
        <f>IF(AF84*AF82&lt;0,AF84,AF84*AF82)</f>
        <v>78924.375949783498</v>
      </c>
      <c r="AG86" s="205">
        <f t="shared" ref="AG86:AQ86" si="190">IF(AG84*AG82&lt;0,AG84,AG84*AG82)</f>
        <v>68096.341403801169</v>
      </c>
      <c r="AH86" s="205">
        <f t="shared" si="190"/>
        <v>77625.231451190644</v>
      </c>
      <c r="AI86" s="205">
        <f t="shared" si="190"/>
        <v>73647.611446333656</v>
      </c>
      <c r="AJ86" s="205">
        <f t="shared" si="190"/>
        <v>76347.471682067175</v>
      </c>
      <c r="AK86" s="205">
        <f t="shared" si="190"/>
        <v>72435.325785616064</v>
      </c>
      <c r="AL86" s="205">
        <f t="shared" si="190"/>
        <v>75090.744636416042</v>
      </c>
      <c r="AM86" s="205">
        <f t="shared" si="190"/>
        <v>74470.159969999382</v>
      </c>
      <c r="AN86" s="205">
        <f>IF(AN84*AN82&lt;0,AN84,AN84*AN82)</f>
        <v>70654.210020171231</v>
      </c>
      <c r="AO86" s="205">
        <f t="shared" si="190"/>
        <v>73244.334647086347</v>
      </c>
      <c r="AP86" s="205">
        <f t="shared" si="190"/>
        <v>69491.197615631841</v>
      </c>
      <c r="AQ86" s="205">
        <f t="shared" si="190"/>
        <v>72038.687174239705</v>
      </c>
      <c r="AR86" s="265"/>
      <c r="AS86" s="265"/>
      <c r="AT86" s="206"/>
      <c r="AW86" s="163"/>
      <c r="AX86" s="163"/>
    </row>
    <row r="87" spans="1:50" s="183" customFormat="1" x14ac:dyDescent="0.4">
      <c r="A87" s="236" t="str">
        <f>CHOOSE('Вхідні дані'!$S$1,AW71,AX71)</f>
        <v>Чиста приведена вартість (NPV) накопичувальним підсумком, UAH</v>
      </c>
      <c r="B87" s="264"/>
      <c r="C87" s="205">
        <f>B87+C86</f>
        <v>0</v>
      </c>
      <c r="D87" s="205">
        <f>C87+D86</f>
        <v>31180.165289256198</v>
      </c>
      <c r="E87" s="205">
        <f t="shared" ref="E87:O87" si="191">D87+E86</f>
        <v>79275.240762243018</v>
      </c>
      <c r="F87" s="205">
        <f t="shared" si="191"/>
        <v>135568.64527950209</v>
      </c>
      <c r="G87" s="205">
        <f t="shared" si="191"/>
        <v>188555.22529435111</v>
      </c>
      <c r="H87" s="205">
        <f t="shared" si="191"/>
        <v>243922.00523073052</v>
      </c>
      <c r="I87" s="205">
        <f t="shared" si="191"/>
        <v>296036.39306037506</v>
      </c>
      <c r="J87" s="205">
        <f t="shared" si="191"/>
        <v>350491.80123494397</v>
      </c>
      <c r="K87" s="205">
        <f t="shared" si="191"/>
        <v>404497.16471385531</v>
      </c>
      <c r="L87" s="205">
        <f t="shared" si="191"/>
        <v>455330.10931447917</v>
      </c>
      <c r="M87" s="205">
        <f t="shared" si="191"/>
        <v>508446.51079636719</v>
      </c>
      <c r="N87" s="205">
        <f t="shared" si="191"/>
        <v>558442.713395164</v>
      </c>
      <c r="O87" s="205">
        <f t="shared" si="191"/>
        <v>610684.78574945591</v>
      </c>
      <c r="P87" s="206"/>
      <c r="Q87" s="206"/>
      <c r="R87" s="205">
        <f>O87+R86</f>
        <v>686080.75194710854</v>
      </c>
      <c r="S87" s="205">
        <f t="shared" ref="S87:AC87" si="192">R87+S86</f>
        <v>750744.11745287932</v>
      </c>
      <c r="T87" s="205">
        <f t="shared" si="192"/>
        <v>824899.01897915464</v>
      </c>
      <c r="U87" s="205">
        <f t="shared" si="192"/>
        <v>895126.70842673641</v>
      </c>
      <c r="V87" s="205">
        <f t="shared" si="192"/>
        <v>968060.97398089012</v>
      </c>
      <c r="W87" s="205">
        <f t="shared" si="192"/>
        <v>1037132.6718188232</v>
      </c>
      <c r="X87" s="205">
        <f t="shared" si="192"/>
        <v>1108866.3938309681</v>
      </c>
      <c r="Y87" s="205">
        <f t="shared" si="192"/>
        <v>1180007.2751653267</v>
      </c>
      <c r="Z87" s="205">
        <f t="shared" si="192"/>
        <v>1247380.5656497912</v>
      </c>
      <c r="AA87" s="205">
        <f t="shared" si="192"/>
        <v>1317350.4236659624</v>
      </c>
      <c r="AB87" s="205">
        <f t="shared" si="192"/>
        <v>1383614.707729639</v>
      </c>
      <c r="AC87" s="205">
        <f t="shared" si="192"/>
        <v>1452432.8182024802</v>
      </c>
      <c r="AD87" s="206"/>
      <c r="AE87" s="206"/>
      <c r="AF87" s="205">
        <f>AC87+AF86</f>
        <v>1531357.1941522637</v>
      </c>
      <c r="AG87" s="205">
        <f t="shared" ref="AG87:AQ87" si="193">AF87+AG86</f>
        <v>1599453.5355560649</v>
      </c>
      <c r="AH87" s="205">
        <f t="shared" si="193"/>
        <v>1677078.7670072555</v>
      </c>
      <c r="AI87" s="205">
        <f t="shared" si="193"/>
        <v>1750726.378453589</v>
      </c>
      <c r="AJ87" s="205">
        <f t="shared" si="193"/>
        <v>1827073.8501356563</v>
      </c>
      <c r="AK87" s="205">
        <f t="shared" si="193"/>
        <v>1899509.1759212725</v>
      </c>
      <c r="AL87" s="205">
        <f t="shared" si="193"/>
        <v>1974599.9205576885</v>
      </c>
      <c r="AM87" s="205">
        <f t="shared" si="193"/>
        <v>2049070.0805276879</v>
      </c>
      <c r="AN87" s="205">
        <f t="shared" si="193"/>
        <v>2119724.2905478589</v>
      </c>
      <c r="AO87" s="205">
        <f t="shared" si="193"/>
        <v>2192968.6251949454</v>
      </c>
      <c r="AP87" s="205">
        <f t="shared" si="193"/>
        <v>2262459.8228105772</v>
      </c>
      <c r="AQ87" s="205">
        <f t="shared" si="193"/>
        <v>2334498.5099848169</v>
      </c>
      <c r="AR87" s="265"/>
      <c r="AS87" s="265"/>
      <c r="AT87" s="206"/>
      <c r="AW87" s="163"/>
      <c r="AX87" s="163"/>
    </row>
    <row r="88" spans="1:50" s="183" customFormat="1" x14ac:dyDescent="0.4">
      <c r="A88" s="233"/>
      <c r="B88" s="266"/>
      <c r="C88" s="266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5"/>
      <c r="Q88" s="265"/>
      <c r="R88" s="264"/>
      <c r="S88" s="264"/>
      <c r="T88" s="264"/>
      <c r="U88" s="264"/>
      <c r="V88" s="264"/>
      <c r="W88" s="264"/>
      <c r="X88" s="264"/>
      <c r="Y88" s="264"/>
      <c r="Z88" s="264"/>
      <c r="AA88" s="264"/>
      <c r="AB88" s="264"/>
      <c r="AC88" s="264"/>
      <c r="AD88" s="265"/>
      <c r="AE88" s="265"/>
      <c r="AF88" s="264"/>
      <c r="AG88" s="264"/>
      <c r="AH88" s="264"/>
      <c r="AI88" s="264"/>
      <c r="AJ88" s="264"/>
      <c r="AK88" s="264"/>
      <c r="AL88" s="264"/>
      <c r="AM88" s="264"/>
      <c r="AN88" s="264"/>
      <c r="AO88" s="264"/>
      <c r="AP88" s="264"/>
      <c r="AQ88" s="264"/>
      <c r="AR88" s="265"/>
      <c r="AS88" s="265"/>
      <c r="AT88" s="267"/>
      <c r="AW88" s="163"/>
      <c r="AX88" s="163"/>
    </row>
    <row r="89" spans="1:50" s="183" customFormat="1" x14ac:dyDescent="0.4">
      <c r="A89" s="268" t="str">
        <f>CHOOSE('Вхідні дані'!$S$1,AW72,AX72)</f>
        <v>Чиста приведена вартість (NPV) на кінець 3-го року, UAH</v>
      </c>
      <c r="B89" s="269">
        <f>AQ87+AT75</f>
        <v>1802365.5099848169</v>
      </c>
      <c r="C89" s="265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5"/>
      <c r="Q89" s="265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5"/>
      <c r="AE89" s="265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5"/>
      <c r="AS89" s="265"/>
      <c r="AT89" s="267"/>
      <c r="AW89" s="163"/>
      <c r="AX89" s="163"/>
    </row>
    <row r="90" spans="1:50" s="183" customFormat="1" x14ac:dyDescent="0.4">
      <c r="A90" s="268" t="str">
        <f>CHOOSE('Вхідні дані'!$S$1,AW73,AX73)</f>
        <v>Індекс прибутковості проекту (PI)</v>
      </c>
      <c r="B90" s="269">
        <f>AQ87/AT35</f>
        <v>4.3870583293740788</v>
      </c>
      <c r="C90" s="265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5"/>
      <c r="Q90" s="265"/>
      <c r="R90" s="195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5"/>
      <c r="AE90" s="265"/>
      <c r="AF90" s="195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5"/>
      <c r="AS90" s="265"/>
      <c r="AT90" s="267"/>
      <c r="AW90" s="163"/>
      <c r="AX90" s="163"/>
    </row>
    <row r="91" spans="1:50" s="183" customFormat="1" x14ac:dyDescent="0.4">
      <c r="A91" s="268" t="str">
        <f>CHOOSE('Вхідні дані'!$S$1,AW74,AX74)</f>
        <v>Строк окупності проекту з урахуванням інвестицій, міс.:</v>
      </c>
      <c r="B91" s="270">
        <f>AT96</f>
        <v>10</v>
      </c>
      <c r="C91" s="271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265"/>
      <c r="Q91" s="265"/>
      <c r="R91" s="264"/>
      <c r="S91" s="264"/>
      <c r="T91" s="264"/>
      <c r="U91" s="264"/>
      <c r="V91" s="264"/>
      <c r="W91" s="264"/>
      <c r="X91" s="264"/>
      <c r="Y91" s="264"/>
      <c r="Z91" s="264"/>
      <c r="AA91" s="264"/>
      <c r="AB91" s="264"/>
      <c r="AC91" s="264"/>
      <c r="AD91" s="265"/>
      <c r="AE91" s="265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265"/>
      <c r="AS91" s="265"/>
      <c r="AT91" s="267"/>
      <c r="AW91" s="163"/>
      <c r="AX91" s="163"/>
    </row>
    <row r="92" spans="1:50" x14ac:dyDescent="0.4">
      <c r="A92" s="268" t="str">
        <f>CHOOSE('Вхідні дані'!$S$1,AW75,AX75)</f>
        <v>Строк виходу на самоокупність проекту, міс.:</v>
      </c>
      <c r="B92" s="270">
        <f>AT97</f>
        <v>1</v>
      </c>
      <c r="C92" s="271"/>
      <c r="D92" s="225"/>
      <c r="E92" s="225"/>
      <c r="F92" s="272"/>
      <c r="G92" s="272"/>
      <c r="H92" s="272"/>
      <c r="I92" s="225"/>
      <c r="J92" s="223"/>
      <c r="K92" s="223"/>
      <c r="L92" s="223"/>
      <c r="M92" s="223"/>
      <c r="N92" s="223"/>
      <c r="O92" s="223"/>
      <c r="P92" s="226"/>
      <c r="Q92" s="226"/>
      <c r="R92" s="225"/>
      <c r="S92" s="225"/>
      <c r="T92" s="272"/>
      <c r="U92" s="272"/>
      <c r="V92" s="272"/>
      <c r="W92" s="225"/>
      <c r="X92" s="223"/>
      <c r="Y92" s="223"/>
      <c r="Z92" s="223"/>
      <c r="AA92" s="223"/>
      <c r="AB92" s="223"/>
      <c r="AC92" s="223"/>
      <c r="AD92" s="226"/>
      <c r="AE92" s="226"/>
      <c r="AF92" s="225"/>
      <c r="AG92" s="225"/>
      <c r="AH92" s="272"/>
      <c r="AI92" s="272"/>
      <c r="AJ92" s="272"/>
      <c r="AK92" s="225"/>
      <c r="AL92" s="223"/>
      <c r="AM92" s="223"/>
      <c r="AN92" s="223"/>
      <c r="AO92" s="223"/>
      <c r="AP92" s="223"/>
      <c r="AQ92" s="223"/>
      <c r="AR92" s="226"/>
      <c r="AS92" s="226"/>
      <c r="AT92" s="223"/>
    </row>
    <row r="93" spans="1:50" s="183" customFormat="1" x14ac:dyDescent="0.4">
      <c r="B93" s="195"/>
      <c r="C93" s="195"/>
      <c r="D93" s="273"/>
      <c r="F93" s="274"/>
      <c r="P93" s="199"/>
      <c r="Q93" s="199"/>
      <c r="R93" s="273"/>
      <c r="T93" s="274"/>
      <c r="AD93" s="199"/>
      <c r="AE93" s="199"/>
      <c r="AF93" s="273"/>
      <c r="AH93" s="274"/>
      <c r="AR93" s="199"/>
      <c r="AS93" s="199"/>
      <c r="AW93" s="163"/>
      <c r="AX93" s="163"/>
    </row>
    <row r="94" spans="1:50" s="275" customFormat="1" hidden="1" x14ac:dyDescent="0.4">
      <c r="B94" s="276" t="s">
        <v>31</v>
      </c>
      <c r="C94" s="276"/>
      <c r="D94" s="276">
        <f t="shared" ref="D94:O94" si="194">IF(D69&gt;0,0,1)</f>
        <v>1</v>
      </c>
      <c r="E94" s="276">
        <f t="shared" si="194"/>
        <v>1</v>
      </c>
      <c r="F94" s="276">
        <f t="shared" si="194"/>
        <v>1</v>
      </c>
      <c r="G94" s="276">
        <f t="shared" si="194"/>
        <v>1</v>
      </c>
      <c r="H94" s="276">
        <f t="shared" si="194"/>
        <v>1</v>
      </c>
      <c r="I94" s="276">
        <f t="shared" si="194"/>
        <v>1</v>
      </c>
      <c r="J94" s="276">
        <f t="shared" si="194"/>
        <v>1</v>
      </c>
      <c r="K94" s="276">
        <f t="shared" si="194"/>
        <v>1</v>
      </c>
      <c r="L94" s="276">
        <f t="shared" si="194"/>
        <v>1</v>
      </c>
      <c r="M94" s="276">
        <f t="shared" si="194"/>
        <v>0</v>
      </c>
      <c r="N94" s="276">
        <f t="shared" si="194"/>
        <v>0</v>
      </c>
      <c r="O94" s="276">
        <f t="shared" si="194"/>
        <v>0</v>
      </c>
      <c r="P94" s="277"/>
      <c r="Q94" s="277"/>
      <c r="R94" s="276">
        <f t="shared" ref="R94:AC94" si="195">IF(R69&gt;0,0,1)</f>
        <v>0</v>
      </c>
      <c r="S94" s="276">
        <f t="shared" si="195"/>
        <v>0</v>
      </c>
      <c r="T94" s="276">
        <f t="shared" si="195"/>
        <v>0</v>
      </c>
      <c r="U94" s="276">
        <f t="shared" si="195"/>
        <v>0</v>
      </c>
      <c r="V94" s="276">
        <f t="shared" si="195"/>
        <v>0</v>
      </c>
      <c r="W94" s="276">
        <f t="shared" si="195"/>
        <v>0</v>
      </c>
      <c r="X94" s="276">
        <f t="shared" si="195"/>
        <v>0</v>
      </c>
      <c r="Y94" s="276">
        <f t="shared" si="195"/>
        <v>0</v>
      </c>
      <c r="Z94" s="276">
        <f t="shared" si="195"/>
        <v>0</v>
      </c>
      <c r="AA94" s="276">
        <f t="shared" si="195"/>
        <v>0</v>
      </c>
      <c r="AB94" s="276">
        <f t="shared" si="195"/>
        <v>0</v>
      </c>
      <c r="AC94" s="276">
        <f t="shared" si="195"/>
        <v>0</v>
      </c>
      <c r="AD94" s="277"/>
      <c r="AE94" s="277"/>
      <c r="AF94" s="276">
        <f t="shared" ref="AF94:AQ94" si="196">IF(AF69&gt;0,0,1)</f>
        <v>0</v>
      </c>
      <c r="AG94" s="276">
        <f t="shared" si="196"/>
        <v>0</v>
      </c>
      <c r="AH94" s="276">
        <f t="shared" si="196"/>
        <v>0</v>
      </c>
      <c r="AI94" s="276">
        <f t="shared" si="196"/>
        <v>0</v>
      </c>
      <c r="AJ94" s="276">
        <f t="shared" si="196"/>
        <v>0</v>
      </c>
      <c r="AK94" s="276">
        <f t="shared" si="196"/>
        <v>0</v>
      </c>
      <c r="AL94" s="276">
        <f t="shared" si="196"/>
        <v>0</v>
      </c>
      <c r="AM94" s="276">
        <f t="shared" si="196"/>
        <v>0</v>
      </c>
      <c r="AN94" s="276">
        <f t="shared" si="196"/>
        <v>0</v>
      </c>
      <c r="AO94" s="276">
        <f t="shared" si="196"/>
        <v>0</v>
      </c>
      <c r="AP94" s="276">
        <f t="shared" si="196"/>
        <v>0</v>
      </c>
      <c r="AQ94" s="276">
        <f t="shared" si="196"/>
        <v>0</v>
      </c>
      <c r="AR94" s="277"/>
      <c r="AS94" s="277"/>
      <c r="AT94" s="275">
        <f>SUM(C94:AQ94)</f>
        <v>9</v>
      </c>
      <c r="AW94" s="163"/>
      <c r="AX94" s="163"/>
    </row>
    <row r="95" spans="1:50" s="276" customFormat="1" hidden="1" x14ac:dyDescent="0.4">
      <c r="B95" s="276" t="s">
        <v>42</v>
      </c>
      <c r="D95" s="276">
        <f>IF(D68&gt;0,0,1)</f>
        <v>0</v>
      </c>
      <c r="E95" s="276">
        <f>IF(OR(E68&gt;0,D95=0),0,1)</f>
        <v>0</v>
      </c>
      <c r="F95" s="276">
        <f t="shared" ref="F95:O95" si="197">IF(OR(F68&gt;0,E95=0),0,1)</f>
        <v>0</v>
      </c>
      <c r="G95" s="276">
        <f t="shared" si="197"/>
        <v>0</v>
      </c>
      <c r="H95" s="276">
        <f t="shared" si="197"/>
        <v>0</v>
      </c>
      <c r="I95" s="276">
        <f t="shared" si="197"/>
        <v>0</v>
      </c>
      <c r="J95" s="276">
        <f>IF(OR(J68&gt;0,I95=0),0,1)</f>
        <v>0</v>
      </c>
      <c r="K95" s="276">
        <f t="shared" si="197"/>
        <v>0</v>
      </c>
      <c r="L95" s="276">
        <f t="shared" si="197"/>
        <v>0</v>
      </c>
      <c r="M95" s="276">
        <f>IF(OR(M68&gt;0,L95=0),0,1)</f>
        <v>0</v>
      </c>
      <c r="N95" s="276">
        <f t="shared" si="197"/>
        <v>0</v>
      </c>
      <c r="O95" s="276">
        <f t="shared" si="197"/>
        <v>0</v>
      </c>
      <c r="R95" s="276">
        <f>IF(OR(R68&gt;0,O95=0),0,1)</f>
        <v>0</v>
      </c>
      <c r="S95" s="276">
        <f t="shared" ref="S95:AC95" si="198">IF(OR(S68&gt;0,R95=0),0,1)</f>
        <v>0</v>
      </c>
      <c r="T95" s="276">
        <f t="shared" si="198"/>
        <v>0</v>
      </c>
      <c r="U95" s="276">
        <f t="shared" si="198"/>
        <v>0</v>
      </c>
      <c r="V95" s="276">
        <f t="shared" si="198"/>
        <v>0</v>
      </c>
      <c r="W95" s="276">
        <f>IF(OR(W68&gt;0,V95=0),0,1)</f>
        <v>0</v>
      </c>
      <c r="X95" s="276">
        <f t="shared" si="198"/>
        <v>0</v>
      </c>
      <c r="Y95" s="276">
        <f t="shared" si="198"/>
        <v>0</v>
      </c>
      <c r="Z95" s="276">
        <f>IF(OR(Z68&gt;0,Y95=0),0,1)</f>
        <v>0</v>
      </c>
      <c r="AA95" s="276">
        <f t="shared" si="198"/>
        <v>0</v>
      </c>
      <c r="AB95" s="276">
        <f t="shared" si="198"/>
        <v>0</v>
      </c>
      <c r="AC95" s="276">
        <f t="shared" si="198"/>
        <v>0</v>
      </c>
      <c r="AF95" s="276">
        <f>IF(OR(AF68&gt;0,AC95=0),0,1)</f>
        <v>0</v>
      </c>
      <c r="AG95" s="276">
        <f t="shared" ref="AG95:AQ95" si="199">IF(OR(AG68&gt;0,AF95=0),0,1)</f>
        <v>0</v>
      </c>
      <c r="AH95" s="276">
        <f t="shared" si="199"/>
        <v>0</v>
      </c>
      <c r="AI95" s="276">
        <f t="shared" si="199"/>
        <v>0</v>
      </c>
      <c r="AJ95" s="276">
        <f t="shared" si="199"/>
        <v>0</v>
      </c>
      <c r="AK95" s="276">
        <f>IF(OR(AK68&gt;0,AJ95=0),0,1)</f>
        <v>0</v>
      </c>
      <c r="AL95" s="276">
        <f t="shared" si="199"/>
        <v>0</v>
      </c>
      <c r="AM95" s="276">
        <f t="shared" si="199"/>
        <v>0</v>
      </c>
      <c r="AN95" s="276">
        <f>IF(OR(AN68&gt;0,AM95=0),0,1)</f>
        <v>0</v>
      </c>
      <c r="AO95" s="276">
        <f t="shared" si="199"/>
        <v>0</v>
      </c>
      <c r="AP95" s="276">
        <f t="shared" si="199"/>
        <v>0</v>
      </c>
      <c r="AQ95" s="276">
        <f t="shared" si="199"/>
        <v>0</v>
      </c>
      <c r="AT95" s="275">
        <f>SUM(C95:AQ95)</f>
        <v>0</v>
      </c>
      <c r="AW95" s="163"/>
      <c r="AX95" s="163"/>
    </row>
    <row r="96" spans="1:50" s="183" customFormat="1" hidden="1" x14ac:dyDescent="0.4">
      <c r="P96" s="199"/>
      <c r="Q96" s="199"/>
      <c r="AD96" s="199"/>
      <c r="AE96" s="199"/>
      <c r="AR96" s="199"/>
      <c r="AS96" s="199"/>
      <c r="AT96" s="183">
        <f>IF(AS68&lt;0,"проект не окупается",IF(AT94&lt;36,AT94+1,-AT67/AS68+37))</f>
        <v>10</v>
      </c>
      <c r="AW96" s="163"/>
      <c r="AX96" s="163"/>
    </row>
    <row r="97" spans="1:50" s="278" customFormat="1" hidden="1" x14ac:dyDescent="0.4">
      <c r="A97" s="183"/>
      <c r="P97" s="279"/>
      <c r="Q97" s="279"/>
      <c r="AD97" s="279"/>
      <c r="AE97" s="279"/>
      <c r="AR97" s="279"/>
      <c r="AS97" s="279"/>
      <c r="AT97" s="278">
        <f>IF(AS68&lt;0,"проект не окупается",IF(AT95&lt;36,AT95+1,-AT67/AS68+37))</f>
        <v>1</v>
      </c>
      <c r="AW97" s="163"/>
      <c r="AX97" s="163"/>
    </row>
    <row r="98" spans="1:50" s="278" customFormat="1" hidden="1" x14ac:dyDescent="0.4">
      <c r="A98" s="183"/>
      <c r="P98" s="279"/>
      <c r="Q98" s="279"/>
      <c r="AD98" s="279"/>
      <c r="AE98" s="279"/>
      <c r="AR98" s="279"/>
      <c r="AS98" s="279"/>
      <c r="AW98" s="163"/>
      <c r="AX98" s="163"/>
    </row>
    <row r="99" spans="1:50" s="280" customFormat="1" x14ac:dyDescent="0.4"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2"/>
      <c r="Q99" s="282"/>
      <c r="AD99" s="283"/>
      <c r="AE99" s="283"/>
      <c r="AR99" s="283"/>
      <c r="AS99" s="283"/>
      <c r="AW99" s="163"/>
      <c r="AX99" s="163"/>
    </row>
    <row r="100" spans="1:50" s="280" customFormat="1" x14ac:dyDescent="0.4"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2"/>
      <c r="Q100" s="283"/>
      <c r="AD100" s="283"/>
      <c r="AE100" s="283"/>
      <c r="AR100" s="283"/>
      <c r="AS100" s="283"/>
      <c r="AW100" s="163"/>
      <c r="AX100" s="163"/>
    </row>
    <row r="101" spans="1:50" s="280" customFormat="1" x14ac:dyDescent="0.4">
      <c r="P101" s="283"/>
      <c r="Q101" s="283"/>
      <c r="AD101" s="283"/>
      <c r="AE101" s="283"/>
      <c r="AR101" s="283"/>
      <c r="AS101" s="283"/>
      <c r="AW101" s="163"/>
      <c r="AX101" s="163"/>
    </row>
    <row r="102" spans="1:50" s="278" customFormat="1" x14ac:dyDescent="0.4">
      <c r="A102" s="183"/>
      <c r="P102" s="279"/>
      <c r="Q102" s="279"/>
      <c r="AD102" s="279"/>
      <c r="AE102" s="279"/>
      <c r="AR102" s="279"/>
      <c r="AS102" s="279"/>
      <c r="AW102" s="163"/>
      <c r="AX102" s="163"/>
    </row>
    <row r="103" spans="1:50" s="278" customFormat="1" x14ac:dyDescent="0.4">
      <c r="A103" s="183"/>
      <c r="P103" s="279"/>
      <c r="Q103" s="279"/>
      <c r="AD103" s="279"/>
      <c r="AE103" s="279"/>
      <c r="AR103" s="279"/>
      <c r="AS103" s="279"/>
      <c r="AW103" s="163"/>
      <c r="AX103" s="163"/>
    </row>
    <row r="104" spans="1:50" s="278" customFormat="1" x14ac:dyDescent="0.4">
      <c r="A104" s="183"/>
      <c r="P104" s="279"/>
      <c r="Q104" s="279"/>
      <c r="AD104" s="279"/>
      <c r="AE104" s="279"/>
      <c r="AR104" s="279"/>
      <c r="AS104" s="279"/>
      <c r="AW104" s="163"/>
      <c r="AX104" s="163"/>
    </row>
    <row r="105" spans="1:50" s="278" customFormat="1" x14ac:dyDescent="0.4">
      <c r="A105" s="183"/>
      <c r="P105" s="279"/>
      <c r="Q105" s="279"/>
      <c r="AD105" s="279"/>
      <c r="AE105" s="279"/>
      <c r="AR105" s="279"/>
      <c r="AS105" s="279"/>
      <c r="AW105" s="163"/>
      <c r="AX105" s="163"/>
    </row>
    <row r="106" spans="1:50" s="278" customFormat="1" x14ac:dyDescent="0.4">
      <c r="A106" s="183"/>
      <c r="P106" s="279"/>
      <c r="Q106" s="279"/>
      <c r="AD106" s="279"/>
      <c r="AE106" s="279"/>
      <c r="AR106" s="279"/>
      <c r="AS106" s="279"/>
      <c r="AW106" s="163"/>
      <c r="AX106" s="163"/>
    </row>
    <row r="107" spans="1:50" s="278" customFormat="1" x14ac:dyDescent="0.4">
      <c r="A107" s="183"/>
      <c r="P107" s="279"/>
      <c r="Q107" s="279"/>
      <c r="AD107" s="279"/>
      <c r="AE107" s="279"/>
      <c r="AR107" s="279"/>
      <c r="AS107" s="279"/>
      <c r="AW107" s="163"/>
      <c r="AX107" s="163"/>
    </row>
    <row r="108" spans="1:50" s="278" customFormat="1" x14ac:dyDescent="0.4">
      <c r="A108" s="183"/>
      <c r="P108" s="279"/>
      <c r="Q108" s="279"/>
      <c r="AD108" s="279"/>
      <c r="AE108" s="279"/>
      <c r="AR108" s="279"/>
      <c r="AS108" s="279"/>
      <c r="AW108" s="163"/>
      <c r="AX108" s="163"/>
    </row>
    <row r="109" spans="1:50" s="278" customFormat="1" x14ac:dyDescent="0.4">
      <c r="A109" s="183"/>
      <c r="P109" s="279"/>
      <c r="Q109" s="279"/>
      <c r="AD109" s="279"/>
      <c r="AE109" s="279"/>
      <c r="AR109" s="279"/>
      <c r="AS109" s="279"/>
      <c r="AW109" s="163"/>
      <c r="AX109" s="163"/>
    </row>
    <row r="110" spans="1:50" s="278" customFormat="1" x14ac:dyDescent="0.4">
      <c r="A110" s="183"/>
      <c r="P110" s="279"/>
      <c r="Q110" s="279"/>
      <c r="AD110" s="279"/>
      <c r="AE110" s="279"/>
      <c r="AR110" s="279"/>
      <c r="AS110" s="279"/>
      <c r="AW110" s="163"/>
      <c r="AX110" s="163"/>
    </row>
  </sheetData>
  <mergeCells count="10">
    <mergeCell ref="D4:Q4"/>
    <mergeCell ref="R4:AE4"/>
    <mergeCell ref="AF4:AS4"/>
    <mergeCell ref="AT15:AT16"/>
    <mergeCell ref="D5:Q5"/>
    <mergeCell ref="D15:Q15"/>
    <mergeCell ref="R5:AE5"/>
    <mergeCell ref="R15:AE15"/>
    <mergeCell ref="AF5:AS5"/>
    <mergeCell ref="AF15:AS15"/>
  </mergeCells>
  <conditionalFormatting sqref="D9:O10">
    <cfRule type="cellIs" dxfId="38" priority="105" operator="lessThan">
      <formula>1</formula>
    </cfRule>
    <cfRule type="cellIs" dxfId="37" priority="106" operator="greaterThan">
      <formula>1</formula>
    </cfRule>
  </conditionalFormatting>
  <conditionalFormatting sqref="D9:O9">
    <cfRule type="cellIs" dxfId="36" priority="107" operator="lessThan">
      <formula>1</formula>
    </cfRule>
  </conditionalFormatting>
  <conditionalFormatting sqref="R9:AC9">
    <cfRule type="cellIs" dxfId="35" priority="91" operator="lessThan">
      <formula>1</formula>
    </cfRule>
  </conditionalFormatting>
  <conditionalFormatting sqref="R9:AC10">
    <cfRule type="cellIs" dxfId="34" priority="89" operator="lessThan">
      <formula>1</formula>
    </cfRule>
    <cfRule type="cellIs" dxfId="33" priority="90" operator="greaterThan">
      <formula>1</formula>
    </cfRule>
  </conditionalFormatting>
  <conditionalFormatting sqref="AF9:AQ9">
    <cfRule type="cellIs" dxfId="32" priority="73" operator="lessThan">
      <formula>1</formula>
    </cfRule>
  </conditionalFormatting>
  <conditionalFormatting sqref="AF9:AQ10">
    <cfRule type="cellIs" dxfId="31" priority="71" operator="lessThan">
      <formula>1</formula>
    </cfRule>
    <cfRule type="cellIs" dxfId="30" priority="72" operator="greaterThan">
      <formula>1</formula>
    </cfRule>
  </conditionalFormatting>
  <conditionalFormatting sqref="D11:O12">
    <cfRule type="cellIs" dxfId="29" priority="44" operator="lessThan">
      <formula>1</formula>
    </cfRule>
    <cfRule type="cellIs" dxfId="28" priority="45" operator="greaterThan">
      <formula>1</formula>
    </cfRule>
  </conditionalFormatting>
  <conditionalFormatting sqref="D11:O11">
    <cfRule type="cellIs" dxfId="27" priority="46" operator="lessThan">
      <formula>1</formula>
    </cfRule>
  </conditionalFormatting>
  <conditionalFormatting sqref="AF11:AQ11">
    <cfRule type="cellIs" dxfId="26" priority="40" operator="lessThan">
      <formula>1</formula>
    </cfRule>
  </conditionalFormatting>
  <conditionalFormatting sqref="AF11:AQ12">
    <cfRule type="cellIs" dxfId="25" priority="38" operator="lessThan">
      <formula>1</formula>
    </cfRule>
    <cfRule type="cellIs" dxfId="24" priority="39" operator="greaterThan">
      <formula>1</formula>
    </cfRule>
  </conditionalFormatting>
  <conditionalFormatting sqref="R11:AC11">
    <cfRule type="cellIs" dxfId="23" priority="43" operator="lessThan">
      <formula>1</formula>
    </cfRule>
  </conditionalFormatting>
  <conditionalFormatting sqref="R11:AC12">
    <cfRule type="cellIs" dxfId="22" priority="41" operator="lessThan">
      <formula>1</formula>
    </cfRule>
    <cfRule type="cellIs" dxfId="21" priority="42" operator="greaterThan">
      <formula>1</formula>
    </cfRule>
  </conditionalFormatting>
  <conditionalFormatting sqref="D13:O13">
    <cfRule type="cellIs" dxfId="20" priority="35" operator="lessThan">
      <formula>1</formula>
    </cfRule>
    <cfRule type="cellIs" dxfId="19" priority="36" operator="greaterThan">
      <formula>1</formula>
    </cfRule>
  </conditionalFormatting>
  <conditionalFormatting sqref="D13:O13">
    <cfRule type="cellIs" dxfId="18" priority="37" operator="lessThan">
      <formula>1</formula>
    </cfRule>
  </conditionalFormatting>
  <conditionalFormatting sqref="AF13:AQ13">
    <cfRule type="cellIs" dxfId="17" priority="31" operator="lessThan">
      <formula>1</formula>
    </cfRule>
  </conditionalFormatting>
  <conditionalFormatting sqref="AF13:AQ13">
    <cfRule type="cellIs" dxfId="16" priority="29" operator="lessThan">
      <formula>1</formula>
    </cfRule>
    <cfRule type="cellIs" dxfId="15" priority="30" operator="greaterThan">
      <formula>1</formula>
    </cfRule>
  </conditionalFormatting>
  <conditionalFormatting sqref="R13:AC13">
    <cfRule type="cellIs" dxfId="14" priority="34" operator="lessThan">
      <formula>1</formula>
    </cfRule>
  </conditionalFormatting>
  <conditionalFormatting sqref="R13:AC13">
    <cfRule type="cellIs" dxfId="13" priority="32" operator="lessThan">
      <formula>1</formula>
    </cfRule>
    <cfRule type="cellIs" dxfId="12" priority="33" operator="greaterThan">
      <formula>1</formula>
    </cfRule>
  </conditionalFormatting>
  <conditionalFormatting sqref="D8:O8">
    <cfRule type="cellIs" dxfId="11" priority="25" operator="lessThan">
      <formula>1</formula>
    </cfRule>
    <cfRule type="cellIs" dxfId="10" priority="26" operator="greaterThan">
      <formula>1</formula>
    </cfRule>
  </conditionalFormatting>
  <conditionalFormatting sqref="D7:O7">
    <cfRule type="cellIs" dxfId="9" priority="9" operator="lessThan">
      <formula>1</formula>
    </cfRule>
    <cfRule type="cellIs" dxfId="8" priority="10" operator="greaterThan">
      <formula>1</formula>
    </cfRule>
  </conditionalFormatting>
  <conditionalFormatting sqref="R7:AC7">
    <cfRule type="cellIs" dxfId="7" priority="7" operator="lessThan">
      <formula>1</formula>
    </cfRule>
    <cfRule type="cellIs" dxfId="6" priority="8" operator="greaterThan">
      <formula>1</formula>
    </cfRule>
  </conditionalFormatting>
  <conditionalFormatting sqref="AF7:AQ7">
    <cfRule type="cellIs" dxfId="5" priority="5" operator="lessThan">
      <formula>1</formula>
    </cfRule>
    <cfRule type="cellIs" dxfId="4" priority="6" operator="greaterThan">
      <formula>1</formula>
    </cfRule>
  </conditionalFormatting>
  <conditionalFormatting sqref="R8:AC8">
    <cfRule type="cellIs" dxfId="3" priority="3" operator="lessThan">
      <formula>1</formula>
    </cfRule>
    <cfRule type="cellIs" dxfId="2" priority="4" operator="greaterThan">
      <formula>1</formula>
    </cfRule>
  </conditionalFormatting>
  <conditionalFormatting sqref="AF8:AQ8">
    <cfRule type="cellIs" dxfId="1" priority="1" operator="lessThan">
      <formula>1</formula>
    </cfRule>
    <cfRule type="cellIs" dxfId="0" priority="2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29" fitToHeight="2" orientation="landscape" horizontalDpi="300" verticalDpi="300" r:id="rId1"/>
  <headerFooter alignWithMargins="0"/>
  <colBreaks count="2" manualBreakCount="2">
    <brk id="17" min="3" max="91" man="1"/>
    <brk id="31" min="3" max="91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70397-93C4-44E8-B95E-CA295388A9C2}">
  <dimension ref="A1:N39"/>
  <sheetViews>
    <sheetView zoomScale="60" zoomScaleNormal="60" workbookViewId="0">
      <selection sqref="A1:N1"/>
    </sheetView>
  </sheetViews>
  <sheetFormatPr defaultRowHeight="14.4" x14ac:dyDescent="0.3"/>
  <cols>
    <col min="10" max="10" width="6.21875" customWidth="1"/>
  </cols>
  <sheetData>
    <row r="1" spans="1:14" ht="44.4" customHeight="1" x14ac:dyDescent="0.3">
      <c r="A1" s="443" t="str">
        <f>'Детальний розрахунок'!D4</f>
        <v>Фінансова модель франшизи "PEKKER", Формат співробітництва - Міні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</row>
    <row r="2" spans="1:14" ht="28.5" customHeight="1" x14ac:dyDescent="0.3">
      <c r="A2" s="443" t="str">
        <f>'ИД Графики'!F1</f>
        <v>ДИНАМІКА РУХУ ГРОШОВИХ КОШТІВ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22" spans="1:14" ht="42.3" customHeight="1" x14ac:dyDescent="0.3">
      <c r="A22" s="443" t="str">
        <f>'ИД Графики'!B1</f>
        <v>Структура виручки за 1-й рік роботи</v>
      </c>
      <c r="B22" s="443"/>
      <c r="C22" s="443"/>
      <c r="D22" s="443"/>
      <c r="F22" s="443" t="str">
        <f>'ИД Графики'!C1</f>
        <v>Структура виручки за 2-й рік роботи</v>
      </c>
      <c r="G22" s="443"/>
      <c r="H22" s="443"/>
      <c r="I22" s="443"/>
      <c r="K22" s="443" t="str">
        <f>'ИД Графики'!D1</f>
        <v>Структура виручки за 3-й рік роботи</v>
      </c>
      <c r="L22" s="443"/>
      <c r="M22" s="443"/>
      <c r="N22" s="443"/>
    </row>
    <row r="39" spans="1:14" ht="21" x14ac:dyDescent="0.3">
      <c r="A39" s="443" t="str">
        <f>'ИД Графики'!A8</f>
        <v>СТРУКТУРА ІНВЕСТИЦІЙ</v>
      </c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</row>
  </sheetData>
  <mergeCells count="6">
    <mergeCell ref="A39:N39"/>
    <mergeCell ref="A1:N1"/>
    <mergeCell ref="A2:N2"/>
    <mergeCell ref="A22:D22"/>
    <mergeCell ref="F22:I22"/>
    <mergeCell ref="K22:N22"/>
  </mergeCells>
  <pageMargins left="0.70866141732283472" right="0.70866141732283472" top="0.74803149606299213" bottom="0.74803149606299213" header="0.31496062992125984" footer="0.31496062992125984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B72C3-529A-4B2D-A821-E59D21072337}">
  <dimension ref="A1:AP34"/>
  <sheetViews>
    <sheetView workbookViewId="0">
      <selection activeCell="A11" sqref="A11"/>
    </sheetView>
  </sheetViews>
  <sheetFormatPr defaultRowHeight="14.4" x14ac:dyDescent="0.3"/>
  <cols>
    <col min="1" max="1" width="25.44140625" customWidth="1"/>
    <col min="2" max="4" width="13.21875" bestFit="1" customWidth="1"/>
    <col min="6" max="6" width="27.109375" customWidth="1"/>
  </cols>
  <sheetData>
    <row r="1" spans="1:42" ht="43.2" x14ac:dyDescent="0.3">
      <c r="B1" s="117" t="str">
        <f>CHOOSE('Вхідні дані'!$S$1,A25,B25)</f>
        <v>Структура виручки за 1-й рік роботи</v>
      </c>
      <c r="C1" s="117" t="str">
        <f>CHOOSE('Вхідні дані'!$S$1,A26,B26)</f>
        <v>Структура виручки за 2-й рік роботи</v>
      </c>
      <c r="D1" s="117" t="str">
        <f>CHOOSE('Вхідні дані'!$S$1,A27,B27)</f>
        <v>Структура виручки за 3-й рік роботи</v>
      </c>
      <c r="F1" s="117" t="str">
        <f>CHOOSE('Вхідні дані'!$S$1,A28,B28)</f>
        <v>ДИНАМІКА РУХУ ГРОШОВИХ КОШТІВ</v>
      </c>
      <c r="G1" s="118" t="str">
        <f>'Детальний розрахунок'!D6</f>
        <v>січень</v>
      </c>
      <c r="H1" s="118" t="str">
        <f>'Детальний розрахунок'!E6</f>
        <v>лютий</v>
      </c>
      <c r="I1" s="118" t="str">
        <f>'Детальний розрахунок'!F6</f>
        <v>березень</v>
      </c>
      <c r="J1" s="118" t="str">
        <f>'Детальний розрахунок'!G6</f>
        <v>квітень</v>
      </c>
      <c r="K1" s="118" t="str">
        <f>'Детальний розрахунок'!H6</f>
        <v>травень</v>
      </c>
      <c r="L1" s="118" t="str">
        <f>'Детальний розрахунок'!I6</f>
        <v>червень</v>
      </c>
      <c r="M1" s="118" t="str">
        <f>'Детальний розрахунок'!J6</f>
        <v>липень</v>
      </c>
      <c r="N1" s="118" t="str">
        <f>'Детальний розрахунок'!K6</f>
        <v>серпень</v>
      </c>
      <c r="O1" s="118" t="str">
        <f>'Детальний розрахунок'!L6</f>
        <v>вересень</v>
      </c>
      <c r="P1" s="118" t="str">
        <f>'Детальний розрахунок'!M6</f>
        <v>жовтень</v>
      </c>
      <c r="Q1" s="118" t="str">
        <f>'Детальний розрахунок'!N6</f>
        <v>листопад</v>
      </c>
      <c r="R1" s="118" t="str">
        <f>'Детальний розрахунок'!O6</f>
        <v>грудень</v>
      </c>
      <c r="S1" s="118" t="str">
        <f>'Детальний розрахунок'!R6</f>
        <v>січень</v>
      </c>
      <c r="T1" s="118" t="str">
        <f>'Детальний розрахунок'!S6</f>
        <v>лютий</v>
      </c>
      <c r="U1" s="118" t="str">
        <f>'Детальний розрахунок'!T6</f>
        <v>березень</v>
      </c>
      <c r="V1" s="118" t="str">
        <f>'Детальний розрахунок'!U6</f>
        <v>квітень</v>
      </c>
      <c r="W1" s="118" t="str">
        <f>'Детальний розрахунок'!V6</f>
        <v>травень</v>
      </c>
      <c r="X1" s="118" t="str">
        <f>'Детальний розрахунок'!W6</f>
        <v>червень</v>
      </c>
      <c r="Y1" s="118" t="str">
        <f>'Детальний розрахунок'!X6</f>
        <v>липень</v>
      </c>
      <c r="Z1" s="118" t="str">
        <f>'Детальний розрахунок'!Y6</f>
        <v>серпень</v>
      </c>
      <c r="AA1" s="118" t="str">
        <f>'Детальний розрахунок'!Z6</f>
        <v>вересень</v>
      </c>
      <c r="AB1" s="118" t="str">
        <f>'Детальний розрахунок'!AA6</f>
        <v>жовтень</v>
      </c>
      <c r="AC1" s="118" t="str">
        <f>'Детальний розрахунок'!AB6</f>
        <v>листопад</v>
      </c>
      <c r="AD1" s="118" t="str">
        <f>'Детальний розрахунок'!AC6</f>
        <v>грудень</v>
      </c>
      <c r="AE1" s="118" t="str">
        <f>'Детальний розрахунок'!AF6</f>
        <v>січень</v>
      </c>
      <c r="AF1" s="118" t="str">
        <f>'Детальний розрахунок'!AG6</f>
        <v>лютий</v>
      </c>
      <c r="AG1" s="118" t="str">
        <f>'Детальний розрахунок'!AH6</f>
        <v>березень</v>
      </c>
      <c r="AH1" s="118" t="str">
        <f>'Детальний розрахунок'!AI6</f>
        <v>квітень</v>
      </c>
      <c r="AI1" s="118" t="str">
        <f>'Детальний розрахунок'!AJ6</f>
        <v>травень</v>
      </c>
      <c r="AJ1" s="118" t="str">
        <f>'Детальний розрахунок'!AK6</f>
        <v>червень</v>
      </c>
      <c r="AK1" s="118" t="str">
        <f>'Детальний розрахунок'!AL6</f>
        <v>липень</v>
      </c>
      <c r="AL1" s="118" t="str">
        <f>'Детальний розрахунок'!AM6</f>
        <v>серпень</v>
      </c>
      <c r="AM1" s="118" t="str">
        <f>'Детальний розрахунок'!AN6</f>
        <v>вересень</v>
      </c>
      <c r="AN1" s="118" t="str">
        <f>'Детальний розрахунок'!AO6</f>
        <v>жовтень</v>
      </c>
      <c r="AO1" s="118" t="str">
        <f>'Детальний розрахунок'!AP6</f>
        <v>листопад</v>
      </c>
      <c r="AP1" s="118" t="str">
        <f>'Детальний розрахунок'!AQ6</f>
        <v>грудень</v>
      </c>
    </row>
    <row r="2" spans="1:42" ht="28.8" x14ac:dyDescent="0.3">
      <c r="A2" s="117" t="str">
        <f>CHOOSE('Вхідні дані'!$S$1,A20,B20)</f>
        <v>Виручка, UAH/рік</v>
      </c>
      <c r="B2" s="118">
        <f>'Детальний розрахунок'!P62</f>
        <v>2691000</v>
      </c>
      <c r="C2" s="118">
        <f>'Детальний розрахунок'!AD62</f>
        <v>3285000</v>
      </c>
      <c r="D2" s="118">
        <f>'Детальний розрахунок'!AS62</f>
        <v>296562.5</v>
      </c>
      <c r="F2" s="117" t="str">
        <f>CHOOSE('Вхідні дані'!$S$1,A30,B30)</f>
        <v>ДИНАМІКА ПРОДАЖІВ, UAH/міс.</v>
      </c>
      <c r="G2" s="118">
        <f>'Детальний розрахунок'!D62</f>
        <v>186000</v>
      </c>
      <c r="H2" s="118">
        <f>'Детальний розрахунок'!E62</f>
        <v>210000</v>
      </c>
      <c r="I2" s="118">
        <f>'Детальний розрахунок'!F62</f>
        <v>232500</v>
      </c>
      <c r="J2" s="118">
        <f>'Детальний розрахунок'!G62</f>
        <v>225000</v>
      </c>
      <c r="K2" s="118">
        <f>'Детальний розрахунок'!H62</f>
        <v>232500</v>
      </c>
      <c r="L2" s="118">
        <f>'Детальний розрахунок'!I62</f>
        <v>225000</v>
      </c>
      <c r="M2" s="118">
        <f>'Детальний розрахунок'!J62</f>
        <v>232500</v>
      </c>
      <c r="N2" s="118">
        <f>'Детальний розрахунок'!K62</f>
        <v>232500</v>
      </c>
      <c r="O2" s="118">
        <f>'Детальний розрахунок'!L62</f>
        <v>225000</v>
      </c>
      <c r="P2" s="118">
        <f>'Детальний розрахунок'!M62</f>
        <v>232500</v>
      </c>
      <c r="Q2" s="118">
        <f>'Детальний розрахунок'!N62</f>
        <v>225000</v>
      </c>
      <c r="R2" s="118">
        <f>'Детальний розрахунок'!O62</f>
        <v>232500</v>
      </c>
      <c r="S2" s="118">
        <f>'Детальний розрахунок'!R62</f>
        <v>279000</v>
      </c>
      <c r="T2" s="118">
        <f>'Детальний розрахунок'!S62</f>
        <v>252000</v>
      </c>
      <c r="U2" s="118">
        <f>'Детальний розрахунок'!T62</f>
        <v>279000</v>
      </c>
      <c r="V2" s="118">
        <f>'Детальний розрахунок'!U62</f>
        <v>270000</v>
      </c>
      <c r="W2" s="118">
        <f>'Детальний розрахунок'!V62</f>
        <v>279000</v>
      </c>
      <c r="X2" s="118">
        <f>'Детальний розрахунок'!W62</f>
        <v>270000</v>
      </c>
      <c r="Y2" s="118">
        <f>'Детальний розрахунок'!X62</f>
        <v>279000</v>
      </c>
      <c r="Z2" s="118">
        <f>'Детальний розрахунок'!Y62</f>
        <v>279000</v>
      </c>
      <c r="AA2" s="118">
        <f>'Детальний розрахунок'!Z62</f>
        <v>270000</v>
      </c>
      <c r="AB2" s="118">
        <f>'Детальний розрахунок'!AA62</f>
        <v>279000</v>
      </c>
      <c r="AC2" s="118">
        <f>'Детальний розрахунок'!AB62</f>
        <v>270000</v>
      </c>
      <c r="AD2" s="118">
        <f>'Детальний розрахунок'!AC62</f>
        <v>279000</v>
      </c>
      <c r="AE2" s="118">
        <f>'Детальний розрахунок'!AF62</f>
        <v>302250</v>
      </c>
      <c r="AF2" s="118">
        <f>'Детальний розрахунок'!AG62</f>
        <v>273000</v>
      </c>
      <c r="AG2" s="118">
        <f>'Детальний розрахунок'!AH62</f>
        <v>302250</v>
      </c>
      <c r="AH2" s="118">
        <f>'Детальний розрахунок'!AI62</f>
        <v>292500</v>
      </c>
      <c r="AI2" s="118">
        <f>'Детальний розрахунок'!AJ62</f>
        <v>302250</v>
      </c>
      <c r="AJ2" s="118">
        <f>'Детальний розрахунок'!AK62</f>
        <v>292500</v>
      </c>
      <c r="AK2" s="118">
        <f>'Детальний розрахунок'!AL62</f>
        <v>302250</v>
      </c>
      <c r="AL2" s="118">
        <f>'Детальний розрахунок'!AM62</f>
        <v>302250</v>
      </c>
      <c r="AM2" s="118">
        <f>'Детальний розрахунок'!AN62</f>
        <v>292500</v>
      </c>
      <c r="AN2" s="118">
        <f>'Детальний розрахунок'!AO62</f>
        <v>302250</v>
      </c>
      <c r="AO2" s="118">
        <f>'Детальний розрахунок'!AP62</f>
        <v>292500</v>
      </c>
      <c r="AP2" s="118">
        <f>'Детальний розрахунок'!AQ62</f>
        <v>302250</v>
      </c>
    </row>
    <row r="3" spans="1:42" x14ac:dyDescent="0.3">
      <c r="A3" s="117" t="str">
        <f>CHOOSE('Вхідні дані'!$S$1,A22,B22)</f>
        <v>Собівартість, UAH/рік</v>
      </c>
      <c r="B3" s="118">
        <f>'Детальний розрахунок'!P63</f>
        <v>1076400</v>
      </c>
      <c r="C3" s="118">
        <f>'Детальний розрахунок'!AD63</f>
        <v>1314000</v>
      </c>
      <c r="D3" s="118">
        <f>'Детальний розрахунок'!AS63</f>
        <v>118625</v>
      </c>
      <c r="F3" s="117" t="str">
        <f>CHOOSE('Вхідні дані'!$S$1,A31,B31)</f>
        <v>ДИНАМІКА ВИТРАТ, UAH/міс.</v>
      </c>
      <c r="G3" s="118">
        <f>G4+G5</f>
        <v>154560</v>
      </c>
      <c r="H3" s="118">
        <f t="shared" ref="H3:P3" si="0">H4+H5</f>
        <v>161100</v>
      </c>
      <c r="I3" s="118">
        <f t="shared" si="0"/>
        <v>174787.5</v>
      </c>
      <c r="J3" s="118">
        <f t="shared" si="0"/>
        <v>170225</v>
      </c>
      <c r="K3" s="118">
        <f t="shared" si="0"/>
        <v>174787.5</v>
      </c>
      <c r="L3" s="118">
        <f t="shared" si="0"/>
        <v>170225</v>
      </c>
      <c r="M3" s="118">
        <f t="shared" si="0"/>
        <v>174787.5</v>
      </c>
      <c r="N3" s="118">
        <f t="shared" si="0"/>
        <v>174787.5</v>
      </c>
      <c r="O3" s="118">
        <f t="shared" si="0"/>
        <v>170225</v>
      </c>
      <c r="P3" s="118">
        <f t="shared" si="0"/>
        <v>174787.5</v>
      </c>
      <c r="Q3" s="118">
        <f>Q4+Q5</f>
        <v>170225</v>
      </c>
      <c r="R3" s="118">
        <f t="shared" ref="R3" si="1">R4+R5</f>
        <v>174787.5</v>
      </c>
      <c r="S3" s="118">
        <f t="shared" ref="S3" si="2">S4+S5</f>
        <v>195015</v>
      </c>
      <c r="T3" s="118">
        <f t="shared" ref="T3" si="3">T4+T5</f>
        <v>179370</v>
      </c>
      <c r="U3" s="118">
        <f t="shared" ref="U3" si="4">U4+U5</f>
        <v>195015</v>
      </c>
      <c r="V3" s="118">
        <f t="shared" ref="V3" si="5">V4+V5</f>
        <v>189800</v>
      </c>
      <c r="W3" s="118">
        <f t="shared" ref="W3" si="6">W4+W5</f>
        <v>195015</v>
      </c>
      <c r="X3" s="118">
        <f t="shared" ref="X3" si="7">X4+X5</f>
        <v>189800</v>
      </c>
      <c r="Y3" s="118">
        <f t="shared" ref="Y3" si="8">Y4+Y5</f>
        <v>195015</v>
      </c>
      <c r="Z3" s="118">
        <f t="shared" ref="Z3" si="9">Z4+Z5</f>
        <v>195015</v>
      </c>
      <c r="AA3" s="118">
        <f t="shared" ref="AA3" si="10">AA4+AA5</f>
        <v>189800</v>
      </c>
      <c r="AB3" s="118">
        <f t="shared" ref="AB3" si="11">AB4+AB5</f>
        <v>195015</v>
      </c>
      <c r="AC3" s="118">
        <f t="shared" ref="AC3" si="12">AC4+AC5</f>
        <v>189800</v>
      </c>
      <c r="AD3" s="118">
        <f t="shared" ref="AD3" si="13">AD4+AD5</f>
        <v>195015</v>
      </c>
      <c r="AE3" s="118">
        <f t="shared" ref="AE3" si="14">AE4+AE5</f>
        <v>205128.75</v>
      </c>
      <c r="AF3" s="118">
        <f t="shared" ref="AF3" si="15">AF4+AF5</f>
        <v>188505</v>
      </c>
      <c r="AG3" s="118">
        <f t="shared" ref="AG3" si="16">AG4+AG5</f>
        <v>205128.75</v>
      </c>
      <c r="AH3" s="118">
        <f t="shared" ref="AH3" si="17">AH4+AH5</f>
        <v>199587.5</v>
      </c>
      <c r="AI3" s="118">
        <f t="shared" ref="AI3" si="18">AI4+AI5</f>
        <v>205128.75</v>
      </c>
      <c r="AJ3" s="118">
        <f t="shared" ref="AJ3" si="19">AJ4+AJ5</f>
        <v>199587.5</v>
      </c>
      <c r="AK3" s="118">
        <f t="shared" ref="AK3" si="20">AK4+AK5</f>
        <v>205128.75</v>
      </c>
      <c r="AL3" s="118">
        <f t="shared" ref="AL3" si="21">AL4+AL5</f>
        <v>205128.75</v>
      </c>
      <c r="AM3" s="118">
        <f t="shared" ref="AM3" si="22">AM4+AM5</f>
        <v>199587.5</v>
      </c>
      <c r="AN3" s="118">
        <f t="shared" ref="AN3" si="23">AN4+AN5</f>
        <v>205128.75</v>
      </c>
      <c r="AO3" s="118">
        <f t="shared" ref="AO3" si="24">AO4+AO5</f>
        <v>199587.5</v>
      </c>
      <c r="AP3" s="118">
        <f t="shared" ref="AP3" si="25">AP4+AP5</f>
        <v>205128.75</v>
      </c>
    </row>
    <row r="4" spans="1:42" ht="28.8" x14ac:dyDescent="0.3">
      <c r="A4" s="117" t="str">
        <f>CHOOSE('Вхідні дані'!$S$1,A23,B23)</f>
        <v>Поточні витрати, UAH/рік</v>
      </c>
      <c r="B4" s="118">
        <f>'Детальний розрахунок'!P66</f>
        <v>968885</v>
      </c>
      <c r="C4" s="118">
        <f>'Детальний розрахунок'!AD66</f>
        <v>989675</v>
      </c>
      <c r="D4" s="118">
        <f>'Детальний розрахунок'!AS66</f>
        <v>83271.354166666672</v>
      </c>
      <c r="F4" s="117" t="str">
        <f>CHOOSE('Вхідні дані'!$S$1,A32,B32)</f>
        <v>ДИНАМІКА СОБІВАРТОСТІ, UAH/міс.</v>
      </c>
      <c r="G4" s="118">
        <f>'Детальний розрахунок'!D63</f>
        <v>74400</v>
      </c>
      <c r="H4" s="118">
        <f>'Детальний розрахунок'!E63</f>
        <v>84000</v>
      </c>
      <c r="I4" s="118">
        <f>'Детальний розрахунок'!F63</f>
        <v>93000</v>
      </c>
      <c r="J4" s="118">
        <f>'Детальний розрахунок'!G63</f>
        <v>90000</v>
      </c>
      <c r="K4" s="118">
        <f>'Детальний розрахунок'!H63</f>
        <v>93000</v>
      </c>
      <c r="L4" s="118">
        <f>'Детальний розрахунок'!I63</f>
        <v>90000</v>
      </c>
      <c r="M4" s="118">
        <f>'Детальний розрахунок'!J63</f>
        <v>93000</v>
      </c>
      <c r="N4" s="118">
        <f>'Детальний розрахунок'!K63</f>
        <v>93000</v>
      </c>
      <c r="O4" s="118">
        <f>'Детальний розрахунок'!L63</f>
        <v>90000</v>
      </c>
      <c r="P4" s="118">
        <f>'Детальний розрахунок'!M63</f>
        <v>93000</v>
      </c>
      <c r="Q4" s="118">
        <f>'Детальний розрахунок'!N63</f>
        <v>90000</v>
      </c>
      <c r="R4" s="118">
        <f>'Детальний розрахунок'!O63</f>
        <v>93000</v>
      </c>
      <c r="S4" s="118">
        <f>'Детальний розрахунок'!R63</f>
        <v>111600</v>
      </c>
      <c r="T4" s="118">
        <f>'Детальний розрахунок'!S63</f>
        <v>100800</v>
      </c>
      <c r="U4" s="118">
        <f>'Детальний розрахунок'!T63</f>
        <v>111600</v>
      </c>
      <c r="V4" s="118">
        <f>'Детальний розрахунок'!U63</f>
        <v>108000</v>
      </c>
      <c r="W4" s="118">
        <f>'Детальний розрахунок'!V63</f>
        <v>111600</v>
      </c>
      <c r="X4" s="118">
        <f>'Детальний розрахунок'!W63</f>
        <v>108000</v>
      </c>
      <c r="Y4" s="118">
        <f>'Детальний розрахунок'!X63</f>
        <v>111600</v>
      </c>
      <c r="Z4" s="118">
        <f>'Детальний розрахунок'!Y63</f>
        <v>111600</v>
      </c>
      <c r="AA4" s="118">
        <f>'Детальний розрахунок'!Z63</f>
        <v>108000</v>
      </c>
      <c r="AB4" s="118">
        <f>'Детальний розрахунок'!AA63</f>
        <v>111600</v>
      </c>
      <c r="AC4" s="118">
        <f>'Детальний розрахунок'!AB63</f>
        <v>108000</v>
      </c>
      <c r="AD4" s="118">
        <f>'Детальний розрахунок'!AC63</f>
        <v>111600</v>
      </c>
      <c r="AE4" s="118">
        <f>'Детальний розрахунок'!AF63</f>
        <v>120900</v>
      </c>
      <c r="AF4" s="118">
        <f>'Детальний розрахунок'!AG63</f>
        <v>109200</v>
      </c>
      <c r="AG4" s="118">
        <f>'Детальний розрахунок'!AH63</f>
        <v>120900</v>
      </c>
      <c r="AH4" s="118">
        <f>'Детальний розрахунок'!AI63</f>
        <v>117000</v>
      </c>
      <c r="AI4" s="118">
        <f>'Детальний розрахунок'!AJ63</f>
        <v>120900</v>
      </c>
      <c r="AJ4" s="118">
        <f>'Детальний розрахунок'!AK63</f>
        <v>117000</v>
      </c>
      <c r="AK4" s="118">
        <f>'Детальний розрахунок'!AL63</f>
        <v>120900</v>
      </c>
      <c r="AL4" s="118">
        <f>'Детальний розрахунок'!AM63</f>
        <v>120900</v>
      </c>
      <c r="AM4" s="118">
        <f>'Детальний розрахунок'!AN63</f>
        <v>117000</v>
      </c>
      <c r="AN4" s="118">
        <f>'Детальний розрахунок'!AO63</f>
        <v>120900</v>
      </c>
      <c r="AO4" s="118">
        <f>'Детальний розрахунок'!AP63</f>
        <v>117000</v>
      </c>
      <c r="AP4" s="118">
        <f>'Детальний розрахунок'!AQ63</f>
        <v>120900</v>
      </c>
    </row>
    <row r="5" spans="1:42" x14ac:dyDescent="0.3">
      <c r="A5" s="117" t="str">
        <f>CHOOSE('Вхідні дані'!$S$1,A24,B24)</f>
        <v>Чистий прибуток, UAH/рік</v>
      </c>
      <c r="B5" s="118">
        <f>'Детальний розрахунок'!P68</f>
        <v>645715</v>
      </c>
      <c r="C5" s="118">
        <f>'Детальний розрахунок'!AD68</f>
        <v>981325</v>
      </c>
      <c r="D5" s="118">
        <f>'Детальний розрахунок'!AS68</f>
        <v>94666.145833333328</v>
      </c>
      <c r="F5" s="117" t="str">
        <f>CHOOSE('Вхідні дані'!$S$1,A33,B33)</f>
        <v>ПОТОЧНІ ВИТРАТИ, UAH/міс.</v>
      </c>
      <c r="G5" s="118">
        <f>'Детальний розрахунок'!D66</f>
        <v>80160</v>
      </c>
      <c r="H5" s="118">
        <f>'Детальний розрахунок'!E66</f>
        <v>77100</v>
      </c>
      <c r="I5" s="118">
        <f>'Детальний розрахунок'!F66</f>
        <v>81787.5</v>
      </c>
      <c r="J5" s="118">
        <f>'Детальний розрахунок'!G66</f>
        <v>80225</v>
      </c>
      <c r="K5" s="118">
        <f>'Детальний розрахунок'!H66</f>
        <v>81787.5</v>
      </c>
      <c r="L5" s="118">
        <f>'Детальний розрахунок'!I66</f>
        <v>80225</v>
      </c>
      <c r="M5" s="118">
        <f>'Детальний розрахунок'!J66</f>
        <v>81787.5</v>
      </c>
      <c r="N5" s="118">
        <f>'Детальний розрахунок'!K66</f>
        <v>81787.5</v>
      </c>
      <c r="O5" s="118">
        <f>'Детальний розрахунок'!L66</f>
        <v>80225</v>
      </c>
      <c r="P5" s="118">
        <f>'Детальний розрахунок'!M66</f>
        <v>81787.5</v>
      </c>
      <c r="Q5" s="118">
        <f>'Детальний розрахунок'!N66</f>
        <v>80225</v>
      </c>
      <c r="R5" s="118">
        <f>'Детальний розрахунок'!O66</f>
        <v>81787.5</v>
      </c>
      <c r="S5" s="118">
        <f>'Детальний розрахунок'!R66</f>
        <v>83415</v>
      </c>
      <c r="T5" s="118">
        <f>'Детальний розрахунок'!S66</f>
        <v>78570</v>
      </c>
      <c r="U5" s="118">
        <f>'Детальний розрахунок'!T66</f>
        <v>83415</v>
      </c>
      <c r="V5" s="118">
        <f>'Детальний розрахунок'!U66</f>
        <v>81800</v>
      </c>
      <c r="W5" s="118">
        <f>'Детальний розрахунок'!V66</f>
        <v>83415</v>
      </c>
      <c r="X5" s="118">
        <f>'Детальний розрахунок'!W66</f>
        <v>81800</v>
      </c>
      <c r="Y5" s="118">
        <f>'Детальний розрахунок'!X66</f>
        <v>83415</v>
      </c>
      <c r="Z5" s="118">
        <f>'Детальний розрахунок'!Y66</f>
        <v>83415</v>
      </c>
      <c r="AA5" s="118">
        <f>'Детальний розрахунок'!Z66</f>
        <v>81800</v>
      </c>
      <c r="AB5" s="118">
        <f>'Детальний розрахунок'!AA66</f>
        <v>83415</v>
      </c>
      <c r="AC5" s="118">
        <f>'Детальний розрахунок'!AB66</f>
        <v>81800</v>
      </c>
      <c r="AD5" s="118">
        <f>'Детальний розрахунок'!AC66</f>
        <v>83415</v>
      </c>
      <c r="AE5" s="118">
        <f>'Детальний розрахунок'!AF66</f>
        <v>84228.75</v>
      </c>
      <c r="AF5" s="118">
        <f>'Детальний розрахунок'!AG66</f>
        <v>79305</v>
      </c>
      <c r="AG5" s="118">
        <f>'Детальний розрахунок'!AH66</f>
        <v>84228.75</v>
      </c>
      <c r="AH5" s="118">
        <f>'Детальний розрахунок'!AI66</f>
        <v>82587.5</v>
      </c>
      <c r="AI5" s="118">
        <f>'Детальний розрахунок'!AJ66</f>
        <v>84228.75</v>
      </c>
      <c r="AJ5" s="118">
        <f>'Детальний розрахунок'!AK66</f>
        <v>82587.5</v>
      </c>
      <c r="AK5" s="118">
        <f>'Детальний розрахунок'!AL66</f>
        <v>84228.75</v>
      </c>
      <c r="AL5" s="118">
        <f>'Детальний розрахунок'!AM66</f>
        <v>84228.75</v>
      </c>
      <c r="AM5" s="118">
        <f>'Детальний розрахунок'!AN66</f>
        <v>82587.5</v>
      </c>
      <c r="AN5" s="118">
        <f>'Детальний розрахунок'!AO66</f>
        <v>84228.75</v>
      </c>
      <c r="AO5" s="118">
        <f>'Детальний розрахунок'!AP66</f>
        <v>82587.5</v>
      </c>
      <c r="AP5" s="118">
        <f>'Детальний розрахунок'!AQ66</f>
        <v>84228.75</v>
      </c>
    </row>
    <row r="6" spans="1:42" x14ac:dyDescent="0.3">
      <c r="F6" s="117" t="str">
        <f>CHOOSE('Вхідні дані'!$S$1,A34,B34)</f>
        <v>ЧИСТИЙ ПРИБУТОК, UAH/міс.</v>
      </c>
      <c r="G6" s="118">
        <f>G2-G3</f>
        <v>31440</v>
      </c>
      <c r="H6" s="118">
        <f t="shared" ref="H6:P6" si="26">H2-H3</f>
        <v>48900</v>
      </c>
      <c r="I6" s="118">
        <f t="shared" si="26"/>
        <v>57712.5</v>
      </c>
      <c r="J6" s="118">
        <f t="shared" si="26"/>
        <v>54775</v>
      </c>
      <c r="K6" s="118">
        <f t="shared" si="26"/>
        <v>57712.5</v>
      </c>
      <c r="L6" s="118">
        <f t="shared" si="26"/>
        <v>54775</v>
      </c>
      <c r="M6" s="118">
        <f t="shared" si="26"/>
        <v>57712.5</v>
      </c>
      <c r="N6" s="118">
        <f t="shared" si="26"/>
        <v>57712.5</v>
      </c>
      <c r="O6" s="118">
        <f t="shared" si="26"/>
        <v>54775</v>
      </c>
      <c r="P6" s="118">
        <f t="shared" si="26"/>
        <v>57712.5</v>
      </c>
      <c r="Q6" s="118">
        <f>Q2-Q3</f>
        <v>54775</v>
      </c>
      <c r="R6" s="118">
        <f t="shared" ref="R6:S6" si="27">R2-R3</f>
        <v>57712.5</v>
      </c>
      <c r="S6" s="118">
        <f t="shared" si="27"/>
        <v>83985</v>
      </c>
      <c r="T6" s="118">
        <f t="shared" ref="T6:AE6" si="28">T2-T3</f>
        <v>72630</v>
      </c>
      <c r="U6" s="118">
        <f t="shared" si="28"/>
        <v>83985</v>
      </c>
      <c r="V6" s="118">
        <f t="shared" si="28"/>
        <v>80200</v>
      </c>
      <c r="W6" s="118">
        <f t="shared" si="28"/>
        <v>83985</v>
      </c>
      <c r="X6" s="118">
        <f t="shared" si="28"/>
        <v>80200</v>
      </c>
      <c r="Y6" s="118">
        <f t="shared" si="28"/>
        <v>83985</v>
      </c>
      <c r="Z6" s="118">
        <f t="shared" si="28"/>
        <v>83985</v>
      </c>
      <c r="AA6" s="118">
        <f t="shared" si="28"/>
        <v>80200</v>
      </c>
      <c r="AB6" s="118">
        <f t="shared" si="28"/>
        <v>83985</v>
      </c>
      <c r="AC6" s="118">
        <f t="shared" si="28"/>
        <v>80200</v>
      </c>
      <c r="AD6" s="118">
        <f t="shared" si="28"/>
        <v>83985</v>
      </c>
      <c r="AE6" s="118">
        <f t="shared" si="28"/>
        <v>97121.25</v>
      </c>
      <c r="AF6" s="118">
        <f t="shared" ref="AF6:AP6" si="29">AF2-AF3</f>
        <v>84495</v>
      </c>
      <c r="AG6" s="118">
        <f t="shared" si="29"/>
        <v>97121.25</v>
      </c>
      <c r="AH6" s="118">
        <f t="shared" si="29"/>
        <v>92912.5</v>
      </c>
      <c r="AI6" s="118">
        <f t="shared" si="29"/>
        <v>97121.25</v>
      </c>
      <c r="AJ6" s="118">
        <f t="shared" si="29"/>
        <v>92912.5</v>
      </c>
      <c r="AK6" s="118">
        <f t="shared" si="29"/>
        <v>97121.25</v>
      </c>
      <c r="AL6" s="118">
        <f t="shared" si="29"/>
        <v>97121.25</v>
      </c>
      <c r="AM6" s="118">
        <f t="shared" si="29"/>
        <v>92912.5</v>
      </c>
      <c r="AN6" s="118">
        <f t="shared" si="29"/>
        <v>97121.25</v>
      </c>
      <c r="AO6" s="118">
        <f t="shared" si="29"/>
        <v>92912.5</v>
      </c>
      <c r="AP6" s="118">
        <f t="shared" si="29"/>
        <v>97121.25</v>
      </c>
    </row>
    <row r="7" spans="1:42" x14ac:dyDescent="0.3">
      <c r="A7" s="117"/>
      <c r="AP7" s="118"/>
    </row>
    <row r="8" spans="1:42" x14ac:dyDescent="0.3">
      <c r="A8" t="str">
        <f>CHOOSE('Вхідні дані'!$S$1,A29,B29)</f>
        <v>СТРУКТУРА ІНВЕСТИЦІЙ</v>
      </c>
    </row>
    <row r="9" spans="1:42" x14ac:dyDescent="0.3">
      <c r="A9" s="119" t="str">
        <f>'Детальний розрахунок'!A25</f>
        <v>Ремонт приміщення</v>
      </c>
      <c r="B9" s="120">
        <f>'Детальний розрахунок'!C25</f>
        <v>205200</v>
      </c>
    </row>
    <row r="10" spans="1:42" x14ac:dyDescent="0.3">
      <c r="A10" s="119" t="str">
        <f>'Детальний розрахунок'!A26</f>
        <v>Меблі та обладнання</v>
      </c>
      <c r="B10" s="120">
        <f>'Детальний розрахунок'!C26</f>
        <v>218913</v>
      </c>
    </row>
    <row r="11" spans="1:42" ht="28.8" x14ac:dyDescent="0.3">
      <c r="A11" s="119" t="str">
        <f>'Детальний розрахунок'!A27</f>
        <v>Комп'ютери, офісна техніка та каси</v>
      </c>
      <c r="B11" s="120">
        <f>'Детальний розрахунок'!C27</f>
        <v>14020</v>
      </c>
    </row>
    <row r="12" spans="1:42" ht="28.8" x14ac:dyDescent="0.3">
      <c r="A12" s="119" t="str">
        <f>'Детальний розрахунок'!A28</f>
        <v>Сигналізація (охоронна та пожежна)</v>
      </c>
      <c r="B12" s="120">
        <f>'Детальний розрахунок'!C28</f>
        <v>0</v>
      </c>
    </row>
    <row r="13" spans="1:42" x14ac:dyDescent="0.3">
      <c r="A13" s="119" t="str">
        <f>'Детальний розрахунок'!A29</f>
        <v>Відеоспостереження</v>
      </c>
      <c r="B13" s="120">
        <f>'Детальний розрахунок'!C29</f>
        <v>3000</v>
      </c>
    </row>
    <row r="14" spans="1:42" x14ac:dyDescent="0.3">
      <c r="A14" s="119" t="str">
        <f>'Детальний розрахунок'!A30</f>
        <v>Первісний закуп товару</v>
      </c>
      <c r="B14" s="120">
        <f>'Детальний розрахунок'!C30</f>
        <v>10000</v>
      </c>
    </row>
    <row r="15" spans="1:42" ht="28.8" x14ac:dyDescent="0.3">
      <c r="A15" s="119" t="str">
        <f>'Детальний розрахунок'!A31</f>
        <v>Авансовий платіж по оренді</v>
      </c>
      <c r="B15" s="120">
        <f>'Детальний розрахунок'!C31</f>
        <v>0</v>
      </c>
    </row>
    <row r="16" spans="1:42" x14ac:dyDescent="0.3">
      <c r="A16" s="119" t="str">
        <f>'Детальний розрахунок'!A32</f>
        <v>Рекламна кампанія</v>
      </c>
      <c r="B16" s="120">
        <f>'Детальний розрахунок'!C32</f>
        <v>0</v>
      </c>
    </row>
    <row r="17" spans="1:2" x14ac:dyDescent="0.3">
      <c r="A17" s="119" t="str">
        <f>'Детальний розрахунок'!A33</f>
        <v>Паушальний внесок</v>
      </c>
      <c r="B17" s="120">
        <f>'Детальний розрахунок'!C33</f>
        <v>81000</v>
      </c>
    </row>
    <row r="18" spans="1:2" x14ac:dyDescent="0.3">
      <c r="A18" s="119" t="str">
        <f>'Детальний розрахунок'!A34</f>
        <v>Інше</v>
      </c>
      <c r="B18" s="120">
        <f>'Детальний розрахунок'!C34</f>
        <v>0</v>
      </c>
    </row>
    <row r="20" spans="1:2" x14ac:dyDescent="0.3">
      <c r="A20" s="121" t="str">
        <f>"Выручка, "&amp;CHOOSE('Вхідні дані'!$M$1,'Вхідні дані'!$N$1,'Вхідні дані'!$N$2,'Вхідні дані'!$N$3,'Вхідні дані'!$N$4)&amp;"/год"</f>
        <v>Выручка, UAH/год</v>
      </c>
      <c r="B20" s="101" t="str">
        <f>"Виручка, "&amp;CHOOSE('Вхідні дані'!$M$1,'Вхідні дані'!$N$1,'Вхідні дані'!$N$2,'Вхідні дані'!$N$3,'Вхідні дані'!$N$4)&amp;"/рік"</f>
        <v>Виручка, UAH/рік</v>
      </c>
    </row>
    <row r="21" spans="1:2" x14ac:dyDescent="0.3">
      <c r="A21" s="117"/>
    </row>
    <row r="22" spans="1:2" x14ac:dyDescent="0.3">
      <c r="A22" s="121" t="str">
        <f>"Себестоимость, "&amp;CHOOSE('Вхідні дані'!$M$1,'Вхідні дані'!$N$1,'Вхідні дані'!$N$2,'Вхідні дані'!$N$3,'Вхідні дані'!$N$4)&amp;"/год"</f>
        <v>Себестоимость, UAH/год</v>
      </c>
      <c r="B22" s="101" t="str">
        <f>"Собівартість, "&amp;CHOOSE('Вхідні дані'!$M$1,'Вхідні дані'!$N$1,'Вхідні дані'!$N$2,'Вхідні дані'!$N$3,'Вхідні дані'!$N$4)&amp;"/рік"</f>
        <v>Собівартість, UAH/рік</v>
      </c>
    </row>
    <row r="23" spans="1:2" x14ac:dyDescent="0.3">
      <c r="A23" s="121" t="str">
        <f>"Текущие затраты, "&amp;CHOOSE('Вхідні дані'!$M$1,'Вхідні дані'!$N$1,'Вхідні дані'!$N$2,'Вхідні дані'!$N$3,'Вхідні дані'!$N$4)&amp;"/год"</f>
        <v>Текущие затраты, UAH/год</v>
      </c>
      <c r="B23" s="101" t="str">
        <f>"Поточні витрати, "&amp;CHOOSE('Вхідні дані'!$M$1,'Вхідні дані'!$N$1,'Вхідні дані'!$N$2,'Вхідні дані'!$N$3,'Вхідні дані'!$N$4)&amp;"/рік"</f>
        <v>Поточні витрати, UAH/рік</v>
      </c>
    </row>
    <row r="24" spans="1:2" x14ac:dyDescent="0.3">
      <c r="A24" s="121" t="str">
        <f>"Чистая прибыль, "&amp;CHOOSE('Вхідні дані'!$M$1,'Вхідні дані'!$N$1,'Вхідні дані'!$N$2,'Вхідні дані'!$N$3,'Вхідні дані'!$N$4)&amp;"/год"</f>
        <v>Чистая прибыль, UAH/год</v>
      </c>
      <c r="B24" s="101" t="str">
        <f>"Чистий прибуток, "&amp;CHOOSE('Вхідні дані'!$M$1,'Вхідні дані'!$N$1,'Вхідні дані'!$N$2,'Вхідні дані'!$N$3,'Вхідні дані'!$N$4)&amp;"/рік"</f>
        <v>Чистий прибуток, UAH/рік</v>
      </c>
    </row>
    <row r="25" spans="1:2" ht="28.8" x14ac:dyDescent="0.3">
      <c r="A25" s="121" t="s">
        <v>283</v>
      </c>
      <c r="B25" s="101" t="s">
        <v>288</v>
      </c>
    </row>
    <row r="26" spans="1:2" ht="28.8" x14ac:dyDescent="0.3">
      <c r="A26" s="121" t="s">
        <v>284</v>
      </c>
      <c r="B26" s="101" t="s">
        <v>290</v>
      </c>
    </row>
    <row r="27" spans="1:2" ht="28.8" x14ac:dyDescent="0.3">
      <c r="A27" s="121" t="s">
        <v>285</v>
      </c>
      <c r="B27" s="101" t="s">
        <v>289</v>
      </c>
    </row>
    <row r="28" spans="1:2" x14ac:dyDescent="0.3">
      <c r="A28" s="101" t="s">
        <v>287</v>
      </c>
      <c r="B28" s="101" t="s">
        <v>286</v>
      </c>
    </row>
    <row r="29" spans="1:2" x14ac:dyDescent="0.3">
      <c r="A29" s="123" t="s">
        <v>292</v>
      </c>
      <c r="B29" s="124" t="s">
        <v>291</v>
      </c>
    </row>
    <row r="30" spans="1:2" x14ac:dyDescent="0.3">
      <c r="A30" s="101" t="str">
        <f>"ДИНАМИКА ПРОДАЖ, "&amp;CHOOSE('Вхідні дані'!$M$1,'Вхідні дані'!$N$1,'Вхідні дані'!$N$2,'Вхідні дані'!$N$3,'Вхідні дані'!$N$4)&amp;"/мес."</f>
        <v>ДИНАМИКА ПРОДАЖ, UAH/мес.</v>
      </c>
      <c r="B30" s="101" t="str">
        <f>"ДИНАМІКА ПРОДАЖІВ, "&amp;CHOOSE('Вхідні дані'!$M$1,'Вхідні дані'!$N$1,'Вхідні дані'!$N$2,'Вхідні дані'!$N$3,'Вхідні дані'!$N$4)&amp;"/міс."</f>
        <v>ДИНАМІКА ПРОДАЖІВ, UAH/міс.</v>
      </c>
    </row>
    <row r="31" spans="1:2" x14ac:dyDescent="0.3">
      <c r="A31" s="101" t="str">
        <f>"ДИНАМИКА ЗАТРАТ, "&amp;CHOOSE('Вхідні дані'!$M$1,'Вхідні дані'!$N$1,'Вхідні дані'!$N$2,'Вхідні дані'!$N$3,'Вхідні дані'!$N$4)&amp;"/мес."</f>
        <v>ДИНАМИКА ЗАТРАТ, UAH/мес.</v>
      </c>
      <c r="B31" s="101" t="str">
        <f>"ДИНАМІКА ВИТРАТ, "&amp;CHOOSE('Вхідні дані'!$M$1,'Вхідні дані'!$N$1,'Вхідні дані'!$N$2,'Вхідні дані'!$N$3,'Вхідні дані'!$N$4)&amp;"/міс."</f>
        <v>ДИНАМІКА ВИТРАТ, UAH/міс.</v>
      </c>
    </row>
    <row r="32" spans="1:2" x14ac:dyDescent="0.3">
      <c r="A32" s="101" t="str">
        <f>"ДИНАМИКА СЕБЕСТОИМОСТИ, "&amp;CHOOSE('Вхідні дані'!$M$1,'Вхідні дані'!$N$1,'Вхідні дані'!$N$2,'Вхідні дані'!$N$3,'Вхідні дані'!$N$4)&amp;"/мес."</f>
        <v>ДИНАМИКА СЕБЕСТОИМОСТИ, UAH/мес.</v>
      </c>
      <c r="B32" s="101" t="str">
        <f>"ДИНАМІКА СОБІВАРТОСТІ, "&amp;CHOOSE('Вхідні дані'!$M$1,'Вхідні дані'!$N$1,'Вхідні дані'!$N$2,'Вхідні дані'!$N$3,'Вхідні дані'!$N$4)&amp;"/міс."</f>
        <v>ДИНАМІКА СОБІВАРТОСТІ, UAH/міс.</v>
      </c>
    </row>
    <row r="33" spans="1:2" x14ac:dyDescent="0.3">
      <c r="A33" s="101" t="str">
        <f>"ТЕКУЩИЕ ЗАТРАТЫ, "&amp;CHOOSE('Вхідні дані'!$M$1,'Вхідні дані'!$N$1,'Вхідні дані'!$N$2,'Вхідні дані'!$N$3,'Вхідні дані'!$N$4)&amp;"/мес."</f>
        <v>ТЕКУЩИЕ ЗАТРАТЫ, UAH/мес.</v>
      </c>
      <c r="B33" s="101" t="str">
        <f>"ПОТОЧНІ ВИТРАТИ, "&amp;CHOOSE('Вхідні дані'!$M$1,'Вхідні дані'!$N$1,'Вхідні дані'!$N$2,'Вхідні дані'!$N$3,'Вхідні дані'!$N$4)&amp;"/міс."</f>
        <v>ПОТОЧНІ ВИТРАТИ, UAH/міс.</v>
      </c>
    </row>
    <row r="34" spans="1:2" x14ac:dyDescent="0.3">
      <c r="A34" s="101" t="str">
        <f>"ЧИСТАЯ ПРИБЫЛЬ, "&amp;CHOOSE('Вхідні дані'!$M$1,'Вхідні дані'!$N$1,'Вхідні дані'!$N$2,'Вхідні дані'!$N$3,'Вхідні дані'!$N$4)&amp;"/мес."</f>
        <v>ЧИСТАЯ ПРИБЫЛЬ, UAH/мес.</v>
      </c>
      <c r="B34" s="101" t="str">
        <f>"ЧИСТИЙ ПРИБУТОК, "&amp;CHOOSE('Вхідні дані'!$M$1,'Вхідні дані'!$N$1,'Вхідні дані'!$N$2,'Вхідні дані'!$N$3,'Вхідні дані'!$N$4)&amp;"/міс."</f>
        <v>ЧИСТИЙ ПРИБУТОК, UAH/міс.</v>
      </c>
    </row>
  </sheetData>
  <pageMargins left="0.7" right="0.7" top="0.75" bottom="0.75" header="0.3" footer="0.3"/>
  <pageSetup paperSize="9" scale="2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Вхідні дані</vt:lpstr>
      <vt:lpstr>Інвестицій</vt:lpstr>
      <vt:lpstr>Узагальнений розрахунок</vt:lpstr>
      <vt:lpstr>Детальний розрахунок</vt:lpstr>
      <vt:lpstr>Графіки</vt:lpstr>
      <vt:lpstr>ИД Графики</vt:lpstr>
      <vt:lpstr>'Детальний розрахунок'!Заголовки_для_печати</vt:lpstr>
      <vt:lpstr>Інвестицій!Заголовки_для_печати</vt:lpstr>
      <vt:lpstr>'Вхідні дані'!Область_печати</vt:lpstr>
      <vt:lpstr>'Детальний розрахунок'!Область_печати</vt:lpstr>
      <vt:lpstr>Інвестицій!Область_печати</vt:lpstr>
      <vt:lpstr>'Узагальнений розрахунок'!Область_печати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HP</cp:lastModifiedBy>
  <cp:lastPrinted>2021-02-05T15:36:44Z</cp:lastPrinted>
  <dcterms:created xsi:type="dcterms:W3CDTF">2013-12-25T12:04:54Z</dcterms:created>
  <dcterms:modified xsi:type="dcterms:W3CDTF">2021-02-05T16:27:33Z</dcterms:modified>
</cp:coreProperties>
</file>