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426"/>
  <workbookPr defaultThemeVersion="124226"/>
  <mc:AlternateContent xmlns:mc="http://schemas.openxmlformats.org/markup-compatibility/2006">
    <mc:Choice Requires="x15">
      <x15ac:absPath xmlns:x15ac="http://schemas.microsoft.com/office/spreadsheetml/2010/11/ac" url="D:\Работа\AMPER\"/>
    </mc:Choice>
  </mc:AlternateContent>
  <xr:revisionPtr revIDLastSave="0" documentId="13_ncr:1_{40A7B1EF-53C0-4D4D-99CE-B0F13B46093E}" xr6:coauthVersionLast="45" xr6:coauthVersionMax="45" xr10:uidLastSave="{00000000-0000-0000-0000-000000000000}"/>
  <bookViews>
    <workbookView xWindow="-110" yWindow="-110" windowWidth="25820" windowHeight="14020" activeTab="2" xr2:uid="{00000000-000D-0000-FFFF-FFFF00000000}"/>
  </bookViews>
  <sheets>
    <sheet name="Вхідні дані" sheetId="6" r:id="rId1"/>
    <sheet name="Інвестиції" sheetId="8" state="hidden" r:id="rId2"/>
    <sheet name="Узагальнений розрахунок" sheetId="7" r:id="rId3"/>
    <sheet name="Детальний розрахунок" sheetId="4" r:id="rId4"/>
    <sheet name="Графіки" sheetId="10" r:id="rId5"/>
    <sheet name="ВД Графіки" sheetId="9" state="hidden" r:id="rId6"/>
  </sheets>
  <externalReferences>
    <externalReference r:id="rId7"/>
    <externalReference r:id="rId8"/>
    <externalReference r:id="rId9"/>
  </externalReferences>
  <definedNames>
    <definedName name="About_AI" localSheetId="0">#REF!</definedName>
    <definedName name="About_AI" localSheetId="1">#REF!</definedName>
    <definedName name="About_AI" localSheetId="2">#REF!</definedName>
    <definedName name="About_AI">#REF!</definedName>
    <definedName name="About_AI_Summ" localSheetId="0">#REF!</definedName>
    <definedName name="About_AI_Summ" localSheetId="1">#REF!</definedName>
    <definedName name="About_AI_Summ" localSheetId="2">#REF!</definedName>
    <definedName name="About_AI_Summ">#REF!</definedName>
    <definedName name="AI_Version">[1]Опции!$B$5</definedName>
    <definedName name="CalcMethod">[1]Проект!$F$88</definedName>
    <definedName name="CUR_Foreign">[1]Проект!$B$12</definedName>
    <definedName name="CUR_I_Foreign">[1]Проект!$D$12</definedName>
    <definedName name="CUR_I_Main">[1]Проект!$D$11</definedName>
    <definedName name="CUR_I_Report">[1]Проект!$D$19</definedName>
    <definedName name="CUR_Main">[1]Проект!$B$11</definedName>
    <definedName name="CUR_Report">[1]Проект!$B$19</definedName>
    <definedName name="Ddfdfd4">[2]Отчет!#REF!</definedName>
    <definedName name="EST_DATA" localSheetId="0">[1]Проект!#REF!</definedName>
    <definedName name="EST_DATA" localSheetId="1">[1]Проект!#REF!</definedName>
    <definedName name="EST_DATA" localSheetId="2">[1]Проект!#REF!</definedName>
    <definedName name="EST_DATA">[1]Проект!#REF!</definedName>
    <definedName name="EST_FROM" localSheetId="0">[1]Проект!#REF!</definedName>
    <definedName name="EST_FROM" localSheetId="2">[1]Проект!#REF!</definedName>
    <definedName name="EST_FROM">[1]Проект!#REF!</definedName>
    <definedName name="EST_NumStages" localSheetId="0">[1]Проект!#REF!</definedName>
    <definedName name="EST_NumStages" localSheetId="2">[1]Проект!#REF!</definedName>
    <definedName name="EST_NumStages">[1]Проект!#REF!</definedName>
    <definedName name="EST_Obj_1" localSheetId="0">[1]Проект!#REF!</definedName>
    <definedName name="EST_Obj_1" localSheetId="2">[1]Проект!#REF!</definedName>
    <definedName name="EST_Obj_1">[1]Проект!#REF!</definedName>
    <definedName name="EST_Obj_10" localSheetId="0">[1]Проект!#REF!</definedName>
    <definedName name="EST_Obj_10" localSheetId="2">[1]Проект!#REF!</definedName>
    <definedName name="EST_Obj_10">[1]Проект!#REF!</definedName>
    <definedName name="EST_Obj_2" localSheetId="0">[1]Проект!#REF!</definedName>
    <definedName name="EST_Obj_2" localSheetId="2">[1]Проект!#REF!</definedName>
    <definedName name="EST_Obj_2">[1]Проект!#REF!</definedName>
    <definedName name="EST_Obj_3" localSheetId="0">[1]Проект!#REF!</definedName>
    <definedName name="EST_Obj_3" localSheetId="2">[1]Проект!#REF!</definedName>
    <definedName name="EST_Obj_3">[1]Проект!#REF!</definedName>
    <definedName name="EST_Obj_4" localSheetId="0">[1]Проект!#REF!</definedName>
    <definedName name="EST_Obj_4" localSheetId="2">[1]Проект!#REF!</definedName>
    <definedName name="EST_Obj_4">[1]Проект!#REF!</definedName>
    <definedName name="EST_Obj_5" localSheetId="0">[1]Проект!#REF!</definedName>
    <definedName name="EST_Obj_5" localSheetId="2">[1]Проект!#REF!</definedName>
    <definedName name="EST_Obj_5">[1]Проект!#REF!</definedName>
    <definedName name="EST_Obj_6" localSheetId="0">[1]Проект!#REF!</definedName>
    <definedName name="EST_Obj_6" localSheetId="2">[1]Проект!#REF!</definedName>
    <definedName name="EST_Obj_6">[1]Проект!#REF!</definedName>
    <definedName name="EST_Obj_7" localSheetId="0">[1]Проект!#REF!</definedName>
    <definedName name="EST_Obj_7" localSheetId="2">[1]Проект!#REF!</definedName>
    <definedName name="EST_Obj_7">[1]Проект!#REF!</definedName>
    <definedName name="EST_Obj_8" localSheetId="0">[1]Проект!#REF!</definedName>
    <definedName name="EST_Obj_8" localSheetId="2">[1]Проект!#REF!</definedName>
    <definedName name="EST_Obj_8">[1]Проект!#REF!</definedName>
    <definedName name="EST_Obj_9" localSheetId="0">[1]Проект!#REF!</definedName>
    <definedName name="EST_Obj_9" localSheetId="2">[1]Проект!#REF!</definedName>
    <definedName name="EST_Obj_9">[1]Проект!#REF!</definedName>
    <definedName name="EST_ProdNum" localSheetId="0">[1]Проект!#REF!</definedName>
    <definedName name="EST_ProdNum" localSheetId="2">[1]Проект!#REF!</definedName>
    <definedName name="EST_ProdNum">[1]Проект!#REF!</definedName>
    <definedName name="IS_SUMM">[1]Опции!$B$10</definedName>
    <definedName name="LANGUAGE">[1]Проект!$D$17</definedName>
    <definedName name="NWC_T_Cr_AdvK">[1]Проект!$B$772</definedName>
    <definedName name="NWC_T_Cr_AdvT">[1]Проект!$C$772</definedName>
    <definedName name="NWC_T_Cr_CrdK">[1]Проект!$B$773</definedName>
    <definedName name="NWC_T_Cr_CrdT">[1]Проект!$C$773</definedName>
    <definedName name="NWC_T_Cycle">[1]Проект!$B$751</definedName>
    <definedName name="NWC_T_Db_AdvK">[1]Проект!$B$760</definedName>
    <definedName name="NWC_T_Db_AdvT">[1]Проект!$C$760</definedName>
    <definedName name="NWC_T_Db_CrdK">[1]Проект!$B$761</definedName>
    <definedName name="NWC_T_Db_CrdT">[1]Проект!$C$761</definedName>
    <definedName name="NWC_T_Goods">[1]Проект!$B$755</definedName>
    <definedName name="NWC_T_Mat">[1]Проект!$B$749</definedName>
    <definedName name="PeriodTitle">[1]Проект!$F$86:$L$86</definedName>
    <definedName name="PRJ_Len">[1]Проект!$D$8</definedName>
    <definedName name="PRJ_Protected">[1]Проект!$D$18</definedName>
    <definedName name="PRJ_StartDate">[1]Проект!$D$7</definedName>
    <definedName name="PRJ_StartMon">[1]Проект!$F$26</definedName>
    <definedName name="PRJ_StartYear">[1]Проект!$F$25</definedName>
    <definedName name="PRJ_Step">[1]Проект!$D$10</definedName>
    <definedName name="PRJ_Step_SName">[1]Проект!$E$9</definedName>
    <definedName name="PRJ_StepType">[1]Проект!$D$9</definedName>
    <definedName name="ProfitTax">[1]Проект!$B$945</definedName>
    <definedName name="ProfitTax_Period">[1]Проект!$B$946</definedName>
    <definedName name="season" localSheetId="0">'[3]1. Исходные данные'!#REF!</definedName>
    <definedName name="season" localSheetId="1">'[3]1. Исходные данные'!#REF!</definedName>
    <definedName name="season" localSheetId="2">'[3]1. Исходные данные'!#REF!</definedName>
    <definedName name="season">'[3]1. Исходные данные'!#REF!</definedName>
    <definedName name="SENS_Parameter">[1]Анализ!$E$9</definedName>
    <definedName name="ShowRealDates">[1]Проект!$D$20</definedName>
    <definedName name="VAT">[1]Проект!$B$889</definedName>
    <definedName name="VAT_OnAssets">[1]Проект!$B$892</definedName>
    <definedName name="VAT_Period">[1]Проект!$B$890</definedName>
    <definedName name="VAT_Repay">[1]Проект!$B$891</definedName>
    <definedName name="апи" localSheetId="0">[2]Отчет!#REF!</definedName>
    <definedName name="апи" localSheetId="1">[2]Отчет!#REF!</definedName>
    <definedName name="апи" localSheetId="2">[2]Отчет!#REF!</definedName>
    <definedName name="апи">[2]Отчет!#REF!</definedName>
    <definedName name="_xlnm.Print_Titles" localSheetId="3">'Детальний розрахунок'!$A:$B,'Детальний розрахунок'!$4:$5</definedName>
    <definedName name="_xlnm.Print_Titles" localSheetId="1">Інвестиції!$2:$5</definedName>
    <definedName name="и" localSheetId="0">[2]Отчет!#REF!</definedName>
    <definedName name="и" localSheetId="1">[2]Отчет!#REF!</definedName>
    <definedName name="и" localSheetId="2">[2]Отчет!#REF!</definedName>
    <definedName name="и">[2]Отчет!#REF!</definedName>
    <definedName name="_xlnm.Print_Area" localSheetId="0">'Вхідні дані'!$A$2:$N$99</definedName>
    <definedName name="_xlnm.Print_Area" localSheetId="3">'Детальний розрахунок'!$A$4:$AT$94</definedName>
    <definedName name="_xlnm.Print_Area" localSheetId="1">Інвестиції!$A$2:$J$63</definedName>
    <definedName name="_xlnm.Print_Area" localSheetId="2">'Узагальнений розрахунок'!$A$1:$J$66</definedName>
    <definedName name="п" localSheetId="0">[2]Отчет!#REF!</definedName>
    <definedName name="п" localSheetId="1">[2]Отчет!#REF!</definedName>
    <definedName name="п" localSheetId="2">[2]Отчет!#REF!</definedName>
    <definedName name="п">[2]Отчет!#REF!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G53" i="6" l="1"/>
  <c r="E50" i="6"/>
  <c r="B56" i="7" l="1"/>
  <c r="Q69" i="6" l="1"/>
  <c r="Q68" i="6"/>
  <c r="Q62" i="6"/>
  <c r="Q61" i="6"/>
  <c r="AR33" i="4"/>
  <c r="AD33" i="4"/>
  <c r="B32" i="7"/>
  <c r="A33" i="4" s="1"/>
  <c r="A14" i="9" s="1"/>
  <c r="H67" i="6" l="1"/>
  <c r="H66" i="6"/>
  <c r="B31" i="7"/>
  <c r="I50" i="6"/>
  <c r="A10" i="7" l="1"/>
  <c r="H46" i="7" s="1"/>
  <c r="A9" i="7"/>
  <c r="F46" i="7" s="1"/>
  <c r="A8" i="7"/>
  <c r="D46" i="7" s="1"/>
  <c r="Q18" i="7"/>
  <c r="Q16" i="7"/>
  <c r="Q17" i="7"/>
  <c r="Q8" i="7"/>
  <c r="Q9" i="7"/>
  <c r="Q10" i="7"/>
  <c r="Q11" i="7"/>
  <c r="Q12" i="7"/>
  <c r="Q13" i="7"/>
  <c r="Q14" i="7"/>
  <c r="Q15" i="7"/>
  <c r="Q7" i="7"/>
  <c r="P7" i="7" s="1"/>
  <c r="R1" i="6" s="1"/>
  <c r="O7" i="7"/>
  <c r="D2" i="4" l="1"/>
  <c r="Q1" i="7"/>
  <c r="P1" i="7" s="1"/>
  <c r="Q2" i="7"/>
  <c r="B60" i="7"/>
  <c r="A56" i="4" s="1"/>
  <c r="M12" i="6"/>
  <c r="I23" i="8"/>
  <c r="D23" i="8"/>
  <c r="I22" i="8"/>
  <c r="D22" i="8"/>
  <c r="I21" i="8"/>
  <c r="D21" i="8"/>
  <c r="I20" i="8"/>
  <c r="D20" i="8"/>
  <c r="I19" i="8"/>
  <c r="D19" i="8"/>
  <c r="J12" i="6"/>
  <c r="G12" i="6" s="1"/>
  <c r="R77" i="6"/>
  <c r="R1" i="7"/>
  <c r="B57" i="7"/>
  <c r="A53" i="4" s="1"/>
  <c r="AQ10" i="4"/>
  <c r="AP10" i="4"/>
  <c r="AO10" i="4"/>
  <c r="AN10" i="4"/>
  <c r="AM10" i="4"/>
  <c r="AL10" i="4"/>
  <c r="AK10" i="4"/>
  <c r="AJ10" i="4"/>
  <c r="AI10" i="4"/>
  <c r="AH10" i="4"/>
  <c r="AG10" i="4"/>
  <c r="AF10" i="4"/>
  <c r="AC10" i="4"/>
  <c r="AB10" i="4"/>
  <c r="AA10" i="4"/>
  <c r="Z10" i="4"/>
  <c r="Y10" i="4"/>
  <c r="X10" i="4"/>
  <c r="W10" i="4"/>
  <c r="V10" i="4"/>
  <c r="U10" i="4"/>
  <c r="T10" i="4"/>
  <c r="S10" i="4"/>
  <c r="R10" i="4"/>
  <c r="F70" i="6"/>
  <c r="D70" i="6"/>
  <c r="A34" i="4"/>
  <c r="A15" i="9" s="1"/>
  <c r="AD34" i="4"/>
  <c r="AR34" i="4"/>
  <c r="D26" i="7"/>
  <c r="I40" i="8"/>
  <c r="I41" i="8"/>
  <c r="I42" i="8"/>
  <c r="I43" i="8"/>
  <c r="I44" i="8"/>
  <c r="I45" i="8"/>
  <c r="I46" i="8"/>
  <c r="I47" i="8"/>
  <c r="I48" i="8"/>
  <c r="I49" i="8"/>
  <c r="I50" i="8"/>
  <c r="I51" i="8"/>
  <c r="I52" i="8"/>
  <c r="I53" i="8"/>
  <c r="I54" i="8"/>
  <c r="I55" i="8"/>
  <c r="I56" i="8"/>
  <c r="I57" i="8"/>
  <c r="I58" i="8"/>
  <c r="I59" i="8"/>
  <c r="I60" i="8"/>
  <c r="I61" i="8"/>
  <c r="I62" i="8"/>
  <c r="I63" i="8"/>
  <c r="I7" i="8"/>
  <c r="I8" i="8"/>
  <c r="I9" i="8"/>
  <c r="I10" i="8"/>
  <c r="I11" i="8"/>
  <c r="I12" i="8"/>
  <c r="I13" i="8"/>
  <c r="I14" i="8"/>
  <c r="I15" i="8"/>
  <c r="I16" i="8"/>
  <c r="I17" i="8"/>
  <c r="I18" i="8"/>
  <c r="I24" i="8"/>
  <c r="I25" i="8"/>
  <c r="I26" i="8"/>
  <c r="I27" i="8"/>
  <c r="I28" i="8"/>
  <c r="I29" i="8"/>
  <c r="I30" i="8"/>
  <c r="I31" i="8"/>
  <c r="I32" i="8"/>
  <c r="I33" i="8"/>
  <c r="I34" i="8"/>
  <c r="I35" i="8"/>
  <c r="I36" i="8"/>
  <c r="I37" i="8"/>
  <c r="I38" i="8"/>
  <c r="D40" i="8"/>
  <c r="D41" i="8"/>
  <c r="D42" i="8"/>
  <c r="D43" i="8"/>
  <c r="D44" i="8"/>
  <c r="D45" i="8"/>
  <c r="D46" i="8"/>
  <c r="D47" i="8"/>
  <c r="D48" i="8"/>
  <c r="D49" i="8"/>
  <c r="D50" i="8"/>
  <c r="D51" i="8"/>
  <c r="D52" i="8"/>
  <c r="D53" i="8"/>
  <c r="D54" i="8"/>
  <c r="D55" i="8"/>
  <c r="D56" i="8"/>
  <c r="D57" i="8"/>
  <c r="D58" i="8"/>
  <c r="D59" i="8"/>
  <c r="D60" i="8"/>
  <c r="D61" i="8"/>
  <c r="D62" i="8"/>
  <c r="D63" i="8"/>
  <c r="D7" i="8"/>
  <c r="D8" i="8"/>
  <c r="D9" i="8"/>
  <c r="D10" i="8"/>
  <c r="D11" i="8"/>
  <c r="D12" i="8"/>
  <c r="D13" i="8"/>
  <c r="D14" i="8"/>
  <c r="D15" i="8"/>
  <c r="D16" i="8"/>
  <c r="D17" i="8"/>
  <c r="D18" i="8"/>
  <c r="D24" i="8"/>
  <c r="D25" i="8"/>
  <c r="D26" i="8"/>
  <c r="D27" i="8"/>
  <c r="D28" i="8"/>
  <c r="D29" i="8"/>
  <c r="D30" i="8"/>
  <c r="D31" i="8"/>
  <c r="D32" i="8"/>
  <c r="D33" i="8"/>
  <c r="D34" i="8"/>
  <c r="D35" i="8"/>
  <c r="D36" i="8"/>
  <c r="D37" i="8"/>
  <c r="D38" i="8"/>
  <c r="I40" i="6"/>
  <c r="J11" i="6"/>
  <c r="G11" i="6" s="1"/>
  <c r="AQ7" i="4"/>
  <c r="AP7" i="4"/>
  <c r="AO7" i="4"/>
  <c r="AN7" i="4"/>
  <c r="AM7" i="4"/>
  <c r="AL7" i="4"/>
  <c r="AK7" i="4"/>
  <c r="AJ7" i="4"/>
  <c r="AI7" i="4"/>
  <c r="AH7" i="4"/>
  <c r="AG7" i="4"/>
  <c r="AF7" i="4"/>
  <c r="AC7" i="4"/>
  <c r="AB7" i="4"/>
  <c r="AA7" i="4"/>
  <c r="Z7" i="4"/>
  <c r="Y7" i="4"/>
  <c r="X7" i="4"/>
  <c r="W7" i="4"/>
  <c r="V7" i="4"/>
  <c r="U7" i="4"/>
  <c r="T7" i="4"/>
  <c r="S7" i="4"/>
  <c r="R7" i="4"/>
  <c r="A12" i="4"/>
  <c r="A11" i="4"/>
  <c r="A10" i="4"/>
  <c r="A7" i="4"/>
  <c r="M11" i="6"/>
  <c r="F63" i="6"/>
  <c r="D63" i="6"/>
  <c r="N1" i="7"/>
  <c r="R76" i="6"/>
  <c r="H40" i="7"/>
  <c r="G40" i="7"/>
  <c r="I38" i="6"/>
  <c r="F4" i="8" s="1"/>
  <c r="E38" i="6"/>
  <c r="A4" i="8" s="1"/>
  <c r="AG12" i="4"/>
  <c r="AH12" i="4"/>
  <c r="AI12" i="4"/>
  <c r="AJ12" i="4"/>
  <c r="AK12" i="4"/>
  <c r="AL12" i="4"/>
  <c r="AM12" i="4"/>
  <c r="AN12" i="4"/>
  <c r="AO12" i="4"/>
  <c r="AP12" i="4"/>
  <c r="AQ12" i="4"/>
  <c r="AF12" i="4"/>
  <c r="S12" i="4"/>
  <c r="T12" i="4"/>
  <c r="U12" i="4"/>
  <c r="V12" i="4"/>
  <c r="W12" i="4"/>
  <c r="X12" i="4"/>
  <c r="Y12" i="4"/>
  <c r="Z12" i="4"/>
  <c r="AA12" i="4"/>
  <c r="AB12" i="4"/>
  <c r="AC12" i="4"/>
  <c r="R12" i="4"/>
  <c r="A30" i="6"/>
  <c r="A29" i="6"/>
  <c r="A9" i="6"/>
  <c r="C95" i="6"/>
  <c r="A52" i="4"/>
  <c r="A50" i="4"/>
  <c r="I5" i="8"/>
  <c r="H5" i="8"/>
  <c r="F5" i="8"/>
  <c r="F1" i="8"/>
  <c r="F39" i="8"/>
  <c r="F6" i="8"/>
  <c r="F2" i="8"/>
  <c r="J75" i="6"/>
  <c r="AD37" i="4"/>
  <c r="AR37" i="4"/>
  <c r="AR32" i="4"/>
  <c r="AD32" i="4"/>
  <c r="AR31" i="4"/>
  <c r="AD31" i="4"/>
  <c r="AR30" i="4"/>
  <c r="AD30" i="4"/>
  <c r="A32" i="4"/>
  <c r="A13" i="9" s="1"/>
  <c r="B28" i="7"/>
  <c r="A29" i="4" s="1"/>
  <c r="A10" i="9" s="1"/>
  <c r="C75" i="4"/>
  <c r="P79" i="4"/>
  <c r="AT79" i="4" s="1"/>
  <c r="C68" i="4"/>
  <c r="C64" i="4"/>
  <c r="C74" i="4" s="1"/>
  <c r="C65" i="4"/>
  <c r="C82" i="4"/>
  <c r="C73" i="4"/>
  <c r="C63" i="4"/>
  <c r="C40" i="4"/>
  <c r="C27" i="4"/>
  <c r="C23" i="4"/>
  <c r="C15" i="4"/>
  <c r="A46" i="4"/>
  <c r="A65" i="6"/>
  <c r="A58" i="6"/>
  <c r="E16" i="6"/>
  <c r="M16" i="6" s="1"/>
  <c r="C16" i="6"/>
  <c r="L16" i="6" s="1"/>
  <c r="A12" i="6"/>
  <c r="A11" i="6"/>
  <c r="J18" i="6"/>
  <c r="J19" i="6"/>
  <c r="J20" i="6"/>
  <c r="J21" i="6"/>
  <c r="J22" i="6"/>
  <c r="J23" i="6"/>
  <c r="J24" i="6"/>
  <c r="J25" i="6"/>
  <c r="J26" i="6"/>
  <c r="J27" i="6"/>
  <c r="J28" i="6"/>
  <c r="J17" i="6"/>
  <c r="Q23" i="4"/>
  <c r="P23" i="4"/>
  <c r="AE23" i="4"/>
  <c r="AD23" i="4"/>
  <c r="AS23" i="4"/>
  <c r="AR23" i="4"/>
  <c r="A68" i="4"/>
  <c r="A71" i="4"/>
  <c r="A67" i="4"/>
  <c r="A65" i="4"/>
  <c r="A25" i="4"/>
  <c r="A38" i="4" s="1"/>
  <c r="A61" i="4" s="1"/>
  <c r="D14" i="4"/>
  <c r="R14" i="4"/>
  <c r="AF14" i="4"/>
  <c r="B61" i="7"/>
  <c r="A57" i="4" s="1"/>
  <c r="B59" i="7"/>
  <c r="A55" i="4" s="1"/>
  <c r="A51" i="4"/>
  <c r="B62" i="7"/>
  <c r="A58" i="4" s="1"/>
  <c r="B58" i="7"/>
  <c r="A54" i="4" s="1"/>
  <c r="A45" i="7"/>
  <c r="D40" i="7"/>
  <c r="A40" i="7"/>
  <c r="B34" i="7"/>
  <c r="A35" i="4" s="1"/>
  <c r="A16" i="9" s="1"/>
  <c r="B35" i="7"/>
  <c r="A36" i="4" s="1"/>
  <c r="A17" i="9" s="1"/>
  <c r="B36" i="7"/>
  <c r="A37" i="4" s="1"/>
  <c r="A18" i="9" s="1"/>
  <c r="B37" i="7"/>
  <c r="B30" i="7"/>
  <c r="A31" i="4" s="1"/>
  <c r="A12" i="9" s="1"/>
  <c r="B29" i="7"/>
  <c r="A30" i="4" s="1"/>
  <c r="A11" i="9" s="1"/>
  <c r="A25" i="7"/>
  <c r="A6" i="7"/>
  <c r="B27" i="7"/>
  <c r="A28" i="4" s="1"/>
  <c r="A9" i="9" s="1"/>
  <c r="AT23" i="4"/>
  <c r="E37" i="6"/>
  <c r="A59" i="4"/>
  <c r="A48" i="4"/>
  <c r="A49" i="4"/>
  <c r="B51" i="7"/>
  <c r="A47" i="4" s="1"/>
  <c r="Q2" i="6"/>
  <c r="O8" i="7" s="1"/>
  <c r="N7" i="7" s="1"/>
  <c r="P1" i="6" s="1"/>
  <c r="AR29" i="4"/>
  <c r="AD29" i="4"/>
  <c r="AT27" i="4"/>
  <c r="AT40" i="4" s="1"/>
  <c r="AT63" i="4" s="1"/>
  <c r="AT73" i="4" s="1"/>
  <c r="AS27" i="4"/>
  <c r="AS40" i="4" s="1"/>
  <c r="AS63" i="4" s="1"/>
  <c r="AS73" i="4" s="1"/>
  <c r="AR27" i="4"/>
  <c r="AR40" i="4" s="1"/>
  <c r="AR63" i="4" s="1"/>
  <c r="AR73" i="4" s="1"/>
  <c r="AD27" i="4"/>
  <c r="AD40" i="4" s="1"/>
  <c r="AD63" i="4" s="1"/>
  <c r="AD73" i="4" s="1"/>
  <c r="AE27" i="4"/>
  <c r="AE40" i="4" s="1"/>
  <c r="AE63" i="4" s="1"/>
  <c r="AE73" i="4" s="1"/>
  <c r="Q27" i="4"/>
  <c r="P27" i="4"/>
  <c r="Q40" i="4"/>
  <c r="P40" i="4"/>
  <c r="Q63" i="4"/>
  <c r="P63" i="4"/>
  <c r="Q73" i="4"/>
  <c r="P73" i="4"/>
  <c r="B84" i="4"/>
  <c r="N84" i="4" s="1"/>
  <c r="AG11" i="4"/>
  <c r="AH11" i="4"/>
  <c r="AI11" i="4"/>
  <c r="AJ11" i="4"/>
  <c r="AK11" i="4"/>
  <c r="AL11" i="4"/>
  <c r="AM11" i="4"/>
  <c r="AN11" i="4"/>
  <c r="AO11" i="4"/>
  <c r="AP11" i="4"/>
  <c r="AQ11" i="4"/>
  <c r="AF11" i="4"/>
  <c r="S11" i="4"/>
  <c r="T11" i="4"/>
  <c r="U11" i="4"/>
  <c r="V11" i="4"/>
  <c r="W11" i="4"/>
  <c r="X11" i="4"/>
  <c r="Y11" i="4"/>
  <c r="Z11" i="4"/>
  <c r="AA11" i="4"/>
  <c r="AB11" i="4"/>
  <c r="AC11" i="4"/>
  <c r="R11" i="4"/>
  <c r="A45" i="4"/>
  <c r="A44" i="4"/>
  <c r="A60" i="4"/>
  <c r="AR36" i="4"/>
  <c r="AD36" i="4"/>
  <c r="Q4" i="6"/>
  <c r="O10" i="7" s="1"/>
  <c r="Q3" i="6"/>
  <c r="O9" i="7" s="1"/>
  <c r="AD28" i="4"/>
  <c r="AR28" i="4"/>
  <c r="D1" i="4"/>
  <c r="D38" i="4"/>
  <c r="D78" i="4" s="1"/>
  <c r="E38" i="4"/>
  <c r="E78" i="4" s="1"/>
  <c r="G38" i="4"/>
  <c r="G78" i="4" s="1"/>
  <c r="H38" i="4"/>
  <c r="H78" i="4" s="1"/>
  <c r="I38" i="4"/>
  <c r="I78" i="4" s="1"/>
  <c r="J38" i="4"/>
  <c r="J78" i="4" s="1"/>
  <c r="K38" i="4"/>
  <c r="K78" i="4" s="1"/>
  <c r="L38" i="4"/>
  <c r="L67" i="4" s="1"/>
  <c r="M38" i="4"/>
  <c r="M77" i="4" s="1"/>
  <c r="N38" i="4"/>
  <c r="N78" i="4" s="1"/>
  <c r="N77" i="4"/>
  <c r="O38" i="4"/>
  <c r="O78" i="4" s="1"/>
  <c r="R38" i="4"/>
  <c r="R67" i="4" s="1"/>
  <c r="S38" i="4"/>
  <c r="S78" i="4" s="1"/>
  <c r="O77" i="4"/>
  <c r="T38" i="4"/>
  <c r="T78" i="4" s="1"/>
  <c r="U38" i="4"/>
  <c r="U67" i="4" s="1"/>
  <c r="V38" i="4"/>
  <c r="V78" i="4" s="1"/>
  <c r="W38" i="4"/>
  <c r="W67" i="4" s="1"/>
  <c r="X38" i="4"/>
  <c r="X78" i="4" s="1"/>
  <c r="Y38" i="4"/>
  <c r="Y78" i="4" s="1"/>
  <c r="Z38" i="4"/>
  <c r="Z78" i="4" s="1"/>
  <c r="AA38" i="4"/>
  <c r="AA78" i="4" s="1"/>
  <c r="AB38" i="4"/>
  <c r="AB78" i="4" s="1"/>
  <c r="AC38" i="4"/>
  <c r="AC78" i="4" s="1"/>
  <c r="AD35" i="4"/>
  <c r="AG38" i="4"/>
  <c r="AG78" i="4" s="1"/>
  <c r="AF38" i="4"/>
  <c r="AF78" i="4" s="1"/>
  <c r="AH38" i="4"/>
  <c r="AH67" i="4" s="1"/>
  <c r="AI38" i="4"/>
  <c r="AI77" i="4" s="1"/>
  <c r="AJ38" i="4"/>
  <c r="AJ78" i="4" s="1"/>
  <c r="AK38" i="4"/>
  <c r="AK78" i="4" s="1"/>
  <c r="AL38" i="4"/>
  <c r="AL78" i="4" s="1"/>
  <c r="AM38" i="4"/>
  <c r="AM78" i="4" s="1"/>
  <c r="AN38" i="4"/>
  <c r="AN77" i="4" s="1"/>
  <c r="AO38" i="4"/>
  <c r="AO78" i="4" s="1"/>
  <c r="AP38" i="4"/>
  <c r="AP78" i="4" s="1"/>
  <c r="AQ38" i="4"/>
  <c r="AQ78" i="4" s="1"/>
  <c r="AR35" i="4"/>
  <c r="F38" i="4"/>
  <c r="F67" i="4" s="1"/>
  <c r="H55" i="6" l="1"/>
  <c r="H54" i="6"/>
  <c r="H42" i="7"/>
  <c r="H41" i="7"/>
  <c r="G42" i="7"/>
  <c r="G41" i="7"/>
  <c r="E54" i="6"/>
  <c r="L80" i="6"/>
  <c r="L91" i="6"/>
  <c r="G88" i="6"/>
  <c r="U55" i="4" s="1"/>
  <c r="L90" i="6"/>
  <c r="G85" i="6"/>
  <c r="AQ52" i="4" s="1"/>
  <c r="L89" i="6"/>
  <c r="G86" i="6"/>
  <c r="AQ53" i="4" s="1"/>
  <c r="G80" i="6"/>
  <c r="J60" i="6"/>
  <c r="J67" i="6" s="1"/>
  <c r="J61" i="6"/>
  <c r="G7" i="7"/>
  <c r="I40" i="7"/>
  <c r="G44" i="6"/>
  <c r="D30" i="7" s="1"/>
  <c r="C31" i="4" s="1"/>
  <c r="B12" i="9" s="1"/>
  <c r="J35" i="8"/>
  <c r="J26" i="8"/>
  <c r="J12" i="8"/>
  <c r="J60" i="8"/>
  <c r="J52" i="8"/>
  <c r="J46" i="8"/>
  <c r="E61" i="8"/>
  <c r="E53" i="8"/>
  <c r="E45" i="8"/>
  <c r="E35" i="8"/>
  <c r="E29" i="8"/>
  <c r="E24" i="8"/>
  <c r="E14" i="8"/>
  <c r="E8" i="8"/>
  <c r="K44" i="6"/>
  <c r="C7" i="7"/>
  <c r="E12" i="6"/>
  <c r="F2" i="9"/>
  <c r="B57" i="4"/>
  <c r="E5" i="8"/>
  <c r="J5" i="8" s="1"/>
  <c r="A2" i="9"/>
  <c r="B37" i="4"/>
  <c r="J31" i="7"/>
  <c r="H19" i="7"/>
  <c r="H13" i="7"/>
  <c r="A89" i="4"/>
  <c r="A87" i="4"/>
  <c r="J61" i="7"/>
  <c r="J56" i="7"/>
  <c r="B25" i="4"/>
  <c r="J36" i="7"/>
  <c r="J30" i="7"/>
  <c r="B49" i="4"/>
  <c r="B38" i="4"/>
  <c r="B45" i="4"/>
  <c r="B54" i="4"/>
  <c r="B66" i="4"/>
  <c r="B71" i="4"/>
  <c r="B67" i="4"/>
  <c r="B44" i="4"/>
  <c r="L77" i="6"/>
  <c r="G87" i="6"/>
  <c r="AL54" i="4" s="1"/>
  <c r="L87" i="6"/>
  <c r="AQ54" i="4" s="1"/>
  <c r="G82" i="6"/>
  <c r="AQ49" i="4" s="1"/>
  <c r="L86" i="6"/>
  <c r="G89" i="6"/>
  <c r="AQ56" i="4" s="1"/>
  <c r="L85" i="6"/>
  <c r="G90" i="6"/>
  <c r="AP57" i="4" s="1"/>
  <c r="E40" i="7"/>
  <c r="K46" i="6"/>
  <c r="J69" i="6"/>
  <c r="H15" i="7"/>
  <c r="J60" i="7"/>
  <c r="J57" i="7"/>
  <c r="G48" i="6"/>
  <c r="J33" i="7"/>
  <c r="G47" i="6"/>
  <c r="K42" i="6"/>
  <c r="J33" i="8"/>
  <c r="J18" i="8"/>
  <c r="J10" i="8"/>
  <c r="J59" i="8"/>
  <c r="J51" i="8"/>
  <c r="J44" i="8"/>
  <c r="E60" i="8"/>
  <c r="E52" i="8"/>
  <c r="E44" i="8"/>
  <c r="E33" i="8"/>
  <c r="E28" i="8"/>
  <c r="E18" i="8"/>
  <c r="E12" i="8"/>
  <c r="K49" i="6"/>
  <c r="K43" i="6"/>
  <c r="H10" i="6"/>
  <c r="A3" i="9"/>
  <c r="J54" i="7"/>
  <c r="B52" i="4"/>
  <c r="B50" i="4"/>
  <c r="B30" i="4"/>
  <c r="B46" i="4"/>
  <c r="H17" i="7"/>
  <c r="J51" i="7"/>
  <c r="J52" i="7"/>
  <c r="J48" i="7"/>
  <c r="A91" i="4"/>
  <c r="J63" i="7"/>
  <c r="B59" i="4"/>
  <c r="J34" i="7"/>
  <c r="B77" i="4"/>
  <c r="B75" i="4"/>
  <c r="B65" i="4"/>
  <c r="B51" i="4"/>
  <c r="B70" i="4"/>
  <c r="B28" i="4"/>
  <c r="B74" i="4"/>
  <c r="B58" i="4"/>
  <c r="F6" i="9"/>
  <c r="F4" i="9"/>
  <c r="F3" i="9"/>
  <c r="G75" i="6"/>
  <c r="L75" i="6" s="1"/>
  <c r="A88" i="4"/>
  <c r="J62" i="7"/>
  <c r="J29" i="7"/>
  <c r="B60" i="4"/>
  <c r="L88" i="6"/>
  <c r="G81" i="6"/>
  <c r="AL48" i="4" s="1"/>
  <c r="L83" i="6"/>
  <c r="T50" i="4" s="1"/>
  <c r="G84" i="6"/>
  <c r="AM51" i="4" s="1"/>
  <c r="L82" i="6"/>
  <c r="G83" i="6"/>
  <c r="R50" i="4" s="1"/>
  <c r="L81" i="6"/>
  <c r="AH48" i="4" s="1"/>
  <c r="L98" i="6"/>
  <c r="AH60" i="4" s="1"/>
  <c r="J32" i="7"/>
  <c r="G46" i="6"/>
  <c r="D32" i="7" s="1"/>
  <c r="C33" i="4" s="1"/>
  <c r="J68" i="6"/>
  <c r="E7" i="7"/>
  <c r="B42" i="4"/>
  <c r="B34" i="4"/>
  <c r="E55" i="6"/>
  <c r="D35" i="7" s="1"/>
  <c r="G42" i="6"/>
  <c r="D28" i="7" s="1"/>
  <c r="C29" i="4" s="1"/>
  <c r="J31" i="8"/>
  <c r="J16" i="8"/>
  <c r="J63" i="8"/>
  <c r="J56" i="8"/>
  <c r="J48" i="8"/>
  <c r="J43" i="8"/>
  <c r="E57" i="8"/>
  <c r="E49" i="8"/>
  <c r="E37" i="8"/>
  <c r="E32" i="8"/>
  <c r="E27" i="8"/>
  <c r="E16" i="8"/>
  <c r="E11" i="8"/>
  <c r="K41" i="6"/>
  <c r="E11" i="6"/>
  <c r="C8" i="7" s="1"/>
  <c r="C10" i="7" s="1"/>
  <c r="N10" i="6"/>
  <c r="E10" i="6"/>
  <c r="B55" i="4"/>
  <c r="F5" i="9"/>
  <c r="A4" i="9"/>
  <c r="B24" i="4"/>
  <c r="B31" i="4"/>
  <c r="K40" i="6"/>
  <c r="G40" i="6"/>
  <c r="J58" i="7"/>
  <c r="J55" i="7"/>
  <c r="J53" i="7"/>
  <c r="A86" i="4"/>
  <c r="J65" i="7"/>
  <c r="J28" i="7"/>
  <c r="J35" i="7"/>
  <c r="B64" i="4"/>
  <c r="B80" i="4"/>
  <c r="B69" i="4"/>
  <c r="B35" i="4"/>
  <c r="B78" i="4"/>
  <c r="B48" i="4"/>
  <c r="B79" i="4"/>
  <c r="A5" i="9"/>
  <c r="J50" i="7"/>
  <c r="J64" i="7"/>
  <c r="J49" i="7"/>
  <c r="J27" i="7"/>
  <c r="B68" i="4"/>
  <c r="B76" i="4"/>
  <c r="B36" i="4"/>
  <c r="L84" i="6"/>
  <c r="G77" i="6"/>
  <c r="G98" i="6"/>
  <c r="G79" i="6"/>
  <c r="G94" i="6"/>
  <c r="F59" i="4" s="1"/>
  <c r="L79" i="6"/>
  <c r="G91" i="6"/>
  <c r="L94" i="6"/>
  <c r="B33" i="4"/>
  <c r="I7" i="7"/>
  <c r="J62" i="6"/>
  <c r="B56" i="4"/>
  <c r="B53" i="4"/>
  <c r="B41" i="4"/>
  <c r="G43" i="6"/>
  <c r="G49" i="6"/>
  <c r="J37" i="8"/>
  <c r="J27" i="8"/>
  <c r="J14" i="8"/>
  <c r="J62" i="8"/>
  <c r="J55" i="8"/>
  <c r="J47" i="8"/>
  <c r="J40" i="8"/>
  <c r="E56" i="8"/>
  <c r="E48" i="8"/>
  <c r="E36" i="8"/>
  <c r="E31" i="8"/>
  <c r="E25" i="8"/>
  <c r="E15" i="8"/>
  <c r="E10" i="8"/>
  <c r="K48" i="6"/>
  <c r="G41" i="6"/>
  <c r="D27" i="7" s="1"/>
  <c r="C28" i="4" s="1"/>
  <c r="P28" i="4" s="1"/>
  <c r="AT28" i="4" s="1"/>
  <c r="B20" i="4"/>
  <c r="B16" i="4" s="1"/>
  <c r="B32" i="4"/>
  <c r="J59" i="7"/>
  <c r="J37" i="7"/>
  <c r="B29" i="4"/>
  <c r="B21" i="4"/>
  <c r="B47" i="4"/>
  <c r="B61" i="4"/>
  <c r="E62" i="8"/>
  <c r="E58" i="8"/>
  <c r="E54" i="8"/>
  <c r="E50" i="8"/>
  <c r="E46" i="8"/>
  <c r="E42" i="8"/>
  <c r="J29" i="8"/>
  <c r="J25" i="8"/>
  <c r="J8" i="8"/>
  <c r="J61" i="8"/>
  <c r="J57" i="8"/>
  <c r="J53" i="8"/>
  <c r="J49" i="8"/>
  <c r="J45" i="8"/>
  <c r="E19" i="8"/>
  <c r="E21" i="8"/>
  <c r="E23" i="8"/>
  <c r="E41" i="8"/>
  <c r="J36" i="8"/>
  <c r="J32" i="8"/>
  <c r="J28" i="8"/>
  <c r="J24" i="8"/>
  <c r="J15" i="8"/>
  <c r="J11" i="8"/>
  <c r="J7" i="8"/>
  <c r="J19" i="8"/>
  <c r="J21" i="8"/>
  <c r="J23" i="8"/>
  <c r="N11" i="6"/>
  <c r="I76" i="6" s="1"/>
  <c r="H11" i="6"/>
  <c r="E40" i="8"/>
  <c r="E20" i="8"/>
  <c r="E22" i="8"/>
  <c r="N12" i="6"/>
  <c r="N76" i="6" s="1"/>
  <c r="E38" i="8"/>
  <c r="E34" i="8"/>
  <c r="E30" i="8"/>
  <c r="E26" i="8"/>
  <c r="E17" i="8"/>
  <c r="E13" i="8"/>
  <c r="E9" i="8"/>
  <c r="E63" i="8"/>
  <c r="E59" i="8"/>
  <c r="E55" i="8"/>
  <c r="E51" i="8"/>
  <c r="E47" i="8"/>
  <c r="E43" i="8"/>
  <c r="J38" i="8"/>
  <c r="J34" i="8"/>
  <c r="J30" i="8"/>
  <c r="J17" i="8"/>
  <c r="J13" i="8"/>
  <c r="J9" i="8"/>
  <c r="J58" i="8"/>
  <c r="J54" i="8"/>
  <c r="J50" i="8"/>
  <c r="J42" i="8"/>
  <c r="H12" i="6"/>
  <c r="J20" i="8"/>
  <c r="J22" i="8"/>
  <c r="AQ59" i="4"/>
  <c r="AM59" i="4"/>
  <c r="AI56" i="4"/>
  <c r="AQ55" i="4"/>
  <c r="AI55" i="4"/>
  <c r="AM53" i="4"/>
  <c r="AI53" i="4"/>
  <c r="AI48" i="4"/>
  <c r="Y56" i="4"/>
  <c r="AC55" i="4"/>
  <c r="Y55" i="4"/>
  <c r="U54" i="4"/>
  <c r="AC53" i="4"/>
  <c r="U53" i="4"/>
  <c r="U48" i="4"/>
  <c r="AL59" i="4"/>
  <c r="AL56" i="4"/>
  <c r="AP55" i="4"/>
  <c r="AH55" i="4"/>
  <c r="AP54" i="4"/>
  <c r="AP53" i="4"/>
  <c r="AL53" i="4"/>
  <c r="AH53" i="4"/>
  <c r="AB56" i="4"/>
  <c r="X56" i="4"/>
  <c r="AB55" i="4"/>
  <c r="T55" i="4"/>
  <c r="AB53" i="4"/>
  <c r="T53" i="4"/>
  <c r="AK56" i="4"/>
  <c r="AG56" i="4"/>
  <c r="AK55" i="4"/>
  <c r="AG54" i="4"/>
  <c r="AO53" i="4"/>
  <c r="AK53" i="4"/>
  <c r="AK48" i="4"/>
  <c r="S59" i="4"/>
  <c r="AA56" i="4"/>
  <c r="AA55" i="4"/>
  <c r="W55" i="4"/>
  <c r="AA54" i="4"/>
  <c r="S53" i="4"/>
  <c r="AA48" i="4"/>
  <c r="AJ59" i="4"/>
  <c r="AF53" i="4"/>
  <c r="AJ50" i="4"/>
  <c r="Z56" i="4"/>
  <c r="I48" i="4"/>
  <c r="E53" i="4"/>
  <c r="M53" i="4"/>
  <c r="K55" i="4"/>
  <c r="O55" i="4"/>
  <c r="L56" i="4"/>
  <c r="AO8" i="4"/>
  <c r="AK8" i="4"/>
  <c r="AG8" i="4"/>
  <c r="AA8" i="4"/>
  <c r="W8" i="4"/>
  <c r="S8" i="4"/>
  <c r="M8" i="4"/>
  <c r="I8" i="4"/>
  <c r="E8" i="4"/>
  <c r="Z55" i="4"/>
  <c r="E54" i="4"/>
  <c r="G56" i="4"/>
  <c r="AP8" i="4"/>
  <c r="AN56" i="4"/>
  <c r="AN48" i="4"/>
  <c r="R55" i="4"/>
  <c r="Z53" i="4"/>
  <c r="F53" i="4"/>
  <c r="N53" i="4"/>
  <c r="H55" i="4"/>
  <c r="E56" i="4"/>
  <c r="M56" i="4"/>
  <c r="O59" i="4"/>
  <c r="D50" i="4"/>
  <c r="AN8" i="4"/>
  <c r="AJ8" i="4"/>
  <c r="AF8" i="4"/>
  <c r="Z8" i="4"/>
  <c r="V8" i="4"/>
  <c r="R8" i="4"/>
  <c r="L8" i="4"/>
  <c r="H8" i="4"/>
  <c r="D8" i="4"/>
  <c r="R53" i="4"/>
  <c r="I54" i="4"/>
  <c r="K56" i="4"/>
  <c r="AH8" i="4"/>
  <c r="AF55" i="4"/>
  <c r="AN53" i="4"/>
  <c r="V53" i="4"/>
  <c r="G53" i="4"/>
  <c r="K53" i="4"/>
  <c r="H54" i="4"/>
  <c r="E55" i="4"/>
  <c r="M55" i="4"/>
  <c r="F56" i="4"/>
  <c r="D54" i="4"/>
  <c r="AQ8" i="4"/>
  <c r="AM8" i="4"/>
  <c r="AI8" i="4"/>
  <c r="AC8" i="4"/>
  <c r="Y8" i="4"/>
  <c r="U8" i="4"/>
  <c r="O8" i="4"/>
  <c r="K8" i="4"/>
  <c r="G8" i="4"/>
  <c r="V54" i="4"/>
  <c r="L53" i="4"/>
  <c r="N55" i="4"/>
  <c r="AL8" i="4"/>
  <c r="AB8" i="4"/>
  <c r="J8" i="4"/>
  <c r="X8" i="4"/>
  <c r="F8" i="4"/>
  <c r="T8" i="4"/>
  <c r="N8" i="4"/>
  <c r="D3" i="4"/>
  <c r="D9" i="4"/>
  <c r="C66" i="4"/>
  <c r="C70" i="4" s="1"/>
  <c r="A42" i="7"/>
  <c r="D42" i="7"/>
  <c r="I42" i="7" s="1"/>
  <c r="D41" i="7"/>
  <c r="A41" i="7"/>
  <c r="E42" i="7"/>
  <c r="AR38" i="4"/>
  <c r="AC77" i="4"/>
  <c r="AH77" i="4"/>
  <c r="T67" i="4"/>
  <c r="AQ77" i="4"/>
  <c r="AH78" i="4"/>
  <c r="W77" i="4"/>
  <c r="M78" i="4"/>
  <c r="C76" i="4"/>
  <c r="AF77" i="4"/>
  <c r="Z77" i="4"/>
  <c r="AQ67" i="4"/>
  <c r="AP67" i="4"/>
  <c r="AF67" i="4"/>
  <c r="Z67" i="4"/>
  <c r="F77" i="4"/>
  <c r="AO77" i="4"/>
  <c r="Y77" i="4"/>
  <c r="W78" i="4"/>
  <c r="T77" i="4"/>
  <c r="S77" i="4"/>
  <c r="D29" i="7"/>
  <c r="AL77" i="4"/>
  <c r="J77" i="4"/>
  <c r="AN78" i="4"/>
  <c r="AJ77" i="4"/>
  <c r="U78" i="4"/>
  <c r="E74" i="6"/>
  <c r="AN67" i="4"/>
  <c r="AL67" i="4"/>
  <c r="AK67" i="4"/>
  <c r="AI78" i="4"/>
  <c r="AC67" i="4"/>
  <c r="Y67" i="4"/>
  <c r="V77" i="4"/>
  <c r="R78" i="4"/>
  <c r="E67" i="4"/>
  <c r="AD38" i="4"/>
  <c r="H77" i="4"/>
  <c r="AP77" i="4"/>
  <c r="AK77" i="4"/>
  <c r="AI67" i="4"/>
  <c r="AA77" i="4"/>
  <c r="S67" i="4"/>
  <c r="N67" i="4"/>
  <c r="H67" i="4"/>
  <c r="G67" i="4"/>
  <c r="D67" i="4"/>
  <c r="AM77" i="4"/>
  <c r="AB67" i="4"/>
  <c r="AA67" i="4"/>
  <c r="X67" i="4"/>
  <c r="O67" i="4"/>
  <c r="K77" i="4"/>
  <c r="J67" i="4"/>
  <c r="G77" i="4"/>
  <c r="E77" i="4"/>
  <c r="D77" i="4"/>
  <c r="AB77" i="4"/>
  <c r="X77" i="4"/>
  <c r="L78" i="4"/>
  <c r="D4" i="4"/>
  <c r="G26" i="7"/>
  <c r="D6" i="4"/>
  <c r="D15" i="4" s="1"/>
  <c r="G1" i="9" s="1"/>
  <c r="D6" i="8"/>
  <c r="D39" i="8"/>
  <c r="E7" i="8"/>
  <c r="I67" i="4"/>
  <c r="F78" i="4"/>
  <c r="AG67" i="4"/>
  <c r="V67" i="4"/>
  <c r="U77" i="4"/>
  <c r="R77" i="4"/>
  <c r="M67" i="4"/>
  <c r="L77" i="4"/>
  <c r="K67" i="4"/>
  <c r="I77" i="4"/>
  <c r="AO67" i="4"/>
  <c r="AM67" i="4"/>
  <c r="AJ67" i="4"/>
  <c r="AG77" i="4"/>
  <c r="I84" i="4"/>
  <c r="S84" i="4"/>
  <c r="H84" i="4"/>
  <c r="AI84" i="4"/>
  <c r="AN84" i="4"/>
  <c r="J74" i="6"/>
  <c r="J84" i="4"/>
  <c r="F84" i="4"/>
  <c r="M84" i="4"/>
  <c r="Y84" i="4"/>
  <c r="AQ84" i="4"/>
  <c r="R84" i="4"/>
  <c r="AJ84" i="4"/>
  <c r="K84" i="4"/>
  <c r="AA84" i="4"/>
  <c r="AK84" i="4"/>
  <c r="G84" i="4"/>
  <c r="AF84" i="4"/>
  <c r="L84" i="4"/>
  <c r="AC84" i="4"/>
  <c r="AL84" i="4"/>
  <c r="AB84" i="4"/>
  <c r="AG84" i="4"/>
  <c r="O84" i="4"/>
  <c r="Z84" i="4"/>
  <c r="D84" i="4"/>
  <c r="U84" i="4"/>
  <c r="T84" i="4"/>
  <c r="X84" i="4"/>
  <c r="W84" i="4"/>
  <c r="AP84" i="4"/>
  <c r="V84" i="4"/>
  <c r="AM84" i="4"/>
  <c r="E84" i="4"/>
  <c r="AH84" i="4"/>
  <c r="AO84" i="4"/>
  <c r="E2" i="4"/>
  <c r="E9" i="4" s="1"/>
  <c r="G45" i="6"/>
  <c r="G50" i="6"/>
  <c r="I39" i="8"/>
  <c r="J41" i="8"/>
  <c r="K47" i="6"/>
  <c r="I6" i="8"/>
  <c r="AA52" i="4" l="1"/>
  <c r="D59" i="4"/>
  <c r="D53" i="4"/>
  <c r="AJ53" i="4"/>
  <c r="J56" i="4"/>
  <c r="L54" i="4"/>
  <c r="R48" i="4"/>
  <c r="AJ56" i="4"/>
  <c r="H53" i="4"/>
  <c r="D55" i="4"/>
  <c r="L55" i="4"/>
  <c r="V48" i="4"/>
  <c r="AF54" i="4"/>
  <c r="F55" i="4"/>
  <c r="G55" i="4"/>
  <c r="AN55" i="4"/>
  <c r="W53" i="4"/>
  <c r="S56" i="4"/>
  <c r="AO48" i="4"/>
  <c r="AG55" i="4"/>
  <c r="AO56" i="4"/>
  <c r="X55" i="4"/>
  <c r="AH56" i="4"/>
  <c r="AC49" i="4"/>
  <c r="AC56" i="4"/>
  <c r="AM56" i="4"/>
  <c r="AI59" i="4"/>
  <c r="D34" i="7"/>
  <c r="C35" i="4" s="1"/>
  <c r="B16" i="9" s="1"/>
  <c r="AN60" i="4"/>
  <c r="AG60" i="4"/>
  <c r="H60" i="4"/>
  <c r="G60" i="4"/>
  <c r="U60" i="4"/>
  <c r="J60" i="4"/>
  <c r="AK60" i="4"/>
  <c r="T60" i="4"/>
  <c r="Z60" i="4"/>
  <c r="Z54" i="4"/>
  <c r="K54" i="4"/>
  <c r="O50" i="4"/>
  <c r="AN54" i="4"/>
  <c r="J54" i="4"/>
  <c r="J50" i="4"/>
  <c r="R54" i="4"/>
  <c r="S50" i="4"/>
  <c r="S54" i="4"/>
  <c r="W60" i="4"/>
  <c r="AG50" i="4"/>
  <c r="AO54" i="4"/>
  <c r="X48" i="4"/>
  <c r="T54" i="4"/>
  <c r="X60" i="4"/>
  <c r="AC50" i="4"/>
  <c r="Y54" i="4"/>
  <c r="AM50" i="4"/>
  <c r="AM54" i="4"/>
  <c r="D36" i="7"/>
  <c r="C37" i="4" s="1"/>
  <c r="P37" i="4" s="1"/>
  <c r="AT37" i="4" s="1"/>
  <c r="AI50" i="4"/>
  <c r="AQ48" i="4"/>
  <c r="AI54" i="4"/>
  <c r="Y53" i="4"/>
  <c r="AM55" i="4"/>
  <c r="F60" i="4"/>
  <c r="AQ47" i="4"/>
  <c r="M54" i="4"/>
  <c r="M60" i="4"/>
  <c r="N60" i="4"/>
  <c r="L60" i="4"/>
  <c r="G54" i="4"/>
  <c r="K50" i="4"/>
  <c r="R60" i="4"/>
  <c r="AJ60" i="4"/>
  <c r="F54" i="4"/>
  <c r="F50" i="4"/>
  <c r="W54" i="4"/>
  <c r="AA60" i="4"/>
  <c r="X54" i="4"/>
  <c r="AQ60" i="4"/>
  <c r="D33" i="7"/>
  <c r="C34" i="4" s="1"/>
  <c r="P34" i="4" s="1"/>
  <c r="AT34" i="4" s="1"/>
  <c r="E41" i="7"/>
  <c r="L57" i="4"/>
  <c r="AA49" i="4"/>
  <c r="AB52" i="4"/>
  <c r="E59" i="4"/>
  <c r="E51" i="4"/>
  <c r="T59" i="4"/>
  <c r="Y59" i="4"/>
  <c r="O56" i="4"/>
  <c r="M50" i="4"/>
  <c r="N56" i="4"/>
  <c r="I55" i="4"/>
  <c r="O53" i="4"/>
  <c r="F48" i="4"/>
  <c r="R56" i="4"/>
  <c r="J55" i="4"/>
  <c r="AF56" i="4"/>
  <c r="I56" i="4"/>
  <c r="O54" i="4"/>
  <c r="J53" i="4"/>
  <c r="O48" i="4"/>
  <c r="V56" i="4"/>
  <c r="AJ55" i="4"/>
  <c r="I50" i="4"/>
  <c r="D56" i="4"/>
  <c r="H56" i="4"/>
  <c r="N54" i="4"/>
  <c r="I53" i="4"/>
  <c r="N48" i="4"/>
  <c r="V55" i="4"/>
  <c r="AJ54" i="4"/>
  <c r="H48" i="4"/>
  <c r="W50" i="4"/>
  <c r="AA53" i="4"/>
  <c r="S55" i="4"/>
  <c r="W56" i="4"/>
  <c r="AG53" i="4"/>
  <c r="AK54" i="4"/>
  <c r="AO55" i="4"/>
  <c r="AK59" i="4"/>
  <c r="AB48" i="4"/>
  <c r="X53" i="4"/>
  <c r="AB54" i="4"/>
  <c r="T56" i="4"/>
  <c r="AP50" i="4"/>
  <c r="AH54" i="4"/>
  <c r="AL55" i="4"/>
  <c r="AP56" i="4"/>
  <c r="Y48" i="4"/>
  <c r="AC54" i="4"/>
  <c r="U56" i="4"/>
  <c r="AC59" i="4"/>
  <c r="AQ50" i="4"/>
  <c r="AN59" i="4"/>
  <c r="Z59" i="4"/>
  <c r="V59" i="4"/>
  <c r="K59" i="4"/>
  <c r="N49" i="4"/>
  <c r="W59" i="4"/>
  <c r="AO52" i="4"/>
  <c r="X59" i="4"/>
  <c r="AP52" i="4"/>
  <c r="AC51" i="4"/>
  <c r="AQ51" i="4"/>
  <c r="Z49" i="4"/>
  <c r="H57" i="4"/>
  <c r="O52" i="4"/>
  <c r="H52" i="4"/>
  <c r="AK51" i="4"/>
  <c r="X49" i="4"/>
  <c r="AL51" i="4"/>
  <c r="G49" i="4"/>
  <c r="H59" i="4"/>
  <c r="J52" i="4"/>
  <c r="J57" i="4"/>
  <c r="L51" i="4"/>
  <c r="R49" i="4"/>
  <c r="Z52" i="4"/>
  <c r="R59" i="4"/>
  <c r="W51" i="4"/>
  <c r="AK49" i="4"/>
  <c r="AG59" i="4"/>
  <c r="X51" i="4"/>
  <c r="AL49" i="4"/>
  <c r="AH59" i="4"/>
  <c r="U57" i="4"/>
  <c r="AI57" i="4"/>
  <c r="K52" i="4"/>
  <c r="AN49" i="4"/>
  <c r="D57" i="4"/>
  <c r="T57" i="4"/>
  <c r="O57" i="4"/>
  <c r="O49" i="4"/>
  <c r="AJ49" i="4"/>
  <c r="F57" i="4"/>
  <c r="M52" i="4"/>
  <c r="J49" i="4"/>
  <c r="J51" i="4"/>
  <c r="AJ57" i="4"/>
  <c r="M57" i="4"/>
  <c r="O51" i="4"/>
  <c r="AA51" i="4"/>
  <c r="S57" i="4"/>
  <c r="AO51" i="4"/>
  <c r="AG57" i="4"/>
  <c r="AB51" i="4"/>
  <c r="AP49" i="4"/>
  <c r="AM57" i="4"/>
  <c r="I78" i="6"/>
  <c r="K49" i="4"/>
  <c r="AF51" i="4"/>
  <c r="F51" i="4"/>
  <c r="AN52" i="4"/>
  <c r="I57" i="4"/>
  <c r="K51" i="4"/>
  <c r="M49" i="4"/>
  <c r="I49" i="4"/>
  <c r="S49" i="4"/>
  <c r="S52" i="4"/>
  <c r="W57" i="4"/>
  <c r="AA59" i="4"/>
  <c r="AG52" i="4"/>
  <c r="AK57" i="4"/>
  <c r="AO59" i="4"/>
  <c r="T52" i="4"/>
  <c r="X57" i="4"/>
  <c r="AB59" i="4"/>
  <c r="AH52" i="4"/>
  <c r="AL57" i="4"/>
  <c r="AP59" i="4"/>
  <c r="U49" i="4"/>
  <c r="U51" i="4"/>
  <c r="Y52" i="4"/>
  <c r="AC57" i="4"/>
  <c r="AM49" i="4"/>
  <c r="AI51" i="4"/>
  <c r="AM52" i="4"/>
  <c r="AQ57" i="4"/>
  <c r="F52" i="4"/>
  <c r="D49" i="4"/>
  <c r="G52" i="4"/>
  <c r="H51" i="4"/>
  <c r="R51" i="4"/>
  <c r="AJ51" i="4"/>
  <c r="Z51" i="4"/>
  <c r="AF49" i="4"/>
  <c r="AO49" i="4"/>
  <c r="AB49" i="4"/>
  <c r="AP51" i="4"/>
  <c r="AH57" i="4"/>
  <c r="U52" i="4"/>
  <c r="Y57" i="4"/>
  <c r="AI49" i="4"/>
  <c r="AI52" i="4"/>
  <c r="N51" i="4"/>
  <c r="R57" i="4"/>
  <c r="K57" i="4"/>
  <c r="M51" i="4"/>
  <c r="V49" i="4"/>
  <c r="G59" i="4"/>
  <c r="I52" i="4"/>
  <c r="V52" i="4"/>
  <c r="Z57" i="4"/>
  <c r="AF59" i="4"/>
  <c r="N59" i="4"/>
  <c r="D51" i="4"/>
  <c r="L59" i="4"/>
  <c r="G57" i="4"/>
  <c r="N52" i="4"/>
  <c r="I51" i="4"/>
  <c r="F49" i="4"/>
  <c r="R52" i="4"/>
  <c r="V57" i="4"/>
  <c r="AJ52" i="4"/>
  <c r="AN57" i="4"/>
  <c r="M59" i="4"/>
  <c r="N57" i="4"/>
  <c r="E52" i="4"/>
  <c r="I59" i="4"/>
  <c r="L49" i="4"/>
  <c r="AF52" i="4"/>
  <c r="D52" i="4"/>
  <c r="J59" i="4"/>
  <c r="E57" i="4"/>
  <c r="L52" i="4"/>
  <c r="G51" i="4"/>
  <c r="H49" i="4"/>
  <c r="V51" i="4"/>
  <c r="AN51" i="4"/>
  <c r="AF57" i="4"/>
  <c r="E49" i="4"/>
  <c r="W49" i="4"/>
  <c r="S51" i="4"/>
  <c r="W52" i="4"/>
  <c r="AA57" i="4"/>
  <c r="AG49" i="4"/>
  <c r="AG51" i="4"/>
  <c r="AK52" i="4"/>
  <c r="AO57" i="4"/>
  <c r="T49" i="4"/>
  <c r="T51" i="4"/>
  <c r="X52" i="4"/>
  <c r="AB57" i="4"/>
  <c r="AH49" i="4"/>
  <c r="AH51" i="4"/>
  <c r="AL52" i="4"/>
  <c r="Y49" i="4"/>
  <c r="Y51" i="4"/>
  <c r="AC52" i="4"/>
  <c r="U59" i="4"/>
  <c r="AM47" i="4"/>
  <c r="E39" i="8"/>
  <c r="J6" i="8"/>
  <c r="N78" i="6"/>
  <c r="O47" i="4"/>
  <c r="V50" i="4"/>
  <c r="AN50" i="4"/>
  <c r="I60" i="4"/>
  <c r="L50" i="4"/>
  <c r="AJ48" i="4"/>
  <c r="AF60" i="4"/>
  <c r="E50" i="4"/>
  <c r="G50" i="4"/>
  <c r="J48" i="4"/>
  <c r="AF50" i="4"/>
  <c r="G48" i="4"/>
  <c r="AF48" i="4"/>
  <c r="O60" i="4"/>
  <c r="V47" i="4"/>
  <c r="S48" i="4"/>
  <c r="AA50" i="4"/>
  <c r="AO47" i="4"/>
  <c r="AK50" i="4"/>
  <c r="AO60" i="4"/>
  <c r="X50" i="4"/>
  <c r="AB60" i="4"/>
  <c r="AP48" i="4"/>
  <c r="AH50" i="4"/>
  <c r="AL60" i="4"/>
  <c r="AC48" i="4"/>
  <c r="U50" i="4"/>
  <c r="Y60" i="4"/>
  <c r="AM48" i="4"/>
  <c r="AI60" i="4"/>
  <c r="E60" i="4"/>
  <c r="H50" i="4"/>
  <c r="K48" i="4"/>
  <c r="Z50" i="4"/>
  <c r="M48" i="4"/>
  <c r="D60" i="4"/>
  <c r="E48" i="4"/>
  <c r="D48" i="4"/>
  <c r="K60" i="4"/>
  <c r="N50" i="4"/>
  <c r="Z48" i="4"/>
  <c r="V60" i="4"/>
  <c r="L48" i="4"/>
  <c r="W48" i="4"/>
  <c r="S60" i="4"/>
  <c r="AG48" i="4"/>
  <c r="AO50" i="4"/>
  <c r="T48" i="4"/>
  <c r="AB50" i="4"/>
  <c r="AL47" i="4"/>
  <c r="AL50" i="4"/>
  <c r="AP60" i="4"/>
  <c r="Y50" i="4"/>
  <c r="AC60" i="4"/>
  <c r="AM60" i="4"/>
  <c r="L47" i="4"/>
  <c r="H47" i="4"/>
  <c r="G47" i="4"/>
  <c r="J47" i="4"/>
  <c r="I47" i="4"/>
  <c r="AN47" i="4"/>
  <c r="W47" i="4"/>
  <c r="T47" i="4"/>
  <c r="U47" i="4"/>
  <c r="J39" i="8"/>
  <c r="E6" i="8"/>
  <c r="AF47" i="4"/>
  <c r="AG47" i="4"/>
  <c r="AB47" i="4"/>
  <c r="AC47" i="4"/>
  <c r="D47" i="4"/>
  <c r="R47" i="4"/>
  <c r="M47" i="4"/>
  <c r="S47" i="4"/>
  <c r="AK47" i="4"/>
  <c r="F47" i="4"/>
  <c r="AH47" i="4"/>
  <c r="E47" i="4"/>
  <c r="AI47" i="4"/>
  <c r="Z47" i="4"/>
  <c r="AJ47" i="4"/>
  <c r="K47" i="4"/>
  <c r="AA47" i="4"/>
  <c r="N47" i="4"/>
  <c r="X47" i="4"/>
  <c r="AP47" i="4"/>
  <c r="Y47" i="4"/>
  <c r="B14" i="9"/>
  <c r="P33" i="4"/>
  <c r="AT33" i="4" s="1"/>
  <c r="AR78" i="4"/>
  <c r="Q63" i="6"/>
  <c r="H63" i="6" s="1"/>
  <c r="J63" i="6" s="1"/>
  <c r="AR77" i="4"/>
  <c r="D82" i="4"/>
  <c r="AD78" i="4"/>
  <c r="Q70" i="6"/>
  <c r="H70" i="6" s="1"/>
  <c r="J70" i="6" s="1"/>
  <c r="D23" i="4"/>
  <c r="AD67" i="4"/>
  <c r="AD77" i="4"/>
  <c r="AR67" i="4"/>
  <c r="D27" i="4"/>
  <c r="D63" i="4"/>
  <c r="D40" i="4"/>
  <c r="D73" i="4"/>
  <c r="B9" i="9"/>
  <c r="C9" i="7"/>
  <c r="D18" i="4"/>
  <c r="D25" i="4"/>
  <c r="C30" i="4"/>
  <c r="P30" i="4" s="1"/>
  <c r="AT30" i="4" s="1"/>
  <c r="R4" i="4"/>
  <c r="AF4" i="4" s="1"/>
  <c r="A42" i="4"/>
  <c r="A41" i="4"/>
  <c r="P31" i="4"/>
  <c r="AT31" i="4" s="1"/>
  <c r="B10" i="9"/>
  <c r="P29" i="4"/>
  <c r="AT29" i="4" s="1"/>
  <c r="E3" i="4"/>
  <c r="E6" i="4"/>
  <c r="F2" i="4"/>
  <c r="F9" i="4" s="1"/>
  <c r="K50" i="6"/>
  <c r="K45" i="6"/>
  <c r="D31" i="7" s="1"/>
  <c r="P35" i="4" l="1"/>
  <c r="AT35" i="4" s="1"/>
  <c r="P54" i="4"/>
  <c r="AR55" i="4"/>
  <c r="AS55" i="4" s="1"/>
  <c r="I59" i="7" s="1"/>
  <c r="AR52" i="4"/>
  <c r="AS52" i="4" s="1"/>
  <c r="I56" i="7" s="1"/>
  <c r="P56" i="4"/>
  <c r="Q56" i="4" s="1"/>
  <c r="E60" i="7" s="1"/>
  <c r="P55" i="4"/>
  <c r="Q55" i="4" s="1"/>
  <c r="E59" i="7" s="1"/>
  <c r="B18" i="9"/>
  <c r="AD54" i="4"/>
  <c r="AE54" i="4" s="1"/>
  <c r="G58" i="7" s="1"/>
  <c r="AR54" i="4"/>
  <c r="AS54" i="4" s="1"/>
  <c r="I58" i="7" s="1"/>
  <c r="P57" i="4"/>
  <c r="Q57" i="4" s="1"/>
  <c r="E61" i="7" s="1"/>
  <c r="AD52" i="4"/>
  <c r="AE52" i="4" s="1"/>
  <c r="G56" i="7" s="1"/>
  <c r="P49" i="4"/>
  <c r="Q49" i="4" s="1"/>
  <c r="E53" i="7" s="1"/>
  <c r="P59" i="4"/>
  <c r="P52" i="4"/>
  <c r="Q52" i="4" s="1"/>
  <c r="E56" i="7" s="1"/>
  <c r="P51" i="4"/>
  <c r="Q51" i="4" s="1"/>
  <c r="E55" i="7" s="1"/>
  <c r="B15" i="9"/>
  <c r="AD50" i="4"/>
  <c r="AE50" i="4" s="1"/>
  <c r="G54" i="7" s="1"/>
  <c r="P48" i="4"/>
  <c r="Q48" i="4" s="1"/>
  <c r="E52" i="7" s="1"/>
  <c r="AR48" i="4"/>
  <c r="AS48" i="4" s="1"/>
  <c r="I52" i="7" s="1"/>
  <c r="P60" i="4"/>
  <c r="Q60" i="4" s="1"/>
  <c r="E64" i="7" s="1"/>
  <c r="AR50" i="4"/>
  <c r="AS50" i="4" s="1"/>
  <c r="I54" i="7" s="1"/>
  <c r="AD48" i="4"/>
  <c r="AE48" i="4" s="1"/>
  <c r="G52" i="7" s="1"/>
  <c r="P50" i="4"/>
  <c r="Q50" i="4" s="1"/>
  <c r="E54" i="7" s="1"/>
  <c r="P47" i="4"/>
  <c r="Q47" i="4" s="1"/>
  <c r="E51" i="7" s="1"/>
  <c r="AD55" i="4"/>
  <c r="AE55" i="4" s="1"/>
  <c r="G59" i="7" s="1"/>
  <c r="AQ16" i="4"/>
  <c r="AM16" i="4"/>
  <c r="AI16" i="4"/>
  <c r="AC16" i="4"/>
  <c r="Y16" i="4"/>
  <c r="U16" i="4"/>
  <c r="E16" i="4"/>
  <c r="I16" i="4"/>
  <c r="M16" i="4"/>
  <c r="AN16" i="4"/>
  <c r="AF16" i="4"/>
  <c r="Z16" i="4"/>
  <c r="H16" i="4"/>
  <c r="AP16" i="4"/>
  <c r="AL16" i="4"/>
  <c r="AH16" i="4"/>
  <c r="AB16" i="4"/>
  <c r="X16" i="4"/>
  <c r="T16" i="4"/>
  <c r="F16" i="4"/>
  <c r="J16" i="4"/>
  <c r="N16" i="4"/>
  <c r="V16" i="4"/>
  <c r="L16" i="4"/>
  <c r="AO16" i="4"/>
  <c r="AK16" i="4"/>
  <c r="AG16" i="4"/>
  <c r="AA16" i="4"/>
  <c r="W16" i="4"/>
  <c r="S16" i="4"/>
  <c r="G16" i="4"/>
  <c r="K16" i="4"/>
  <c r="O16" i="4"/>
  <c r="AJ16" i="4"/>
  <c r="R16" i="4"/>
  <c r="E18" i="4"/>
  <c r="P53" i="4"/>
  <c r="Q53" i="4" s="1"/>
  <c r="E57" i="7" s="1"/>
  <c r="AD51" i="4"/>
  <c r="AE51" i="4" s="1"/>
  <c r="G55" i="7" s="1"/>
  <c r="D43" i="7"/>
  <c r="AD47" i="4"/>
  <c r="AE47" i="4" s="1"/>
  <c r="G51" i="7" s="1"/>
  <c r="AR51" i="4"/>
  <c r="AS51" i="4" s="1"/>
  <c r="I55" i="7" s="1"/>
  <c r="AD56" i="4"/>
  <c r="AE56" i="4" s="1"/>
  <c r="G60" i="7" s="1"/>
  <c r="AD53" i="4"/>
  <c r="AE53" i="4" s="1"/>
  <c r="G57" i="7" s="1"/>
  <c r="AR59" i="4"/>
  <c r="AS59" i="4" s="1"/>
  <c r="I63" i="7" s="1"/>
  <c r="AD60" i="4"/>
  <c r="AE60" i="4" s="1"/>
  <c r="G64" i="7" s="1"/>
  <c r="D16" i="4"/>
  <c r="D20" i="4" s="1"/>
  <c r="AR60" i="4"/>
  <c r="AS60" i="4" s="1"/>
  <c r="I64" i="7" s="1"/>
  <c r="B11" i="9"/>
  <c r="AD59" i="4"/>
  <c r="AE59" i="4" s="1"/>
  <c r="G63" i="7" s="1"/>
  <c r="AR57" i="4"/>
  <c r="AS57" i="4" s="1"/>
  <c r="I61" i="7" s="1"/>
  <c r="AR56" i="4"/>
  <c r="AS56" i="4" s="1"/>
  <c r="I60" i="7" s="1"/>
  <c r="AD49" i="4"/>
  <c r="AE49" i="4" s="1"/>
  <c r="G53" i="7" s="1"/>
  <c r="AD57" i="4"/>
  <c r="AE57" i="4" s="1"/>
  <c r="G61" i="7" s="1"/>
  <c r="AR49" i="4"/>
  <c r="AS49" i="4" s="1"/>
  <c r="I53" i="7" s="1"/>
  <c r="AR53" i="4"/>
  <c r="AS53" i="4" s="1"/>
  <c r="I57" i="7" s="1"/>
  <c r="A1" i="10"/>
  <c r="C36" i="4"/>
  <c r="L7" i="7"/>
  <c r="AR47" i="4"/>
  <c r="AS47" i="4" s="1"/>
  <c r="I51" i="7" s="1"/>
  <c r="D65" i="4"/>
  <c r="G4" i="9"/>
  <c r="G2" i="4"/>
  <c r="G9" i="4" s="1"/>
  <c r="F3" i="4"/>
  <c r="F6" i="4"/>
  <c r="E23" i="4"/>
  <c r="E63" i="4"/>
  <c r="E15" i="4"/>
  <c r="H1" i="9" s="1"/>
  <c r="E27" i="4"/>
  <c r="E73" i="4"/>
  <c r="E40" i="4"/>
  <c r="E82" i="4"/>
  <c r="Q59" i="4"/>
  <c r="E63" i="7" s="1"/>
  <c r="Q54" i="4"/>
  <c r="E58" i="7" s="1"/>
  <c r="D37" i="7"/>
  <c r="C32" i="4"/>
  <c r="AT54" i="4" l="1"/>
  <c r="L8" i="7"/>
  <c r="AT52" i="4"/>
  <c r="AT50" i="4"/>
  <c r="AT48" i="4"/>
  <c r="AT55" i="4"/>
  <c r="D21" i="4"/>
  <c r="E20" i="4"/>
  <c r="E21" i="4" s="1"/>
  <c r="F18" i="4"/>
  <c r="F20" i="4" s="1"/>
  <c r="AT51" i="4"/>
  <c r="AT57" i="4"/>
  <c r="P16" i="4"/>
  <c r="Q16" i="4" s="1"/>
  <c r="AD16" i="4"/>
  <c r="AE16" i="4" s="1"/>
  <c r="AT60" i="4"/>
  <c r="AR16" i="4"/>
  <c r="AS16" i="4" s="1"/>
  <c r="AT53" i="4"/>
  <c r="AT49" i="4"/>
  <c r="AT59" i="4"/>
  <c r="E25" i="4"/>
  <c r="E65" i="4" s="1"/>
  <c r="AT56" i="4"/>
  <c r="AT47" i="4"/>
  <c r="B17" i="9"/>
  <c r="P36" i="4"/>
  <c r="AT36" i="4" s="1"/>
  <c r="H2" i="4"/>
  <c r="H9" i="4" s="1"/>
  <c r="G3" i="4"/>
  <c r="G6" i="4"/>
  <c r="F15" i="4"/>
  <c r="I1" i="9" s="1"/>
  <c r="F40" i="4"/>
  <c r="F23" i="4"/>
  <c r="F63" i="4"/>
  <c r="F82" i="4"/>
  <c r="F73" i="4"/>
  <c r="F27" i="4"/>
  <c r="B13" i="9"/>
  <c r="P32" i="4"/>
  <c r="C38" i="4"/>
  <c r="E45" i="4" l="1"/>
  <c r="E46" i="4"/>
  <c r="E58" i="4"/>
  <c r="G2" i="9"/>
  <c r="D58" i="4"/>
  <c r="D46" i="4"/>
  <c r="D45" i="4"/>
  <c r="E42" i="4"/>
  <c r="E41" i="4"/>
  <c r="D42" i="4"/>
  <c r="D41" i="4"/>
  <c r="D64" i="4"/>
  <c r="D74" i="4" s="1"/>
  <c r="G18" i="4"/>
  <c r="H2" i="9"/>
  <c r="H4" i="9"/>
  <c r="AT16" i="4"/>
  <c r="E64" i="4"/>
  <c r="E74" i="4" s="1"/>
  <c r="H6" i="4"/>
  <c r="I2" i="4"/>
  <c r="I9" i="4" s="1"/>
  <c r="H3" i="4"/>
  <c r="F21" i="4"/>
  <c r="G23" i="4"/>
  <c r="G27" i="4"/>
  <c r="G82" i="4"/>
  <c r="G63" i="4"/>
  <c r="G73" i="4"/>
  <c r="G15" i="4"/>
  <c r="J1" i="9" s="1"/>
  <c r="G40" i="4"/>
  <c r="C67" i="4"/>
  <c r="C78" i="4"/>
  <c r="P78" i="4" s="1"/>
  <c r="AT78" i="4" s="1"/>
  <c r="C77" i="4"/>
  <c r="P38" i="4"/>
  <c r="AT38" i="4" s="1"/>
  <c r="AT32" i="4"/>
  <c r="D44" i="4" l="1"/>
  <c r="D61" i="4" s="1"/>
  <c r="G5" i="9" s="1"/>
  <c r="G3" i="9" s="1"/>
  <c r="G6" i="9" s="1"/>
  <c r="F45" i="4"/>
  <c r="F46" i="4"/>
  <c r="F58" i="4"/>
  <c r="E44" i="4"/>
  <c r="E61" i="4" s="1"/>
  <c r="H5" i="9" s="1"/>
  <c r="H3" i="9" s="1"/>
  <c r="H6" i="9" s="1"/>
  <c r="F41" i="4"/>
  <c r="F42" i="4"/>
  <c r="D66" i="4"/>
  <c r="G20" i="4"/>
  <c r="G21" i="4" s="1"/>
  <c r="H18" i="4"/>
  <c r="H20" i="4" s="1"/>
  <c r="H21" i="4" s="1"/>
  <c r="E66" i="4"/>
  <c r="H27" i="4"/>
  <c r="H63" i="4"/>
  <c r="H82" i="4"/>
  <c r="H73" i="4"/>
  <c r="H40" i="4"/>
  <c r="H15" i="4"/>
  <c r="K1" i="9" s="1"/>
  <c r="H23" i="4"/>
  <c r="G25" i="4"/>
  <c r="F25" i="4"/>
  <c r="F64" i="4"/>
  <c r="I2" i="9"/>
  <c r="I3" i="4"/>
  <c r="J2" i="4"/>
  <c r="J9" i="4" s="1"/>
  <c r="I6" i="4"/>
  <c r="C80" i="4"/>
  <c r="D79" i="4" s="1"/>
  <c r="P77" i="4"/>
  <c r="AT77" i="4" s="1"/>
  <c r="P67" i="4"/>
  <c r="AT67" i="4" s="1"/>
  <c r="C69" i="4"/>
  <c r="H46" i="4" l="1"/>
  <c r="H58" i="4"/>
  <c r="H45" i="4"/>
  <c r="F44" i="4"/>
  <c r="F61" i="4" s="1"/>
  <c r="G46" i="4"/>
  <c r="G58" i="4"/>
  <c r="G45" i="4"/>
  <c r="D75" i="4"/>
  <c r="D76" i="4" s="1"/>
  <c r="D68" i="4"/>
  <c r="D70" i="4" s="1"/>
  <c r="D100" i="4" s="1"/>
  <c r="G42" i="4"/>
  <c r="G41" i="4"/>
  <c r="H41" i="4"/>
  <c r="H42" i="4"/>
  <c r="I18" i="4"/>
  <c r="I20" i="4" s="1"/>
  <c r="E68" i="4"/>
  <c r="E70" i="4" s="1"/>
  <c r="E86" i="4" s="1"/>
  <c r="E88" i="4" s="1"/>
  <c r="E75" i="4"/>
  <c r="E76" i="4" s="1"/>
  <c r="H25" i="4"/>
  <c r="K4" i="9" s="1"/>
  <c r="J6" i="4"/>
  <c r="K2" i="4"/>
  <c r="K9" i="4" s="1"/>
  <c r="J3" i="4"/>
  <c r="F74" i="4"/>
  <c r="G64" i="4"/>
  <c r="J2" i="9"/>
  <c r="K2" i="9"/>
  <c r="H64" i="4"/>
  <c r="I27" i="4"/>
  <c r="I73" i="4"/>
  <c r="I15" i="4"/>
  <c r="L1" i="9" s="1"/>
  <c r="I40" i="4"/>
  <c r="I63" i="4"/>
  <c r="I23" i="4"/>
  <c r="I82" i="4"/>
  <c r="F65" i="4"/>
  <c r="F66" i="4" s="1"/>
  <c r="I4" i="9"/>
  <c r="J4" i="9"/>
  <c r="G65" i="4"/>
  <c r="C71" i="4"/>
  <c r="G44" i="4" l="1"/>
  <c r="G61" i="4" s="1"/>
  <c r="H44" i="4"/>
  <c r="H61" i="4" s="1"/>
  <c r="K5" i="9" s="1"/>
  <c r="K3" i="9" s="1"/>
  <c r="K6" i="9" s="1"/>
  <c r="D69" i="4"/>
  <c r="D71" i="4" s="1"/>
  <c r="D96" i="4" s="1"/>
  <c r="D101" i="4"/>
  <c r="E100" i="4"/>
  <c r="D102" i="4"/>
  <c r="J18" i="4"/>
  <c r="J20" i="4" s="1"/>
  <c r="E69" i="4"/>
  <c r="H65" i="4"/>
  <c r="H66" i="4" s="1"/>
  <c r="I21" i="4"/>
  <c r="I25" i="4"/>
  <c r="G66" i="4"/>
  <c r="G74" i="4"/>
  <c r="H74" i="4"/>
  <c r="I5" i="9"/>
  <c r="I3" i="9" s="1"/>
  <c r="I6" i="9" s="1"/>
  <c r="F68" i="4"/>
  <c r="F70" i="4" s="1"/>
  <c r="F86" i="4" s="1"/>
  <c r="F88" i="4" s="1"/>
  <c r="L2" i="4"/>
  <c r="L9" i="4" s="1"/>
  <c r="K3" i="4"/>
  <c r="K6" i="4"/>
  <c r="F75" i="4"/>
  <c r="J15" i="4"/>
  <c r="M1" i="9" s="1"/>
  <c r="J23" i="4"/>
  <c r="J73" i="4"/>
  <c r="J63" i="4"/>
  <c r="J27" i="4"/>
  <c r="J40" i="4"/>
  <c r="J82" i="4"/>
  <c r="D80" i="4"/>
  <c r="E79" i="4" s="1"/>
  <c r="E80" i="4" s="1"/>
  <c r="F79" i="4" s="1"/>
  <c r="D97" i="4"/>
  <c r="D86" i="4"/>
  <c r="I45" i="4" l="1"/>
  <c r="I46" i="4"/>
  <c r="I58" i="4"/>
  <c r="I42" i="4"/>
  <c r="I41" i="4"/>
  <c r="F100" i="4"/>
  <c r="E102" i="4"/>
  <c r="E101" i="4"/>
  <c r="K18" i="4"/>
  <c r="K20" i="4" s="1"/>
  <c r="I64" i="4"/>
  <c r="I74" i="4" s="1"/>
  <c r="L2" i="9"/>
  <c r="H68" i="4"/>
  <c r="H70" i="4" s="1"/>
  <c r="H86" i="4" s="1"/>
  <c r="H88" i="4" s="1"/>
  <c r="H75" i="4"/>
  <c r="H76" i="4" s="1"/>
  <c r="I65" i="4"/>
  <c r="L4" i="9"/>
  <c r="E71" i="4"/>
  <c r="E96" i="4" s="1"/>
  <c r="F76" i="4"/>
  <c r="L6" i="4"/>
  <c r="M2" i="4"/>
  <c r="M9" i="4" s="1"/>
  <c r="L3" i="4"/>
  <c r="K23" i="4"/>
  <c r="K82" i="4"/>
  <c r="K73" i="4"/>
  <c r="K40" i="4"/>
  <c r="K15" i="4"/>
  <c r="N1" i="9" s="1"/>
  <c r="K27" i="4"/>
  <c r="K63" i="4"/>
  <c r="J21" i="4"/>
  <c r="J5" i="9"/>
  <c r="J3" i="9" s="1"/>
  <c r="J6" i="9" s="1"/>
  <c r="G68" i="4"/>
  <c r="G69" i="4" s="1"/>
  <c r="G75" i="4"/>
  <c r="G76" i="4" s="1"/>
  <c r="F69" i="4"/>
  <c r="D88" i="4"/>
  <c r="D89" i="4" s="1"/>
  <c r="E89" i="4" s="1"/>
  <c r="F89" i="4" s="1"/>
  <c r="D87" i="4"/>
  <c r="E87" i="4" s="1"/>
  <c r="F87" i="4" s="1"/>
  <c r="E97" i="4"/>
  <c r="F97" i="4" s="1"/>
  <c r="J45" i="4" l="1"/>
  <c r="J46" i="4"/>
  <c r="J58" i="4"/>
  <c r="I44" i="4"/>
  <c r="I61" i="4" s="1"/>
  <c r="I75" i="4" s="1"/>
  <c r="I76" i="4" s="1"/>
  <c r="J42" i="4"/>
  <c r="J41" i="4"/>
  <c r="F102" i="4"/>
  <c r="F101" i="4"/>
  <c r="L18" i="4"/>
  <c r="L20" i="4" s="1"/>
  <c r="L21" i="4" s="1"/>
  <c r="F71" i="4"/>
  <c r="G71" i="4" s="1"/>
  <c r="H69" i="4"/>
  <c r="G70" i="4"/>
  <c r="G86" i="4" s="1"/>
  <c r="G88" i="4" s="1"/>
  <c r="G89" i="4" s="1"/>
  <c r="H89" i="4" s="1"/>
  <c r="M2" i="9"/>
  <c r="J64" i="4"/>
  <c r="M3" i="4"/>
  <c r="N2" i="4"/>
  <c r="N9" i="4" s="1"/>
  <c r="M6" i="4"/>
  <c r="K21" i="4"/>
  <c r="K25" i="4"/>
  <c r="L23" i="4"/>
  <c r="L63" i="4"/>
  <c r="L15" i="4"/>
  <c r="O1" i="9" s="1"/>
  <c r="L73" i="4"/>
  <c r="L27" i="4"/>
  <c r="L82" i="4"/>
  <c r="L40" i="4"/>
  <c r="I66" i="4"/>
  <c r="J25" i="4"/>
  <c r="F80" i="4"/>
  <c r="G79" i="4" s="1"/>
  <c r="G80" i="4" s="1"/>
  <c r="H79" i="4" s="1"/>
  <c r="H80" i="4" s="1"/>
  <c r="I79" i="4" s="1"/>
  <c r="J44" i="4" l="1"/>
  <c r="J61" i="4" s="1"/>
  <c r="K46" i="4"/>
  <c r="K58" i="4"/>
  <c r="K45" i="4"/>
  <c r="L46" i="4"/>
  <c r="L58" i="4"/>
  <c r="L45" i="4"/>
  <c r="K41" i="4"/>
  <c r="K42" i="4"/>
  <c r="L41" i="4"/>
  <c r="L42" i="4"/>
  <c r="M18" i="4"/>
  <c r="M20" i="4" s="1"/>
  <c r="M21" i="4" s="1"/>
  <c r="G100" i="4"/>
  <c r="L5" i="9"/>
  <c r="L3" i="9" s="1"/>
  <c r="L6" i="9" s="1"/>
  <c r="I68" i="4"/>
  <c r="I69" i="4" s="1"/>
  <c r="F96" i="4"/>
  <c r="G97" i="4"/>
  <c r="H97" i="4" s="1"/>
  <c r="L25" i="4"/>
  <c r="O4" i="9" s="1"/>
  <c r="G87" i="4"/>
  <c r="H87" i="4" s="1"/>
  <c r="J65" i="4"/>
  <c r="J66" i="4" s="1"/>
  <c r="M4" i="9"/>
  <c r="K65" i="4"/>
  <c r="N4" i="9"/>
  <c r="J74" i="4"/>
  <c r="K64" i="4"/>
  <c r="N2" i="9"/>
  <c r="O2" i="4"/>
  <c r="O9" i="4" s="1"/>
  <c r="N3" i="4"/>
  <c r="N6" i="4"/>
  <c r="I80" i="4"/>
  <c r="J79" i="4" s="1"/>
  <c r="O2" i="9"/>
  <c r="L64" i="4"/>
  <c r="M82" i="4"/>
  <c r="M15" i="4"/>
  <c r="P1" i="9" s="1"/>
  <c r="M27" i="4"/>
  <c r="M73" i="4"/>
  <c r="M23" i="4"/>
  <c r="M63" i="4"/>
  <c r="M40" i="4"/>
  <c r="G96" i="4"/>
  <c r="H71" i="4"/>
  <c r="M46" i="4" l="1"/>
  <c r="M58" i="4"/>
  <c r="M45" i="4"/>
  <c r="K44" i="4"/>
  <c r="K61" i="4" s="1"/>
  <c r="L44" i="4"/>
  <c r="L61" i="4" s="1"/>
  <c r="M42" i="4"/>
  <c r="M41" i="4"/>
  <c r="G101" i="4"/>
  <c r="G102" i="4"/>
  <c r="H100" i="4"/>
  <c r="N18" i="4"/>
  <c r="N20" i="4" s="1"/>
  <c r="I70" i="4"/>
  <c r="I97" i="4" s="1"/>
  <c r="L65" i="4"/>
  <c r="L66" i="4" s="1"/>
  <c r="M25" i="4"/>
  <c r="N15" i="4"/>
  <c r="Q1" i="9" s="1"/>
  <c r="N23" i="4"/>
  <c r="N27" i="4"/>
  <c r="N40" i="4"/>
  <c r="N73" i="4"/>
  <c r="N63" i="4"/>
  <c r="N82" i="4"/>
  <c r="P2" i="9"/>
  <c r="M64" i="4"/>
  <c r="L74" i="4"/>
  <c r="J68" i="4"/>
  <c r="J69" i="4" s="1"/>
  <c r="M5" i="9"/>
  <c r="M3" i="9" s="1"/>
  <c r="M6" i="9" s="1"/>
  <c r="R2" i="4"/>
  <c r="R9" i="4" s="1"/>
  <c r="O3" i="4"/>
  <c r="O6" i="4"/>
  <c r="K74" i="4"/>
  <c r="K66" i="4"/>
  <c r="J75" i="4"/>
  <c r="H96" i="4"/>
  <c r="I71" i="4"/>
  <c r="M44" i="4" l="1"/>
  <c r="I86" i="4"/>
  <c r="I88" i="4" s="1"/>
  <c r="I89" i="4" s="1"/>
  <c r="I100" i="4"/>
  <c r="H102" i="4"/>
  <c r="H101" i="4"/>
  <c r="O18" i="4"/>
  <c r="N21" i="4"/>
  <c r="N25" i="4"/>
  <c r="Q4" i="9" s="1"/>
  <c r="M61" i="4"/>
  <c r="M75" i="4" s="1"/>
  <c r="O27" i="4"/>
  <c r="O23" i="4"/>
  <c r="O73" i="4"/>
  <c r="O40" i="4"/>
  <c r="O82" i="4"/>
  <c r="O15" i="4"/>
  <c r="R1" i="9" s="1"/>
  <c r="O63" i="4"/>
  <c r="O5" i="9"/>
  <c r="O3" i="9" s="1"/>
  <c r="O6" i="9" s="1"/>
  <c r="L68" i="4"/>
  <c r="L69" i="4" s="1"/>
  <c r="L75" i="4"/>
  <c r="L76" i="4" s="1"/>
  <c r="J76" i="4"/>
  <c r="P3" i="4"/>
  <c r="I87" i="4"/>
  <c r="S2" i="4"/>
  <c r="S9" i="4" s="1"/>
  <c r="R6" i="4"/>
  <c r="R3" i="4"/>
  <c r="N5" i="9"/>
  <c r="N3" i="9" s="1"/>
  <c r="N6" i="9" s="1"/>
  <c r="K68" i="4"/>
  <c r="K69" i="4" s="1"/>
  <c r="K75" i="4"/>
  <c r="K76" i="4" s="1"/>
  <c r="M74" i="4"/>
  <c r="M65" i="4"/>
  <c r="M66" i="4" s="1"/>
  <c r="P4" i="9"/>
  <c r="J70" i="4"/>
  <c r="I96" i="4"/>
  <c r="J71" i="4"/>
  <c r="N45" i="4" l="1"/>
  <c r="N58" i="4"/>
  <c r="N46" i="4"/>
  <c r="N42" i="4"/>
  <c r="N41" i="4"/>
  <c r="O20" i="4"/>
  <c r="I8" i="7" s="1"/>
  <c r="H8" i="7"/>
  <c r="J100" i="4"/>
  <c r="I102" i="4"/>
  <c r="I101" i="4"/>
  <c r="R18" i="4"/>
  <c r="Q2" i="9"/>
  <c r="K70" i="4"/>
  <c r="K86" i="4" s="1"/>
  <c r="K88" i="4" s="1"/>
  <c r="N64" i="4"/>
  <c r="N74" i="4" s="1"/>
  <c r="N65" i="4"/>
  <c r="M76" i="4"/>
  <c r="L70" i="4"/>
  <c r="L86" i="4" s="1"/>
  <c r="L88" i="4" s="1"/>
  <c r="M68" i="4"/>
  <c r="M70" i="4" s="1"/>
  <c r="P5" i="9"/>
  <c r="P3" i="9" s="1"/>
  <c r="P6" i="9" s="1"/>
  <c r="P18" i="4"/>
  <c r="S6" i="4"/>
  <c r="T2" i="4"/>
  <c r="T9" i="4" s="1"/>
  <c r="S3" i="4"/>
  <c r="J80" i="4"/>
  <c r="K79" i="4" s="1"/>
  <c r="K80" i="4" s="1"/>
  <c r="L79" i="4" s="1"/>
  <c r="L80" i="4" s="1"/>
  <c r="M79" i="4" s="1"/>
  <c r="J86" i="4"/>
  <c r="J88" i="4" s="1"/>
  <c r="J89" i="4" s="1"/>
  <c r="J97" i="4"/>
  <c r="R40" i="4"/>
  <c r="R63" i="4"/>
  <c r="R73" i="4"/>
  <c r="R27" i="4"/>
  <c r="R82" i="4"/>
  <c r="R15" i="4"/>
  <c r="S1" i="9" s="1"/>
  <c r="R23" i="4"/>
  <c r="J96" i="4"/>
  <c r="K71" i="4"/>
  <c r="N44" i="4" l="1"/>
  <c r="P20" i="4"/>
  <c r="P21" i="4" s="1"/>
  <c r="O21" i="4"/>
  <c r="R20" i="4"/>
  <c r="K100" i="4"/>
  <c r="J102" i="4"/>
  <c r="J101" i="4"/>
  <c r="S18" i="4"/>
  <c r="S20" i="4" s="1"/>
  <c r="N61" i="4"/>
  <c r="K89" i="4"/>
  <c r="L89" i="4" s="1"/>
  <c r="N66" i="4"/>
  <c r="R25" i="4"/>
  <c r="M80" i="4"/>
  <c r="N79" i="4" s="1"/>
  <c r="J87" i="4"/>
  <c r="K87" i="4" s="1"/>
  <c r="L87" i="4" s="1"/>
  <c r="M86" i="4"/>
  <c r="M88" i="4" s="1"/>
  <c r="S23" i="4"/>
  <c r="S40" i="4"/>
  <c r="S27" i="4"/>
  <c r="S63" i="4"/>
  <c r="S73" i="4"/>
  <c r="S15" i="4"/>
  <c r="T1" i="9" s="1"/>
  <c r="S82" i="4"/>
  <c r="O25" i="4"/>
  <c r="P24" i="4"/>
  <c r="M69" i="4"/>
  <c r="Q18" i="4"/>
  <c r="F8" i="7" s="1"/>
  <c r="D8" i="7" s="1"/>
  <c r="K97" i="4"/>
  <c r="L97" i="4" s="1"/>
  <c r="M97" i="4" s="1"/>
  <c r="T3" i="4"/>
  <c r="T6" i="4"/>
  <c r="U2" i="4"/>
  <c r="U9" i="4" s="1"/>
  <c r="K96" i="4"/>
  <c r="L71" i="4"/>
  <c r="Q20" i="4" l="1"/>
  <c r="Q21" i="4" s="1"/>
  <c r="D57" i="7" s="1"/>
  <c r="O46" i="4"/>
  <c r="O58" i="4"/>
  <c r="P58" i="4" s="1"/>
  <c r="Q58" i="4" s="1"/>
  <c r="O45" i="4"/>
  <c r="P45" i="4" s="1"/>
  <c r="Q45" i="4" s="1"/>
  <c r="R2" i="9"/>
  <c r="P46" i="4"/>
  <c r="Q46" i="4" s="1"/>
  <c r="O41" i="4"/>
  <c r="O42" i="4"/>
  <c r="P42" i="4" s="1"/>
  <c r="Q42" i="4" s="1"/>
  <c r="O64" i="4"/>
  <c r="O74" i="4" s="1"/>
  <c r="P74" i="4" s="1"/>
  <c r="R21" i="4"/>
  <c r="K102" i="4"/>
  <c r="K101" i="4"/>
  <c r="L100" i="4"/>
  <c r="T18" i="4"/>
  <c r="T20" i="4" s="1"/>
  <c r="M89" i="4"/>
  <c r="M87" i="4"/>
  <c r="V2" i="4"/>
  <c r="V9" i="4" s="1"/>
  <c r="U6" i="4"/>
  <c r="U3" i="4"/>
  <c r="S21" i="4"/>
  <c r="T23" i="4"/>
  <c r="T40" i="4"/>
  <c r="T15" i="4"/>
  <c r="U1" i="9" s="1"/>
  <c r="T27" i="4"/>
  <c r="T63" i="4"/>
  <c r="T82" i="4"/>
  <c r="T73" i="4"/>
  <c r="S4" i="9"/>
  <c r="R65" i="4"/>
  <c r="D52" i="7"/>
  <c r="Q24" i="4"/>
  <c r="Q25" i="4" s="1"/>
  <c r="P25" i="4"/>
  <c r="N68" i="4"/>
  <c r="Q5" i="9"/>
  <c r="Q3" i="9" s="1"/>
  <c r="Q6" i="9" s="1"/>
  <c r="N75" i="4"/>
  <c r="R4" i="9"/>
  <c r="O65" i="4"/>
  <c r="P65" i="4" s="1"/>
  <c r="L96" i="4"/>
  <c r="M71" i="4"/>
  <c r="D55" i="7" l="1"/>
  <c r="D51" i="7"/>
  <c r="G8" i="7"/>
  <c r="E8" i="7" s="1"/>
  <c r="D54" i="7"/>
  <c r="D64" i="7"/>
  <c r="D53" i="7"/>
  <c r="D63" i="7"/>
  <c r="D56" i="7"/>
  <c r="D60" i="7"/>
  <c r="D61" i="7"/>
  <c r="D59" i="7"/>
  <c r="D58" i="7"/>
  <c r="P41" i="4"/>
  <c r="Q41" i="4" s="1"/>
  <c r="I41" i="7" s="1"/>
  <c r="O44" i="4"/>
  <c r="O61" i="4" s="1"/>
  <c r="R46" i="4"/>
  <c r="R45" i="4"/>
  <c r="R58" i="4"/>
  <c r="S58" i="4"/>
  <c r="S46" i="4"/>
  <c r="S45" i="4"/>
  <c r="E49" i="7"/>
  <c r="D49" i="7" s="1"/>
  <c r="E62" i="7"/>
  <c r="D62" i="7" s="1"/>
  <c r="E50" i="7"/>
  <c r="D50" i="7" s="1"/>
  <c r="P64" i="4"/>
  <c r="B2" i="9" s="1"/>
  <c r="R42" i="4"/>
  <c r="R41" i="4"/>
  <c r="S41" i="4"/>
  <c r="S42" i="4"/>
  <c r="R64" i="4"/>
  <c r="R74" i="4" s="1"/>
  <c r="S2" i="9"/>
  <c r="L102" i="4"/>
  <c r="L101" i="4"/>
  <c r="M100" i="4"/>
  <c r="U18" i="4"/>
  <c r="U20" i="4" s="1"/>
  <c r="T21" i="4"/>
  <c r="T25" i="4"/>
  <c r="S64" i="4"/>
  <c r="T2" i="9"/>
  <c r="B3" i="9"/>
  <c r="Q65" i="4"/>
  <c r="U15" i="4"/>
  <c r="V1" i="9" s="1"/>
  <c r="U63" i="4"/>
  <c r="U73" i="4"/>
  <c r="U82" i="4"/>
  <c r="U27" i="4"/>
  <c r="U40" i="4"/>
  <c r="U23" i="4"/>
  <c r="Q74" i="4"/>
  <c r="N69" i="4"/>
  <c r="N71" i="4" s="1"/>
  <c r="N70" i="4"/>
  <c r="S25" i="4"/>
  <c r="O66" i="4"/>
  <c r="N76" i="4"/>
  <c r="N80" i="4" s="1"/>
  <c r="O79" i="4" s="1"/>
  <c r="V3" i="4"/>
  <c r="W2" i="4"/>
  <c r="W9" i="4" s="1"/>
  <c r="V6" i="4"/>
  <c r="M96" i="4"/>
  <c r="R44" i="4" l="1"/>
  <c r="S44" i="4"/>
  <c r="T58" i="4"/>
  <c r="T46" i="4"/>
  <c r="T45" i="4"/>
  <c r="Q64" i="4"/>
  <c r="P44" i="4"/>
  <c r="Q44" i="4" s="1"/>
  <c r="T42" i="4"/>
  <c r="T41" i="4"/>
  <c r="R61" i="4"/>
  <c r="R68" i="4" s="1"/>
  <c r="R66" i="4"/>
  <c r="N100" i="4"/>
  <c r="M102" i="4"/>
  <c r="M101" i="4"/>
  <c r="V18" i="4"/>
  <c r="V20" i="4" s="1"/>
  <c r="V21" i="4" s="1"/>
  <c r="N86" i="4"/>
  <c r="N97" i="4"/>
  <c r="U4" i="9"/>
  <c r="T65" i="4"/>
  <c r="V15" i="4"/>
  <c r="W1" i="9" s="1"/>
  <c r="V23" i="4"/>
  <c r="V27" i="4"/>
  <c r="V82" i="4"/>
  <c r="V63" i="4"/>
  <c r="V40" i="4"/>
  <c r="V73" i="4"/>
  <c r="P66" i="4"/>
  <c r="O68" i="4"/>
  <c r="P68" i="4" s="1"/>
  <c r="R5" i="9"/>
  <c r="R3" i="9" s="1"/>
  <c r="R6" i="9" s="1"/>
  <c r="O75" i="4"/>
  <c r="W6" i="4"/>
  <c r="W3" i="4"/>
  <c r="X2" i="4"/>
  <c r="X9" i="4" s="1"/>
  <c r="T4" i="9"/>
  <c r="S65" i="4"/>
  <c r="S66" i="4" s="1"/>
  <c r="U21" i="4"/>
  <c r="S74" i="4"/>
  <c r="U2" i="9"/>
  <c r="T64" i="4"/>
  <c r="T74" i="4" s="1"/>
  <c r="N96" i="4"/>
  <c r="T44" i="4" l="1"/>
  <c r="T61" i="4" s="1"/>
  <c r="P61" i="4"/>
  <c r="U58" i="4"/>
  <c r="U46" i="4"/>
  <c r="U45" i="4"/>
  <c r="V58" i="4"/>
  <c r="V46" i="4"/>
  <c r="V45" i="4"/>
  <c r="U42" i="4"/>
  <c r="U41" i="4"/>
  <c r="V41" i="4"/>
  <c r="V42" i="4"/>
  <c r="R69" i="4"/>
  <c r="R70" i="4"/>
  <c r="R86" i="4" s="1"/>
  <c r="R88" i="4" s="1"/>
  <c r="R75" i="4"/>
  <c r="R76" i="4" s="1"/>
  <c r="S5" i="9"/>
  <c r="S3" i="9" s="1"/>
  <c r="S6" i="9" s="1"/>
  <c r="N102" i="4"/>
  <c r="N101" i="4"/>
  <c r="W18" i="4"/>
  <c r="W20" i="4" s="1"/>
  <c r="V25" i="4"/>
  <c r="W4" i="9" s="1"/>
  <c r="O69" i="4"/>
  <c r="P69" i="4" s="1"/>
  <c r="Q69" i="4" s="1"/>
  <c r="O70" i="4"/>
  <c r="O86" i="4" s="1"/>
  <c r="O88" i="4" s="1"/>
  <c r="O76" i="4"/>
  <c r="P75" i="4"/>
  <c r="E48" i="7"/>
  <c r="E65" i="7" s="1"/>
  <c r="Q61" i="4"/>
  <c r="W15" i="4"/>
  <c r="X1" i="9" s="1"/>
  <c r="W40" i="4"/>
  <c r="W63" i="4"/>
  <c r="W27" i="4"/>
  <c r="W82" i="4"/>
  <c r="W23" i="4"/>
  <c r="W73" i="4"/>
  <c r="W2" i="9"/>
  <c r="V64" i="4"/>
  <c r="U25" i="4"/>
  <c r="Q68" i="4"/>
  <c r="B4" i="9"/>
  <c r="N88" i="4"/>
  <c r="N89" i="4" s="1"/>
  <c r="N87" i="4"/>
  <c r="V2" i="9"/>
  <c r="U64" i="4"/>
  <c r="X3" i="4"/>
  <c r="Y2" i="4"/>
  <c r="Y9" i="4" s="1"/>
  <c r="X6" i="4"/>
  <c r="Q66" i="4"/>
  <c r="T66" i="4"/>
  <c r="S61" i="4"/>
  <c r="U44" i="4" l="1"/>
  <c r="V44" i="4"/>
  <c r="V61" i="4" s="1"/>
  <c r="O100" i="4"/>
  <c r="P100" i="4" s="1"/>
  <c r="X18" i="4"/>
  <c r="X20" i="4" s="1"/>
  <c r="X21" i="4" s="1"/>
  <c r="V65" i="4"/>
  <c r="O87" i="4"/>
  <c r="R87" i="4" s="1"/>
  <c r="O71" i="4"/>
  <c r="O96" i="4" s="1"/>
  <c r="O89" i="4"/>
  <c r="R89" i="4" s="1"/>
  <c r="P70" i="4"/>
  <c r="Q70" i="4" s="1"/>
  <c r="O97" i="4"/>
  <c r="R97" i="4" s="1"/>
  <c r="Q75" i="4"/>
  <c r="P76" i="4"/>
  <c r="O80" i="4"/>
  <c r="U74" i="4"/>
  <c r="V74" i="4"/>
  <c r="V66" i="4"/>
  <c r="T68" i="4"/>
  <c r="T69" i="4" s="1"/>
  <c r="U5" i="9"/>
  <c r="U3" i="9" s="1"/>
  <c r="U6" i="9" s="1"/>
  <c r="T75" i="4"/>
  <c r="T76" i="4" s="1"/>
  <c r="X15" i="4"/>
  <c r="Y1" i="9" s="1"/>
  <c r="X40" i="4"/>
  <c r="X82" i="4"/>
  <c r="X73" i="4"/>
  <c r="X27" i="4"/>
  <c r="X63" i="4"/>
  <c r="X23" i="4"/>
  <c r="S68" i="4"/>
  <c r="T5" i="9"/>
  <c r="T3" i="9" s="1"/>
  <c r="T6" i="9" s="1"/>
  <c r="S75" i="4"/>
  <c r="Z2" i="4"/>
  <c r="Z9" i="4" s="1"/>
  <c r="Y3" i="4"/>
  <c r="Y6" i="4"/>
  <c r="W21" i="4"/>
  <c r="U65" i="4"/>
  <c r="V4" i="9"/>
  <c r="I43" i="7"/>
  <c r="D48" i="7"/>
  <c r="D65" i="7" s="1"/>
  <c r="X58" i="4" l="1"/>
  <c r="X46" i="4"/>
  <c r="X45" i="4"/>
  <c r="W58" i="4"/>
  <c r="W46" i="4"/>
  <c r="W45" i="4"/>
  <c r="U61" i="4"/>
  <c r="U75" i="4" s="1"/>
  <c r="U76" i="4" s="1"/>
  <c r="X41" i="4"/>
  <c r="X42" i="4"/>
  <c r="W41" i="4"/>
  <c r="W42" i="4"/>
  <c r="O101" i="4"/>
  <c r="P101" i="4" s="1"/>
  <c r="Q101" i="4" s="1"/>
  <c r="O102" i="4"/>
  <c r="P102" i="4" s="1"/>
  <c r="Q102" i="4" s="1"/>
  <c r="D15" i="7" s="1"/>
  <c r="Y18" i="4"/>
  <c r="Y20" i="4" s="1"/>
  <c r="Y21" i="4" s="1"/>
  <c r="R71" i="4"/>
  <c r="R96" i="4" s="1"/>
  <c r="P71" i="4"/>
  <c r="T70" i="4"/>
  <c r="T86" i="4" s="1"/>
  <c r="T88" i="4" s="1"/>
  <c r="B5" i="9"/>
  <c r="X25" i="4"/>
  <c r="X65" i="4" s="1"/>
  <c r="W25" i="4"/>
  <c r="R79" i="4"/>
  <c r="P80" i="4"/>
  <c r="Q76" i="4"/>
  <c r="Y15" i="4"/>
  <c r="Z1" i="9" s="1"/>
  <c r="Y23" i="4"/>
  <c r="Y73" i="4"/>
  <c r="Y27" i="4"/>
  <c r="Y63" i="4"/>
  <c r="Y82" i="4"/>
  <c r="Y40" i="4"/>
  <c r="S76" i="4"/>
  <c r="S70" i="4"/>
  <c r="S69" i="4"/>
  <c r="W5" i="9"/>
  <c r="W3" i="9" s="1"/>
  <c r="W6" i="9" s="1"/>
  <c r="V68" i="4"/>
  <c r="V70" i="4" s="1"/>
  <c r="V86" i="4" s="1"/>
  <c r="V88" i="4" s="1"/>
  <c r="V75" i="4"/>
  <c r="V76" i="4" s="1"/>
  <c r="AA2" i="4"/>
  <c r="AA9" i="4" s="1"/>
  <c r="Z6" i="4"/>
  <c r="Z3" i="4"/>
  <c r="U66" i="4"/>
  <c r="W64" i="4"/>
  <c r="X2" i="9"/>
  <c r="Y2" i="9"/>
  <c r="X64" i="4"/>
  <c r="X74" i="4" s="1"/>
  <c r="I13" i="7"/>
  <c r="M1" i="7" s="1"/>
  <c r="D13" i="7"/>
  <c r="L1" i="7" s="1"/>
  <c r="X44" i="4" l="1"/>
  <c r="U68" i="4"/>
  <c r="U70" i="4" s="1"/>
  <c r="U86" i="4" s="1"/>
  <c r="U88" i="4" s="1"/>
  <c r="Y58" i="4"/>
  <c r="Y46" i="4"/>
  <c r="Y45" i="4"/>
  <c r="W44" i="4"/>
  <c r="V5" i="9"/>
  <c r="V3" i="9" s="1"/>
  <c r="V6" i="9" s="1"/>
  <c r="I15" i="7"/>
  <c r="Y41" i="4"/>
  <c r="Y42" i="4"/>
  <c r="Z18" i="4"/>
  <c r="Z20" i="4" s="1"/>
  <c r="Y4" i="9"/>
  <c r="X61" i="4"/>
  <c r="X75" i="4" s="1"/>
  <c r="X76" i="4" s="1"/>
  <c r="Y25" i="4"/>
  <c r="Y65" i="4" s="1"/>
  <c r="X66" i="4"/>
  <c r="V69" i="4"/>
  <c r="Y64" i="4"/>
  <c r="Y74" i="4" s="1"/>
  <c r="Z2" i="9"/>
  <c r="S86" i="4"/>
  <c r="S97" i="4"/>
  <c r="Z82" i="4"/>
  <c r="Z27" i="4"/>
  <c r="Z23" i="4"/>
  <c r="Z63" i="4"/>
  <c r="Z40" i="4"/>
  <c r="Z73" i="4"/>
  <c r="Z15" i="4"/>
  <c r="AA1" i="9" s="1"/>
  <c r="W74" i="4"/>
  <c r="AA6" i="4"/>
  <c r="AB2" i="4"/>
  <c r="AB9" i="4" s="1"/>
  <c r="AA3" i="4"/>
  <c r="S71" i="4"/>
  <c r="AD79" i="4"/>
  <c r="R80" i="4"/>
  <c r="S79" i="4" s="1"/>
  <c r="S80" i="4" s="1"/>
  <c r="T79" i="4" s="1"/>
  <c r="T80" i="4" s="1"/>
  <c r="U79" i="4" s="1"/>
  <c r="U80" i="4" s="1"/>
  <c r="V79" i="4" s="1"/>
  <c r="V80" i="4" s="1"/>
  <c r="W79" i="4" s="1"/>
  <c r="X4" i="9"/>
  <c r="W65" i="4"/>
  <c r="W66" i="4" s="1"/>
  <c r="U69" i="4" l="1"/>
  <c r="Y44" i="4"/>
  <c r="Y61" i="4" s="1"/>
  <c r="Y68" i="4" s="1"/>
  <c r="AA18" i="4"/>
  <c r="AA20" i="4" s="1"/>
  <c r="Z4" i="9"/>
  <c r="Y5" i="9"/>
  <c r="Y3" i="9" s="1"/>
  <c r="Y6" i="9" s="1"/>
  <c r="X68" i="4"/>
  <c r="X70" i="4" s="1"/>
  <c r="X86" i="4" s="1"/>
  <c r="X88" i="4" s="1"/>
  <c r="Y66" i="4"/>
  <c r="AA40" i="4"/>
  <c r="AA27" i="4"/>
  <c r="AA73" i="4"/>
  <c r="AA63" i="4"/>
  <c r="AA23" i="4"/>
  <c r="AA15" i="4"/>
  <c r="AB1" i="9" s="1"/>
  <c r="AA82" i="4"/>
  <c r="T97" i="4"/>
  <c r="U97" i="4" s="1"/>
  <c r="V97" i="4" s="1"/>
  <c r="Z21" i="4"/>
  <c r="S96" i="4"/>
  <c r="T71" i="4"/>
  <c r="S88" i="4"/>
  <c r="S89" i="4" s="1"/>
  <c r="T89" i="4" s="1"/>
  <c r="U89" i="4" s="1"/>
  <c r="V89" i="4" s="1"/>
  <c r="S87" i="4"/>
  <c r="T87" i="4" s="1"/>
  <c r="U87" i="4" s="1"/>
  <c r="V87" i="4" s="1"/>
  <c r="AB6" i="4"/>
  <c r="AC2" i="4"/>
  <c r="AC9" i="4" s="1"/>
  <c r="AB3" i="4"/>
  <c r="AB18" i="4" s="1"/>
  <c r="AB20" i="4" s="1"/>
  <c r="W61" i="4"/>
  <c r="Z45" i="4" l="1"/>
  <c r="Z58" i="4"/>
  <c r="Z46" i="4"/>
  <c r="Z42" i="4"/>
  <c r="Z41" i="4"/>
  <c r="X69" i="4"/>
  <c r="Y75" i="4"/>
  <c r="Y76" i="4" s="1"/>
  <c r="Z5" i="9"/>
  <c r="Z3" i="9" s="1"/>
  <c r="Z6" i="9" s="1"/>
  <c r="Y69" i="4"/>
  <c r="Y70" i="4"/>
  <c r="Y86" i="4" s="1"/>
  <c r="Y88" i="4" s="1"/>
  <c r="AA21" i="4"/>
  <c r="AA25" i="4"/>
  <c r="AA65" i="4" s="1"/>
  <c r="AB21" i="4"/>
  <c r="AB15" i="4"/>
  <c r="AC1" i="9" s="1"/>
  <c r="AB27" i="4"/>
  <c r="AB82" i="4"/>
  <c r="AB40" i="4"/>
  <c r="AB73" i="4"/>
  <c r="AB23" i="4"/>
  <c r="AB63" i="4"/>
  <c r="AF2" i="4"/>
  <c r="AF9" i="4" s="1"/>
  <c r="AC6" i="4"/>
  <c r="AC3" i="4"/>
  <c r="Z25" i="4"/>
  <c r="X5" i="9"/>
  <c r="X3" i="9" s="1"/>
  <c r="X6" i="9" s="1"/>
  <c r="W68" i="4"/>
  <c r="W75" i="4"/>
  <c r="T96" i="4"/>
  <c r="U71" i="4"/>
  <c r="AA2" i="9"/>
  <c r="Z64" i="4"/>
  <c r="AA58" i="4" l="1"/>
  <c r="AA46" i="4"/>
  <c r="AA45" i="4"/>
  <c r="AB58" i="4"/>
  <c r="AB46" i="4"/>
  <c r="AB45" i="4"/>
  <c r="Z44" i="4"/>
  <c r="Z61" i="4" s="1"/>
  <c r="AB41" i="4"/>
  <c r="AB42" i="4"/>
  <c r="AA64" i="4"/>
  <c r="AA74" i="4" s="1"/>
  <c r="AA42" i="4"/>
  <c r="AA41" i="4"/>
  <c r="AC18" i="4"/>
  <c r="AB25" i="4"/>
  <c r="AC4" i="9" s="1"/>
  <c r="AB2" i="9"/>
  <c r="AB4" i="9"/>
  <c r="AB64" i="4"/>
  <c r="AB74" i="4" s="1"/>
  <c r="AC2" i="9"/>
  <c r="Z74" i="4"/>
  <c r="AC15" i="4"/>
  <c r="AD1" i="9" s="1"/>
  <c r="AC73" i="4"/>
  <c r="AC82" i="4"/>
  <c r="AC23" i="4"/>
  <c r="AC63" i="4"/>
  <c r="AC27" i="4"/>
  <c r="AC40" i="4"/>
  <c r="W76" i="4"/>
  <c r="Z65" i="4"/>
  <c r="Z66" i="4" s="1"/>
  <c r="AA4" i="9"/>
  <c r="AF3" i="4"/>
  <c r="AG2" i="4"/>
  <c r="AG9" i="4" s="1"/>
  <c r="AF6" i="4"/>
  <c r="U96" i="4"/>
  <c r="V71" i="4"/>
  <c r="V96" i="4" s="1"/>
  <c r="W70" i="4"/>
  <c r="W69" i="4"/>
  <c r="AB44" i="4" l="1"/>
  <c r="AB61" i="4" s="1"/>
  <c r="AA44" i="4"/>
  <c r="AA61" i="4" s="1"/>
  <c r="AA75" i="4" s="1"/>
  <c r="AA76" i="4" s="1"/>
  <c r="AA66" i="4"/>
  <c r="AC20" i="4"/>
  <c r="I9" i="7" s="1"/>
  <c r="H9" i="7"/>
  <c r="AF18" i="4"/>
  <c r="AB65" i="4"/>
  <c r="AB66" i="4" s="1"/>
  <c r="Z68" i="4"/>
  <c r="Z70" i="4" s="1"/>
  <c r="AA5" i="9"/>
  <c r="AA3" i="9" s="1"/>
  <c r="AA6" i="9" s="1"/>
  <c r="Z75" i="4"/>
  <c r="Z76" i="4" s="1"/>
  <c r="W80" i="4"/>
  <c r="X79" i="4" s="1"/>
  <c r="X80" i="4" s="1"/>
  <c r="Y79" i="4" s="1"/>
  <c r="Y80" i="4" s="1"/>
  <c r="Z79" i="4" s="1"/>
  <c r="AD18" i="4"/>
  <c r="W86" i="4"/>
  <c r="W97" i="4"/>
  <c r="X97" i="4" s="1"/>
  <c r="Y97" i="4" s="1"/>
  <c r="AF15" i="4"/>
  <c r="AE1" i="9" s="1"/>
  <c r="AF27" i="4"/>
  <c r="AF73" i="4"/>
  <c r="AF40" i="4"/>
  <c r="AF63" i="4"/>
  <c r="AF23" i="4"/>
  <c r="AF82" i="4"/>
  <c r="W71" i="4"/>
  <c r="AG3" i="4"/>
  <c r="AG6" i="4"/>
  <c r="AH2" i="4"/>
  <c r="AH9" i="4" s="1"/>
  <c r="AC21" i="4" l="1"/>
  <c r="AD20" i="4"/>
  <c r="AE20" i="4" s="1"/>
  <c r="AE21" i="4" s="1"/>
  <c r="AF20" i="4"/>
  <c r="AF21" i="4" s="1"/>
  <c r="AG18" i="4"/>
  <c r="AG20" i="4" s="1"/>
  <c r="AB5" i="9"/>
  <c r="AB3" i="9" s="1"/>
  <c r="AB6" i="9" s="1"/>
  <c r="AA68" i="4"/>
  <c r="AA69" i="4" s="1"/>
  <c r="Z80" i="4"/>
  <c r="AA79" i="4" s="1"/>
  <c r="AA80" i="4" s="1"/>
  <c r="AB79" i="4" s="1"/>
  <c r="Z86" i="4"/>
  <c r="Z88" i="4" s="1"/>
  <c r="AG27" i="4"/>
  <c r="AG73" i="4"/>
  <c r="AG23" i="4"/>
  <c r="AG40" i="4"/>
  <c r="AG15" i="4"/>
  <c r="AF1" i="9" s="1"/>
  <c r="AG82" i="4"/>
  <c r="AG63" i="4"/>
  <c r="AH6" i="4"/>
  <c r="AH3" i="4"/>
  <c r="AI2" i="4"/>
  <c r="AI9" i="4" s="1"/>
  <c r="Z97" i="4"/>
  <c r="AC5" i="9"/>
  <c r="AC3" i="9" s="1"/>
  <c r="AC6" i="9" s="1"/>
  <c r="AB68" i="4"/>
  <c r="AB70" i="4" s="1"/>
  <c r="AB86" i="4" s="1"/>
  <c r="AB88" i="4" s="1"/>
  <c r="AB75" i="4"/>
  <c r="AB76" i="4" s="1"/>
  <c r="W88" i="4"/>
  <c r="W89" i="4" s="1"/>
  <c r="X89" i="4" s="1"/>
  <c r="Y89" i="4" s="1"/>
  <c r="W87" i="4"/>
  <c r="X87" i="4" s="1"/>
  <c r="Y87" i="4" s="1"/>
  <c r="AE18" i="4"/>
  <c r="F9" i="7" s="1"/>
  <c r="D9" i="7" s="1"/>
  <c r="Z69" i="4"/>
  <c r="W96" i="4"/>
  <c r="X71" i="4"/>
  <c r="AC25" i="4"/>
  <c r="AD24" i="4"/>
  <c r="AF58" i="4" l="1"/>
  <c r="AF46" i="4"/>
  <c r="AF45" i="4"/>
  <c r="AC41" i="4"/>
  <c r="AC58" i="4"/>
  <c r="AD58" i="4" s="1"/>
  <c r="AE58" i="4" s="1"/>
  <c r="G62" i="7" s="1"/>
  <c r="F62" i="7" s="1"/>
  <c r="AC46" i="4"/>
  <c r="AD46" i="4" s="1"/>
  <c r="AE46" i="4" s="1"/>
  <c r="G50" i="7" s="1"/>
  <c r="F50" i="7" s="1"/>
  <c r="AC45" i="4"/>
  <c r="AD45" i="4" s="1"/>
  <c r="AE45" i="4" s="1"/>
  <c r="AD2" i="9"/>
  <c r="AC42" i="4"/>
  <c r="AD42" i="4" s="1"/>
  <c r="AE42" i="4" s="1"/>
  <c r="AC64" i="4"/>
  <c r="AC74" i="4" s="1"/>
  <c r="AD74" i="4" s="1"/>
  <c r="AD21" i="4"/>
  <c r="G9" i="7"/>
  <c r="E9" i="7" s="1"/>
  <c r="F56" i="7"/>
  <c r="F54" i="7"/>
  <c r="F61" i="7"/>
  <c r="F64" i="7"/>
  <c r="F63" i="7"/>
  <c r="F53" i="7"/>
  <c r="F59" i="7"/>
  <c r="F58" i="7"/>
  <c r="F52" i="7"/>
  <c r="F55" i="7"/>
  <c r="F60" i="7"/>
  <c r="F51" i="7"/>
  <c r="F57" i="7"/>
  <c r="AF41" i="4"/>
  <c r="AF42" i="4"/>
  <c r="AH18" i="4"/>
  <c r="AH20" i="4" s="1"/>
  <c r="AH21" i="4" s="1"/>
  <c r="AA70" i="4"/>
  <c r="AA86" i="4" s="1"/>
  <c r="AA88" i="4" s="1"/>
  <c r="Z87" i="4"/>
  <c r="AB69" i="4"/>
  <c r="Z89" i="4"/>
  <c r="AG25" i="4"/>
  <c r="AG21" i="4"/>
  <c r="AD25" i="4"/>
  <c r="AE24" i="4"/>
  <c r="AE25" i="4" s="1"/>
  <c r="X96" i="4"/>
  <c r="Y71" i="4"/>
  <c r="AJ2" i="4"/>
  <c r="AJ9" i="4" s="1"/>
  <c r="AI3" i="4"/>
  <c r="AI6" i="4"/>
  <c r="AB80" i="4"/>
  <c r="AC79" i="4" s="1"/>
  <c r="AH15" i="4"/>
  <c r="AG1" i="9" s="1"/>
  <c r="AH23" i="4"/>
  <c r="AH40" i="4"/>
  <c r="AH63" i="4"/>
  <c r="AH27" i="4"/>
  <c r="AH73" i="4"/>
  <c r="AH82" i="4"/>
  <c r="AF64" i="4"/>
  <c r="AE2" i="9"/>
  <c r="AC65" i="4"/>
  <c r="AD65" i="4" s="1"/>
  <c r="AD4" i="9"/>
  <c r="AF25" i="4"/>
  <c r="AC44" i="4" l="1"/>
  <c r="AC61" i="4" s="1"/>
  <c r="AD64" i="4"/>
  <c r="C2" i="9" s="1"/>
  <c r="AH58" i="4"/>
  <c r="AH46" i="4"/>
  <c r="AH45" i="4"/>
  <c r="AG58" i="4"/>
  <c r="AG46" i="4"/>
  <c r="AG45" i="4"/>
  <c r="AF44" i="4"/>
  <c r="AD41" i="4"/>
  <c r="AE41" i="4" s="1"/>
  <c r="G49" i="7"/>
  <c r="F49" i="7" s="1"/>
  <c r="AH42" i="4"/>
  <c r="AH41" i="4"/>
  <c r="AG41" i="4"/>
  <c r="AG42" i="4"/>
  <c r="AI18" i="4"/>
  <c r="AI20" i="4" s="1"/>
  <c r="AA87" i="4"/>
  <c r="AB87" i="4" s="1"/>
  <c r="AA89" i="4"/>
  <c r="AB89" i="4" s="1"/>
  <c r="AA97" i="4"/>
  <c r="AB97" i="4" s="1"/>
  <c r="AH25" i="4"/>
  <c r="AG4" i="9" s="1"/>
  <c r="AF65" i="4"/>
  <c r="AF66" i="4" s="1"/>
  <c r="AE4" i="9"/>
  <c r="AE74" i="4"/>
  <c r="AE65" i="4"/>
  <c r="C3" i="9"/>
  <c r="AK2" i="4"/>
  <c r="AK9" i="4" s="1"/>
  <c r="AJ3" i="4"/>
  <c r="AJ6" i="4"/>
  <c r="Y96" i="4"/>
  <c r="Z71" i="4"/>
  <c r="AH64" i="4"/>
  <c r="AH74" i="4" s="1"/>
  <c r="AG2" i="9"/>
  <c r="AC66" i="4"/>
  <c r="AG64" i="4"/>
  <c r="AF2" i="9"/>
  <c r="AF74" i="4"/>
  <c r="AI15" i="4"/>
  <c r="AH1" i="9" s="1"/>
  <c r="AI40" i="4"/>
  <c r="AI27" i="4"/>
  <c r="AI63" i="4"/>
  <c r="AI73" i="4"/>
  <c r="AI82" i="4"/>
  <c r="AI23" i="4"/>
  <c r="AG65" i="4"/>
  <c r="AF4" i="9"/>
  <c r="AD44" i="4" l="1"/>
  <c r="AE64" i="4"/>
  <c r="AG44" i="4"/>
  <c r="AG61" i="4" s="1"/>
  <c r="AH44" i="4"/>
  <c r="AH61" i="4" s="1"/>
  <c r="AJ18" i="4"/>
  <c r="AJ20" i="4" s="1"/>
  <c r="AH65" i="4"/>
  <c r="AH66" i="4" s="1"/>
  <c r="AJ25" i="4"/>
  <c r="AC68" i="4"/>
  <c r="AD68" i="4" s="1"/>
  <c r="AD5" i="9"/>
  <c r="AD3" i="9" s="1"/>
  <c r="AD6" i="9" s="1"/>
  <c r="AC75" i="4"/>
  <c r="AD66" i="4"/>
  <c r="AK6" i="4"/>
  <c r="AL2" i="4"/>
  <c r="AL9" i="4" s="1"/>
  <c r="AK3" i="4"/>
  <c r="AF61" i="4"/>
  <c r="AJ15" i="4"/>
  <c r="AI1" i="9" s="1"/>
  <c r="AJ40" i="4"/>
  <c r="AJ82" i="4"/>
  <c r="AJ63" i="4"/>
  <c r="AJ23" i="4"/>
  <c r="AJ27" i="4"/>
  <c r="AJ73" i="4"/>
  <c r="AA71" i="4"/>
  <c r="Z96" i="4"/>
  <c r="AE44" i="4"/>
  <c r="AD61" i="4"/>
  <c r="AG74" i="4"/>
  <c r="AG66" i="4"/>
  <c r="AI21" i="4"/>
  <c r="AI58" i="4" l="1"/>
  <c r="AI46" i="4"/>
  <c r="AI45" i="4"/>
  <c r="AE61" i="4"/>
  <c r="G48" i="7"/>
  <c r="AI41" i="4"/>
  <c r="AI42" i="4"/>
  <c r="AK18" i="4"/>
  <c r="AK20" i="4" s="1"/>
  <c r="AJ21" i="4"/>
  <c r="AC69" i="4"/>
  <c r="AD69" i="4" s="1"/>
  <c r="AE69" i="4" s="1"/>
  <c r="AC70" i="4"/>
  <c r="AC97" i="4" s="1"/>
  <c r="AF5" i="9"/>
  <c r="AF3" i="9" s="1"/>
  <c r="AF6" i="9" s="1"/>
  <c r="AG68" i="4"/>
  <c r="AG70" i="4" s="1"/>
  <c r="AG86" i="4" s="1"/>
  <c r="AG88" i="4" s="1"/>
  <c r="AG75" i="4"/>
  <c r="AG76" i="4" s="1"/>
  <c r="AE66" i="4"/>
  <c r="AC76" i="4"/>
  <c r="AD75" i="4"/>
  <c r="AG5" i="9"/>
  <c r="AG3" i="9" s="1"/>
  <c r="AG6" i="9" s="1"/>
  <c r="AH68" i="4"/>
  <c r="AH75" i="4"/>
  <c r="AH76" i="4" s="1"/>
  <c r="AK63" i="4"/>
  <c r="AK27" i="4"/>
  <c r="AK40" i="4"/>
  <c r="AK23" i="4"/>
  <c r="AK73" i="4"/>
  <c r="AK82" i="4"/>
  <c r="AK15" i="4"/>
  <c r="AJ1" i="9" s="1"/>
  <c r="AH2" i="9"/>
  <c r="AI64" i="4"/>
  <c r="AA96" i="4"/>
  <c r="AB71" i="4"/>
  <c r="AJ65" i="4"/>
  <c r="AI4" i="9"/>
  <c r="AI25" i="4"/>
  <c r="AE5" i="9"/>
  <c r="AE3" i="9" s="1"/>
  <c r="AE6" i="9" s="1"/>
  <c r="AF68" i="4"/>
  <c r="AF75" i="4"/>
  <c r="AL6" i="4"/>
  <c r="AL3" i="4"/>
  <c r="AM2" i="4"/>
  <c r="AM9" i="4" s="1"/>
  <c r="AE68" i="4"/>
  <c r="C4" i="9"/>
  <c r="AI44" i="4" l="1"/>
  <c r="AJ58" i="4"/>
  <c r="AJ46" i="4"/>
  <c r="AJ45" i="4"/>
  <c r="G65" i="7"/>
  <c r="F48" i="7"/>
  <c r="F65" i="7" s="1"/>
  <c r="AJ41" i="4"/>
  <c r="AJ42" i="4"/>
  <c r="AL18" i="4"/>
  <c r="AL20" i="4" s="1"/>
  <c r="AD70" i="4"/>
  <c r="AE70" i="4" s="1"/>
  <c r="AI2" i="9"/>
  <c r="AJ64" i="4"/>
  <c r="AJ66" i="4" s="1"/>
  <c r="AC86" i="4"/>
  <c r="AC87" i="4" s="1"/>
  <c r="AG69" i="4"/>
  <c r="AI74" i="4"/>
  <c r="AC71" i="4"/>
  <c r="AB96" i="4"/>
  <c r="AK21" i="4"/>
  <c r="AH69" i="4"/>
  <c r="AH70" i="4"/>
  <c r="AH86" i="4" s="1"/>
  <c r="AH88" i="4" s="1"/>
  <c r="AE75" i="4"/>
  <c r="AL63" i="4"/>
  <c r="AL73" i="4"/>
  <c r="AL27" i="4"/>
  <c r="AL15" i="4"/>
  <c r="AK1" i="9" s="1"/>
  <c r="AL40" i="4"/>
  <c r="AL23" i="4"/>
  <c r="AL82" i="4"/>
  <c r="AN2" i="4"/>
  <c r="AN9" i="4" s="1"/>
  <c r="AM6" i="4"/>
  <c r="AM3" i="4"/>
  <c r="AF76" i="4"/>
  <c r="AI65" i="4"/>
  <c r="AI66" i="4" s="1"/>
  <c r="AH4" i="9"/>
  <c r="AF70" i="4"/>
  <c r="AF97" i="4" s="1"/>
  <c r="AG97" i="4" s="1"/>
  <c r="AF69" i="4"/>
  <c r="AD76" i="4"/>
  <c r="AC80" i="4"/>
  <c r="AJ44" i="4" l="1"/>
  <c r="AK58" i="4"/>
  <c r="AK46" i="4"/>
  <c r="AK45" i="4"/>
  <c r="AK42" i="4"/>
  <c r="AK41" i="4"/>
  <c r="AM18" i="4"/>
  <c r="AM20" i="4" s="1"/>
  <c r="AJ74" i="4"/>
  <c r="C5" i="9"/>
  <c r="AJ61" i="4"/>
  <c r="AJ68" i="4" s="1"/>
  <c r="AJ70" i="4" s="1"/>
  <c r="AJ86" i="4" s="1"/>
  <c r="AJ88" i="4" s="1"/>
  <c r="AC88" i="4"/>
  <c r="AC89" i="4" s="1"/>
  <c r="AH97" i="4"/>
  <c r="AD80" i="4"/>
  <c r="AF79" i="4"/>
  <c r="AR79" i="4" s="1"/>
  <c r="AF71" i="4"/>
  <c r="AD71" i="4"/>
  <c r="AC96" i="4"/>
  <c r="AE76" i="4"/>
  <c r="AF86" i="4"/>
  <c r="AF88" i="4" s="1"/>
  <c r="AN3" i="4"/>
  <c r="AO2" i="4"/>
  <c r="AO9" i="4" s="1"/>
  <c r="AN6" i="4"/>
  <c r="AJ2" i="9"/>
  <c r="AK64" i="4"/>
  <c r="AI61" i="4"/>
  <c r="AL21" i="4"/>
  <c r="AL25" i="4"/>
  <c r="AM15" i="4"/>
  <c r="AL1" i="9" s="1"/>
  <c r="AM27" i="4"/>
  <c r="AM73" i="4"/>
  <c r="AM40" i="4"/>
  <c r="AM63" i="4"/>
  <c r="AM82" i="4"/>
  <c r="AM23" i="4"/>
  <c r="AK25" i="4"/>
  <c r="D17" i="7"/>
  <c r="L2" i="7" s="1"/>
  <c r="I17" i="7"/>
  <c r="M2" i="7" s="1"/>
  <c r="AK44" i="4" l="1"/>
  <c r="AL58" i="4"/>
  <c r="AL46" i="4"/>
  <c r="AL45" i="4"/>
  <c r="AL42" i="4"/>
  <c r="AL41" i="4"/>
  <c r="AN18" i="4"/>
  <c r="AN20" i="4" s="1"/>
  <c r="AF87" i="4"/>
  <c r="AG87" i="4" s="1"/>
  <c r="AH87" i="4" s="1"/>
  <c r="AJ69" i="4"/>
  <c r="AI5" i="9"/>
  <c r="AI3" i="9" s="1"/>
  <c r="AI6" i="9" s="1"/>
  <c r="AJ75" i="4"/>
  <c r="AJ76" i="4" s="1"/>
  <c r="AF89" i="4"/>
  <c r="AG89" i="4" s="1"/>
  <c r="AH89" i="4" s="1"/>
  <c r="AM25" i="4"/>
  <c r="AL4" i="9" s="1"/>
  <c r="AM21" i="4"/>
  <c r="AF80" i="4"/>
  <c r="AG79" i="4" s="1"/>
  <c r="AG80" i="4" s="1"/>
  <c r="AH79" i="4" s="1"/>
  <c r="AH80" i="4" s="1"/>
  <c r="AI79" i="4" s="1"/>
  <c r="AK65" i="4"/>
  <c r="AJ4" i="9"/>
  <c r="AL64" i="4"/>
  <c r="AL74" i="4" s="1"/>
  <c r="AK2" i="9"/>
  <c r="AH5" i="9"/>
  <c r="AH3" i="9" s="1"/>
  <c r="AH6" i="9" s="1"/>
  <c r="AI68" i="4"/>
  <c r="AI75" i="4"/>
  <c r="AK74" i="4"/>
  <c r="AN15" i="4"/>
  <c r="AM1" i="9" s="1"/>
  <c r="AN73" i="4"/>
  <c r="AN40" i="4"/>
  <c r="AN23" i="4"/>
  <c r="AN82" i="4"/>
  <c r="AN27" i="4"/>
  <c r="AN63" i="4"/>
  <c r="AL65" i="4"/>
  <c r="AK4" i="9"/>
  <c r="AO3" i="4"/>
  <c r="AO6" i="4"/>
  <c r="AP2" i="4"/>
  <c r="AP9" i="4" s="1"/>
  <c r="AF96" i="4"/>
  <c r="AG71" i="4"/>
  <c r="AM58" i="4" l="1"/>
  <c r="AM46" i="4"/>
  <c r="AM45" i="4"/>
  <c r="AL44" i="4"/>
  <c r="AM64" i="4"/>
  <c r="AM74" i="4" s="1"/>
  <c r="AM42" i="4"/>
  <c r="AM41" i="4"/>
  <c r="AO18" i="4"/>
  <c r="AO20" i="4" s="1"/>
  <c r="AO21" i="4" s="1"/>
  <c r="AM65" i="4"/>
  <c r="AL2" i="9"/>
  <c r="AL66" i="4"/>
  <c r="AO15" i="4"/>
  <c r="AN1" i="9" s="1"/>
  <c r="AO82" i="4"/>
  <c r="AO40" i="4"/>
  <c r="AO63" i="4"/>
  <c r="AO23" i="4"/>
  <c r="AO27" i="4"/>
  <c r="AO73" i="4"/>
  <c r="AK61" i="4"/>
  <c r="AN21" i="4"/>
  <c r="AH71" i="4"/>
  <c r="AH96" i="4" s="1"/>
  <c r="AG96" i="4"/>
  <c r="AI76" i="4"/>
  <c r="AL61" i="4"/>
  <c r="AP6" i="4"/>
  <c r="AP3" i="4"/>
  <c r="AQ2" i="4"/>
  <c r="AQ9" i="4" s="1"/>
  <c r="AK66" i="4"/>
  <c r="AI70" i="4"/>
  <c r="AI69" i="4"/>
  <c r="AM66" i="4" l="1"/>
  <c r="AM44" i="4"/>
  <c r="AN58" i="4"/>
  <c r="AN46" i="4"/>
  <c r="AN45" i="4"/>
  <c r="AO58" i="4"/>
  <c r="AO46" i="4"/>
  <c r="AO45" i="4"/>
  <c r="AO41" i="4"/>
  <c r="AO42" i="4"/>
  <c r="AN42" i="4"/>
  <c r="AN41" i="4"/>
  <c r="AP18" i="4"/>
  <c r="AP20" i="4" s="1"/>
  <c r="AO25" i="4"/>
  <c r="AO65" i="4" s="1"/>
  <c r="AM61" i="4"/>
  <c r="AL5" i="9" s="1"/>
  <c r="AL3" i="9" s="1"/>
  <c r="AL6" i="9" s="1"/>
  <c r="AP25" i="4"/>
  <c r="AQ3" i="4"/>
  <c r="AQ6" i="4"/>
  <c r="AJ5" i="9"/>
  <c r="AJ3" i="9" s="1"/>
  <c r="AJ6" i="9" s="1"/>
  <c r="AK68" i="4"/>
  <c r="AK70" i="4" s="1"/>
  <c r="AK86" i="4" s="1"/>
  <c r="AK88" i="4" s="1"/>
  <c r="AK75" i="4"/>
  <c r="AI86" i="4"/>
  <c r="AI97" i="4"/>
  <c r="AJ97" i="4" s="1"/>
  <c r="AM2" i="9"/>
  <c r="AN64" i="4"/>
  <c r="AI71" i="4"/>
  <c r="AL68" i="4"/>
  <c r="AK5" i="9"/>
  <c r="AK3" i="9" s="1"/>
  <c r="AK6" i="9" s="1"/>
  <c r="AL75" i="4"/>
  <c r="AL76" i="4" s="1"/>
  <c r="AN4" i="9"/>
  <c r="AP15" i="4"/>
  <c r="AO1" i="9" s="1"/>
  <c r="AP82" i="4"/>
  <c r="AP23" i="4"/>
  <c r="AP27" i="4"/>
  <c r="AP63" i="4"/>
  <c r="AP40" i="4"/>
  <c r="AP73" i="4"/>
  <c r="AI80" i="4"/>
  <c r="AJ79" i="4" s="1"/>
  <c r="AJ80" i="4" s="1"/>
  <c r="AK79" i="4" s="1"/>
  <c r="AN25" i="4"/>
  <c r="AO64" i="4"/>
  <c r="AN2" i="9"/>
  <c r="AN44" i="4" l="1"/>
  <c r="AN61" i="4" s="1"/>
  <c r="AO44" i="4"/>
  <c r="AO61" i="4" s="1"/>
  <c r="AO75" i="4" s="1"/>
  <c r="AQ18" i="4"/>
  <c r="AP21" i="4"/>
  <c r="AM75" i="4"/>
  <c r="AM76" i="4" s="1"/>
  <c r="AM68" i="4"/>
  <c r="AM70" i="4" s="1"/>
  <c r="AM86" i="4" s="1"/>
  <c r="AM88" i="4" s="1"/>
  <c r="AK69" i="4"/>
  <c r="AI96" i="4"/>
  <c r="AJ71" i="4"/>
  <c r="AM4" i="9"/>
  <c r="AN65" i="4"/>
  <c r="AN66" i="4" s="1"/>
  <c r="AI88" i="4"/>
  <c r="AI89" i="4" s="1"/>
  <c r="AJ89" i="4" s="1"/>
  <c r="AK89" i="4" s="1"/>
  <c r="AI87" i="4"/>
  <c r="AJ87" i="4" s="1"/>
  <c r="AK87" i="4" s="1"/>
  <c r="AQ15" i="4"/>
  <c r="AP1" i="9" s="1"/>
  <c r="AQ23" i="4"/>
  <c r="AQ73" i="4"/>
  <c r="AQ82" i="4"/>
  <c r="AQ27" i="4"/>
  <c r="AQ40" i="4"/>
  <c r="AQ63" i="4"/>
  <c r="AK97" i="4"/>
  <c r="AK76" i="4"/>
  <c r="AK80" i="4" s="1"/>
  <c r="AL79" i="4" s="1"/>
  <c r="AL80" i="4" s="1"/>
  <c r="AM79" i="4" s="1"/>
  <c r="AN74" i="4"/>
  <c r="AO74" i="4"/>
  <c r="AO66" i="4"/>
  <c r="AP65" i="4"/>
  <c r="AO4" i="9"/>
  <c r="AL69" i="4"/>
  <c r="AL70" i="4"/>
  <c r="AL86" i="4" s="1"/>
  <c r="AL88" i="4" s="1"/>
  <c r="AP58" i="4" l="1"/>
  <c r="AP46" i="4"/>
  <c r="AP45" i="4"/>
  <c r="AP42" i="4"/>
  <c r="AP41" i="4"/>
  <c r="AQ20" i="4"/>
  <c r="I10" i="7" s="1"/>
  <c r="H10" i="7"/>
  <c r="AM80" i="4"/>
  <c r="AN79" i="4" s="1"/>
  <c r="AO2" i="9"/>
  <c r="AP64" i="4"/>
  <c r="AP74" i="4" s="1"/>
  <c r="AM69" i="4"/>
  <c r="AO76" i="4"/>
  <c r="AN5" i="9"/>
  <c r="AN3" i="9" s="1"/>
  <c r="AN6" i="9" s="1"/>
  <c r="AO68" i="4"/>
  <c r="AO70" i="4" s="1"/>
  <c r="AO86" i="4" s="1"/>
  <c r="AO88" i="4" s="1"/>
  <c r="AL87" i="4"/>
  <c r="AM87" i="4" s="1"/>
  <c r="AL89" i="4"/>
  <c r="AM89" i="4" s="1"/>
  <c r="AR18" i="4"/>
  <c r="AN68" i="4"/>
  <c r="AN69" i="4" s="1"/>
  <c r="AM5" i="9"/>
  <c r="AM3" i="9" s="1"/>
  <c r="AM6" i="9" s="1"/>
  <c r="AL97" i="4"/>
  <c r="AM97" i="4" s="1"/>
  <c r="AN75" i="4"/>
  <c r="AK71" i="4"/>
  <c r="AK96" i="4" s="1"/>
  <c r="AJ96" i="4"/>
  <c r="AP44" i="4" l="1"/>
  <c r="AR20" i="4"/>
  <c r="AR21" i="4" s="1"/>
  <c r="AP66" i="4"/>
  <c r="AQ21" i="4"/>
  <c r="AP61" i="4"/>
  <c r="AO5" i="9" s="1"/>
  <c r="AO3" i="9" s="1"/>
  <c r="AO6" i="9" s="1"/>
  <c r="AO69" i="4"/>
  <c r="AL71" i="4"/>
  <c r="AN76" i="4"/>
  <c r="AQ25" i="4"/>
  <c r="AR24" i="4"/>
  <c r="AS18" i="4"/>
  <c r="F10" i="7" s="1"/>
  <c r="D10" i="7" s="1"/>
  <c r="AT18" i="4"/>
  <c r="AN70" i="4"/>
  <c r="AQ58" i="4" l="1"/>
  <c r="AQ46" i="4"/>
  <c r="AR46" i="4" s="1"/>
  <c r="AS46" i="4" s="1"/>
  <c r="I50" i="7" s="1"/>
  <c r="AQ45" i="4"/>
  <c r="AR45" i="4" s="1"/>
  <c r="AS20" i="4"/>
  <c r="AS21" i="4" s="1"/>
  <c r="AQ64" i="4"/>
  <c r="AQ74" i="4" s="1"/>
  <c r="AR74" i="4" s="1"/>
  <c r="AT20" i="4"/>
  <c r="AT21" i="4" s="1"/>
  <c r="AQ41" i="4"/>
  <c r="AQ42" i="4"/>
  <c r="AR42" i="4" s="1"/>
  <c r="AR58" i="4"/>
  <c r="AS58" i="4" s="1"/>
  <c r="I62" i="7" s="1"/>
  <c r="AP2" i="9"/>
  <c r="AP68" i="4"/>
  <c r="AP69" i="4" s="1"/>
  <c r="AP75" i="4"/>
  <c r="AP76" i="4" s="1"/>
  <c r="AL96" i="4"/>
  <c r="AM71" i="4"/>
  <c r="AQ65" i="4"/>
  <c r="AP4" i="9"/>
  <c r="AS24" i="4"/>
  <c r="AS25" i="4" s="1"/>
  <c r="AR25" i="4"/>
  <c r="AT24" i="4"/>
  <c r="AT25" i="4" s="1"/>
  <c r="AN86" i="4"/>
  <c r="AN80" i="4"/>
  <c r="AO79" i="4" s="1"/>
  <c r="AO80" i="4" s="1"/>
  <c r="AP79" i="4" s="1"/>
  <c r="AN97" i="4"/>
  <c r="AO97" i="4" s="1"/>
  <c r="H50" i="7" l="1"/>
  <c r="H62" i="7"/>
  <c r="AS45" i="4"/>
  <c r="I49" i="7" s="1"/>
  <c r="H49" i="7" s="1"/>
  <c r="AT45" i="4"/>
  <c r="AR41" i="4"/>
  <c r="AT41" i="4" s="1"/>
  <c r="AQ44" i="4"/>
  <c r="AQ61" i="4" s="1"/>
  <c r="G10" i="7"/>
  <c r="E10" i="7" s="1"/>
  <c r="H53" i="7"/>
  <c r="H57" i="7"/>
  <c r="H61" i="7"/>
  <c r="H52" i="7"/>
  <c r="H54" i="7"/>
  <c r="H58" i="7"/>
  <c r="H60" i="7"/>
  <c r="H51" i="7"/>
  <c r="H55" i="7"/>
  <c r="H59" i="7"/>
  <c r="H56" i="7"/>
  <c r="H64" i="7"/>
  <c r="H63" i="7"/>
  <c r="AR64" i="4"/>
  <c r="AT64" i="4" s="1"/>
  <c r="AT42" i="4"/>
  <c r="AS42" i="4"/>
  <c r="AT46" i="4"/>
  <c r="AT58" i="4"/>
  <c r="AP80" i="4"/>
  <c r="AQ79" i="4" s="1"/>
  <c r="AP70" i="4"/>
  <c r="AP86" i="4" s="1"/>
  <c r="AP88" i="4" s="1"/>
  <c r="AN71" i="4"/>
  <c r="AM96" i="4"/>
  <c r="AS74" i="4"/>
  <c r="AT74" i="4"/>
  <c r="AN88" i="4"/>
  <c r="AN89" i="4" s="1"/>
  <c r="AO89" i="4" s="1"/>
  <c r="AN87" i="4"/>
  <c r="AO87" i="4" s="1"/>
  <c r="AQ66" i="4"/>
  <c r="AR65" i="4"/>
  <c r="AS41" i="4" l="1"/>
  <c r="AS64" i="4"/>
  <c r="D2" i="9"/>
  <c r="AR44" i="4"/>
  <c r="AS44" i="4" s="1"/>
  <c r="AP87" i="4"/>
  <c r="AP97" i="4"/>
  <c r="AP89" i="4"/>
  <c r="AN96" i="4"/>
  <c r="AO71" i="4"/>
  <c r="AS65" i="4"/>
  <c r="D3" i="9"/>
  <c r="AT65" i="4"/>
  <c r="AR66" i="4"/>
  <c r="AQ68" i="4"/>
  <c r="AR68" i="4" s="1"/>
  <c r="AP5" i="9"/>
  <c r="AP3" i="9" s="1"/>
  <c r="AP6" i="9" s="1"/>
  <c r="AQ75" i="4"/>
  <c r="AS61" i="4" l="1"/>
  <c r="I48" i="7"/>
  <c r="AR61" i="4"/>
  <c r="AT44" i="4"/>
  <c r="AT61" i="4" s="1"/>
  <c r="AO96" i="4"/>
  <c r="AP71" i="4"/>
  <c r="AP96" i="4" s="1"/>
  <c r="AS66" i="4"/>
  <c r="AT66" i="4"/>
  <c r="AS68" i="4"/>
  <c r="D4" i="9"/>
  <c r="AT68" i="4"/>
  <c r="AQ76" i="4"/>
  <c r="AR75" i="4"/>
  <c r="AQ69" i="4"/>
  <c r="AQ70" i="4"/>
  <c r="H48" i="7" l="1"/>
  <c r="H65" i="7" s="1"/>
  <c r="I65" i="7"/>
  <c r="AR69" i="4"/>
  <c r="AQ71" i="4"/>
  <c r="AS75" i="4"/>
  <c r="AT75" i="4"/>
  <c r="AR76" i="4"/>
  <c r="AQ80" i="4"/>
  <c r="AR80" i="4" s="1"/>
  <c r="AT80" i="4" s="1"/>
  <c r="AQ86" i="4"/>
  <c r="AR70" i="4"/>
  <c r="AQ97" i="4"/>
  <c r="AT97" i="4" s="1"/>
  <c r="AQ88" i="4" l="1"/>
  <c r="AQ89" i="4" s="1"/>
  <c r="AQ87" i="4"/>
  <c r="AS70" i="4"/>
  <c r="AT99" i="4" s="1"/>
  <c r="B94" i="4" s="1"/>
  <c r="D21" i="7" s="1"/>
  <c r="L4" i="7" s="1"/>
  <c r="D5" i="9"/>
  <c r="AR71" i="4"/>
  <c r="AQ96" i="4"/>
  <c r="AT96" i="4" s="1"/>
  <c r="AS76" i="4"/>
  <c r="AT76" i="4"/>
  <c r="AS69" i="4"/>
  <c r="AT69" i="4"/>
  <c r="I19" i="7" l="1"/>
  <c r="M3" i="7" s="1"/>
  <c r="D19" i="7"/>
  <c r="L3" i="7" s="1"/>
  <c r="AT98" i="4"/>
  <c r="B93" i="4" s="1"/>
  <c r="B91" i="4"/>
  <c r="B92" i="4"/>
  <c r="D23" i="7" l="1"/>
  <c r="L6" i="7" s="1"/>
  <c r="E1" i="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Яна Мирская</author>
  </authors>
  <commentList>
    <comment ref="A69" authorId="0" shapeId="0" xr:uid="{24B7B550-0AAC-4301-978B-38E2461BFEDE}">
      <text>
        <r>
          <rPr>
            <b/>
            <sz val="9"/>
            <color indexed="81"/>
            <rFont val="Tahoma"/>
            <family val="2"/>
            <charset val="204"/>
          </rPr>
          <t>Виручка - собівартість -  поточні витрати  - інвестиції , т.б. чистий прибуток - інвестиції</t>
        </r>
      </text>
    </comment>
    <comment ref="A70" authorId="0" shapeId="0" xr:uid="{F4B2F411-F4E1-4E8E-B26B-445188111C77}">
      <text>
        <r>
          <rPr>
            <b/>
            <sz val="9"/>
            <color indexed="81"/>
            <rFont val="Tahoma"/>
            <family val="2"/>
            <charset val="204"/>
          </rPr>
          <t>Виручка - собівартість -  поточні витрати  = чистий прибуток</t>
        </r>
      </text>
    </comment>
    <comment ref="A71" authorId="0" shapeId="0" xr:uid="{02DD58DB-1A27-4469-8446-F00FA5C677AC}">
      <text>
        <r>
          <rPr>
            <b/>
            <sz val="9"/>
            <color indexed="81"/>
            <rFont val="Tahoma"/>
            <family val="2"/>
            <charset val="204"/>
          </rPr>
          <t>Чистий прибуток сумарно за кожний місяць - інвестиції.
Показує з якого місяцю проект окупився</t>
        </r>
      </text>
    </comment>
    <comment ref="A74" authorId="0" shapeId="0" xr:uid="{9A14C7FF-07A7-4DE6-AE24-869DBCB2856E}">
      <text>
        <r>
          <rPr>
            <b/>
            <sz val="9"/>
            <color indexed="81"/>
            <rFont val="Tahoma"/>
            <family val="2"/>
            <charset val="204"/>
          </rPr>
          <t>Виручка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75" authorId="0" shapeId="0" xr:uid="{D8685AF7-E2BF-42CF-A574-A0E5240C60F6}">
      <text>
        <r>
          <rPr>
            <b/>
            <sz val="9"/>
            <color indexed="81"/>
            <rFont val="Tahoma"/>
            <family val="2"/>
            <charset val="204"/>
          </rPr>
          <t>Собівартість + поточні витрати</t>
        </r>
      </text>
    </comment>
    <comment ref="A76" authorId="0" shapeId="0" xr:uid="{583E2909-0E63-4DEB-A60F-0D944E8FB106}">
      <text>
        <r>
          <rPr>
            <b/>
            <sz val="9"/>
            <color indexed="81"/>
            <rFont val="Tahoma"/>
            <family val="2"/>
            <charset val="204"/>
          </rPr>
          <t>чистий прибуток</t>
        </r>
      </text>
    </comment>
    <comment ref="A77" authorId="0" shapeId="0" xr:uid="{95EE7183-187C-4FC5-88EC-C98BAA2F0142}">
      <text>
        <r>
          <rPr>
            <b/>
            <sz val="9"/>
            <color indexed="81"/>
            <rFont val="Tahoma"/>
            <family val="2"/>
            <charset val="204"/>
          </rPr>
          <t>інвестиції</t>
        </r>
      </text>
    </comment>
    <comment ref="A78" authorId="0" shapeId="0" xr:uid="{CDBD52B2-DD49-497E-9578-AC89EC35E65D}">
      <text>
        <r>
          <rPr>
            <b/>
            <sz val="9"/>
            <color indexed="81"/>
            <rFont val="Tahoma"/>
            <family val="2"/>
            <charset val="204"/>
          </rPr>
          <t>залучені кошти для здійснення інвестицій</t>
        </r>
      </text>
    </comment>
    <comment ref="A79" authorId="0" shapeId="0" xr:uid="{7395C29F-0F11-4A6B-97F7-5EA511C110E2}">
      <text>
        <r>
          <rPr>
            <b/>
            <sz val="9"/>
            <color indexed="81"/>
            <rFont val="Tahoma"/>
            <family val="2"/>
            <charset val="204"/>
          </rPr>
          <t>Кошти на початок місяцю (накопичений  чистий прибуток за минулі місяці)</t>
        </r>
      </text>
    </comment>
    <comment ref="A80" authorId="0" shapeId="0" xr:uid="{FFF5FB8B-F4EA-408B-BC06-371FD91F01D6}">
      <text>
        <r>
          <rPr>
            <b/>
            <sz val="9"/>
            <color indexed="81"/>
            <rFont val="Tahoma"/>
            <family val="2"/>
            <charset val="204"/>
          </rPr>
          <t>Кошти на кінець місяця (накопичений чистий прибуток за минулі місяці з урахуванням поточного місяцю)</t>
        </r>
      </text>
    </comment>
    <comment ref="A84" authorId="0" shapeId="0" xr:uid="{1653C1A5-7888-4B53-A28B-954507B5F795}">
      <text>
        <r>
          <rPr>
            <b/>
            <sz val="9"/>
            <color indexed="81"/>
            <rFont val="Tahoma"/>
            <family val="2"/>
            <charset val="204"/>
          </rPr>
          <t>коефіцієнт знецінення грошей</t>
        </r>
      </text>
    </comment>
    <comment ref="A86" authorId="0" shapeId="0" xr:uid="{F16484C2-A4FA-4FB3-993A-F199F11B1F98}">
      <text>
        <r>
          <rPr>
            <b/>
            <sz val="9"/>
            <color indexed="81"/>
            <rFont val="Tahoma"/>
            <family val="2"/>
            <charset val="204"/>
          </rPr>
          <t>чистий прибуток щомісячно</t>
        </r>
      </text>
    </comment>
    <comment ref="A87" authorId="0" shapeId="0" xr:uid="{BB94159C-B5F7-4F75-BF2C-D67633786CCE}">
      <text>
        <r>
          <rPr>
            <b/>
            <sz val="9"/>
            <color indexed="81"/>
            <rFont val="Tahoma"/>
            <family val="2"/>
            <charset val="204"/>
          </rPr>
          <t>чистий прибуток сумарно за кожний місяць</t>
        </r>
      </text>
    </comment>
    <comment ref="A88" authorId="0" shapeId="0" xr:uid="{E44F176C-3DDF-4E0D-A726-C6D4C142AF9B}">
      <text>
        <r>
          <rPr>
            <b/>
            <sz val="9"/>
            <color indexed="81"/>
            <rFont val="Tahoma"/>
            <family val="2"/>
            <charset val="204"/>
          </rPr>
          <t>чистий прибуток помісячно з урахуванням застосування дисконтування (знецінення грошей)</t>
        </r>
      </text>
    </comment>
    <comment ref="A89" authorId="0" shapeId="0" xr:uid="{FA469599-B311-47D9-BBB3-DA3F015F09E9}">
      <text>
        <r>
          <rPr>
            <b/>
            <sz val="9"/>
            <color indexed="81"/>
            <rFont val="Tahoma"/>
            <family val="2"/>
            <charset val="204"/>
          </rPr>
          <t>чистий прибуток сумарно за кожний місяць з урахуванням застосування дисконтування (знецінення грошей)</t>
        </r>
      </text>
    </comment>
    <comment ref="A91" authorId="0" shapeId="0" xr:uid="{57BEF8F9-08C6-4F77-8C52-27A8ACCACA49}">
      <text>
        <r>
          <rPr>
            <b/>
            <sz val="9"/>
            <color indexed="81"/>
            <rFont val="Tahoma"/>
            <family val="2"/>
            <charset val="204"/>
          </rPr>
          <t>Дисконтований  чистий прибуток сумарно за 3 роки - інвестиції</t>
        </r>
      </text>
    </comment>
    <comment ref="A92" authorId="0" shapeId="0" xr:uid="{25DAA6AE-F2FA-4F6C-837C-F10DA2968DAD}">
      <text>
        <r>
          <rPr>
            <b/>
            <sz val="9"/>
            <color indexed="81"/>
            <rFont val="Tahoma"/>
            <family val="2"/>
            <charset val="204"/>
          </rPr>
          <t>В скільки разів дисконтований чистий прибуток сумарно за 3 роки перевищує інвестиції. Повинен бути більше 1</t>
        </r>
      </text>
    </comment>
    <comment ref="A93" authorId="0" shapeId="0" xr:uid="{AFE05D10-8360-4EC8-880D-6BFABE426C42}">
      <text>
        <r>
          <rPr>
            <b/>
            <sz val="9"/>
            <color indexed="81"/>
            <rFont val="Tahoma"/>
            <family val="2"/>
            <charset val="204"/>
          </rPr>
          <t>Кількість місяців, за які накопичений (сумарний) чистий прибуток перевищить розмір інвестицій</t>
        </r>
      </text>
    </comment>
    <comment ref="A94" authorId="0" shapeId="0" xr:uid="{13BC99F4-F359-4B31-B7B2-DA10E03CE413}">
      <text>
        <r>
          <rPr>
            <b/>
            <sz val="9"/>
            <color indexed="81"/>
            <rFont val="Tahoma"/>
            <family val="2"/>
            <charset val="204"/>
          </rPr>
          <t>Кількість місяців, за які з'явиться чистий прибуток, т.б виручка - поточні витрати &gt;0</t>
        </r>
      </text>
    </comment>
  </commentList>
</comments>
</file>

<file path=xl/sharedStrings.xml><?xml version="1.0" encoding="utf-8"?>
<sst xmlns="http://schemas.openxmlformats.org/spreadsheetml/2006/main" count="240" uniqueCount="187">
  <si>
    <t>USD</t>
  </si>
  <si>
    <t>EUR</t>
  </si>
  <si>
    <t>Персонал</t>
  </si>
  <si>
    <t>UAH</t>
  </si>
  <si>
    <t>Зміни необхідно вносити тільки в комірки, які окрашені в сірий колір</t>
  </si>
  <si>
    <t>Валюта, в якій виконується розрахунок</t>
  </si>
  <si>
    <t>Місяць, з якого починається робота</t>
  </si>
  <si>
    <t>січень</t>
  </si>
  <si>
    <t>лютий</t>
  </si>
  <si>
    <t>березень</t>
  </si>
  <si>
    <t>квітень</t>
  </si>
  <si>
    <t>травень</t>
  </si>
  <si>
    <t>червень</t>
  </si>
  <si>
    <t>липень</t>
  </si>
  <si>
    <t>серпень</t>
  </si>
  <si>
    <t>вересень</t>
  </si>
  <si>
    <t>жовтень</t>
  </si>
  <si>
    <t>листопад</t>
  </si>
  <si>
    <t>грудень</t>
  </si>
  <si>
    <t>Курс валют (1 одиниця валюти = вказаній кількості гривень)</t>
  </si>
  <si>
    <t>Фінансові параметри</t>
  </si>
  <si>
    <t>UAH/міс.</t>
  </si>
  <si>
    <t>Разом</t>
  </si>
  <si>
    <t>2-й рік роботи</t>
  </si>
  <si>
    <t>3-й рік роботи</t>
  </si>
  <si>
    <t>Коефіцієнт дисконтування, % річних</t>
  </si>
  <si>
    <t>Інвестиції у відкриття</t>
  </si>
  <si>
    <t>Відеоспостереження</t>
  </si>
  <si>
    <t>Сигналізація (охоронна та пожежна)</t>
  </si>
  <si>
    <t>Рекламна кампанія до відкриття</t>
  </si>
  <si>
    <t>Паушальний внесок</t>
  </si>
  <si>
    <t>Інше</t>
  </si>
  <si>
    <t>Разом:</t>
  </si>
  <si>
    <t>Посадові одиниці</t>
  </si>
  <si>
    <t>Кількість співробітників, чол.</t>
  </si>
  <si>
    <t xml:space="preserve"> * - База нарахування бонусу</t>
  </si>
  <si>
    <t>Поточні витрати</t>
  </si>
  <si>
    <t>Роялті</t>
  </si>
  <si>
    <t>Господарські потреби</t>
  </si>
  <si>
    <t>Охорона</t>
  </si>
  <si>
    <t>Послуги зв'язку та інтернет</t>
  </si>
  <si>
    <r>
      <t>Податки</t>
    </r>
    <r>
      <rPr>
        <b/>
        <sz val="16"/>
        <color rgb="FFFF0000"/>
        <rFont val="Calibri"/>
        <family val="2"/>
        <charset val="204"/>
        <scheme val="minor"/>
      </rPr>
      <t>**</t>
    </r>
    <r>
      <rPr>
        <b/>
        <sz val="16"/>
        <color theme="6" tint="-0.499984740745262"/>
        <rFont val="Calibri"/>
        <family val="2"/>
        <charset val="204"/>
        <scheme val="minor"/>
      </rPr>
      <t>, % від загальної виручки</t>
    </r>
  </si>
  <si>
    <t>% від загальної виручки</t>
  </si>
  <si>
    <r>
      <t>Податки</t>
    </r>
    <r>
      <rPr>
        <b/>
        <sz val="16"/>
        <color rgb="FFFF0000"/>
        <rFont val="Calibri"/>
        <family val="2"/>
        <charset val="204"/>
        <scheme val="minor"/>
      </rPr>
      <t>**</t>
    </r>
    <r>
      <rPr>
        <b/>
        <sz val="16"/>
        <color theme="6" tint="-0.499984740745262"/>
        <rFont val="Calibri"/>
        <family val="2"/>
        <charset val="204"/>
        <scheme val="minor"/>
      </rPr>
      <t>, фіксована сума</t>
    </r>
  </si>
  <si>
    <t>% виручки, який проходить по безготівковому розрахунку</t>
  </si>
  <si>
    <t>розмір банківської комісії</t>
  </si>
  <si>
    <t>фіксована сума</t>
  </si>
  <si>
    <t>Вид оподаткування</t>
  </si>
  <si>
    <t>Зарплата персоналу</t>
  </si>
  <si>
    <t>Уніформа персоналу</t>
  </si>
  <si>
    <t>Податки на зарплату</t>
  </si>
  <si>
    <t>Податки</t>
  </si>
  <si>
    <t>Рентабельність (чистий прибуток/виручка), %</t>
  </si>
  <si>
    <t>міс.</t>
  </si>
  <si>
    <t>Середньомісячний чистий прибуток 
за 1-й рік роботи</t>
  </si>
  <si>
    <t>Середньомісячний чистий прибуток 
за 2-й рік роботи</t>
  </si>
  <si>
    <t>Середньомісячний чистий прибуток 
за 3-й рік роботи</t>
  </si>
  <si>
    <t>Вихід на самоокупність з</t>
  </si>
  <si>
    <t>Окупність інвестицій</t>
  </si>
  <si>
    <t>1-й рік роботи</t>
  </si>
  <si>
    <t>ЗАВАНТАЖЕННЯ</t>
  </si>
  <si>
    <t>Вихід продажів на планові показники та подальше збільшення обсягів*</t>
  </si>
  <si>
    <t xml:space="preserve"> * - по відношенню до даних, що вказані на сторінці "Вхідні дані".</t>
  </si>
  <si>
    <t>ДИНАМІКА ПРОДАЖІВ</t>
  </si>
  <si>
    <t>ДИНАМІКА СОБІВАРТОСТІ</t>
  </si>
  <si>
    <t>ІНВЕСТИЦІЇ</t>
  </si>
  <si>
    <t>ПОТОЧНІ ВИТРАТИ</t>
  </si>
  <si>
    <t>ЗВІТ ПРО ПРИБУТКИ ТА ЗБИТКИ</t>
  </si>
  <si>
    <t>Виручка</t>
  </si>
  <si>
    <t>Валовий прибуток</t>
  </si>
  <si>
    <t>РУХ ГРОШОВИХ КОШТІВ (КЕШ-ФЛО)</t>
  </si>
  <si>
    <t>Надходження від основної діяльності</t>
  </si>
  <si>
    <t>Кеш-фло від інвестиційної діяльності</t>
  </si>
  <si>
    <t>Кеш-фло від фінансової діяльності</t>
  </si>
  <si>
    <t>Баланс готівки на початок періоду</t>
  </si>
  <si>
    <t>Баланс готівки на кінець періоду</t>
  </si>
  <si>
    <t>ОКУПНІСТЬ ПРОЕКТУ</t>
  </si>
  <si>
    <t>Індекс прибутковості проекту (PI)</t>
  </si>
  <si>
    <t>Строк окупності проекту з урахуванням інвестицій, міс.:</t>
  </si>
  <si>
    <t>Строк виходу на самоокупність проекту, міс.:</t>
  </si>
  <si>
    <t>Разом за 1-й рік</t>
  </si>
  <si>
    <t>Середньомісячно за 1-й рік</t>
  </si>
  <si>
    <t>Разом за 2-й рік</t>
  </si>
  <si>
    <t>Середньомісячно за 2-й рік</t>
  </si>
  <si>
    <t>Разом за 3-й рік</t>
  </si>
  <si>
    <t>Середньомісячно за 3-й рік</t>
  </si>
  <si>
    <t>Разом за три роки</t>
  </si>
  <si>
    <t>Середній чек</t>
  </si>
  <si>
    <t>Параметри сезонності та виходу продажів на планові показники та подальше збільшення обсягів продажів</t>
  </si>
  <si>
    <t>Назва місяцю</t>
  </si>
  <si>
    <t>Кількість офіційно оформлених співробітників, чол.</t>
  </si>
  <si>
    <t>Відсоток виходу продажів на планові показники по виручці*, %</t>
  </si>
  <si>
    <t xml:space="preserve">Відсоток впливу сезону на планові показники по виручці*, % </t>
  </si>
  <si>
    <t>Відсоток впливу сезону на планові показники по виручці*</t>
  </si>
  <si>
    <t>прибуток</t>
  </si>
  <si>
    <t>самоокупність</t>
  </si>
  <si>
    <t>Авансовий платіж по оренді</t>
  </si>
  <si>
    <t>Маркетингові відрахування</t>
  </si>
  <si>
    <t>Нульовий період</t>
  </si>
  <si>
    <t xml:space="preserve"> </t>
  </si>
  <si>
    <t xml:space="preserve"> * - без врахування динаміки виходу продажів на планові показники, які вказуються на сторінці "Вхідні дані" в розділі "Параметри сезонності та виходу продажів на планові показники та подальший ріст обсягів продажів".</t>
  </si>
  <si>
    <t>Кількість чеків</t>
  </si>
  <si>
    <t>од./міс.</t>
  </si>
  <si>
    <t>Назва</t>
  </si>
  <si>
    <t>Комп'ютери, каси та інша техніка</t>
  </si>
  <si>
    <t>Власний маркетинг</t>
  </si>
  <si>
    <t>Поточний ремонт</t>
  </si>
  <si>
    <t>Базовий розмір бонусу для всіх співробітників, % від бази нарахування*</t>
  </si>
  <si>
    <t>Структура виручки за 1-й рік роботи</t>
  </si>
  <si>
    <t>Структура виручки за 3-й рік роботи</t>
  </si>
  <si>
    <t>Структура виручки за 2-й рік роботи</t>
  </si>
  <si>
    <t>Інвестиції</t>
  </si>
  <si>
    <t>ДИНАМІКА РУХУ ГРОШОВИХ КОШТІВ</t>
  </si>
  <si>
    <t>Порядковий номер місяцю від початку роботи</t>
  </si>
  <si>
    <t>за 1-го співробітника</t>
  </si>
  <si>
    <t>Вид оподаткування зарплати співробітників</t>
  </si>
  <si>
    <t>% від фонду оплати праці</t>
  </si>
  <si>
    <r>
      <t>Податки на зарплату співробітників</t>
    </r>
    <r>
      <rPr>
        <b/>
        <sz val="16"/>
        <color rgb="FFFF0000"/>
        <rFont val="Calibri"/>
        <family val="2"/>
        <charset val="204"/>
        <scheme val="minor"/>
      </rPr>
      <t>**</t>
    </r>
  </si>
  <si>
    <t>Середня виручка на день*</t>
  </si>
  <si>
    <t>UAH/день</t>
  </si>
  <si>
    <t xml:space="preserve"> * - з урахуванням динаміки виходу продажів на планові показники, які вказуються на сторінці "Вхідні дані" в розділі "Параметри сезонності та виходу продажів на планові показники та подальший ріст обсягів продажів".</t>
  </si>
  <si>
    <t>загальна виручка</t>
  </si>
  <si>
    <t>Середньомісячна сума витрат*</t>
  </si>
  <si>
    <t>Оренда</t>
  </si>
  <si>
    <t>Банковське обслуговування</t>
  </si>
  <si>
    <r>
      <rPr>
        <b/>
        <sz val="16"/>
        <rFont val="Calibri"/>
        <family val="2"/>
        <charset val="204"/>
        <scheme val="minor"/>
      </rPr>
      <t xml:space="preserve">Чистий прибуток </t>
    </r>
    <r>
      <rPr>
        <b/>
        <sz val="16"/>
        <color rgb="FFFF0000"/>
        <rFont val="Calibri"/>
        <family val="2"/>
        <charset val="204"/>
        <scheme val="minor"/>
      </rPr>
      <t xml:space="preserve">(збиток) </t>
    </r>
    <r>
      <rPr>
        <b/>
        <sz val="16"/>
        <rFont val="Calibri"/>
        <family val="2"/>
        <charset val="204"/>
        <scheme val="minor"/>
      </rPr>
      <t xml:space="preserve">з урахуванням інвестицій </t>
    </r>
  </si>
  <si>
    <r>
      <rPr>
        <b/>
        <sz val="16"/>
        <rFont val="Calibri"/>
        <family val="2"/>
        <charset val="204"/>
        <scheme val="minor"/>
      </rPr>
      <t>Чистий прибуток (</t>
    </r>
    <r>
      <rPr>
        <b/>
        <sz val="16"/>
        <color rgb="FFFF0000"/>
        <rFont val="Calibri"/>
        <family val="2"/>
        <charset val="204"/>
        <scheme val="minor"/>
      </rPr>
      <t>збиток</t>
    </r>
    <r>
      <rPr>
        <b/>
        <sz val="16"/>
        <rFont val="Calibri"/>
        <family val="2"/>
        <charset val="204"/>
        <scheme val="minor"/>
      </rPr>
      <t xml:space="preserve">) без урахуванням інвестицій </t>
    </r>
  </si>
  <si>
    <t>GBP</t>
  </si>
  <si>
    <t>Формати співробітництва</t>
  </si>
  <si>
    <t>дні</t>
  </si>
  <si>
    <t>Середньомісячна виручка*</t>
  </si>
  <si>
    <t>Середня кількість чеків на день, од./день</t>
  </si>
  <si>
    <t>Середня кількість чеків на місяць, од./міс.</t>
  </si>
  <si>
    <t>Формат співробітництва</t>
  </si>
  <si>
    <t>,</t>
  </si>
  <si>
    <t>Збільшення заробітної плати (фіксованого окладу)**, %</t>
  </si>
  <si>
    <t>Збільшення орендної плати**, %</t>
  </si>
  <si>
    <t>Збільшення комунальних послуг**, %</t>
  </si>
  <si>
    <t>Кількість, од.</t>
  </si>
  <si>
    <t>Кеш-фло від операційної діяльності</t>
  </si>
  <si>
    <t>Збільшення середнього чеку*, %</t>
  </si>
  <si>
    <t xml:space="preserve"> * - відсоток по відношенню до даних, вказаних в розділі "Фінансові параметри" на сторінці "Вхідні дані".
 ** - по відношенню до даних, вказаних в розділах "Персонал" та "Поточні витрати" на сторінці "Вхідні дані".</t>
  </si>
  <si>
    <t>Вартість одиниці, USD</t>
  </si>
  <si>
    <t>Загальна вартість, USD</t>
  </si>
  <si>
    <t>Площа приміщення, кв.м.</t>
  </si>
  <si>
    <t>кв.м.</t>
  </si>
  <si>
    <t>Ремонт приміщення</t>
  </si>
  <si>
    <t>Меблі</t>
  </si>
  <si>
    <t>Адміністратор</t>
  </si>
  <si>
    <t>Офісні витрати</t>
  </si>
  <si>
    <t>наприклад, оренда терміналу, ведення рахунку</t>
  </si>
  <si>
    <t>Вхідні дані для фінансової моделі франшизи AMPER</t>
  </si>
  <si>
    <t>Інвестиції для запуску франчайзингової точки AMPER</t>
  </si>
  <si>
    <t>Фінансова модель франшизи AMPER</t>
  </si>
  <si>
    <t>Класична оренда</t>
  </si>
  <si>
    <t>Шерінг електросамокатів</t>
  </si>
  <si>
    <t>Середня кількість чеків на день*, од./день</t>
  </si>
  <si>
    <t>Середня кількість чеків на місяць*, од./міс.</t>
  </si>
  <si>
    <t>Кількість самокатів, од.</t>
  </si>
  <si>
    <t>Фінансові результати</t>
  </si>
  <si>
    <t>Середньомісячний чистий прибуток за 1-й рік роботи з моменту виходу на точку беззбитковості</t>
  </si>
  <si>
    <t>Максимальна кількість чеків на місяць*, од./міс.</t>
  </si>
  <si>
    <t>Вартість одного самокату</t>
  </si>
  <si>
    <t>Меблі та комп'ютерна техніка</t>
  </si>
  <si>
    <t>Вартість самокатів</t>
  </si>
  <si>
    <t>Технік</t>
  </si>
  <si>
    <t>USD/міс.</t>
  </si>
  <si>
    <t>Фіксований оклад на місяць</t>
  </si>
  <si>
    <t>Обладнання для паркування самокатів</t>
  </si>
  <si>
    <t>Питома вага в обсязі виручки</t>
  </si>
  <si>
    <t>Середньомісячна сума витрат</t>
  </si>
  <si>
    <t>Відсоток оподатковуваної виручки, % від загальної виручки</t>
  </si>
  <si>
    <t>% від оподатковуваної виручки</t>
  </si>
  <si>
    <t>Електрика</t>
  </si>
  <si>
    <t>Електрика на один самокат</t>
  </si>
  <si>
    <t>Господарські потреби на один самокат</t>
  </si>
  <si>
    <t>Поточний ремонт на один самокат</t>
  </si>
  <si>
    <t>Послуги зв'язку та інтернет на один самокат</t>
  </si>
  <si>
    <t xml:space="preserve"> ** - Податки на зарплату співробітників та Податок, який використовується в розрахунку, вибирається на сторінці "Узагальнений розрахунок".</t>
  </si>
  <si>
    <t>Ведення бухгалтерського обліку</t>
  </si>
  <si>
    <t>USD/міс.* або %</t>
  </si>
  <si>
    <t>Роялті за один самокат, до розрахунку приймається:</t>
  </si>
  <si>
    <t>Маркетингові відрахування за один самокат, до розрахунку приймається:</t>
  </si>
  <si>
    <t>Інформація для одного самокату</t>
  </si>
  <si>
    <t>Зміни необхідно вносити тільки в комірки, які позначені сірим кольором</t>
  </si>
  <si>
    <t>Кількість самокатів, шт.</t>
  </si>
  <si>
    <t>до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</si>
</sst>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_-* #,##0.00_р_._-;\-* #,##0.00_р_._-;_-* &quot;-&quot;??_р_._-;_-@_-"/>
    <numFmt numFmtId="165" formatCode="#,##0.0"/>
    <numFmt numFmtId="166" formatCode="#,##0.0000"/>
    <numFmt numFmtId="167" formatCode="0.0%"/>
    <numFmt numFmtId="168" formatCode="#,##0_ ;[Red]\-#,##0\ "/>
    <numFmt numFmtId="169" formatCode="[$-419]0%"/>
    <numFmt numFmtId="170" formatCode="[$-419]#,##0"/>
  </numFmts>
  <fonts count="64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b/>
      <sz val="16"/>
      <color theme="1"/>
      <name val="Calibri"/>
      <family val="2"/>
      <charset val="204"/>
      <scheme val="minor"/>
    </font>
    <font>
      <b/>
      <sz val="28"/>
      <color theme="6" tint="-0.499984740745262"/>
      <name val="Calibri"/>
      <family val="2"/>
      <charset val="204"/>
      <scheme val="minor"/>
    </font>
    <font>
      <b/>
      <sz val="20"/>
      <color theme="6" tint="-0.499984740745262"/>
      <name val="Calibri"/>
      <family val="2"/>
      <charset val="204"/>
      <scheme val="minor"/>
    </font>
    <font>
      <b/>
      <sz val="16"/>
      <color theme="6" tint="-0.499984740745262"/>
      <name val="Calibri"/>
      <family val="2"/>
      <charset val="204"/>
      <scheme val="minor"/>
    </font>
    <font>
      <b/>
      <sz val="14"/>
      <color theme="6" tint="-0.499984740745262"/>
      <name val="Calibri"/>
      <family val="2"/>
      <charset val="204"/>
      <scheme val="minor"/>
    </font>
    <font>
      <sz val="10"/>
      <name val="Arial Cyr"/>
      <family val="2"/>
      <charset val="204"/>
    </font>
    <font>
      <sz val="11"/>
      <color indexed="8"/>
      <name val="Calibri"/>
      <family val="2"/>
      <charset val="204"/>
    </font>
    <font>
      <b/>
      <sz val="46"/>
      <color theme="6" tint="-0.499984740745262"/>
      <name val="Calibri"/>
      <family val="2"/>
      <charset val="204"/>
      <scheme val="minor"/>
    </font>
    <font>
      <sz val="11"/>
      <color theme="4"/>
      <name val="Calibri"/>
      <family val="2"/>
      <charset val="204"/>
      <scheme val="minor"/>
    </font>
    <font>
      <b/>
      <sz val="18"/>
      <color theme="1"/>
      <name val="Calibri"/>
      <family val="2"/>
      <charset val="204"/>
      <scheme val="minor"/>
    </font>
    <font>
      <b/>
      <sz val="24"/>
      <color theme="6" tint="-0.499984740745262"/>
      <name val="Calibri"/>
      <family val="2"/>
      <charset val="204"/>
      <scheme val="minor"/>
    </font>
    <font>
      <b/>
      <sz val="20"/>
      <color theme="1"/>
      <name val="Calibri"/>
      <family val="2"/>
      <charset val="204"/>
      <scheme val="minor"/>
    </font>
    <font>
      <b/>
      <sz val="18"/>
      <color theme="6" tint="-0.499984740745262"/>
      <name val="Calibri"/>
      <family val="2"/>
      <charset val="204"/>
      <scheme val="minor"/>
    </font>
    <font>
      <sz val="12"/>
      <color rgb="FF0070C0"/>
      <name val="Calibri"/>
      <family val="2"/>
      <charset val="204"/>
      <scheme val="minor"/>
    </font>
    <font>
      <sz val="11"/>
      <color rgb="FF0070C0"/>
      <name val="Calibri"/>
      <family val="2"/>
      <charset val="204"/>
      <scheme val="minor"/>
    </font>
    <font>
      <sz val="14"/>
      <color theme="1"/>
      <name val="Calibri"/>
      <family val="2"/>
      <charset val="204"/>
      <scheme val="minor"/>
    </font>
    <font>
      <b/>
      <sz val="14"/>
      <name val="Calibri"/>
      <family val="2"/>
      <charset val="204"/>
      <scheme val="minor"/>
    </font>
    <font>
      <b/>
      <sz val="16"/>
      <color theme="1" tint="0.34998626667073579"/>
      <name val="Calibri"/>
      <family val="2"/>
      <charset val="204"/>
      <scheme val="minor"/>
    </font>
    <font>
      <b/>
      <sz val="20"/>
      <color theme="1" tint="0.34998626667073579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b/>
      <sz val="16"/>
      <color rgb="FFFF0000"/>
      <name val="Calibri"/>
      <family val="2"/>
      <charset val="204"/>
      <scheme val="minor"/>
    </font>
    <font>
      <sz val="11"/>
      <color rgb="FF000000"/>
      <name val="Calibri"/>
      <family val="2"/>
      <charset val="204"/>
    </font>
    <font>
      <b/>
      <sz val="18"/>
      <color theme="1" tint="0.34998626667073579"/>
      <name val="Calibri"/>
      <family val="2"/>
      <charset val="204"/>
      <scheme val="minor"/>
    </font>
    <font>
      <b/>
      <sz val="16"/>
      <name val="Calibri"/>
      <family val="2"/>
      <charset val="204"/>
      <scheme val="minor"/>
    </font>
    <font>
      <sz val="12"/>
      <color theme="4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sz val="11"/>
      <color theme="1"/>
      <name val="Arial"/>
      <family val="2"/>
      <charset val="204"/>
    </font>
    <font>
      <b/>
      <sz val="16"/>
      <color rgb="FF4F6228"/>
      <name val="Calibri"/>
      <family val="2"/>
      <charset val="204"/>
      <scheme val="minor"/>
    </font>
    <font>
      <sz val="16"/>
      <color theme="1"/>
      <name val="Calibri"/>
      <family val="2"/>
      <charset val="204"/>
      <scheme val="minor"/>
    </font>
    <font>
      <sz val="18"/>
      <color theme="1"/>
      <name val="Calibri"/>
      <family val="2"/>
      <charset val="204"/>
      <scheme val="minor"/>
    </font>
    <font>
      <sz val="20"/>
      <color theme="1"/>
      <name val="Calibri"/>
      <family val="2"/>
      <charset val="204"/>
      <scheme val="minor"/>
    </font>
    <font>
      <sz val="16"/>
      <name val="Calibri"/>
      <family val="2"/>
      <charset val="204"/>
      <scheme val="minor"/>
    </font>
    <font>
      <sz val="16"/>
      <color rgb="FF0070C0"/>
      <name val="Calibri"/>
      <family val="2"/>
      <charset val="204"/>
      <scheme val="minor"/>
    </font>
    <font>
      <b/>
      <sz val="16"/>
      <color rgb="FF0070C0"/>
      <name val="Calibri"/>
      <family val="2"/>
      <charset val="204"/>
      <scheme val="minor"/>
    </font>
    <font>
      <sz val="16"/>
      <color indexed="9"/>
      <name val="Calibri"/>
      <family val="2"/>
      <charset val="204"/>
      <scheme val="minor"/>
    </font>
    <font>
      <b/>
      <sz val="16"/>
      <color indexed="9"/>
      <name val="Calibri"/>
      <family val="2"/>
      <charset val="204"/>
      <scheme val="minor"/>
    </font>
    <font>
      <i/>
      <sz val="16"/>
      <color indexed="9"/>
      <name val="Calibri"/>
      <family val="2"/>
      <charset val="204"/>
      <scheme val="minor"/>
    </font>
    <font>
      <b/>
      <i/>
      <sz val="16"/>
      <name val="Calibri"/>
      <family val="2"/>
      <charset val="204"/>
      <scheme val="minor"/>
    </font>
    <font>
      <b/>
      <i/>
      <sz val="16"/>
      <color rgb="FF0070C0"/>
      <name val="Calibri"/>
      <family val="2"/>
      <charset val="204"/>
      <scheme val="minor"/>
    </font>
    <font>
      <sz val="16"/>
      <color indexed="8"/>
      <name val="Calibri"/>
      <family val="2"/>
      <charset val="204"/>
      <scheme val="minor"/>
    </font>
    <font>
      <sz val="16"/>
      <color theme="3"/>
      <name val="Calibri"/>
      <family val="2"/>
      <charset val="204"/>
      <scheme val="minor"/>
    </font>
    <font>
      <b/>
      <sz val="16"/>
      <color theme="3"/>
      <name val="Calibri"/>
      <family val="2"/>
      <charset val="204"/>
      <scheme val="minor"/>
    </font>
    <font>
      <b/>
      <sz val="16"/>
      <color indexed="8"/>
      <name val="Calibri"/>
      <family val="2"/>
      <charset val="204"/>
      <scheme val="minor"/>
    </font>
    <font>
      <b/>
      <sz val="18"/>
      <color rgb="FF0070C0"/>
      <name val="Calibri"/>
      <family val="2"/>
      <charset val="204"/>
      <scheme val="minor"/>
    </font>
    <font>
      <b/>
      <sz val="22"/>
      <name val="Calibri"/>
      <family val="2"/>
      <charset val="204"/>
      <scheme val="minor"/>
    </font>
    <font>
      <b/>
      <sz val="24"/>
      <color theme="1"/>
      <name val="Calibri"/>
      <family val="2"/>
      <charset val="204"/>
      <scheme val="minor"/>
    </font>
    <font>
      <sz val="24"/>
      <color theme="1"/>
      <name val="Calibri"/>
      <family val="2"/>
      <charset val="204"/>
      <scheme val="minor"/>
    </font>
    <font>
      <b/>
      <sz val="28"/>
      <name val="Calibri"/>
      <family val="2"/>
      <charset val="204"/>
      <scheme val="minor"/>
    </font>
    <font>
      <b/>
      <sz val="28"/>
      <color theme="1"/>
      <name val="Calibri"/>
      <family val="2"/>
      <charset val="204"/>
      <scheme val="minor"/>
    </font>
    <font>
      <sz val="28"/>
      <color theme="1"/>
      <name val="Calibri"/>
      <family val="2"/>
      <charset val="204"/>
      <scheme val="minor"/>
    </font>
    <font>
      <b/>
      <sz val="20"/>
      <color rgb="FF4F6128"/>
      <name val="Calibri"/>
      <family val="2"/>
      <charset val="204"/>
    </font>
    <font>
      <sz val="11"/>
      <name val="Arial"/>
      <family val="2"/>
      <charset val="204"/>
    </font>
    <font>
      <b/>
      <sz val="14"/>
      <color rgb="FFC00000"/>
      <name val="Calibri"/>
      <family val="2"/>
      <charset val="204"/>
      <scheme val="minor"/>
    </font>
    <font>
      <b/>
      <sz val="16"/>
      <color rgb="FFC00000"/>
      <name val="Calibri"/>
      <family val="2"/>
      <charset val="204"/>
      <scheme val="minor"/>
    </font>
    <font>
      <b/>
      <sz val="20"/>
      <color rgb="FFC00000"/>
      <name val="Calibri"/>
      <family val="2"/>
      <charset val="204"/>
      <scheme val="minor"/>
    </font>
    <font>
      <b/>
      <sz val="30"/>
      <color theme="6" tint="-0.499984740745262"/>
      <name val="Calibri"/>
      <family val="2"/>
      <charset val="204"/>
      <scheme val="minor"/>
    </font>
    <font>
      <sz val="30"/>
      <color theme="1"/>
      <name val="Calibri"/>
      <family val="2"/>
      <charset val="204"/>
      <scheme val="minor"/>
    </font>
    <font>
      <b/>
      <sz val="12"/>
      <color rgb="FF0070C0"/>
      <name val="Calibri"/>
      <family val="2"/>
      <charset val="204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6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EB613D"/>
      </patternFill>
    </fill>
    <fill>
      <patternFill patternType="solid">
        <fgColor rgb="FFFFFFFF"/>
        <bgColor rgb="FFFFFFFF"/>
      </patternFill>
    </fill>
    <fill>
      <patternFill patternType="solid">
        <fgColor rgb="FFD9D9D9"/>
        <bgColor rgb="FFD9D9D9"/>
      </patternFill>
    </fill>
    <fill>
      <patternFill patternType="solid">
        <fgColor rgb="FFD8D8D8"/>
        <bgColor rgb="FFD8D8D8"/>
      </patternFill>
    </fill>
    <fill>
      <patternFill patternType="solid">
        <fgColor theme="0"/>
        <bgColor rgb="FFD8D8D8"/>
      </patternFill>
    </fill>
  </fills>
  <borders count="6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rgb="FF000000"/>
      </bottom>
      <diagonal/>
    </border>
    <border>
      <left/>
      <right/>
      <top style="thin">
        <color indexed="64"/>
      </top>
      <bottom style="thin">
        <color rgb="FF000000"/>
      </bottom>
      <diagonal/>
    </border>
    <border>
      <left/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indexed="64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rgb="FF000000"/>
      </bottom>
      <diagonal/>
    </border>
    <border>
      <left/>
      <right style="thin">
        <color indexed="64"/>
      </right>
      <top/>
      <bottom style="thin">
        <color rgb="FF000000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</borders>
  <cellStyleXfs count="9">
    <xf numFmtId="0" fontId="0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9" fillId="0" borderId="0"/>
    <xf numFmtId="9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0" fontId="27" fillId="0" borderId="0"/>
    <xf numFmtId="0" fontId="32" fillId="0" borderId="0"/>
    <xf numFmtId="169" fontId="27" fillId="0" borderId="0"/>
  </cellStyleXfs>
  <cellXfs count="534">
    <xf numFmtId="0" fontId="0" fillId="0" borderId="0" xfId="0"/>
    <xf numFmtId="0" fontId="12" fillId="6" borderId="0" xfId="0" applyFont="1" applyFill="1" applyProtection="1">
      <protection locked="0"/>
    </xf>
    <xf numFmtId="166" fontId="6" fillId="2" borderId="1" xfId="2" applyNumberFormat="1" applyFont="1" applyFill="1" applyBorder="1" applyAlignment="1" applyProtection="1">
      <alignment horizontal="center" vertical="center"/>
      <protection locked="0"/>
    </xf>
    <xf numFmtId="0" fontId="5" fillId="0" borderId="0" xfId="0" applyFont="1" applyAlignment="1" applyProtection="1">
      <alignment horizontal="center" vertical="center" wrapText="1"/>
    </xf>
    <xf numFmtId="3" fontId="23" fillId="0" borderId="0" xfId="0" applyNumberFormat="1" applyFont="1" applyProtection="1"/>
    <xf numFmtId="9" fontId="23" fillId="0" borderId="0" xfId="0" applyNumberFormat="1" applyFont="1" applyProtection="1"/>
    <xf numFmtId="0" fontId="18" fillId="0" borderId="0" xfId="0" applyFont="1" applyProtection="1"/>
    <xf numFmtId="0" fontId="12" fillId="0" borderId="0" xfId="0" applyFont="1" applyProtection="1"/>
    <xf numFmtId="0" fontId="0" fillId="0" borderId="0" xfId="0" applyProtection="1"/>
    <xf numFmtId="0" fontId="11" fillId="0" borderId="0" xfId="0" applyFont="1" applyAlignment="1" applyProtection="1">
      <alignment horizontal="center" vertical="center"/>
    </xf>
    <xf numFmtId="0" fontId="13" fillId="0" borderId="0" xfId="0" applyFont="1" applyBorder="1" applyAlignment="1" applyProtection="1">
      <alignment horizontal="right" vertical="center"/>
    </xf>
    <xf numFmtId="0" fontId="15" fillId="0" borderId="0" xfId="0" applyFont="1" applyAlignment="1" applyProtection="1">
      <alignment vertical="center"/>
    </xf>
    <xf numFmtId="0" fontId="0" fillId="0" borderId="0" xfId="0" applyBorder="1" applyProtection="1"/>
    <xf numFmtId="0" fontId="23" fillId="0" borderId="0" xfId="0" applyFont="1" applyProtection="1"/>
    <xf numFmtId="0" fontId="0" fillId="0" borderId="0" xfId="0" applyAlignment="1" applyProtection="1">
      <alignment vertical="center"/>
    </xf>
    <xf numFmtId="0" fontId="12" fillId="0" borderId="0" xfId="0" applyFont="1" applyAlignment="1" applyProtection="1">
      <alignment vertical="center"/>
    </xf>
    <xf numFmtId="0" fontId="18" fillId="0" borderId="0" xfId="0" applyFont="1" applyAlignment="1" applyProtection="1">
      <alignment vertical="center"/>
    </xf>
    <xf numFmtId="0" fontId="12" fillId="0" borderId="0" xfId="0" applyFont="1" applyAlignment="1" applyProtection="1">
      <alignment vertical="center" wrapText="1"/>
    </xf>
    <xf numFmtId="0" fontId="15" fillId="6" borderId="0" xfId="0" applyFont="1" applyFill="1" applyAlignment="1" applyProtection="1">
      <alignment vertical="center"/>
    </xf>
    <xf numFmtId="0" fontId="0" fillId="0" borderId="0" xfId="0" applyAlignment="1" applyProtection="1">
      <alignment horizontal="left" indent="1"/>
    </xf>
    <xf numFmtId="0" fontId="0" fillId="6" borderId="0" xfId="0" applyFill="1" applyBorder="1" applyProtection="1"/>
    <xf numFmtId="0" fontId="3" fillId="0" borderId="0" xfId="0" applyFont="1" applyBorder="1" applyAlignment="1" applyProtection="1">
      <alignment vertical="center" wrapText="1"/>
    </xf>
    <xf numFmtId="3" fontId="7" fillId="6" borderId="0" xfId="1" applyNumberFormat="1" applyFont="1" applyFill="1" applyBorder="1" applyAlignment="1" applyProtection="1">
      <alignment vertical="center"/>
    </xf>
    <xf numFmtId="0" fontId="17" fillId="0" borderId="0" xfId="0" applyFont="1" applyProtection="1"/>
    <xf numFmtId="0" fontId="2" fillId="6" borderId="0" xfId="0" applyFont="1" applyFill="1" applyBorder="1" applyProtection="1"/>
    <xf numFmtId="3" fontId="0" fillId="0" borderId="0" xfId="0" applyNumberFormat="1" applyProtection="1"/>
    <xf numFmtId="0" fontId="19" fillId="6" borderId="0" xfId="0" applyFont="1" applyFill="1" applyBorder="1" applyAlignment="1" applyProtection="1">
      <alignment horizontal="left" wrapText="1"/>
    </xf>
    <xf numFmtId="0" fontId="17" fillId="0" borderId="0" xfId="0" applyFont="1" applyAlignment="1" applyProtection="1">
      <alignment vertical="center"/>
    </xf>
    <xf numFmtId="0" fontId="2" fillId="0" borderId="0" xfId="0" applyFont="1" applyBorder="1" applyAlignment="1" applyProtection="1">
      <alignment vertical="center" wrapText="1"/>
    </xf>
    <xf numFmtId="3" fontId="8" fillId="6" borderId="0" xfId="1" applyNumberFormat="1" applyFont="1" applyFill="1" applyBorder="1" applyAlignment="1" applyProtection="1">
      <alignment vertical="center"/>
    </xf>
    <xf numFmtId="0" fontId="4" fillId="0" borderId="0" xfId="0" applyFont="1" applyBorder="1" applyAlignment="1" applyProtection="1">
      <alignment vertical="center"/>
    </xf>
    <xf numFmtId="9" fontId="7" fillId="6" borderId="0" xfId="2" applyFont="1" applyFill="1" applyBorder="1" applyAlignment="1" applyProtection="1">
      <alignment vertical="center"/>
    </xf>
    <xf numFmtId="0" fontId="0" fillId="0" borderId="0" xfId="0" applyBorder="1" applyAlignment="1" applyProtection="1">
      <alignment vertical="center"/>
    </xf>
    <xf numFmtId="0" fontId="3" fillId="0" borderId="7" xfId="0" applyFont="1" applyBorder="1" applyAlignment="1" applyProtection="1">
      <alignment vertical="center" wrapText="1"/>
    </xf>
    <xf numFmtId="0" fontId="3" fillId="0" borderId="3" xfId="0" applyFont="1" applyBorder="1" applyAlignment="1" applyProtection="1">
      <alignment vertical="center" wrapText="1"/>
    </xf>
    <xf numFmtId="3" fontId="8" fillId="0" borderId="0" xfId="1" applyNumberFormat="1" applyFont="1" applyBorder="1" applyAlignment="1" applyProtection="1">
      <alignment vertical="center"/>
    </xf>
    <xf numFmtId="0" fontId="0" fillId="6" borderId="0" xfId="0" applyFill="1" applyProtection="1"/>
    <xf numFmtId="0" fontId="0" fillId="0" borderId="0" xfId="0" applyBorder="1" applyAlignment="1" applyProtection="1"/>
    <xf numFmtId="0" fontId="0" fillId="0" borderId="0" xfId="0" applyBorder="1" applyAlignment="1" applyProtection="1">
      <alignment horizontal="left" indent="1"/>
    </xf>
    <xf numFmtId="9" fontId="8" fillId="0" borderId="0" xfId="2" applyFont="1" applyBorder="1" applyAlignment="1" applyProtection="1">
      <alignment horizontal="left" vertical="center" indent="1"/>
    </xf>
    <xf numFmtId="0" fontId="0" fillId="0" borderId="5" xfId="0" applyBorder="1" applyAlignment="1" applyProtection="1">
      <alignment vertical="center"/>
    </xf>
    <xf numFmtId="0" fontId="0" fillId="0" borderId="5" xfId="0" applyBorder="1" applyProtection="1"/>
    <xf numFmtId="0" fontId="0" fillId="0" borderId="5" xfId="0" applyBorder="1" applyAlignment="1" applyProtection="1">
      <alignment horizontal="left" indent="1"/>
    </xf>
    <xf numFmtId="0" fontId="2" fillId="6" borderId="0" xfId="0" applyFont="1" applyFill="1" applyBorder="1" applyAlignment="1" applyProtection="1"/>
    <xf numFmtId="0" fontId="18" fillId="6" borderId="0" xfId="0" applyFont="1" applyFill="1" applyProtection="1"/>
    <xf numFmtId="0" fontId="2" fillId="0" borderId="0" xfId="0" applyFont="1" applyAlignment="1" applyProtection="1">
      <alignment horizontal="center" vertical="center"/>
    </xf>
    <xf numFmtId="10" fontId="12" fillId="0" borderId="0" xfId="2" applyNumberFormat="1" applyFont="1" applyProtection="1"/>
    <xf numFmtId="14" fontId="0" fillId="0" borderId="0" xfId="0" applyNumberFormat="1" applyProtection="1"/>
    <xf numFmtId="0" fontId="0" fillId="6" borderId="0" xfId="0" applyFill="1" applyAlignment="1" applyProtection="1">
      <alignment vertical="center"/>
    </xf>
    <xf numFmtId="0" fontId="17" fillId="6" borderId="0" xfId="0" applyFont="1" applyFill="1" applyAlignment="1" applyProtection="1">
      <alignment vertical="center"/>
    </xf>
    <xf numFmtId="0" fontId="17" fillId="0" borderId="0" xfId="0" applyFont="1" applyBorder="1" applyProtection="1"/>
    <xf numFmtId="0" fontId="12" fillId="0" borderId="0" xfId="0" applyFont="1" applyProtection="1">
      <protection locked="0"/>
    </xf>
    <xf numFmtId="0" fontId="18" fillId="0" borderId="0" xfId="0" applyFont="1" applyProtection="1">
      <protection locked="0"/>
    </xf>
    <xf numFmtId="0" fontId="0" fillId="0" borderId="0" xfId="0" applyProtection="1">
      <protection locked="0"/>
    </xf>
    <xf numFmtId="0" fontId="2" fillId="0" borderId="0" xfId="0" applyFont="1" applyAlignment="1" applyProtection="1">
      <alignment horizontal="center" vertical="center"/>
      <protection locked="0"/>
    </xf>
    <xf numFmtId="0" fontId="12" fillId="0" borderId="0" xfId="0" applyFont="1" applyAlignment="1" applyProtection="1">
      <alignment vertical="center"/>
      <protection locked="0"/>
    </xf>
    <xf numFmtId="0" fontId="18" fillId="0" borderId="0" xfId="0" applyFont="1" applyAlignment="1" applyProtection="1">
      <alignment vertical="center"/>
      <protection locked="0"/>
    </xf>
    <xf numFmtId="0" fontId="17" fillId="0" borderId="0" xfId="0" applyFont="1" applyProtection="1">
      <protection locked="0"/>
    </xf>
    <xf numFmtId="0" fontId="12" fillId="6" borderId="0" xfId="0" applyFont="1" applyFill="1" applyAlignment="1" applyProtection="1">
      <alignment vertical="center" wrapText="1"/>
    </xf>
    <xf numFmtId="9" fontId="0" fillId="6" borderId="0" xfId="2" applyFont="1" applyFill="1" applyAlignment="1" applyProtection="1">
      <alignment vertical="center"/>
    </xf>
    <xf numFmtId="10" fontId="12" fillId="6" borderId="0" xfId="2" applyNumberFormat="1" applyFont="1" applyFill="1" applyProtection="1"/>
    <xf numFmtId="0" fontId="0" fillId="0" borderId="0" xfId="0" applyAlignment="1">
      <alignment vertical="center"/>
    </xf>
    <xf numFmtId="0" fontId="12" fillId="6" borderId="0" xfId="0" applyFont="1" applyFill="1" applyAlignment="1">
      <alignment vertical="center" wrapText="1"/>
    </xf>
    <xf numFmtId="9" fontId="0" fillId="6" borderId="0" xfId="2" applyFont="1" applyFill="1" applyAlignment="1">
      <alignment vertical="center"/>
    </xf>
    <xf numFmtId="0" fontId="18" fillId="0" borderId="0" xfId="0" applyFont="1" applyAlignment="1">
      <alignment vertical="center"/>
    </xf>
    <xf numFmtId="0" fontId="0" fillId="6" borderId="0" xfId="0" applyFill="1"/>
    <xf numFmtId="0" fontId="13" fillId="0" borderId="0" xfId="0" applyFont="1" applyBorder="1" applyAlignment="1" applyProtection="1">
      <alignment horizontal="right" vertical="center"/>
    </xf>
    <xf numFmtId="0" fontId="13" fillId="0" borderId="0" xfId="0" applyFont="1" applyBorder="1" applyAlignment="1" applyProtection="1">
      <alignment vertical="center"/>
    </xf>
    <xf numFmtId="164" fontId="0" fillId="6" borderId="0" xfId="1" applyFont="1" applyFill="1"/>
    <xf numFmtId="0" fontId="4" fillId="0" borderId="0" xfId="0" applyFont="1" applyAlignment="1">
      <alignment vertical="center"/>
    </xf>
    <xf numFmtId="0" fontId="18" fillId="0" borderId="0" xfId="0" applyFont="1"/>
    <xf numFmtId="16" fontId="0" fillId="0" borderId="0" xfId="0" applyNumberFormat="1" applyProtection="1"/>
    <xf numFmtId="0" fontId="13" fillId="0" borderId="1" xfId="0" applyFont="1" applyBorder="1" applyAlignment="1" applyProtection="1">
      <alignment horizontal="center" vertical="center" wrapText="1"/>
    </xf>
    <xf numFmtId="3" fontId="31" fillId="0" borderId="0" xfId="0" applyNumberFormat="1" applyFont="1"/>
    <xf numFmtId="3" fontId="6" fillId="6" borderId="1" xfId="2" applyNumberFormat="1" applyFont="1" applyFill="1" applyBorder="1" applyAlignment="1" applyProtection="1">
      <alignment horizontal="center" vertical="center"/>
      <protection locked="0"/>
    </xf>
    <xf numFmtId="3" fontId="6" fillId="6" borderId="14" xfId="2" applyNumberFormat="1" applyFont="1" applyFill="1" applyBorder="1" applyAlignment="1" applyProtection="1">
      <alignment horizontal="center" vertical="center"/>
      <protection locked="0"/>
    </xf>
    <xf numFmtId="165" fontId="7" fillId="2" borderId="15" xfId="2" applyNumberFormat="1" applyFont="1" applyFill="1" applyBorder="1" applyAlignment="1" applyProtection="1">
      <alignment vertical="center" wrapText="1"/>
      <protection locked="0"/>
    </xf>
    <xf numFmtId="3" fontId="7" fillId="2" borderId="1" xfId="2" applyNumberFormat="1" applyFont="1" applyFill="1" applyBorder="1" applyAlignment="1" applyProtection="1">
      <alignment horizontal="center" vertical="center"/>
      <protection locked="0"/>
    </xf>
    <xf numFmtId="3" fontId="7" fillId="6" borderId="1" xfId="2" applyNumberFormat="1" applyFont="1" applyFill="1" applyBorder="1" applyAlignment="1" applyProtection="1">
      <alignment horizontal="center" vertical="center"/>
      <protection locked="0"/>
    </xf>
    <xf numFmtId="3" fontId="7" fillId="6" borderId="14" xfId="2" applyNumberFormat="1" applyFont="1" applyFill="1" applyBorder="1" applyAlignment="1" applyProtection="1">
      <alignment horizontal="center" vertical="center"/>
      <protection locked="0"/>
    </xf>
    <xf numFmtId="3" fontId="7" fillId="6" borderId="20" xfId="2" applyNumberFormat="1" applyFont="1" applyFill="1" applyBorder="1" applyAlignment="1" applyProtection="1">
      <alignment horizontal="center" vertical="center"/>
      <protection locked="0"/>
    </xf>
    <xf numFmtId="3" fontId="7" fillId="6" borderId="21" xfId="2" applyNumberFormat="1" applyFont="1" applyFill="1" applyBorder="1" applyAlignment="1" applyProtection="1">
      <alignment horizontal="center" vertical="center"/>
      <protection locked="0"/>
    </xf>
    <xf numFmtId="0" fontId="0" fillId="0" borderId="0" xfId="0" applyAlignment="1">
      <alignment wrapText="1"/>
    </xf>
    <xf numFmtId="3" fontId="0" fillId="0" borderId="0" xfId="0" applyNumberFormat="1"/>
    <xf numFmtId="3" fontId="0" fillId="0" borderId="0" xfId="0" applyNumberFormat="1" applyAlignment="1">
      <alignment wrapText="1"/>
    </xf>
    <xf numFmtId="9" fontId="0" fillId="0" borderId="0" xfId="0" applyNumberFormat="1"/>
    <xf numFmtId="3" fontId="22" fillId="6" borderId="1" xfId="1" applyNumberFormat="1" applyFont="1" applyFill="1" applyBorder="1" applyAlignment="1" applyProtection="1">
      <alignment horizontal="center" vertical="center"/>
    </xf>
    <xf numFmtId="3" fontId="6" fillId="6" borderId="1" xfId="2" applyNumberFormat="1" applyFont="1" applyFill="1" applyBorder="1" applyAlignment="1">
      <alignment horizontal="center" vertical="center"/>
    </xf>
    <xf numFmtId="0" fontId="13" fillId="0" borderId="0" xfId="0" applyFont="1" applyBorder="1" applyAlignment="1" applyProtection="1">
      <alignment horizontal="center" vertical="center"/>
    </xf>
    <xf numFmtId="0" fontId="30" fillId="6" borderId="0" xfId="0" applyFont="1" applyFill="1" applyAlignment="1">
      <alignment vertical="center" wrapText="1"/>
    </xf>
    <xf numFmtId="0" fontId="16" fillId="6" borderId="0" xfId="2" applyNumberFormat="1" applyFont="1" applyFill="1" applyBorder="1" applyAlignment="1" applyProtection="1">
      <alignment horizontal="center" vertical="center" wrapText="1"/>
    </xf>
    <xf numFmtId="4" fontId="31" fillId="0" borderId="0" xfId="0" applyNumberFormat="1" applyFont="1"/>
    <xf numFmtId="0" fontId="29" fillId="0" borderId="1" xfId="0" applyFont="1" applyBorder="1" applyAlignment="1" applyProtection="1">
      <alignment horizontal="center" vertical="center" wrapText="1"/>
    </xf>
    <xf numFmtId="165" fontId="33" fillId="9" borderId="26" xfId="8" applyNumberFormat="1" applyFont="1" applyFill="1" applyBorder="1" applyAlignment="1" applyProtection="1">
      <alignment vertical="center" wrapText="1"/>
      <protection locked="0"/>
    </xf>
    <xf numFmtId="170" fontId="33" fillId="9" borderId="20" xfId="8" applyNumberFormat="1" applyFont="1" applyFill="1" applyBorder="1" applyAlignment="1" applyProtection="1">
      <alignment horizontal="center" vertical="center"/>
      <protection locked="0"/>
    </xf>
    <xf numFmtId="0" fontId="34" fillId="0" borderId="0" xfId="0" applyFont="1"/>
    <xf numFmtId="0" fontId="35" fillId="0" borderId="0" xfId="0" applyFont="1"/>
    <xf numFmtId="0" fontId="36" fillId="0" borderId="0" xfId="0" applyFont="1"/>
    <xf numFmtId="0" fontId="13" fillId="0" borderId="31" xfId="0" applyFont="1" applyBorder="1" applyAlignment="1">
      <alignment horizontal="center" vertical="center" wrapText="1"/>
    </xf>
    <xf numFmtId="0" fontId="13" fillId="0" borderId="17" xfId="0" applyFont="1" applyBorder="1" applyAlignment="1">
      <alignment horizontal="center" vertical="center" wrapText="1"/>
    </xf>
    <xf numFmtId="0" fontId="13" fillId="0" borderId="32" xfId="0" applyFont="1" applyBorder="1" applyAlignment="1">
      <alignment horizontal="center" vertical="center" wrapText="1"/>
    </xf>
    <xf numFmtId="0" fontId="15" fillId="0" borderId="15" xfId="0" applyFont="1" applyBorder="1" applyAlignment="1">
      <alignment horizontal="center" vertical="center" wrapText="1"/>
    </xf>
    <xf numFmtId="0" fontId="15" fillId="8" borderId="1" xfId="7" applyFont="1" applyFill="1" applyBorder="1" applyAlignment="1">
      <alignment wrapText="1"/>
    </xf>
    <xf numFmtId="0" fontId="29" fillId="3" borderId="0" xfId="3" applyFont="1" applyFill="1" applyBorder="1" applyAlignment="1" applyProtection="1">
      <alignment vertical="center"/>
    </xf>
    <xf numFmtId="0" fontId="29" fillId="3" borderId="0" xfId="3" applyFont="1" applyFill="1" applyBorder="1" applyAlignment="1" applyProtection="1">
      <alignment vertical="center" wrapText="1"/>
    </xf>
    <xf numFmtId="0" fontId="29" fillId="3" borderId="0" xfId="3" applyFont="1" applyFill="1" applyBorder="1" applyAlignment="1" applyProtection="1">
      <alignment horizontal="right" vertical="center"/>
    </xf>
    <xf numFmtId="1" fontId="29" fillId="3" borderId="0" xfId="3" applyNumberFormat="1" applyFont="1" applyFill="1" applyBorder="1" applyAlignment="1" applyProtection="1">
      <alignment horizontal="left" vertical="center"/>
    </xf>
    <xf numFmtId="0" fontId="37" fillId="3" borderId="0" xfId="3" applyFont="1" applyFill="1" applyProtection="1"/>
    <xf numFmtId="0" fontId="29" fillId="3" borderId="0" xfId="3" applyFont="1" applyFill="1" applyProtection="1"/>
    <xf numFmtId="0" fontId="29" fillId="3" borderId="0" xfId="3" applyFont="1" applyFill="1" applyBorder="1" applyAlignment="1" applyProtection="1">
      <alignment horizontal="left" vertical="center"/>
    </xf>
    <xf numFmtId="0" fontId="37" fillId="0" borderId="0" xfId="3" applyFont="1" applyProtection="1"/>
    <xf numFmtId="0" fontId="38" fillId="0" borderId="0" xfId="3" applyFont="1" applyProtection="1"/>
    <xf numFmtId="0" fontId="39" fillId="0" borderId="0" xfId="3" applyFont="1" applyProtection="1"/>
    <xf numFmtId="0" fontId="37" fillId="6" borderId="0" xfId="3" applyFont="1" applyFill="1" applyBorder="1" applyProtection="1"/>
    <xf numFmtId="9" fontId="37" fillId="6" borderId="0" xfId="3" applyNumberFormat="1" applyFont="1" applyFill="1" applyBorder="1" applyAlignment="1" applyProtection="1">
      <alignment horizontal="center" vertical="center"/>
    </xf>
    <xf numFmtId="0" fontId="37" fillId="0" borderId="0" xfId="3" applyFont="1" applyBorder="1" applyAlignment="1" applyProtection="1">
      <alignment horizontal="left" vertical="center" wrapText="1"/>
    </xf>
    <xf numFmtId="0" fontId="40" fillId="4" borderId="6" xfId="3" applyFont="1" applyFill="1" applyBorder="1" applyAlignment="1" applyProtection="1">
      <alignment vertical="center"/>
    </xf>
    <xf numFmtId="0" fontId="40" fillId="4" borderId="6" xfId="0" applyFont="1" applyFill="1" applyBorder="1" applyAlignment="1" applyProtection="1">
      <alignment horizontal="center" vertical="center"/>
    </xf>
    <xf numFmtId="0" fontId="40" fillId="4" borderId="9" xfId="0" applyFont="1" applyFill="1" applyBorder="1" applyAlignment="1" applyProtection="1">
      <alignment horizontal="center" vertical="center"/>
    </xf>
    <xf numFmtId="0" fontId="40" fillId="4" borderId="9" xfId="3" applyFont="1" applyFill="1" applyBorder="1" applyAlignment="1" applyProtection="1">
      <alignment horizontal="center" vertical="center"/>
    </xf>
    <xf numFmtId="0" fontId="41" fillId="4" borderId="9" xfId="3" applyFont="1" applyFill="1" applyBorder="1" applyAlignment="1" applyProtection="1">
      <alignment horizontal="center" vertical="center" wrapText="1"/>
    </xf>
    <xf numFmtId="165" fontId="42" fillId="4" borderId="6" xfId="3" applyNumberFormat="1" applyFont="1" applyFill="1" applyBorder="1" applyAlignment="1" applyProtection="1">
      <alignment horizontal="center" vertical="center"/>
    </xf>
    <xf numFmtId="0" fontId="37" fillId="6" borderId="0" xfId="3" applyFont="1" applyFill="1" applyBorder="1" applyAlignment="1" applyProtection="1">
      <alignment horizontal="left" vertical="center"/>
    </xf>
    <xf numFmtId="0" fontId="37" fillId="6" borderId="0" xfId="3" applyFont="1" applyFill="1" applyBorder="1" applyAlignment="1" applyProtection="1">
      <alignment horizontal="center" vertical="center"/>
    </xf>
    <xf numFmtId="9" fontId="29" fillId="6" borderId="0" xfId="3" applyNumberFormat="1" applyFont="1" applyFill="1" applyBorder="1" applyAlignment="1" applyProtection="1">
      <alignment horizontal="center" vertical="center"/>
    </xf>
    <xf numFmtId="0" fontId="37" fillId="6" borderId="0" xfId="3" applyFont="1" applyFill="1" applyProtection="1"/>
    <xf numFmtId="0" fontId="29" fillId="0" borderId="0" xfId="3" applyFont="1" applyProtection="1"/>
    <xf numFmtId="0" fontId="40" fillId="4" borderId="6" xfId="0" applyFont="1" applyFill="1" applyBorder="1" applyAlignment="1" applyProtection="1">
      <alignment vertical="center"/>
    </xf>
    <xf numFmtId="0" fontId="41" fillId="4" borderId="9" xfId="0" applyFont="1" applyFill="1" applyBorder="1" applyAlignment="1" applyProtection="1">
      <alignment horizontal="center" vertical="center" wrapText="1"/>
    </xf>
    <xf numFmtId="0" fontId="37" fillId="0" borderId="0" xfId="0" applyFont="1" applyProtection="1"/>
    <xf numFmtId="9" fontId="37" fillId="5" borderId="0" xfId="0" applyNumberFormat="1" applyFont="1" applyFill="1" applyBorder="1" applyAlignment="1" applyProtection="1">
      <alignment horizontal="left" vertical="center"/>
    </xf>
    <xf numFmtId="0" fontId="37" fillId="5" borderId="0" xfId="0" applyFont="1" applyFill="1" applyBorder="1" applyAlignment="1" applyProtection="1">
      <alignment horizontal="center" vertical="center"/>
    </xf>
    <xf numFmtId="3" fontId="37" fillId="5" borderId="0" xfId="0" applyNumberFormat="1" applyFont="1" applyFill="1" applyBorder="1" applyAlignment="1" applyProtection="1">
      <alignment vertical="center"/>
    </xf>
    <xf numFmtId="3" fontId="29" fillId="5" borderId="0" xfId="0" applyNumberFormat="1" applyFont="1" applyFill="1" applyBorder="1" applyAlignment="1" applyProtection="1">
      <alignment vertical="center"/>
    </xf>
    <xf numFmtId="3" fontId="43" fillId="6" borderId="0" xfId="0" applyNumberFormat="1" applyFont="1" applyFill="1" applyBorder="1" applyAlignment="1" applyProtection="1">
      <alignment vertical="center"/>
    </xf>
    <xf numFmtId="3" fontId="37" fillId="0" borderId="0" xfId="4" applyNumberFormat="1" applyFont="1" applyProtection="1"/>
    <xf numFmtId="3" fontId="37" fillId="0" borderId="0" xfId="0" applyNumberFormat="1" applyFont="1" applyProtection="1"/>
    <xf numFmtId="9" fontId="37" fillId="6" borderId="0" xfId="0" applyNumberFormat="1" applyFont="1" applyFill="1" applyBorder="1" applyAlignment="1" applyProtection="1">
      <alignment horizontal="left" vertical="center"/>
    </xf>
    <xf numFmtId="0" fontId="37" fillId="6" borderId="0" xfId="0" applyFont="1" applyFill="1" applyBorder="1" applyAlignment="1" applyProtection="1">
      <alignment horizontal="center" vertical="center"/>
    </xf>
    <xf numFmtId="3" fontId="37" fillId="6" borderId="0" xfId="0" applyNumberFormat="1" applyFont="1" applyFill="1" applyBorder="1" applyAlignment="1" applyProtection="1">
      <alignment vertical="center"/>
    </xf>
    <xf numFmtId="3" fontId="29" fillId="6" borderId="0" xfId="0" applyNumberFormat="1" applyFont="1" applyFill="1" applyBorder="1" applyAlignment="1" applyProtection="1">
      <alignment vertical="center"/>
    </xf>
    <xf numFmtId="3" fontId="37" fillId="6" borderId="0" xfId="4" applyNumberFormat="1" applyFont="1" applyFill="1" applyProtection="1"/>
    <xf numFmtId="3" fontId="37" fillId="6" borderId="0" xfId="0" applyNumberFormat="1" applyFont="1" applyFill="1" applyProtection="1"/>
    <xf numFmtId="0" fontId="29" fillId="0" borderId="7" xfId="0" applyFont="1" applyFill="1" applyBorder="1" applyAlignment="1" applyProtection="1">
      <alignment vertical="center"/>
    </xf>
    <xf numFmtId="0" fontId="37" fillId="0" borderId="7" xfId="0" applyFont="1" applyFill="1" applyBorder="1" applyAlignment="1" applyProtection="1">
      <alignment horizontal="center" vertical="center"/>
    </xf>
    <xf numFmtId="3" fontId="29" fillId="0" borderId="7" xfId="0" applyNumberFormat="1" applyFont="1" applyFill="1" applyBorder="1" applyAlignment="1" applyProtection="1">
      <alignment vertical="center"/>
    </xf>
    <xf numFmtId="9" fontId="37" fillId="0" borderId="0" xfId="4" applyFont="1" applyFill="1" applyProtection="1"/>
    <xf numFmtId="0" fontId="37" fillId="0" borderId="0" xfId="0" applyFont="1" applyFill="1" applyProtection="1"/>
    <xf numFmtId="0" fontId="29" fillId="0" borderId="0" xfId="0" applyFont="1" applyFill="1" applyBorder="1" applyAlignment="1" applyProtection="1">
      <alignment vertical="center"/>
    </xf>
    <xf numFmtId="0" fontId="37" fillId="0" borderId="0" xfId="0" applyFont="1" applyFill="1" applyBorder="1" applyAlignment="1" applyProtection="1">
      <alignment horizontal="center" vertical="center"/>
    </xf>
    <xf numFmtId="3" fontId="29" fillId="0" borderId="0" xfId="0" applyNumberFormat="1" applyFont="1" applyFill="1" applyBorder="1" applyAlignment="1" applyProtection="1">
      <alignment vertical="center"/>
    </xf>
    <xf numFmtId="10" fontId="29" fillId="0" borderId="0" xfId="2" applyNumberFormat="1" applyFont="1" applyFill="1" applyBorder="1" applyAlignment="1" applyProtection="1">
      <alignment vertical="center"/>
    </xf>
    <xf numFmtId="165" fontId="41" fillId="4" borderId="6" xfId="3" applyNumberFormat="1" applyFont="1" applyFill="1" applyBorder="1" applyAlignment="1" applyProtection="1">
      <alignment horizontal="center" vertical="center" wrapText="1"/>
    </xf>
    <xf numFmtId="0" fontId="37" fillId="0" borderId="0" xfId="0" applyFont="1" applyAlignment="1" applyProtection="1">
      <alignment vertical="center"/>
    </xf>
    <xf numFmtId="0" fontId="37" fillId="0" borderId="0" xfId="0" applyFont="1" applyAlignment="1" applyProtection="1">
      <alignment horizontal="center" vertical="center"/>
    </xf>
    <xf numFmtId="4" fontId="37" fillId="0" borderId="0" xfId="0" applyNumberFormat="1" applyFont="1" applyAlignment="1" applyProtection="1">
      <alignment vertical="center"/>
    </xf>
    <xf numFmtId="0" fontId="29" fillId="0" borderId="0" xfId="0" applyFont="1" applyProtection="1"/>
    <xf numFmtId="0" fontId="40" fillId="4" borderId="6" xfId="3" applyFont="1" applyFill="1" applyBorder="1" applyAlignment="1" applyProtection="1">
      <alignment horizontal="center" vertical="center"/>
    </xf>
    <xf numFmtId="0" fontId="41" fillId="4" borderId="6" xfId="0" applyFont="1" applyFill="1" applyBorder="1" applyAlignment="1" applyProtection="1">
      <alignment horizontal="center" vertical="center" wrapText="1"/>
    </xf>
    <xf numFmtId="9" fontId="37" fillId="0" borderId="0" xfId="0" applyNumberFormat="1" applyFont="1" applyFill="1" applyBorder="1" applyAlignment="1" applyProtection="1">
      <alignment horizontal="left" vertical="center"/>
    </xf>
    <xf numFmtId="3" fontId="37" fillId="0" borderId="0" xfId="0" applyNumberFormat="1" applyFont="1" applyFill="1" applyBorder="1" applyAlignment="1" applyProtection="1">
      <alignment vertical="center"/>
    </xf>
    <xf numFmtId="3" fontId="37" fillId="0" borderId="0" xfId="4" applyNumberFormat="1" applyFont="1" applyFill="1" applyProtection="1"/>
    <xf numFmtId="3" fontId="37" fillId="0" borderId="0" xfId="0" applyNumberFormat="1" applyFont="1" applyFill="1" applyProtection="1"/>
    <xf numFmtId="3" fontId="29" fillId="6" borderId="7" xfId="0" applyNumberFormat="1" applyFont="1" applyFill="1" applyBorder="1" applyAlignment="1" applyProtection="1">
      <alignment vertical="center"/>
    </xf>
    <xf numFmtId="0" fontId="39" fillId="6" borderId="0" xfId="3" applyFont="1" applyFill="1" applyBorder="1" applyAlignment="1" applyProtection="1">
      <alignment horizontal="left" vertical="center"/>
    </xf>
    <xf numFmtId="0" fontId="38" fillId="6" borderId="0" xfId="3" applyFont="1" applyFill="1" applyBorder="1" applyAlignment="1" applyProtection="1">
      <alignment horizontal="center" vertical="center"/>
    </xf>
    <xf numFmtId="4" fontId="39" fillId="6" borderId="0" xfId="3" applyNumberFormat="1" applyFont="1" applyFill="1" applyBorder="1" applyAlignment="1" applyProtection="1">
      <alignment vertical="center"/>
    </xf>
    <xf numFmtId="4" fontId="44" fillId="6" borderId="0" xfId="0" applyNumberFormat="1" applyFont="1" applyFill="1" applyBorder="1" applyAlignment="1" applyProtection="1">
      <alignment vertical="center"/>
    </xf>
    <xf numFmtId="0" fontId="38" fillId="6" borderId="0" xfId="3" applyFont="1" applyFill="1" applyProtection="1"/>
    <xf numFmtId="0" fontId="29" fillId="6" borderId="7" xfId="3" applyFont="1" applyFill="1" applyBorder="1" applyAlignment="1" applyProtection="1">
      <alignment horizontal="left" vertical="center"/>
    </xf>
    <xf numFmtId="0" fontId="37" fillId="6" borderId="7" xfId="3" applyFont="1" applyFill="1" applyBorder="1" applyAlignment="1" applyProtection="1">
      <alignment horizontal="center" vertical="center"/>
    </xf>
    <xf numFmtId="3" fontId="29" fillId="6" borderId="7" xfId="3" applyNumberFormat="1" applyFont="1" applyFill="1" applyBorder="1" applyAlignment="1" applyProtection="1">
      <alignment vertical="center"/>
    </xf>
    <xf numFmtId="0" fontId="37" fillId="0" borderId="0" xfId="3" applyFont="1" applyBorder="1" applyAlignment="1" applyProtection="1">
      <alignment vertical="center"/>
    </xf>
    <xf numFmtId="0" fontId="37" fillId="0" borderId="0" xfId="3" applyFont="1" applyBorder="1" applyAlignment="1" applyProtection="1">
      <alignment horizontal="center" vertical="center"/>
    </xf>
    <xf numFmtId="0" fontId="37" fillId="0" borderId="0" xfId="3" applyFont="1" applyFill="1" applyBorder="1" applyAlignment="1" applyProtection="1">
      <alignment vertical="center"/>
    </xf>
    <xf numFmtId="0" fontId="29" fillId="0" borderId="0" xfId="3" applyFont="1" applyBorder="1" applyAlignment="1" applyProtection="1">
      <alignment vertical="center"/>
    </xf>
    <xf numFmtId="165" fontId="41" fillId="4" borderId="6" xfId="0" applyNumberFormat="1" applyFont="1" applyFill="1" applyBorder="1" applyAlignment="1" applyProtection="1">
      <alignment horizontal="center" vertical="center" wrapText="1"/>
    </xf>
    <xf numFmtId="0" fontId="29" fillId="0" borderId="0" xfId="0" applyFont="1" applyFill="1" applyBorder="1" applyAlignment="1" applyProtection="1">
      <alignment horizontal="left" vertical="center"/>
    </xf>
    <xf numFmtId="168" fontId="37" fillId="0" borderId="0" xfId="0" applyNumberFormat="1" applyFont="1" applyFill="1" applyBorder="1" applyAlignment="1" applyProtection="1">
      <alignment vertical="center"/>
    </xf>
    <xf numFmtId="168" fontId="29" fillId="0" borderId="0" xfId="0" applyNumberFormat="1" applyFont="1" applyFill="1" applyBorder="1" applyAlignment="1" applyProtection="1">
      <alignment vertical="center"/>
    </xf>
    <xf numFmtId="168" fontId="43" fillId="6" borderId="0" xfId="3" applyNumberFormat="1" applyFont="1" applyFill="1" applyBorder="1" applyAlignment="1" applyProtection="1">
      <alignment vertical="center"/>
    </xf>
    <xf numFmtId="0" fontId="37" fillId="0" borderId="0" xfId="0" applyFont="1" applyFill="1" applyBorder="1" applyAlignment="1" applyProtection="1">
      <alignment horizontal="left" vertical="center"/>
    </xf>
    <xf numFmtId="0" fontId="37" fillId="6" borderId="0" xfId="0" applyFont="1" applyFill="1" applyBorder="1" applyAlignment="1" applyProtection="1">
      <alignment horizontal="left" vertical="center"/>
    </xf>
    <xf numFmtId="168" fontId="37" fillId="6" borderId="0" xfId="0" applyNumberFormat="1" applyFont="1" applyFill="1" applyBorder="1" applyAlignment="1" applyProtection="1">
      <alignment vertical="center"/>
    </xf>
    <xf numFmtId="0" fontId="37" fillId="6" borderId="0" xfId="0" applyFont="1" applyFill="1" applyProtection="1"/>
    <xf numFmtId="0" fontId="26" fillId="6" borderId="0" xfId="0" applyFont="1" applyFill="1" applyBorder="1" applyAlignment="1" applyProtection="1">
      <alignment horizontal="left" vertical="center" wrapText="1"/>
    </xf>
    <xf numFmtId="0" fontId="26" fillId="6" borderId="0" xfId="0" applyFont="1" applyFill="1" applyBorder="1" applyAlignment="1" applyProtection="1">
      <alignment horizontal="left" vertical="center"/>
    </xf>
    <xf numFmtId="168" fontId="43" fillId="0" borderId="0" xfId="3" applyNumberFormat="1" applyFont="1" applyFill="1" applyBorder="1" applyAlignment="1" applyProtection="1">
      <alignment vertical="center"/>
    </xf>
    <xf numFmtId="168" fontId="37" fillId="0" borderId="0" xfId="0" applyNumberFormat="1" applyFont="1" applyFill="1" applyBorder="1" applyAlignment="1" applyProtection="1">
      <alignment horizontal="right" vertical="center"/>
    </xf>
    <xf numFmtId="3" fontId="37" fillId="6" borderId="0" xfId="0" applyNumberFormat="1" applyFont="1" applyFill="1" applyBorder="1" applyAlignment="1" applyProtection="1">
      <alignment horizontal="left" vertical="center"/>
    </xf>
    <xf numFmtId="3" fontId="43" fillId="0" borderId="0" xfId="3" applyNumberFormat="1" applyFont="1" applyFill="1" applyBorder="1" applyAlignment="1" applyProtection="1">
      <alignment vertical="center"/>
    </xf>
    <xf numFmtId="3" fontId="37" fillId="0" borderId="0" xfId="0" applyNumberFormat="1" applyFont="1" applyBorder="1" applyAlignment="1" applyProtection="1">
      <alignment vertical="center"/>
    </xf>
    <xf numFmtId="3" fontId="43" fillId="6" borderId="0" xfId="3" applyNumberFormat="1" applyFont="1" applyFill="1" applyBorder="1" applyAlignment="1" applyProtection="1">
      <alignment vertical="center"/>
    </xf>
    <xf numFmtId="3" fontId="29" fillId="0" borderId="0" xfId="0" applyNumberFormat="1" applyFont="1" applyBorder="1" applyAlignment="1" applyProtection="1">
      <alignment vertical="center"/>
    </xf>
    <xf numFmtId="0" fontId="41" fillId="4" borderId="6" xfId="0" applyFont="1" applyFill="1" applyBorder="1" applyAlignment="1" applyProtection="1">
      <alignment horizontal="center" vertical="center"/>
    </xf>
    <xf numFmtId="0" fontId="45" fillId="0" borderId="0" xfId="0" applyFont="1" applyBorder="1" applyAlignment="1" applyProtection="1">
      <alignment horizontal="left" vertical="center" wrapText="1"/>
    </xf>
    <xf numFmtId="0" fontId="37" fillId="0" borderId="0" xfId="0" applyFont="1" applyBorder="1" applyAlignment="1" applyProtection="1">
      <alignment vertical="center"/>
    </xf>
    <xf numFmtId="10" fontId="43" fillId="0" borderId="0" xfId="0" applyNumberFormat="1" applyFont="1" applyBorder="1" applyAlignment="1" applyProtection="1">
      <alignment vertical="center"/>
    </xf>
    <xf numFmtId="166" fontId="37" fillId="0" borderId="0" xfId="0" applyNumberFormat="1" applyFont="1" applyFill="1" applyBorder="1" applyAlignment="1" applyProtection="1">
      <alignment horizontal="left" vertical="center"/>
    </xf>
    <xf numFmtId="9" fontId="37" fillId="6" borderId="0" xfId="2" applyFont="1" applyFill="1" applyBorder="1" applyAlignment="1" applyProtection="1">
      <alignment horizontal="center" vertical="center"/>
    </xf>
    <xf numFmtId="9" fontId="37" fillId="6" borderId="0" xfId="2" applyFont="1" applyFill="1" applyBorder="1" applyAlignment="1" applyProtection="1">
      <alignment vertical="center"/>
    </xf>
    <xf numFmtId="166" fontId="29" fillId="0" borderId="0" xfId="0" applyNumberFormat="1" applyFont="1" applyFill="1" applyBorder="1" applyAlignment="1" applyProtection="1">
      <alignment vertical="center"/>
    </xf>
    <xf numFmtId="166" fontId="43" fillId="0" borderId="0" xfId="0" applyNumberFormat="1" applyFont="1" applyFill="1" applyBorder="1" applyAlignment="1" applyProtection="1">
      <alignment vertical="center"/>
    </xf>
    <xf numFmtId="166" fontId="37" fillId="0" borderId="0" xfId="0" applyNumberFormat="1" applyFont="1" applyProtection="1"/>
    <xf numFmtId="166" fontId="37" fillId="6" borderId="0" xfId="0" applyNumberFormat="1" applyFont="1" applyFill="1" applyBorder="1" applyAlignment="1" applyProtection="1">
      <alignment horizontal="left" vertical="center"/>
    </xf>
    <xf numFmtId="168" fontId="38" fillId="6" borderId="0" xfId="0" applyNumberFormat="1" applyFont="1" applyFill="1" applyProtection="1"/>
    <xf numFmtId="166" fontId="29" fillId="6" borderId="0" xfId="0" applyNumberFormat="1" applyFont="1" applyFill="1" applyBorder="1" applyAlignment="1" applyProtection="1">
      <alignment vertical="center"/>
    </xf>
    <xf numFmtId="166" fontId="43" fillId="6" borderId="0" xfId="0" applyNumberFormat="1" applyFont="1" applyFill="1" applyBorder="1" applyAlignment="1" applyProtection="1">
      <alignment vertical="center"/>
    </xf>
    <xf numFmtId="166" fontId="37" fillId="6" borderId="0" xfId="0" applyNumberFormat="1" applyFont="1" applyFill="1" applyProtection="1"/>
    <xf numFmtId="4" fontId="37" fillId="0" borderId="0" xfId="0" applyNumberFormat="1" applyFont="1" applyFill="1" applyBorder="1" applyAlignment="1" applyProtection="1">
      <alignment vertical="center"/>
    </xf>
    <xf numFmtId="4" fontId="29" fillId="0" borderId="0" xfId="0" applyNumberFormat="1" applyFont="1" applyFill="1" applyBorder="1" applyAlignment="1" applyProtection="1">
      <alignment vertical="center"/>
    </xf>
    <xf numFmtId="4" fontId="37" fillId="0" borderId="0" xfId="0" applyNumberFormat="1" applyFont="1" applyFill="1" applyBorder="1" applyAlignment="1" applyProtection="1">
      <alignment horizontal="center" vertical="center"/>
    </xf>
    <xf numFmtId="4" fontId="43" fillId="0" borderId="0" xfId="0" applyNumberFormat="1" applyFont="1" applyFill="1" applyBorder="1" applyAlignment="1" applyProtection="1">
      <alignment vertical="center"/>
    </xf>
    <xf numFmtId="0" fontId="29" fillId="6" borderId="0" xfId="0" applyFont="1" applyFill="1" applyBorder="1" applyAlignment="1" applyProtection="1">
      <alignment horizontal="right"/>
    </xf>
    <xf numFmtId="4" fontId="29" fillId="0" borderId="1" xfId="0" applyNumberFormat="1" applyFont="1" applyFill="1" applyBorder="1" applyAlignment="1" applyProtection="1">
      <alignment vertical="center"/>
    </xf>
    <xf numFmtId="0" fontId="29" fillId="6" borderId="0" xfId="0" applyFont="1" applyFill="1" applyAlignment="1" applyProtection="1">
      <alignment horizontal="right"/>
    </xf>
    <xf numFmtId="1" fontId="29" fillId="0" borderId="1" xfId="0" applyNumberFormat="1" applyFont="1" applyFill="1" applyBorder="1" applyProtection="1"/>
    <xf numFmtId="1" fontId="29" fillId="0" borderId="0" xfId="0" applyNumberFormat="1" applyFont="1" applyFill="1" applyBorder="1" applyProtection="1"/>
    <xf numFmtId="4" fontId="37" fillId="0" borderId="0" xfId="3" applyNumberFormat="1" applyFont="1" applyFill="1" applyBorder="1" applyAlignment="1" applyProtection="1">
      <alignment vertical="center"/>
    </xf>
    <xf numFmtId="4" fontId="37" fillId="0" borderId="0" xfId="0" applyNumberFormat="1" applyFont="1" applyFill="1" applyProtection="1"/>
    <xf numFmtId="4" fontId="29" fillId="0" borderId="0" xfId="0" applyNumberFormat="1" applyFont="1" applyProtection="1"/>
    <xf numFmtId="0" fontId="46" fillId="0" borderId="0" xfId="0" applyFont="1" applyProtection="1"/>
    <xf numFmtId="0" fontId="46" fillId="0" borderId="0" xfId="0" applyFont="1" applyFill="1" applyProtection="1"/>
    <xf numFmtId="0" fontId="47" fillId="0" borderId="0" xfId="0" applyFont="1" applyFill="1" applyProtection="1"/>
    <xf numFmtId="0" fontId="45" fillId="0" borderId="0" xfId="0" applyFont="1" applyProtection="1"/>
    <xf numFmtId="0" fontId="48" fillId="0" borderId="0" xfId="0" applyFont="1" applyProtection="1"/>
    <xf numFmtId="0" fontId="38" fillId="0" borderId="0" xfId="0" applyFont="1" applyProtection="1"/>
    <xf numFmtId="0" fontId="39" fillId="0" borderId="0" xfId="0" applyFont="1" applyProtection="1"/>
    <xf numFmtId="0" fontId="4" fillId="0" borderId="1" xfId="0" applyFont="1" applyBorder="1" applyAlignment="1">
      <alignment horizontal="center" vertical="center" wrapText="1"/>
    </xf>
    <xf numFmtId="0" fontId="52" fillId="0" borderId="0" xfId="0" applyFont="1"/>
    <xf numFmtId="0" fontId="55" fillId="0" borderId="0" xfId="0" applyFont="1"/>
    <xf numFmtId="9" fontId="0" fillId="0" borderId="0" xfId="0" applyNumberFormat="1" applyAlignment="1" applyProtection="1">
      <alignment vertical="center"/>
    </xf>
    <xf numFmtId="10" fontId="56" fillId="10" borderId="36" xfId="0" applyNumberFormat="1" applyFont="1" applyFill="1" applyBorder="1" applyAlignment="1">
      <alignment horizontal="center" vertical="center"/>
    </xf>
    <xf numFmtId="3" fontId="56" fillId="10" borderId="36" xfId="0" applyNumberFormat="1" applyFont="1" applyFill="1" applyBorder="1" applyAlignment="1">
      <alignment horizontal="center" vertical="center"/>
    </xf>
    <xf numFmtId="0" fontId="29" fillId="0" borderId="1" xfId="0" applyFont="1" applyBorder="1" applyAlignment="1" applyProtection="1">
      <alignment horizontal="center" vertical="center" wrapText="1"/>
    </xf>
    <xf numFmtId="3" fontId="6" fillId="6" borderId="1" xfId="2" applyNumberFormat="1" applyFont="1" applyFill="1" applyBorder="1" applyAlignment="1">
      <alignment horizontal="center" vertical="center"/>
    </xf>
    <xf numFmtId="9" fontId="22" fillId="6" borderId="1" xfId="2" applyFont="1" applyFill="1" applyBorder="1" applyAlignment="1" applyProtection="1">
      <alignment horizontal="center" vertical="center"/>
    </xf>
    <xf numFmtId="0" fontId="21" fillId="6" borderId="1" xfId="2" applyNumberFormat="1" applyFont="1" applyFill="1" applyBorder="1" applyAlignment="1" applyProtection="1">
      <alignment horizontal="center" vertical="center"/>
    </xf>
    <xf numFmtId="0" fontId="13" fillId="0" borderId="0" xfId="0" applyFont="1" applyAlignment="1" applyProtection="1">
      <alignment horizontal="left" vertical="center"/>
    </xf>
    <xf numFmtId="3" fontId="56" fillId="11" borderId="36" xfId="0" applyNumberFormat="1" applyFont="1" applyFill="1" applyBorder="1" applyAlignment="1">
      <alignment horizontal="center" vertical="center"/>
    </xf>
    <xf numFmtId="0" fontId="19" fillId="6" borderId="0" xfId="0" applyFont="1" applyFill="1" applyBorder="1" applyAlignment="1" applyProtection="1">
      <alignment vertical="center" wrapText="1"/>
    </xf>
    <xf numFmtId="0" fontId="37" fillId="5" borderId="0" xfId="0" applyNumberFormat="1" applyFont="1" applyFill="1" applyBorder="1" applyAlignment="1" applyProtection="1">
      <alignment horizontal="left" vertical="center"/>
    </xf>
    <xf numFmtId="9" fontId="29" fillId="0" borderId="0" xfId="0" applyNumberFormat="1" applyFont="1" applyFill="1" applyBorder="1" applyAlignment="1" applyProtection="1">
      <alignment horizontal="left" vertical="center"/>
    </xf>
    <xf numFmtId="0" fontId="29" fillId="0" borderId="0" xfId="0" applyFont="1" applyFill="1" applyBorder="1" applyAlignment="1" applyProtection="1">
      <alignment horizontal="center" vertical="center"/>
    </xf>
    <xf numFmtId="3" fontId="29" fillId="0" borderId="0" xfId="4" applyNumberFormat="1" applyFont="1" applyFill="1" applyProtection="1"/>
    <xf numFmtId="3" fontId="29" fillId="0" borderId="0" xfId="0" applyNumberFormat="1" applyFont="1" applyFill="1" applyProtection="1"/>
    <xf numFmtId="9" fontId="59" fillId="6" borderId="0" xfId="2" applyFont="1" applyFill="1" applyBorder="1" applyAlignment="1" applyProtection="1">
      <alignment vertical="center"/>
    </xf>
    <xf numFmtId="0" fontId="4" fillId="6" borderId="1" xfId="0" applyFont="1" applyFill="1" applyBorder="1" applyAlignment="1" applyProtection="1">
      <alignment horizontal="center" vertical="center" wrapText="1"/>
    </xf>
    <xf numFmtId="3" fontId="6" fillId="6" borderId="1" xfId="2" applyNumberFormat="1" applyFont="1" applyFill="1" applyBorder="1" applyAlignment="1" applyProtection="1">
      <alignment horizontal="center" vertical="center"/>
    </xf>
    <xf numFmtId="3" fontId="6" fillId="6" borderId="14" xfId="1" applyNumberFormat="1" applyFont="1" applyFill="1" applyBorder="1" applyAlignment="1" applyProtection="1">
      <alignment horizontal="center" vertical="center"/>
    </xf>
    <xf numFmtId="3" fontId="22" fillId="6" borderId="19" xfId="1" applyNumberFormat="1" applyFont="1" applyFill="1" applyBorder="1" applyAlignment="1" applyProtection="1">
      <alignment horizontal="center" vertical="center"/>
      <protection locked="0"/>
    </xf>
    <xf numFmtId="3" fontId="22" fillId="6" borderId="1" xfId="1" applyNumberFormat="1" applyFont="1" applyFill="1" applyBorder="1" applyAlignment="1" applyProtection="1">
      <alignment horizontal="center" vertical="center"/>
    </xf>
    <xf numFmtId="0" fontId="19" fillId="6" borderId="1" xfId="0" applyFont="1" applyFill="1" applyBorder="1" applyAlignment="1" applyProtection="1">
      <alignment horizontal="center" vertical="center" wrapText="1"/>
    </xf>
    <xf numFmtId="0" fontId="49" fillId="0" borderId="0" xfId="0" applyFont="1" applyBorder="1" applyAlignment="1" applyProtection="1">
      <alignment horizontal="left" vertical="center"/>
    </xf>
    <xf numFmtId="0" fontId="38" fillId="4" borderId="6" xfId="0" applyFont="1" applyFill="1" applyBorder="1" applyAlignment="1" applyProtection="1">
      <alignment vertical="center"/>
    </xf>
    <xf numFmtId="0" fontId="38" fillId="4" borderId="6" xfId="0" applyFont="1" applyFill="1" applyBorder="1" applyAlignment="1" applyProtection="1">
      <alignment horizontal="center" vertical="center"/>
    </xf>
    <xf numFmtId="0" fontId="38" fillId="4" borderId="9" xfId="0" applyFont="1" applyFill="1" applyBorder="1" applyAlignment="1" applyProtection="1">
      <alignment horizontal="center" vertical="center"/>
    </xf>
    <xf numFmtId="0" fontId="39" fillId="4" borderId="9" xfId="0" applyFont="1" applyFill="1" applyBorder="1" applyAlignment="1" applyProtection="1">
      <alignment horizontal="center" vertical="center" wrapText="1"/>
    </xf>
    <xf numFmtId="165" fontId="39" fillId="4" borderId="6" xfId="3" applyNumberFormat="1" applyFont="1" applyFill="1" applyBorder="1" applyAlignment="1" applyProtection="1">
      <alignment horizontal="center" vertical="center" wrapText="1"/>
    </xf>
    <xf numFmtId="9" fontId="38" fillId="6" borderId="0" xfId="3" applyNumberFormat="1" applyFont="1" applyFill="1" applyBorder="1" applyAlignment="1" applyProtection="1">
      <alignment horizontal="center" vertical="center"/>
    </xf>
    <xf numFmtId="9" fontId="38" fillId="5" borderId="0" xfId="0" applyNumberFormat="1" applyFont="1" applyFill="1" applyBorder="1" applyAlignment="1" applyProtection="1">
      <alignment horizontal="left" vertical="center"/>
    </xf>
    <xf numFmtId="0" fontId="38" fillId="5" borderId="0" xfId="0" applyFont="1" applyFill="1" applyBorder="1" applyAlignment="1" applyProtection="1">
      <alignment horizontal="center" vertical="center"/>
    </xf>
    <xf numFmtId="3" fontId="38" fillId="5" borderId="0" xfId="0" applyNumberFormat="1" applyFont="1" applyFill="1" applyBorder="1" applyAlignment="1" applyProtection="1">
      <alignment vertical="center"/>
    </xf>
    <xf numFmtId="3" fontId="39" fillId="5" borderId="0" xfId="0" applyNumberFormat="1" applyFont="1" applyFill="1" applyBorder="1" applyAlignment="1" applyProtection="1">
      <alignment vertical="center"/>
    </xf>
    <xf numFmtId="3" fontId="44" fillId="6" borderId="0" xfId="0" applyNumberFormat="1" applyFont="1" applyFill="1" applyBorder="1" applyAlignment="1" applyProtection="1">
      <alignment vertical="center"/>
    </xf>
    <xf numFmtId="3" fontId="38" fillId="0" borderId="0" xfId="4" applyNumberFormat="1" applyFont="1" applyProtection="1"/>
    <xf numFmtId="3" fontId="38" fillId="0" borderId="0" xfId="0" applyNumberFormat="1" applyFont="1" applyProtection="1"/>
    <xf numFmtId="0" fontId="39" fillId="0" borderId="7" xfId="0" applyFont="1" applyFill="1" applyBorder="1" applyAlignment="1" applyProtection="1">
      <alignment vertical="center"/>
    </xf>
    <xf numFmtId="0" fontId="38" fillId="0" borderId="7" xfId="0" applyFont="1" applyFill="1" applyBorder="1" applyAlignment="1" applyProtection="1">
      <alignment horizontal="center" vertical="center"/>
    </xf>
    <xf numFmtId="3" fontId="39" fillId="0" borderId="7" xfId="0" applyNumberFormat="1" applyFont="1" applyFill="1" applyBorder="1" applyAlignment="1" applyProtection="1">
      <alignment vertical="center"/>
    </xf>
    <xf numFmtId="9" fontId="38" fillId="0" borderId="0" xfId="4" applyFont="1" applyFill="1" applyProtection="1"/>
    <xf numFmtId="0" fontId="38" fillId="0" borderId="0" xfId="0" applyFont="1" applyFill="1" applyProtection="1"/>
    <xf numFmtId="3" fontId="17" fillId="0" borderId="0" xfId="0" applyNumberFormat="1" applyFont="1" applyAlignment="1">
      <alignment vertical="center"/>
    </xf>
    <xf numFmtId="3" fontId="63" fillId="0" borderId="0" xfId="0" applyNumberFormat="1" applyFont="1" applyAlignment="1">
      <alignment vertical="center"/>
    </xf>
    <xf numFmtId="0" fontId="0" fillId="0" borderId="0" xfId="0" applyProtection="1"/>
    <xf numFmtId="0" fontId="0" fillId="0" borderId="0" xfId="0" applyBorder="1" applyProtection="1"/>
    <xf numFmtId="0" fontId="3" fillId="0" borderId="15" xfId="0" applyFont="1" applyBorder="1" applyAlignment="1" applyProtection="1">
      <alignment horizontal="center" vertical="center" wrapText="1"/>
    </xf>
    <xf numFmtId="0" fontId="3" fillId="0" borderId="14" xfId="0" applyFont="1" applyBorder="1" applyAlignment="1" applyProtection="1">
      <alignment horizontal="center" vertical="center" wrapText="1"/>
    </xf>
    <xf numFmtId="167" fontId="6" fillId="6" borderId="15" xfId="2" applyNumberFormat="1" applyFont="1" applyFill="1" applyBorder="1" applyAlignment="1" applyProtection="1">
      <alignment horizontal="center" vertical="center"/>
    </xf>
    <xf numFmtId="167" fontId="14" fillId="6" borderId="26" xfId="2" applyNumberFormat="1" applyFont="1" applyFill="1" applyBorder="1" applyAlignment="1" applyProtection="1">
      <alignment horizontal="center" vertical="center"/>
    </xf>
    <xf numFmtId="3" fontId="14" fillId="6" borderId="21" xfId="1" applyNumberFormat="1" applyFont="1" applyFill="1" applyBorder="1" applyAlignment="1" applyProtection="1">
      <alignment horizontal="center" vertical="center"/>
    </xf>
    <xf numFmtId="0" fontId="0" fillId="0" borderId="0" xfId="0" applyProtection="1"/>
    <xf numFmtId="0" fontId="0" fillId="0" borderId="0" xfId="0" applyAlignment="1" applyProtection="1"/>
    <xf numFmtId="0" fontId="4" fillId="0" borderId="25" xfId="0" applyFont="1" applyBorder="1" applyAlignment="1" applyProtection="1">
      <alignment horizontal="center" vertical="center" wrapText="1"/>
    </xf>
    <xf numFmtId="0" fontId="4" fillId="0" borderId="15" xfId="0" applyFont="1" applyBorder="1" applyAlignment="1" applyProtection="1">
      <alignment horizontal="center" vertical="center" wrapText="1"/>
    </xf>
    <xf numFmtId="3" fontId="6" fillId="2" borderId="26" xfId="1" applyNumberFormat="1" applyFont="1" applyFill="1" applyBorder="1" applyAlignment="1" applyProtection="1">
      <alignment horizontal="center" vertical="center"/>
      <protection locked="0"/>
    </xf>
    <xf numFmtId="0" fontId="0" fillId="0" borderId="0" xfId="0" applyProtection="1"/>
    <xf numFmtId="3" fontId="26" fillId="6" borderId="0" xfId="1" applyNumberFormat="1" applyFont="1" applyFill="1" applyBorder="1" applyAlignment="1" applyProtection="1">
      <alignment vertical="center"/>
    </xf>
    <xf numFmtId="3" fontId="56" fillId="10" borderId="35" xfId="0" applyNumberFormat="1" applyFont="1" applyFill="1" applyBorder="1" applyAlignment="1">
      <alignment horizontal="center" vertical="center"/>
    </xf>
    <xf numFmtId="3" fontId="56" fillId="10" borderId="59" xfId="0" applyNumberFormat="1" applyFont="1" applyFill="1" applyBorder="1" applyAlignment="1">
      <alignment horizontal="center" vertical="center"/>
    </xf>
    <xf numFmtId="3" fontId="6" fillId="6" borderId="59" xfId="1" applyNumberFormat="1" applyFont="1" applyFill="1" applyBorder="1" applyAlignment="1" applyProtection="1">
      <alignment horizontal="center" vertical="center"/>
    </xf>
    <xf numFmtId="3" fontId="6" fillId="6" borderId="60" xfId="1" applyNumberFormat="1" applyFont="1" applyFill="1" applyBorder="1" applyAlignment="1" applyProtection="1">
      <alignment horizontal="center" vertical="center"/>
    </xf>
    <xf numFmtId="10" fontId="56" fillId="10" borderId="26" xfId="0" applyNumberFormat="1" applyFont="1" applyFill="1" applyBorder="1" applyAlignment="1">
      <alignment horizontal="center" vertical="center"/>
    </xf>
    <xf numFmtId="10" fontId="56" fillId="10" borderId="20" xfId="0" applyNumberFormat="1" applyFont="1" applyFill="1" applyBorder="1" applyAlignment="1">
      <alignment horizontal="center" vertical="center"/>
    </xf>
    <xf numFmtId="166" fontId="20" fillId="0" borderId="20" xfId="0" applyNumberFormat="1" applyFont="1" applyBorder="1" applyAlignment="1" applyProtection="1">
      <alignment horizontal="center" vertical="center" wrapText="1"/>
    </xf>
    <xf numFmtId="166" fontId="20" fillId="0" borderId="21" xfId="0" applyNumberFormat="1" applyFont="1" applyBorder="1" applyAlignment="1" applyProtection="1">
      <alignment horizontal="center" vertical="center" wrapText="1"/>
    </xf>
    <xf numFmtId="3" fontId="56" fillId="10" borderId="25" xfId="0" applyNumberFormat="1" applyFont="1" applyFill="1" applyBorder="1" applyAlignment="1">
      <alignment horizontal="center" vertical="center"/>
    </xf>
    <xf numFmtId="3" fontId="56" fillId="10" borderId="18" xfId="0" applyNumberFormat="1" applyFont="1" applyFill="1" applyBorder="1" applyAlignment="1">
      <alignment horizontal="center" vertical="center"/>
    </xf>
    <xf numFmtId="3" fontId="6" fillId="6" borderId="18" xfId="1" applyNumberFormat="1" applyFont="1" applyFill="1" applyBorder="1" applyAlignment="1" applyProtection="1">
      <alignment horizontal="center" vertical="center"/>
    </xf>
    <xf numFmtId="3" fontId="6" fillId="6" borderId="19" xfId="1" applyNumberFormat="1" applyFont="1" applyFill="1" applyBorder="1" applyAlignment="1" applyProtection="1">
      <alignment horizontal="center" vertical="center"/>
    </xf>
    <xf numFmtId="167" fontId="56" fillId="10" borderId="25" xfId="0" applyNumberFormat="1" applyFont="1" applyFill="1" applyBorder="1" applyAlignment="1">
      <alignment horizontal="center" vertical="center"/>
    </xf>
    <xf numFmtId="167" fontId="56" fillId="10" borderId="18" xfId="0" applyNumberFormat="1" applyFont="1" applyFill="1" applyBorder="1" applyAlignment="1">
      <alignment horizontal="center" vertical="center"/>
    </xf>
    <xf numFmtId="166" fontId="20" fillId="0" borderId="18" xfId="0" applyNumberFormat="1" applyFont="1" applyBorder="1" applyAlignment="1" applyProtection="1">
      <alignment horizontal="center" vertical="center" wrapText="1"/>
    </xf>
    <xf numFmtId="166" fontId="20" fillId="0" borderId="19" xfId="0" applyNumberFormat="1" applyFont="1" applyBorder="1" applyAlignment="1" applyProtection="1">
      <alignment horizontal="center" vertical="center" wrapText="1"/>
    </xf>
    <xf numFmtId="167" fontId="56" fillId="10" borderId="26" xfId="0" applyNumberFormat="1" applyFont="1" applyFill="1" applyBorder="1" applyAlignment="1">
      <alignment horizontal="center" vertical="center"/>
    </xf>
    <xf numFmtId="167" fontId="56" fillId="10" borderId="20" xfId="0" applyNumberFormat="1" applyFont="1" applyFill="1" applyBorder="1" applyAlignment="1">
      <alignment horizontal="center" vertical="center"/>
    </xf>
    <xf numFmtId="0" fontId="15" fillId="0" borderId="25" xfId="0" applyFont="1" applyBorder="1" applyAlignment="1" applyProtection="1">
      <alignment horizontal="center" vertical="center" wrapText="1"/>
    </xf>
    <xf numFmtId="0" fontId="15" fillId="0" borderId="18" xfId="0" applyFont="1" applyBorder="1" applyAlignment="1" applyProtection="1">
      <alignment horizontal="center" vertical="center" wrapText="1"/>
    </xf>
    <xf numFmtId="0" fontId="15" fillId="0" borderId="19" xfId="0" applyFont="1" applyBorder="1" applyAlignment="1" applyProtection="1">
      <alignment horizontal="center" vertical="center" wrapText="1"/>
    </xf>
    <xf numFmtId="166" fontId="29" fillId="0" borderId="29" xfId="0" applyNumberFormat="1" applyFont="1" applyBorder="1" applyAlignment="1" applyProtection="1">
      <alignment horizontal="center" vertical="center" wrapText="1"/>
    </xf>
    <xf numFmtId="166" fontId="29" fillId="0" borderId="16" xfId="0" applyNumberFormat="1" applyFont="1" applyBorder="1" applyAlignment="1" applyProtection="1">
      <alignment horizontal="center" vertical="center" wrapText="1"/>
    </xf>
    <xf numFmtId="166" fontId="29" fillId="0" borderId="30" xfId="0" applyNumberFormat="1" applyFont="1" applyBorder="1" applyAlignment="1" applyProtection="1">
      <alignment horizontal="center" vertical="center" wrapText="1"/>
    </xf>
    <xf numFmtId="166" fontId="20" fillId="0" borderId="18" xfId="0" applyNumberFormat="1" applyFont="1" applyBorder="1" applyAlignment="1">
      <alignment horizontal="center" vertical="center" wrapText="1"/>
    </xf>
    <xf numFmtId="3" fontId="56" fillId="10" borderId="26" xfId="0" applyNumberFormat="1" applyFont="1" applyFill="1" applyBorder="1" applyAlignment="1">
      <alignment horizontal="center" vertical="center"/>
    </xf>
    <xf numFmtId="3" fontId="56" fillId="10" borderId="20" xfId="0" applyNumberFormat="1" applyFont="1" applyFill="1" applyBorder="1" applyAlignment="1">
      <alignment horizontal="center" vertical="center"/>
    </xf>
    <xf numFmtId="3" fontId="6" fillId="6" borderId="20" xfId="1" applyNumberFormat="1" applyFont="1" applyFill="1" applyBorder="1" applyAlignment="1" applyProtection="1">
      <alignment horizontal="center" vertical="center"/>
    </xf>
    <xf numFmtId="3" fontId="6" fillId="6" borderId="21" xfId="1" applyNumberFormat="1" applyFont="1" applyFill="1" applyBorder="1" applyAlignment="1" applyProtection="1">
      <alignment horizontal="center" vertical="center"/>
    </xf>
    <xf numFmtId="3" fontId="56" fillId="10" borderId="31" xfId="0" applyNumberFormat="1" applyFont="1" applyFill="1" applyBorder="1" applyAlignment="1">
      <alignment horizontal="center" vertical="center"/>
    </xf>
    <xf numFmtId="3" fontId="56" fillId="10" borderId="17" xfId="0" applyNumberFormat="1" applyFont="1" applyFill="1" applyBorder="1" applyAlignment="1">
      <alignment horizontal="center" vertical="center"/>
    </xf>
    <xf numFmtId="3" fontId="6" fillId="6" borderId="17" xfId="1" applyNumberFormat="1" applyFont="1" applyFill="1" applyBorder="1" applyAlignment="1" applyProtection="1">
      <alignment horizontal="center" vertical="center"/>
    </xf>
    <xf numFmtId="3" fontId="6" fillId="6" borderId="32" xfId="1" applyNumberFormat="1" applyFont="1" applyFill="1" applyBorder="1" applyAlignment="1" applyProtection="1">
      <alignment horizontal="center" vertical="center"/>
    </xf>
    <xf numFmtId="4" fontId="56" fillId="10" borderId="15" xfId="0" applyNumberFormat="1" applyFont="1" applyFill="1" applyBorder="1" applyAlignment="1">
      <alignment horizontal="center" vertical="center"/>
    </xf>
    <xf numFmtId="4" fontId="56" fillId="10" borderId="1" xfId="0" applyNumberFormat="1" applyFont="1" applyFill="1" applyBorder="1" applyAlignment="1">
      <alignment horizontal="center" vertical="center"/>
    </xf>
    <xf numFmtId="3" fontId="6" fillId="6" borderId="1" xfId="1" applyNumberFormat="1" applyFont="1" applyFill="1" applyBorder="1" applyAlignment="1" applyProtection="1">
      <alignment horizontal="center" vertical="center"/>
    </xf>
    <xf numFmtId="3" fontId="6" fillId="6" borderId="14" xfId="1" applyNumberFormat="1" applyFont="1" applyFill="1" applyBorder="1" applyAlignment="1" applyProtection="1">
      <alignment horizontal="center" vertical="center"/>
    </xf>
    <xf numFmtId="3" fontId="56" fillId="10" borderId="15" xfId="0" applyNumberFormat="1" applyFont="1" applyFill="1" applyBorder="1" applyAlignment="1">
      <alignment horizontal="center" vertical="center"/>
    </xf>
    <xf numFmtId="3" fontId="56" fillId="10" borderId="1" xfId="0" applyNumberFormat="1" applyFont="1" applyFill="1" applyBorder="1" applyAlignment="1">
      <alignment horizontal="center" vertical="center"/>
    </xf>
    <xf numFmtId="3" fontId="6" fillId="6" borderId="16" xfId="1" applyNumberFormat="1" applyFont="1" applyFill="1" applyBorder="1" applyAlignment="1" applyProtection="1">
      <alignment horizontal="center" vertical="center"/>
    </xf>
    <xf numFmtId="3" fontId="6" fillId="6" borderId="30" xfId="1" applyNumberFormat="1" applyFont="1" applyFill="1" applyBorder="1" applyAlignment="1" applyProtection="1">
      <alignment horizontal="center" vertical="center"/>
    </xf>
    <xf numFmtId="166" fontId="20" fillId="0" borderId="1" xfId="0" applyNumberFormat="1" applyFont="1" applyBorder="1" applyAlignment="1" applyProtection="1">
      <alignment horizontal="center" vertical="center" wrapText="1"/>
    </xf>
    <xf numFmtId="166" fontId="20" fillId="0" borderId="14" xfId="0" applyNumberFormat="1" applyFont="1" applyBorder="1" applyAlignment="1" applyProtection="1">
      <alignment horizontal="center" vertical="center" wrapText="1"/>
    </xf>
    <xf numFmtId="9" fontId="7" fillId="0" borderId="25" xfId="2" applyFont="1" applyBorder="1" applyAlignment="1" applyProtection="1">
      <alignment horizontal="left" vertical="center" wrapText="1"/>
    </xf>
    <xf numFmtId="9" fontId="7" fillId="0" borderId="18" xfId="2" applyFont="1" applyBorder="1" applyAlignment="1" applyProtection="1">
      <alignment horizontal="left" vertical="center" wrapText="1"/>
    </xf>
    <xf numFmtId="9" fontId="7" fillId="0" borderId="24" xfId="2" applyFont="1" applyBorder="1" applyAlignment="1" applyProtection="1">
      <alignment horizontal="left" vertical="center" wrapText="1"/>
    </xf>
    <xf numFmtId="9" fontId="7" fillId="0" borderId="26" xfId="2" applyFont="1" applyBorder="1" applyAlignment="1" applyProtection="1">
      <alignment horizontal="left" vertical="center" wrapText="1"/>
    </xf>
    <xf numFmtId="9" fontId="7" fillId="0" borderId="20" xfId="2" applyFont="1" applyBorder="1" applyAlignment="1" applyProtection="1">
      <alignment horizontal="left" vertical="center" wrapText="1"/>
    </xf>
    <xf numFmtId="9" fontId="7" fillId="0" borderId="22" xfId="2" applyFont="1" applyBorder="1" applyAlignment="1" applyProtection="1">
      <alignment horizontal="left" vertical="center" wrapText="1"/>
    </xf>
    <xf numFmtId="9" fontId="7" fillId="0" borderId="17" xfId="2" applyFont="1" applyBorder="1" applyAlignment="1" applyProtection="1">
      <alignment horizontal="left" vertical="center" wrapText="1"/>
    </xf>
    <xf numFmtId="9" fontId="7" fillId="0" borderId="12" xfId="2" applyFont="1" applyBorder="1" applyAlignment="1" applyProtection="1">
      <alignment horizontal="left" vertical="center" wrapText="1"/>
    </xf>
    <xf numFmtId="0" fontId="15" fillId="0" borderId="10" xfId="0" applyFont="1" applyBorder="1" applyAlignment="1" applyProtection="1">
      <alignment horizontal="center" vertical="center"/>
    </xf>
    <xf numFmtId="0" fontId="15" fillId="0" borderId="7" xfId="0" applyFont="1" applyBorder="1" applyAlignment="1" applyProtection="1">
      <alignment horizontal="center" vertical="center"/>
    </xf>
    <xf numFmtId="0" fontId="15" fillId="0" borderId="11" xfId="0" applyFont="1" applyBorder="1" applyAlignment="1" applyProtection="1">
      <alignment horizontal="center" vertical="center"/>
    </xf>
    <xf numFmtId="3" fontId="56" fillId="10" borderId="29" xfId="0" applyNumberFormat="1" applyFont="1" applyFill="1" applyBorder="1" applyAlignment="1">
      <alignment horizontal="center" vertical="center"/>
    </xf>
    <xf numFmtId="3" fontId="56" fillId="10" borderId="16" xfId="0" applyNumberFormat="1" applyFont="1" applyFill="1" applyBorder="1" applyAlignment="1">
      <alignment horizontal="center" vertical="center"/>
    </xf>
    <xf numFmtId="9" fontId="56" fillId="10" borderId="15" xfId="0" applyNumberFormat="1" applyFont="1" applyFill="1" applyBorder="1" applyAlignment="1">
      <alignment horizontal="center" vertical="center"/>
    </xf>
    <xf numFmtId="9" fontId="56" fillId="10" borderId="1" xfId="0" applyNumberFormat="1" applyFont="1" applyFill="1" applyBorder="1" applyAlignment="1">
      <alignment horizontal="center" vertical="center"/>
    </xf>
    <xf numFmtId="9" fontId="7" fillId="0" borderId="18" xfId="2" applyFont="1" applyBorder="1" applyAlignment="1" applyProtection="1">
      <alignment horizontal="center" vertical="center" wrapText="1"/>
    </xf>
    <xf numFmtId="9" fontId="7" fillId="0" borderId="24" xfId="2" applyFont="1" applyBorder="1" applyAlignment="1" applyProtection="1">
      <alignment horizontal="center" vertical="center" wrapText="1"/>
    </xf>
    <xf numFmtId="9" fontId="7" fillId="0" borderId="20" xfId="2" applyFont="1" applyBorder="1" applyAlignment="1" applyProtection="1">
      <alignment horizontal="center" vertical="center" wrapText="1"/>
    </xf>
    <xf numFmtId="9" fontId="7" fillId="0" borderId="22" xfId="2" applyFont="1" applyBorder="1" applyAlignment="1" applyProtection="1">
      <alignment horizontal="center" vertical="center" wrapText="1"/>
    </xf>
    <xf numFmtId="9" fontId="7" fillId="6" borderId="25" xfId="2" applyFont="1" applyFill="1" applyBorder="1" applyAlignment="1" applyProtection="1">
      <alignment vertical="top" wrapText="1"/>
    </xf>
    <xf numFmtId="9" fontId="7" fillId="6" borderId="18" xfId="2" applyFont="1" applyFill="1" applyBorder="1" applyAlignment="1" applyProtection="1">
      <alignment vertical="top" wrapText="1"/>
    </xf>
    <xf numFmtId="9" fontId="7" fillId="6" borderId="24" xfId="2" applyFont="1" applyFill="1" applyBorder="1" applyAlignment="1" applyProtection="1">
      <alignment vertical="top" wrapText="1"/>
    </xf>
    <xf numFmtId="9" fontId="49" fillId="6" borderId="26" xfId="2" applyFont="1" applyFill="1" applyBorder="1" applyAlignment="1" applyProtection="1">
      <alignment horizontal="center" vertical="center" wrapText="1"/>
    </xf>
    <xf numFmtId="9" fontId="49" fillId="6" borderId="20" xfId="2" applyFont="1" applyFill="1" applyBorder="1" applyAlignment="1" applyProtection="1">
      <alignment horizontal="center" vertical="center" wrapText="1"/>
    </xf>
    <xf numFmtId="9" fontId="49" fillId="6" borderId="22" xfId="2" applyFont="1" applyFill="1" applyBorder="1" applyAlignment="1" applyProtection="1">
      <alignment horizontal="center" vertical="center" wrapText="1"/>
    </xf>
    <xf numFmtId="9" fontId="7" fillId="0" borderId="1" xfId="2" applyFont="1" applyBorder="1" applyAlignment="1" applyProtection="1">
      <alignment vertical="center" wrapText="1"/>
    </xf>
    <xf numFmtId="9" fontId="7" fillId="0" borderId="2" xfId="2" applyFont="1" applyBorder="1" applyAlignment="1" applyProtection="1">
      <alignment vertical="center" wrapText="1"/>
    </xf>
    <xf numFmtId="9" fontId="7" fillId="0" borderId="1" xfId="2" applyFont="1" applyBorder="1" applyAlignment="1" applyProtection="1">
      <alignment horizontal="left" vertical="center" wrapText="1"/>
    </xf>
    <xf numFmtId="9" fontId="7" fillId="0" borderId="2" xfId="2" applyFont="1" applyBorder="1" applyAlignment="1" applyProtection="1">
      <alignment horizontal="left" vertical="center" wrapText="1"/>
    </xf>
    <xf numFmtId="10" fontId="22" fillId="2" borderId="1" xfId="2" applyNumberFormat="1" applyFont="1" applyFill="1" applyBorder="1" applyAlignment="1" applyProtection="1">
      <alignment horizontal="center" vertical="center"/>
      <protection locked="0"/>
    </xf>
    <xf numFmtId="9" fontId="7" fillId="0" borderId="16" xfId="2" applyFont="1" applyBorder="1" applyAlignment="1" applyProtection="1">
      <alignment horizontal="left" vertical="center" wrapText="1"/>
    </xf>
    <xf numFmtId="9" fontId="7" fillId="0" borderId="10" xfId="2" applyFont="1" applyBorder="1" applyAlignment="1" applyProtection="1">
      <alignment horizontal="left" vertical="center" wrapText="1"/>
    </xf>
    <xf numFmtId="9" fontId="7" fillId="0" borderId="15" xfId="2" applyFont="1" applyBorder="1" applyAlignment="1" applyProtection="1">
      <alignment horizontal="left" vertical="center" wrapText="1"/>
    </xf>
    <xf numFmtId="0" fontId="29" fillId="0" borderId="1" xfId="0" applyFont="1" applyBorder="1" applyAlignment="1" applyProtection="1">
      <alignment horizontal="center" vertical="center" wrapText="1"/>
    </xf>
    <xf numFmtId="0" fontId="29" fillId="6" borderId="1" xfId="0" applyFont="1" applyFill="1" applyBorder="1" applyAlignment="1" applyProtection="1">
      <alignment horizontal="center" vertical="center" wrapText="1"/>
    </xf>
    <xf numFmtId="3" fontId="22" fillId="2" borderId="1" xfId="1" applyNumberFormat="1" applyFont="1" applyFill="1" applyBorder="1" applyAlignment="1" applyProtection="1">
      <alignment horizontal="center" vertical="center"/>
      <protection locked="0"/>
    </xf>
    <xf numFmtId="3" fontId="22" fillId="6" borderId="1" xfId="1" applyNumberFormat="1" applyFont="1" applyFill="1" applyBorder="1" applyAlignment="1" applyProtection="1">
      <alignment horizontal="center" vertical="center"/>
    </xf>
    <xf numFmtId="0" fontId="19" fillId="6" borderId="3" xfId="0" applyFont="1" applyFill="1" applyBorder="1" applyAlignment="1" applyProtection="1">
      <alignment horizontal="left" wrapText="1"/>
    </xf>
    <xf numFmtId="9" fontId="21" fillId="2" borderId="1" xfId="2" applyFont="1" applyFill="1" applyBorder="1" applyAlignment="1" applyProtection="1">
      <alignment horizontal="center" vertical="center" wrapText="1"/>
      <protection locked="0"/>
    </xf>
    <xf numFmtId="0" fontId="4" fillId="0" borderId="1" xfId="0" applyFont="1" applyBorder="1" applyAlignment="1">
      <alignment horizontal="center" vertical="center" wrapText="1"/>
    </xf>
    <xf numFmtId="0" fontId="15" fillId="6" borderId="1" xfId="0" applyFont="1" applyFill="1" applyBorder="1" applyAlignment="1">
      <alignment horizontal="center" vertical="center" wrapText="1"/>
    </xf>
    <xf numFmtId="0" fontId="50" fillId="6" borderId="1" xfId="2" applyNumberFormat="1" applyFont="1" applyFill="1" applyBorder="1" applyAlignment="1" applyProtection="1">
      <alignment horizontal="center" vertical="center" wrapText="1"/>
      <protection locked="0"/>
    </xf>
    <xf numFmtId="3" fontId="6" fillId="6" borderId="1" xfId="2" applyNumberFormat="1" applyFont="1" applyFill="1" applyBorder="1" applyAlignment="1">
      <alignment horizontal="center" vertical="center"/>
    </xf>
    <xf numFmtId="10" fontId="56" fillId="10" borderId="38" xfId="0" applyNumberFormat="1" applyFont="1" applyFill="1" applyBorder="1" applyAlignment="1">
      <alignment horizontal="center" vertical="center"/>
    </xf>
    <xf numFmtId="0" fontId="57" fillId="0" borderId="37" xfId="0" applyFont="1" applyBorder="1"/>
    <xf numFmtId="0" fontId="16" fillId="6" borderId="1" xfId="2" applyNumberFormat="1" applyFont="1" applyFill="1" applyBorder="1" applyAlignment="1" applyProtection="1">
      <alignment horizontal="center" vertical="center" wrapText="1"/>
    </xf>
    <xf numFmtId="0" fontId="4" fillId="0" borderId="1" xfId="0" applyFont="1" applyBorder="1" applyAlignment="1" applyProtection="1">
      <alignment horizontal="center" vertical="center" wrapText="1"/>
    </xf>
    <xf numFmtId="0" fontId="13" fillId="0" borderId="1" xfId="0" applyFont="1" applyBorder="1" applyAlignment="1" applyProtection="1">
      <alignment horizontal="center" vertical="center" wrapText="1"/>
    </xf>
    <xf numFmtId="10" fontId="56" fillId="10" borderId="1" xfId="0" applyNumberFormat="1" applyFont="1" applyFill="1" applyBorder="1" applyAlignment="1">
      <alignment horizontal="center" vertical="center"/>
    </xf>
    <xf numFmtId="0" fontId="4" fillId="0" borderId="46" xfId="0" applyFont="1" applyBorder="1" applyAlignment="1" applyProtection="1">
      <alignment horizontal="center" vertical="center" wrapText="1"/>
    </xf>
    <xf numFmtId="0" fontId="4" fillId="0" borderId="47" xfId="0" applyFont="1" applyBorder="1" applyAlignment="1" applyProtection="1">
      <alignment horizontal="center" vertical="center" wrapText="1"/>
    </xf>
    <xf numFmtId="0" fontId="4" fillId="0" borderId="48" xfId="0" applyFont="1" applyBorder="1" applyAlignment="1" applyProtection="1">
      <alignment horizontal="center" vertical="center" wrapText="1"/>
    </xf>
    <xf numFmtId="10" fontId="56" fillId="10" borderId="49" xfId="0" applyNumberFormat="1" applyFont="1" applyFill="1" applyBorder="1" applyAlignment="1">
      <alignment horizontal="center" vertical="center"/>
    </xf>
    <xf numFmtId="10" fontId="56" fillId="10" borderId="39" xfId="0" applyNumberFormat="1" applyFont="1" applyFill="1" applyBorder="1" applyAlignment="1">
      <alignment horizontal="center" vertical="center"/>
    </xf>
    <xf numFmtId="10" fontId="56" fillId="10" borderId="37" xfId="0" applyNumberFormat="1" applyFont="1" applyFill="1" applyBorder="1" applyAlignment="1">
      <alignment horizontal="center" vertical="center"/>
    </xf>
    <xf numFmtId="10" fontId="56" fillId="10" borderId="50" xfId="0" applyNumberFormat="1" applyFont="1" applyFill="1" applyBorder="1" applyAlignment="1">
      <alignment horizontal="center" vertical="center"/>
    </xf>
    <xf numFmtId="0" fontId="16" fillId="6" borderId="2" xfId="2" applyNumberFormat="1" applyFont="1" applyFill="1" applyBorder="1" applyAlignment="1" applyProtection="1">
      <alignment horizontal="center" vertical="center" wrapText="1"/>
    </xf>
    <xf numFmtId="0" fontId="16" fillId="6" borderId="4" xfId="2" applyNumberFormat="1" applyFont="1" applyFill="1" applyBorder="1" applyAlignment="1" applyProtection="1">
      <alignment horizontal="center" vertical="center" wrapText="1"/>
    </xf>
    <xf numFmtId="0" fontId="58" fillId="6" borderId="5" xfId="0" applyFont="1" applyFill="1" applyBorder="1" applyAlignment="1" applyProtection="1">
      <alignment horizontal="left" vertical="center" wrapText="1"/>
    </xf>
    <xf numFmtId="9" fontId="7" fillId="0" borderId="25" xfId="2" applyFont="1" applyBorder="1" applyAlignment="1" applyProtection="1">
      <alignment horizontal="center" vertical="center" wrapText="1"/>
    </xf>
    <xf numFmtId="9" fontId="7" fillId="0" borderId="26" xfId="2" applyFont="1" applyBorder="1" applyAlignment="1" applyProtection="1">
      <alignment horizontal="center" vertical="center" wrapText="1"/>
    </xf>
    <xf numFmtId="0" fontId="26" fillId="2" borderId="0" xfId="0" applyFont="1" applyFill="1" applyAlignment="1" applyProtection="1">
      <alignment horizontal="center" vertical="center"/>
    </xf>
    <xf numFmtId="0" fontId="19" fillId="6" borderId="5" xfId="0" applyFont="1" applyFill="1" applyBorder="1" applyAlignment="1" applyProtection="1">
      <alignment horizontal="left" vertical="center" wrapText="1"/>
    </xf>
    <xf numFmtId="0" fontId="5" fillId="0" borderId="0" xfId="0" applyFont="1" applyAlignment="1" applyProtection="1">
      <alignment horizontal="center" vertical="center" wrapText="1"/>
    </xf>
    <xf numFmtId="0" fontId="13" fillId="0" borderId="1" xfId="0" applyFont="1" applyBorder="1" applyAlignment="1" applyProtection="1">
      <alignment horizontal="left" vertical="center" wrapText="1"/>
    </xf>
    <xf numFmtId="0" fontId="13" fillId="2" borderId="1" xfId="0" applyFont="1" applyFill="1" applyBorder="1" applyAlignment="1" applyProtection="1">
      <alignment horizontal="center" vertical="center"/>
      <protection locked="0"/>
    </xf>
    <xf numFmtId="0" fontId="2" fillId="0" borderId="0" xfId="0" applyFont="1" applyBorder="1" applyAlignment="1" applyProtection="1">
      <alignment horizontal="center" vertical="center" wrapText="1"/>
    </xf>
    <xf numFmtId="9" fontId="28" fillId="6" borderId="1" xfId="2" applyFont="1" applyFill="1" applyBorder="1" applyAlignment="1" applyProtection="1">
      <alignment horizontal="center" vertical="center" wrapText="1"/>
    </xf>
    <xf numFmtId="166" fontId="6" fillId="2" borderId="1" xfId="2" applyNumberFormat="1" applyFont="1" applyFill="1" applyBorder="1" applyAlignment="1" applyProtection="1">
      <alignment horizontal="center" vertical="center"/>
      <protection locked="0"/>
    </xf>
    <xf numFmtId="0" fontId="7" fillId="6" borderId="1" xfId="2" applyNumberFormat="1" applyFont="1" applyFill="1" applyBorder="1" applyAlignment="1" applyProtection="1">
      <alignment vertical="center" wrapText="1"/>
    </xf>
    <xf numFmtId="10" fontId="56" fillId="10" borderId="40" xfId="0" applyNumberFormat="1" applyFont="1" applyFill="1" applyBorder="1" applyAlignment="1">
      <alignment horizontal="center" vertical="center"/>
    </xf>
    <xf numFmtId="0" fontId="57" fillId="0" borderId="41" xfId="0" applyFont="1" applyBorder="1"/>
    <xf numFmtId="0" fontId="57" fillId="0" borderId="42" xfId="0" applyFont="1" applyBorder="1"/>
    <xf numFmtId="0" fontId="57" fillId="0" borderId="43" xfId="0" applyFont="1" applyBorder="1"/>
    <xf numFmtId="0" fontId="19" fillId="6" borderId="1" xfId="0" applyFont="1" applyFill="1" applyBorder="1" applyAlignment="1" applyProtection="1">
      <alignment horizontal="center" vertical="center" wrapText="1"/>
    </xf>
    <xf numFmtId="0" fontId="4" fillId="0" borderId="10" xfId="0" applyFont="1" applyBorder="1" applyAlignment="1" applyProtection="1">
      <alignment horizontal="center" vertical="center" wrapText="1"/>
    </xf>
    <xf numFmtId="0" fontId="4" fillId="0" borderId="11" xfId="0" applyFont="1" applyBorder="1" applyAlignment="1" applyProtection="1">
      <alignment horizontal="center" vertical="center" wrapText="1"/>
    </xf>
    <xf numFmtId="0" fontId="4" fillId="0" borderId="12" xfId="0" applyFont="1" applyBorder="1" applyAlignment="1" applyProtection="1">
      <alignment horizontal="center" vertical="center" wrapText="1"/>
    </xf>
    <xf numFmtId="0" fontId="4" fillId="0" borderId="13" xfId="0" applyFont="1" applyBorder="1" applyAlignment="1" applyProtection="1">
      <alignment horizontal="center" vertical="center" wrapText="1"/>
    </xf>
    <xf numFmtId="0" fontId="15" fillId="2" borderId="1" xfId="0" applyFont="1" applyFill="1" applyBorder="1" applyAlignment="1" applyProtection="1">
      <alignment horizontal="center" vertical="center" wrapText="1"/>
      <protection locked="0"/>
    </xf>
    <xf numFmtId="0" fontId="4" fillId="0" borderId="10" xfId="0" applyFont="1" applyBorder="1" applyAlignment="1">
      <alignment horizontal="center" vertical="center" wrapText="1"/>
    </xf>
    <xf numFmtId="0" fontId="4" fillId="0" borderId="11" xfId="0" applyFont="1" applyBorder="1" applyAlignment="1">
      <alignment horizontal="center" vertical="center" wrapText="1"/>
    </xf>
    <xf numFmtId="0" fontId="4" fillId="0" borderId="53" xfId="0" applyFont="1" applyBorder="1" applyAlignment="1">
      <alignment horizontal="center" vertical="center" wrapText="1"/>
    </xf>
    <xf numFmtId="0" fontId="4" fillId="0" borderId="54" xfId="0" applyFont="1" applyBorder="1" applyAlignment="1">
      <alignment horizontal="center" vertical="center" wrapText="1"/>
    </xf>
    <xf numFmtId="3" fontId="56" fillId="10" borderId="49" xfId="0" applyNumberFormat="1" applyFont="1" applyFill="1" applyBorder="1" applyAlignment="1">
      <alignment horizontal="center" vertical="center"/>
    </xf>
    <xf numFmtId="3" fontId="56" fillId="10" borderId="50" xfId="0" applyNumberFormat="1" applyFont="1" applyFill="1" applyBorder="1" applyAlignment="1">
      <alignment horizontal="center" vertical="center"/>
    </xf>
    <xf numFmtId="0" fontId="60" fillId="0" borderId="2" xfId="0" applyFont="1" applyBorder="1" applyAlignment="1">
      <alignment horizontal="center" vertical="center" wrapText="1"/>
    </xf>
    <xf numFmtId="0" fontId="60" fillId="0" borderId="3" xfId="0" applyFont="1" applyBorder="1" applyAlignment="1">
      <alignment horizontal="center" vertical="center" wrapText="1"/>
    </xf>
    <xf numFmtId="0" fontId="60" fillId="0" borderId="4" xfId="0" applyFont="1" applyBorder="1" applyAlignment="1">
      <alignment horizontal="center" vertical="center" wrapText="1"/>
    </xf>
    <xf numFmtId="0" fontId="15" fillId="0" borderId="2" xfId="0" applyFont="1" applyBorder="1" applyAlignment="1" applyProtection="1">
      <alignment horizontal="center" vertical="center" wrapText="1"/>
    </xf>
    <xf numFmtId="0" fontId="15" fillId="0" borderId="3" xfId="0" applyFont="1" applyBorder="1" applyAlignment="1" applyProtection="1">
      <alignment horizontal="center" vertical="center" wrapText="1"/>
    </xf>
    <xf numFmtId="0" fontId="15" fillId="0" borderId="4" xfId="0" applyFont="1" applyBorder="1" applyAlignment="1" applyProtection="1">
      <alignment horizontal="center" vertical="center" wrapText="1"/>
    </xf>
    <xf numFmtId="0" fontId="15" fillId="0" borderId="1" xfId="0" applyFont="1" applyBorder="1" applyAlignment="1" applyProtection="1">
      <alignment horizontal="center" vertical="center" wrapText="1"/>
    </xf>
    <xf numFmtId="9" fontId="7" fillId="6" borderId="1" xfId="2" applyFont="1" applyFill="1" applyBorder="1" applyAlignment="1">
      <alignment horizontal="left" vertical="center" wrapText="1"/>
    </xf>
    <xf numFmtId="9" fontId="7" fillId="6" borderId="2" xfId="2" applyFont="1" applyFill="1" applyBorder="1" applyAlignment="1">
      <alignment horizontal="left" vertical="center" wrapText="1"/>
    </xf>
    <xf numFmtId="0" fontId="0" fillId="0" borderId="0" xfId="0" applyProtection="1"/>
    <xf numFmtId="0" fontId="0" fillId="0" borderId="0" xfId="0" applyBorder="1" applyProtection="1"/>
    <xf numFmtId="9" fontId="7" fillId="6" borderId="1" xfId="2" applyFont="1" applyFill="1" applyBorder="1" applyAlignment="1" applyProtection="1">
      <alignment horizontal="left" vertical="center" wrapText="1"/>
    </xf>
    <xf numFmtId="9" fontId="7" fillId="6" borderId="2" xfId="2" applyFont="1" applyFill="1" applyBorder="1" applyAlignment="1" applyProtection="1">
      <alignment horizontal="left" vertical="center" wrapText="1"/>
    </xf>
    <xf numFmtId="0" fontId="16" fillId="0" borderId="1" xfId="0" applyFont="1" applyBorder="1" applyAlignment="1" applyProtection="1">
      <alignment horizontal="left" vertical="center"/>
    </xf>
    <xf numFmtId="0" fontId="16" fillId="0" borderId="2" xfId="0" applyFont="1" applyBorder="1" applyAlignment="1" applyProtection="1">
      <alignment horizontal="left" vertical="center"/>
    </xf>
    <xf numFmtId="3" fontId="6" fillId="2" borderId="55" xfId="1" applyNumberFormat="1" applyFont="1" applyFill="1" applyBorder="1" applyAlignment="1" applyProtection="1">
      <alignment horizontal="center" vertical="center"/>
      <protection locked="0"/>
    </xf>
    <xf numFmtId="3" fontId="6" fillId="2" borderId="4" xfId="1" applyNumberFormat="1" applyFont="1" applyFill="1" applyBorder="1" applyAlignment="1" applyProtection="1">
      <alignment horizontal="center" vertical="center"/>
      <protection locked="0"/>
    </xf>
    <xf numFmtId="3" fontId="6" fillId="6" borderId="22" xfId="1" applyNumberFormat="1" applyFont="1" applyFill="1" applyBorder="1" applyAlignment="1" applyProtection="1">
      <alignment horizontal="center" vertical="center"/>
    </xf>
    <xf numFmtId="3" fontId="14" fillId="6" borderId="56" xfId="1" applyNumberFormat="1" applyFont="1" applyFill="1" applyBorder="1" applyAlignment="1" applyProtection="1">
      <alignment horizontal="center" vertical="center"/>
    </xf>
    <xf numFmtId="3" fontId="14" fillId="6" borderId="23" xfId="1" applyNumberFormat="1" applyFont="1" applyFill="1" applyBorder="1" applyAlignment="1" applyProtection="1">
      <alignment horizontal="center" vertical="center"/>
    </xf>
    <xf numFmtId="3" fontId="6" fillId="2" borderId="57" xfId="1" applyNumberFormat="1" applyFont="1" applyFill="1" applyBorder="1" applyAlignment="1" applyProtection="1">
      <alignment horizontal="center" vertical="center"/>
      <protection locked="0"/>
    </xf>
    <xf numFmtId="3" fontId="6" fillId="2" borderId="11" xfId="1" applyNumberFormat="1" applyFont="1" applyFill="1" applyBorder="1" applyAlignment="1" applyProtection="1">
      <alignment horizontal="center" vertical="center"/>
      <protection locked="0"/>
    </xf>
    <xf numFmtId="3" fontId="6" fillId="2" borderId="15" xfId="1" applyNumberFormat="1" applyFont="1" applyFill="1" applyBorder="1" applyAlignment="1" applyProtection="1">
      <alignment horizontal="center" vertical="center"/>
      <protection locked="0"/>
    </xf>
    <xf numFmtId="3" fontId="6" fillId="2" borderId="1" xfId="1" applyNumberFormat="1" applyFont="1" applyFill="1" applyBorder="1" applyAlignment="1" applyProtection="1">
      <alignment horizontal="center" vertical="center"/>
      <protection locked="0"/>
    </xf>
    <xf numFmtId="0" fontId="13" fillId="0" borderId="22" xfId="0" applyFont="1" applyBorder="1" applyAlignment="1" applyProtection="1">
      <alignment horizontal="center" vertical="center" wrapText="1"/>
    </xf>
    <xf numFmtId="0" fontId="13" fillId="0" borderId="44" xfId="0" applyFont="1" applyBorder="1" applyAlignment="1" applyProtection="1">
      <alignment horizontal="center" vertical="center" wrapText="1"/>
    </xf>
    <xf numFmtId="0" fontId="13" fillId="0" borderId="23" xfId="0" applyFont="1" applyBorder="1" applyAlignment="1" applyProtection="1">
      <alignment horizontal="center" vertical="center" wrapText="1"/>
    </xf>
    <xf numFmtId="0" fontId="15" fillId="0" borderId="51" xfId="0" applyFont="1" applyBorder="1" applyAlignment="1" applyProtection="1">
      <alignment horizontal="center" vertical="center" wrapText="1"/>
    </xf>
    <xf numFmtId="0" fontId="15" fillId="0" borderId="27" xfId="0" applyFont="1" applyBorder="1" applyAlignment="1" applyProtection="1">
      <alignment horizontal="center" vertical="center" wrapText="1"/>
    </xf>
    <xf numFmtId="0" fontId="15" fillId="0" borderId="28" xfId="0" applyFont="1" applyBorder="1" applyAlignment="1" applyProtection="1">
      <alignment horizontal="center" vertical="center" wrapText="1"/>
    </xf>
    <xf numFmtId="0" fontId="4" fillId="0" borderId="55" xfId="0" applyFont="1" applyBorder="1" applyAlignment="1" applyProtection="1">
      <alignment horizontal="center" vertical="center" wrapText="1"/>
    </xf>
    <xf numFmtId="0" fontId="4" fillId="0" borderId="4" xfId="0" applyFont="1" applyBorder="1" applyAlignment="1" applyProtection="1">
      <alignment horizontal="center" vertical="center" wrapText="1"/>
    </xf>
    <xf numFmtId="3" fontId="6" fillId="2" borderId="58" xfId="1" applyNumberFormat="1" applyFont="1" applyFill="1" applyBorder="1" applyAlignment="1" applyProtection="1">
      <alignment horizontal="center" vertical="center"/>
      <protection locked="0"/>
    </xf>
    <xf numFmtId="3" fontId="6" fillId="2" borderId="13" xfId="1" applyNumberFormat="1" applyFont="1" applyFill="1" applyBorder="1" applyAlignment="1" applyProtection="1">
      <alignment horizontal="center" vertical="center"/>
      <protection locked="0"/>
    </xf>
    <xf numFmtId="3" fontId="29" fillId="6" borderId="2" xfId="1" applyNumberFormat="1" applyFont="1" applyFill="1" applyBorder="1" applyAlignment="1" applyProtection="1">
      <alignment horizontal="center" vertical="center"/>
    </xf>
    <xf numFmtId="3" fontId="29" fillId="6" borderId="33" xfId="1" applyNumberFormat="1" applyFont="1" applyFill="1" applyBorder="1" applyAlignment="1" applyProtection="1">
      <alignment horizontal="center" vertical="center"/>
    </xf>
    <xf numFmtId="0" fontId="4" fillId="0" borderId="3" xfId="0" applyFont="1" applyBorder="1" applyAlignment="1" applyProtection="1">
      <alignment horizontal="center" vertical="center" wrapText="1"/>
    </xf>
    <xf numFmtId="0" fontId="4" fillId="0" borderId="2" xfId="0" applyFont="1" applyBorder="1" applyAlignment="1" applyProtection="1">
      <alignment horizontal="center" vertical="center" wrapText="1"/>
    </xf>
    <xf numFmtId="0" fontId="4" fillId="0" borderId="33" xfId="0" applyFont="1" applyBorder="1" applyAlignment="1" applyProtection="1">
      <alignment horizontal="center" vertical="center" wrapText="1"/>
    </xf>
    <xf numFmtId="3" fontId="6" fillId="2" borderId="7" xfId="1" applyNumberFormat="1" applyFont="1" applyFill="1" applyBorder="1" applyAlignment="1" applyProtection="1">
      <alignment horizontal="center" vertical="center"/>
      <protection locked="0"/>
    </xf>
    <xf numFmtId="3" fontId="6" fillId="6" borderId="10" xfId="1" applyNumberFormat="1" applyFont="1" applyFill="1" applyBorder="1" applyAlignment="1" applyProtection="1">
      <alignment horizontal="center" vertical="center"/>
    </xf>
    <xf numFmtId="3" fontId="6" fillId="6" borderId="52" xfId="1" applyNumberFormat="1" applyFont="1" applyFill="1" applyBorder="1" applyAlignment="1" applyProtection="1">
      <alignment horizontal="center" vertical="center"/>
    </xf>
    <xf numFmtId="3" fontId="6" fillId="2" borderId="5" xfId="1" applyNumberFormat="1" applyFont="1" applyFill="1" applyBorder="1" applyAlignment="1" applyProtection="1">
      <alignment horizontal="center" vertical="center"/>
      <protection locked="0"/>
    </xf>
    <xf numFmtId="3" fontId="6" fillId="6" borderId="12" xfId="1" applyNumberFormat="1" applyFont="1" applyFill="1" applyBorder="1" applyAlignment="1" applyProtection="1">
      <alignment horizontal="center" vertical="center"/>
    </xf>
    <xf numFmtId="3" fontId="6" fillId="6" borderId="45" xfId="1" applyNumberFormat="1" applyFont="1" applyFill="1" applyBorder="1" applyAlignment="1" applyProtection="1">
      <alignment horizontal="center" vertical="center"/>
    </xf>
    <xf numFmtId="3" fontId="6" fillId="6" borderId="2" xfId="1" applyNumberFormat="1" applyFont="1" applyFill="1" applyBorder="1" applyAlignment="1" applyProtection="1">
      <alignment horizontal="center" vertical="center"/>
    </xf>
    <xf numFmtId="3" fontId="6" fillId="6" borderId="33" xfId="1" applyNumberFormat="1" applyFont="1" applyFill="1" applyBorder="1" applyAlignment="1" applyProtection="1">
      <alignment horizontal="center" vertical="center"/>
    </xf>
    <xf numFmtId="3" fontId="6" fillId="2" borderId="3" xfId="1" applyNumberFormat="1" applyFont="1" applyFill="1" applyBorder="1" applyAlignment="1" applyProtection="1">
      <alignment horizontal="center" vertical="center"/>
      <protection locked="0"/>
    </xf>
    <xf numFmtId="3" fontId="14" fillId="6" borderId="44" xfId="1" applyNumberFormat="1" applyFont="1" applyFill="1" applyBorder="1" applyAlignment="1" applyProtection="1">
      <alignment horizontal="center" vertical="center"/>
    </xf>
    <xf numFmtId="3" fontId="6" fillId="6" borderId="34" xfId="1" applyNumberFormat="1" applyFont="1" applyFill="1" applyBorder="1" applyAlignment="1" applyProtection="1">
      <alignment horizontal="center" vertical="center"/>
    </xf>
    <xf numFmtId="3" fontId="6" fillId="2" borderId="18" xfId="1" applyNumberFormat="1" applyFont="1" applyFill="1" applyBorder="1" applyAlignment="1" applyProtection="1">
      <alignment horizontal="center" vertical="center"/>
      <protection locked="0"/>
    </xf>
    <xf numFmtId="3" fontId="6" fillId="2" borderId="24" xfId="1" applyNumberFormat="1" applyFont="1" applyFill="1" applyBorder="1" applyAlignment="1" applyProtection="1">
      <alignment horizontal="center" vertical="center"/>
      <protection locked="0"/>
    </xf>
    <xf numFmtId="9" fontId="7" fillId="0" borderId="3" xfId="2" applyFont="1" applyBorder="1" applyAlignment="1" applyProtection="1">
      <alignment horizontal="left" vertical="center" wrapText="1"/>
    </xf>
    <xf numFmtId="0" fontId="4" fillId="0" borderId="25" xfId="0" applyFont="1" applyBorder="1" applyAlignment="1" applyProtection="1">
      <alignment horizontal="center" vertical="center" wrapText="1"/>
    </xf>
    <xf numFmtId="0" fontId="4" fillId="0" borderId="18" xfId="0" applyFont="1" applyBorder="1" applyAlignment="1" applyProtection="1">
      <alignment horizontal="center" vertical="center" wrapText="1"/>
    </xf>
    <xf numFmtId="0" fontId="4" fillId="0" borderId="19" xfId="0" applyFont="1" applyBorder="1" applyAlignment="1" applyProtection="1">
      <alignment horizontal="center" vertical="center" wrapText="1"/>
    </xf>
    <xf numFmtId="0" fontId="4" fillId="0" borderId="14" xfId="0" applyFont="1" applyBorder="1" applyAlignment="1" applyProtection="1">
      <alignment horizontal="center" vertical="center" wrapText="1"/>
    </xf>
    <xf numFmtId="0" fontId="15" fillId="0" borderId="22" xfId="0" applyFont="1" applyBorder="1" applyAlignment="1" applyProtection="1">
      <alignment horizontal="center" vertical="center" wrapText="1"/>
    </xf>
    <xf numFmtId="0" fontId="15" fillId="0" borderId="44" xfId="0" applyFont="1" applyBorder="1" applyAlignment="1" applyProtection="1">
      <alignment horizontal="center" vertical="center" wrapText="1"/>
    </xf>
    <xf numFmtId="0" fontId="15" fillId="0" borderId="23" xfId="0" applyFont="1" applyBorder="1" applyAlignment="1" applyProtection="1">
      <alignment horizontal="center" vertical="center" wrapText="1"/>
    </xf>
    <xf numFmtId="0" fontId="51" fillId="6" borderId="25" xfId="0" applyFont="1" applyFill="1" applyBorder="1" applyAlignment="1">
      <alignment horizontal="center" vertical="center" wrapText="1"/>
    </xf>
    <xf numFmtId="0" fontId="51" fillId="6" borderId="18" xfId="0" applyFont="1" applyFill="1" applyBorder="1" applyAlignment="1">
      <alignment horizontal="center" vertical="center" wrapText="1"/>
    </xf>
    <xf numFmtId="0" fontId="51" fillId="6" borderId="19" xfId="0" applyFont="1" applyFill="1" applyBorder="1" applyAlignment="1">
      <alignment horizontal="center" vertical="center" wrapText="1"/>
    </xf>
    <xf numFmtId="0" fontId="26" fillId="2" borderId="0" xfId="0" applyFont="1" applyFill="1" applyAlignment="1">
      <alignment horizontal="center" vertical="center"/>
    </xf>
    <xf numFmtId="0" fontId="53" fillId="0" borderId="0" xfId="0" applyFont="1" applyAlignment="1">
      <alignment horizontal="center" vertical="center"/>
    </xf>
    <xf numFmtId="0" fontId="54" fillId="0" borderId="0" xfId="0" applyFont="1" applyAlignment="1">
      <alignment horizontal="center" vertical="center"/>
    </xf>
    <xf numFmtId="0" fontId="34" fillId="7" borderId="0" xfId="7" applyFont="1" applyFill="1" applyAlignment="1">
      <alignment horizontal="center" wrapText="1"/>
    </xf>
    <xf numFmtId="9" fontId="7" fillId="0" borderId="0" xfId="2" applyFont="1" applyBorder="1" applyAlignment="1" applyProtection="1">
      <alignment horizontal="left" vertical="center" wrapText="1"/>
    </xf>
    <xf numFmtId="9" fontId="7" fillId="0" borderId="8" xfId="2" applyFont="1" applyBorder="1" applyAlignment="1" applyProtection="1">
      <alignment horizontal="left" vertical="center" wrapText="1"/>
    </xf>
    <xf numFmtId="3" fontId="14" fillId="6" borderId="1" xfId="1" applyNumberFormat="1" applyFont="1" applyFill="1" applyBorder="1" applyAlignment="1" applyProtection="1">
      <alignment horizontal="center" vertical="center"/>
    </xf>
    <xf numFmtId="0" fontId="29" fillId="0" borderId="2" xfId="0" applyFont="1" applyBorder="1" applyAlignment="1" applyProtection="1">
      <alignment horizontal="center" vertical="center" wrapText="1"/>
    </xf>
    <xf numFmtId="0" fontId="29" fillId="0" borderId="4" xfId="0" applyFont="1" applyBorder="1" applyAlignment="1" applyProtection="1">
      <alignment horizontal="center" vertical="center" wrapText="1"/>
    </xf>
    <xf numFmtId="3" fontId="22" fillId="6" borderId="2" xfId="1" applyNumberFormat="1" applyFont="1" applyFill="1" applyBorder="1" applyAlignment="1" applyProtection="1">
      <alignment horizontal="center" vertical="center"/>
    </xf>
    <xf numFmtId="3" fontId="22" fillId="6" borderId="4" xfId="1" applyNumberFormat="1" applyFont="1" applyFill="1" applyBorder="1" applyAlignment="1" applyProtection="1">
      <alignment horizontal="center" vertical="center"/>
    </xf>
    <xf numFmtId="0" fontId="21" fillId="6" borderId="1" xfId="2" applyNumberFormat="1" applyFont="1" applyFill="1" applyBorder="1" applyAlignment="1" applyProtection="1">
      <alignment horizontal="left" vertical="center" wrapText="1"/>
    </xf>
    <xf numFmtId="3" fontId="61" fillId="0" borderId="1" xfId="1" applyNumberFormat="1" applyFont="1" applyBorder="1" applyAlignment="1" applyProtection="1">
      <alignment horizontal="center" vertical="center"/>
    </xf>
    <xf numFmtId="9" fontId="7" fillId="6" borderId="0" xfId="2" applyFont="1" applyFill="1" applyBorder="1" applyAlignment="1" applyProtection="1">
      <alignment vertical="center" wrapText="1"/>
    </xf>
    <xf numFmtId="0" fontId="62" fillId="0" borderId="3" xfId="0" applyFont="1" applyBorder="1" applyAlignment="1" applyProtection="1">
      <alignment horizontal="center"/>
    </xf>
    <xf numFmtId="9" fontId="61" fillId="0" borderId="1" xfId="2" applyFont="1" applyBorder="1" applyAlignment="1" applyProtection="1">
      <alignment horizontal="center" vertical="center"/>
    </xf>
    <xf numFmtId="9" fontId="7" fillId="0" borderId="0" xfId="2" applyFont="1" applyBorder="1" applyAlignment="1" applyProtection="1">
      <alignment horizontal="left" vertical="center"/>
    </xf>
    <xf numFmtId="0" fontId="19" fillId="6" borderId="5" xfId="0" applyFont="1" applyFill="1" applyBorder="1" applyAlignment="1" applyProtection="1">
      <alignment horizontal="left" wrapText="1"/>
    </xf>
    <xf numFmtId="9" fontId="6" fillId="0" borderId="0" xfId="2" applyFont="1" applyBorder="1" applyAlignment="1" applyProtection="1">
      <alignment horizontal="center" vertical="center" wrapText="1"/>
    </xf>
    <xf numFmtId="0" fontId="4" fillId="0" borderId="0" xfId="0" applyFont="1" applyAlignment="1" applyProtection="1">
      <alignment horizontal="center" vertical="center" wrapText="1"/>
    </xf>
    <xf numFmtId="0" fontId="4" fillId="0" borderId="0" xfId="0" applyFont="1" applyBorder="1" applyAlignment="1" applyProtection="1">
      <alignment horizontal="center" vertical="center" wrapText="1"/>
    </xf>
    <xf numFmtId="3" fontId="61" fillId="0" borderId="2" xfId="1" applyNumberFormat="1" applyFont="1" applyBorder="1" applyAlignment="1" applyProtection="1">
      <alignment horizontal="center" vertical="center"/>
    </xf>
    <xf numFmtId="3" fontId="61" fillId="0" borderId="3" xfId="1" applyNumberFormat="1" applyFont="1" applyBorder="1" applyAlignment="1" applyProtection="1">
      <alignment horizontal="center" vertical="center"/>
    </xf>
    <xf numFmtId="3" fontId="61" fillId="0" borderId="4" xfId="1" applyNumberFormat="1" applyFont="1" applyBorder="1" applyAlignment="1" applyProtection="1">
      <alignment horizontal="center" vertical="center"/>
    </xf>
    <xf numFmtId="0" fontId="0" fillId="0" borderId="3" xfId="0" applyBorder="1" applyAlignment="1" applyProtection="1">
      <alignment horizontal="center"/>
    </xf>
    <xf numFmtId="9" fontId="7" fillId="0" borderId="0" xfId="2" applyFont="1" applyBorder="1" applyAlignment="1" applyProtection="1">
      <alignment vertical="center" wrapText="1"/>
    </xf>
    <xf numFmtId="0" fontId="62" fillId="0" borderId="0" xfId="0" applyFont="1" applyBorder="1" applyAlignment="1" applyProtection="1">
      <alignment horizontal="center"/>
    </xf>
    <xf numFmtId="3" fontId="61" fillId="6" borderId="1" xfId="1" applyNumberFormat="1" applyFont="1" applyFill="1" applyBorder="1" applyAlignment="1" applyProtection="1">
      <alignment horizontal="center" vertical="center"/>
    </xf>
    <xf numFmtId="3" fontId="6" fillId="6" borderId="3" xfId="1" applyNumberFormat="1" applyFont="1" applyFill="1" applyBorder="1" applyAlignment="1" applyProtection="1">
      <alignment horizontal="center" vertical="center"/>
    </xf>
    <xf numFmtId="3" fontId="6" fillId="6" borderId="4" xfId="1" applyNumberFormat="1" applyFont="1" applyFill="1" applyBorder="1" applyAlignment="1" applyProtection="1">
      <alignment horizontal="center" vertical="center"/>
    </xf>
    <xf numFmtId="0" fontId="49" fillId="0" borderId="0" xfId="0" applyFont="1" applyAlignment="1" applyProtection="1">
      <alignment horizontal="left" vertical="center" indent="1"/>
    </xf>
    <xf numFmtId="0" fontId="4" fillId="6" borderId="2" xfId="0" applyFont="1" applyFill="1" applyBorder="1" applyAlignment="1" applyProtection="1">
      <alignment horizontal="center" vertical="center" wrapText="1"/>
    </xf>
    <xf numFmtId="0" fontId="4" fillId="6" borderId="4" xfId="0" applyFont="1" applyFill="1" applyBorder="1" applyAlignment="1" applyProtection="1">
      <alignment horizontal="center" vertical="center" wrapText="1"/>
    </xf>
    <xf numFmtId="9" fontId="7" fillId="0" borderId="1" xfId="2" applyFont="1" applyBorder="1" applyAlignment="1" applyProtection="1">
      <alignment horizontal="center" vertical="center" wrapText="1"/>
    </xf>
    <xf numFmtId="0" fontId="4" fillId="0" borderId="8" xfId="0" applyFont="1" applyBorder="1" applyAlignment="1" applyProtection="1">
      <alignment horizontal="center" vertical="center" wrapText="1"/>
    </xf>
    <xf numFmtId="0" fontId="4" fillId="0" borderId="0" xfId="0" applyFont="1" applyAlignment="1" applyProtection="1">
      <alignment horizontal="center" vertical="center"/>
    </xf>
    <xf numFmtId="0" fontId="4" fillId="0" borderId="8" xfId="0" applyFont="1" applyBorder="1" applyAlignment="1" applyProtection="1">
      <alignment horizontal="center" vertical="center"/>
    </xf>
    <xf numFmtId="3" fontId="6" fillId="6" borderId="2" xfId="2" applyNumberFormat="1" applyFont="1" applyFill="1" applyBorder="1" applyAlignment="1" applyProtection="1">
      <alignment horizontal="center" vertical="center"/>
    </xf>
    <xf numFmtId="3" fontId="6" fillId="6" borderId="4" xfId="2" applyNumberFormat="1" applyFont="1" applyFill="1" applyBorder="1" applyAlignment="1" applyProtection="1">
      <alignment horizontal="center" vertical="center"/>
    </xf>
    <xf numFmtId="0" fontId="19" fillId="6" borderId="3" xfId="0" applyFont="1" applyFill="1" applyBorder="1" applyAlignment="1" applyProtection="1">
      <alignment horizontal="left" vertical="center" wrapText="1"/>
    </xf>
    <xf numFmtId="0" fontId="0" fillId="0" borderId="1" xfId="0" applyBorder="1" applyAlignment="1" applyProtection="1">
      <alignment horizontal="center" vertical="center"/>
    </xf>
    <xf numFmtId="0" fontId="13" fillId="0" borderId="0" xfId="0" applyFont="1" applyAlignment="1" applyProtection="1">
      <alignment vertical="center"/>
    </xf>
    <xf numFmtId="0" fontId="13" fillId="0" borderId="0" xfId="0" applyFont="1" applyAlignment="1" applyProtection="1">
      <alignment horizontal="left" vertical="center"/>
    </xf>
    <xf numFmtId="0" fontId="49" fillId="0" borderId="0" xfId="0" applyFont="1" applyAlignment="1" applyProtection="1">
      <alignment horizontal="left" vertical="center"/>
    </xf>
    <xf numFmtId="0" fontId="29" fillId="6" borderId="2" xfId="3" applyFont="1" applyFill="1" applyBorder="1" applyAlignment="1" applyProtection="1">
      <alignment horizontal="center" vertical="center" wrapText="1"/>
    </xf>
    <xf numFmtId="0" fontId="29" fillId="6" borderId="3" xfId="3" applyFont="1" applyFill="1" applyBorder="1" applyAlignment="1" applyProtection="1">
      <alignment horizontal="center" vertical="center" wrapText="1"/>
    </xf>
    <xf numFmtId="0" fontId="29" fillId="6" borderId="4" xfId="3" applyFont="1" applyFill="1" applyBorder="1" applyAlignment="1" applyProtection="1">
      <alignment horizontal="center" vertical="center" wrapText="1"/>
    </xf>
    <xf numFmtId="0" fontId="29" fillId="0" borderId="2" xfId="3" applyFont="1" applyBorder="1" applyAlignment="1" applyProtection="1">
      <alignment horizontal="center" vertical="center" wrapText="1"/>
    </xf>
    <xf numFmtId="0" fontId="29" fillId="0" borderId="3" xfId="3" applyFont="1" applyBorder="1" applyAlignment="1" applyProtection="1">
      <alignment horizontal="center" vertical="center" wrapText="1"/>
    </xf>
    <xf numFmtId="0" fontId="29" fillId="0" borderId="4" xfId="3" applyFont="1" applyBorder="1" applyAlignment="1" applyProtection="1">
      <alignment horizontal="center" vertical="center" wrapText="1"/>
    </xf>
    <xf numFmtId="0" fontId="29" fillId="0" borderId="1" xfId="3" applyFont="1" applyBorder="1" applyAlignment="1" applyProtection="1">
      <alignment horizontal="center" vertical="center" wrapText="1"/>
    </xf>
    <xf numFmtId="0" fontId="41" fillId="4" borderId="0" xfId="0" applyFont="1" applyFill="1" applyBorder="1" applyAlignment="1" applyProtection="1">
      <alignment horizontal="center" vertical="center" wrapText="1"/>
    </xf>
    <xf numFmtId="0" fontId="41" fillId="4" borderId="9" xfId="0" applyFont="1" applyFill="1" applyBorder="1" applyAlignment="1" applyProtection="1">
      <alignment horizontal="center" vertical="center" wrapText="1"/>
    </xf>
    <xf numFmtId="0" fontId="13" fillId="0" borderId="0" xfId="0" applyFont="1" applyAlignment="1">
      <alignment horizontal="center" vertical="center" wrapText="1"/>
    </xf>
  </cellXfs>
  <cellStyles count="9">
    <cellStyle name="Excel Built-in Percent" xfId="8" xr:uid="{053B72D6-EC44-4128-BBB4-63F30AF3D9FB}"/>
    <cellStyle name="Обычный" xfId="0" builtinId="0"/>
    <cellStyle name="Обычный 2" xfId="6" xr:uid="{E16ACBFD-2BC9-4405-AABA-8886A2DFA3A4}"/>
    <cellStyle name="Обычный 2 2" xfId="7" xr:uid="{F2CB0AB7-5B64-4F86-BE5B-224D65F4B050}"/>
    <cellStyle name="Обычный_7.1. ТЭО (RH)" xfId="3" xr:uid="{00000000-0005-0000-0000-000001000000}"/>
    <cellStyle name="Процентный" xfId="2" builtinId="5"/>
    <cellStyle name="Процентный 2" xfId="4" xr:uid="{00000000-0005-0000-0000-000003000000}"/>
    <cellStyle name="Финансовый" xfId="1" builtinId="3"/>
    <cellStyle name="Финансовый 2" xfId="5" xr:uid="{00000000-0005-0000-0000-000005000000}"/>
  </cellStyles>
  <dxfs count="39"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3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ru-RU" sz="1800" b="1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effectLst/>
                <a:latin typeface="+mn-lt"/>
                <a:ea typeface="+mn-ea"/>
                <a:cs typeface="+mn-cs"/>
              </a:defRPr>
            </a:pPr>
            <a:r>
              <a:rPr lang="ru-RU" sz="1800" b="1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effectLst/>
                <a:latin typeface="+mn-lt"/>
                <a:ea typeface="+mn-ea"/>
                <a:cs typeface="+mn-cs"/>
              </a:rPr>
              <a:t>ДИНАМІКА РУХУ ГРОШОВИХ КОШТІВ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ru-RU" sz="1800" b="1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effectLst/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'ВД Графіки'!$F$2</c:f>
              <c:strCache>
                <c:ptCount val="1"/>
                <c:pt idx="0">
                  <c:v>ДИНАМІКА ПРОДАЖІВ, USD/міс.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'ВД Графіки'!$G$1:$AP$1</c:f>
              <c:strCache>
                <c:ptCount val="36"/>
                <c:pt idx="0">
                  <c:v>квітень</c:v>
                </c:pt>
                <c:pt idx="1">
                  <c:v>травень</c:v>
                </c:pt>
                <c:pt idx="2">
                  <c:v>червень</c:v>
                </c:pt>
                <c:pt idx="3">
                  <c:v>липень</c:v>
                </c:pt>
                <c:pt idx="4">
                  <c:v>серпень</c:v>
                </c:pt>
                <c:pt idx="5">
                  <c:v>вересень</c:v>
                </c:pt>
                <c:pt idx="6">
                  <c:v>жовтень</c:v>
                </c:pt>
                <c:pt idx="7">
                  <c:v>листопад</c:v>
                </c:pt>
                <c:pt idx="8">
                  <c:v>грудень</c:v>
                </c:pt>
                <c:pt idx="9">
                  <c:v>січень</c:v>
                </c:pt>
                <c:pt idx="10">
                  <c:v>лютий</c:v>
                </c:pt>
                <c:pt idx="11">
                  <c:v>березень</c:v>
                </c:pt>
                <c:pt idx="12">
                  <c:v>квітень</c:v>
                </c:pt>
                <c:pt idx="13">
                  <c:v>травень</c:v>
                </c:pt>
                <c:pt idx="14">
                  <c:v>червень</c:v>
                </c:pt>
                <c:pt idx="15">
                  <c:v>липень</c:v>
                </c:pt>
                <c:pt idx="16">
                  <c:v>серпень</c:v>
                </c:pt>
                <c:pt idx="17">
                  <c:v>вересень</c:v>
                </c:pt>
                <c:pt idx="18">
                  <c:v>жовтень</c:v>
                </c:pt>
                <c:pt idx="19">
                  <c:v>листопад</c:v>
                </c:pt>
                <c:pt idx="20">
                  <c:v>грудень</c:v>
                </c:pt>
                <c:pt idx="21">
                  <c:v>січень</c:v>
                </c:pt>
                <c:pt idx="22">
                  <c:v>лютий</c:v>
                </c:pt>
                <c:pt idx="23">
                  <c:v>березень</c:v>
                </c:pt>
                <c:pt idx="24">
                  <c:v>квітень</c:v>
                </c:pt>
                <c:pt idx="25">
                  <c:v>травень</c:v>
                </c:pt>
                <c:pt idx="26">
                  <c:v>червень</c:v>
                </c:pt>
                <c:pt idx="27">
                  <c:v>липень</c:v>
                </c:pt>
                <c:pt idx="28">
                  <c:v>серпень</c:v>
                </c:pt>
                <c:pt idx="29">
                  <c:v>вересень</c:v>
                </c:pt>
                <c:pt idx="30">
                  <c:v>жовтень</c:v>
                </c:pt>
                <c:pt idx="31">
                  <c:v>листопад</c:v>
                </c:pt>
                <c:pt idx="32">
                  <c:v>грудень</c:v>
                </c:pt>
                <c:pt idx="33">
                  <c:v>січень</c:v>
                </c:pt>
                <c:pt idx="34">
                  <c:v>лютий</c:v>
                </c:pt>
                <c:pt idx="35">
                  <c:v>березень</c:v>
                </c:pt>
              </c:strCache>
            </c:strRef>
          </c:cat>
          <c:val>
            <c:numRef>
              <c:f>'ВД Графіки'!$G$2:$AP$2</c:f>
              <c:numCache>
                <c:formatCode>#,##0</c:formatCode>
                <c:ptCount val="36"/>
                <c:pt idx="0">
                  <c:v>2928.5714285714289</c:v>
                </c:pt>
                <c:pt idx="1">
                  <c:v>4214.2857142857147</c:v>
                </c:pt>
                <c:pt idx="2">
                  <c:v>4785.7142857142862</c:v>
                </c:pt>
                <c:pt idx="3">
                  <c:v>5785.7142857142862</c:v>
                </c:pt>
                <c:pt idx="4">
                  <c:v>5785.7142857142862</c:v>
                </c:pt>
                <c:pt idx="5">
                  <c:v>5571.4285714285716</c:v>
                </c:pt>
                <c:pt idx="6">
                  <c:v>3000</c:v>
                </c:pt>
                <c:pt idx="7">
                  <c:v>1785.7142857142858</c:v>
                </c:pt>
                <c:pt idx="8">
                  <c:v>71.428571428571431</c:v>
                </c:pt>
                <c:pt idx="9">
                  <c:v>71.428571428571431</c:v>
                </c:pt>
                <c:pt idx="10">
                  <c:v>71.428571428571431</c:v>
                </c:pt>
                <c:pt idx="11">
                  <c:v>857.14285714285722</c:v>
                </c:pt>
                <c:pt idx="12">
                  <c:v>5550.0000000000009</c:v>
                </c:pt>
                <c:pt idx="13">
                  <c:v>5775.0000000000009</c:v>
                </c:pt>
                <c:pt idx="14">
                  <c:v>5550.0000000000009</c:v>
                </c:pt>
                <c:pt idx="15">
                  <c:v>6675.0000000000009</c:v>
                </c:pt>
                <c:pt idx="16">
                  <c:v>6675.0000000000009</c:v>
                </c:pt>
                <c:pt idx="17">
                  <c:v>6450.0000000000009</c:v>
                </c:pt>
                <c:pt idx="18">
                  <c:v>3450.0000000000005</c:v>
                </c:pt>
                <c:pt idx="19">
                  <c:v>2100.0000000000005</c:v>
                </c:pt>
                <c:pt idx="20">
                  <c:v>75.000000000000014</c:v>
                </c:pt>
                <c:pt idx="21">
                  <c:v>75.000000000000014</c:v>
                </c:pt>
                <c:pt idx="22">
                  <c:v>75.000000000000014</c:v>
                </c:pt>
                <c:pt idx="23">
                  <c:v>975.00000000000011</c:v>
                </c:pt>
                <c:pt idx="24">
                  <c:v>6364.2857142857156</c:v>
                </c:pt>
                <c:pt idx="25">
                  <c:v>6600.0000000000009</c:v>
                </c:pt>
                <c:pt idx="26">
                  <c:v>6364.2857142857156</c:v>
                </c:pt>
                <c:pt idx="27">
                  <c:v>7621.4285714285725</c:v>
                </c:pt>
                <c:pt idx="28">
                  <c:v>7621.4285714285725</c:v>
                </c:pt>
                <c:pt idx="29">
                  <c:v>7307.1428571428587</c:v>
                </c:pt>
                <c:pt idx="30">
                  <c:v>3928.5714285714294</c:v>
                </c:pt>
                <c:pt idx="31">
                  <c:v>2357.1428571428573</c:v>
                </c:pt>
                <c:pt idx="32">
                  <c:v>78.571428571428584</c:v>
                </c:pt>
                <c:pt idx="33">
                  <c:v>78.571428571428584</c:v>
                </c:pt>
                <c:pt idx="34">
                  <c:v>78.571428571428584</c:v>
                </c:pt>
                <c:pt idx="35">
                  <c:v>1100.0000000000002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A09-4FAE-B59C-94782FD2666E}"/>
            </c:ext>
          </c:extLst>
        </c:ser>
        <c:ser>
          <c:idx val="3"/>
          <c:order val="3"/>
          <c:tx>
            <c:strRef>
              <c:f>'ВД Графіки'!$F$5</c:f>
              <c:strCache>
                <c:ptCount val="1"/>
                <c:pt idx="0">
                  <c:v>ПОТОЧНІ ВИТРАТИ, USD/міс.</c:v>
                </c:pt>
              </c:strCache>
              <c:extLst xmlns:c15="http://schemas.microsoft.com/office/drawing/2012/chart"/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'ВД Графіки'!$G$1:$AP$1</c:f>
              <c:strCache>
                <c:ptCount val="36"/>
                <c:pt idx="0">
                  <c:v>квітень</c:v>
                </c:pt>
                <c:pt idx="1">
                  <c:v>травень</c:v>
                </c:pt>
                <c:pt idx="2">
                  <c:v>червень</c:v>
                </c:pt>
                <c:pt idx="3">
                  <c:v>липень</c:v>
                </c:pt>
                <c:pt idx="4">
                  <c:v>серпень</c:v>
                </c:pt>
                <c:pt idx="5">
                  <c:v>вересень</c:v>
                </c:pt>
                <c:pt idx="6">
                  <c:v>жовтень</c:v>
                </c:pt>
                <c:pt idx="7">
                  <c:v>листопад</c:v>
                </c:pt>
                <c:pt idx="8">
                  <c:v>грудень</c:v>
                </c:pt>
                <c:pt idx="9">
                  <c:v>січень</c:v>
                </c:pt>
                <c:pt idx="10">
                  <c:v>лютий</c:v>
                </c:pt>
                <c:pt idx="11">
                  <c:v>березень</c:v>
                </c:pt>
                <c:pt idx="12">
                  <c:v>квітень</c:v>
                </c:pt>
                <c:pt idx="13">
                  <c:v>травень</c:v>
                </c:pt>
                <c:pt idx="14">
                  <c:v>червень</c:v>
                </c:pt>
                <c:pt idx="15">
                  <c:v>липень</c:v>
                </c:pt>
                <c:pt idx="16">
                  <c:v>серпень</c:v>
                </c:pt>
                <c:pt idx="17">
                  <c:v>вересень</c:v>
                </c:pt>
                <c:pt idx="18">
                  <c:v>жовтень</c:v>
                </c:pt>
                <c:pt idx="19">
                  <c:v>листопад</c:v>
                </c:pt>
                <c:pt idx="20">
                  <c:v>грудень</c:v>
                </c:pt>
                <c:pt idx="21">
                  <c:v>січень</c:v>
                </c:pt>
                <c:pt idx="22">
                  <c:v>лютий</c:v>
                </c:pt>
                <c:pt idx="23">
                  <c:v>березень</c:v>
                </c:pt>
                <c:pt idx="24">
                  <c:v>квітень</c:v>
                </c:pt>
                <c:pt idx="25">
                  <c:v>травень</c:v>
                </c:pt>
                <c:pt idx="26">
                  <c:v>червень</c:v>
                </c:pt>
                <c:pt idx="27">
                  <c:v>липень</c:v>
                </c:pt>
                <c:pt idx="28">
                  <c:v>серпень</c:v>
                </c:pt>
                <c:pt idx="29">
                  <c:v>вересень</c:v>
                </c:pt>
                <c:pt idx="30">
                  <c:v>жовтень</c:v>
                </c:pt>
                <c:pt idx="31">
                  <c:v>листопад</c:v>
                </c:pt>
                <c:pt idx="32">
                  <c:v>грудень</c:v>
                </c:pt>
                <c:pt idx="33">
                  <c:v>січень</c:v>
                </c:pt>
                <c:pt idx="34">
                  <c:v>лютий</c:v>
                </c:pt>
                <c:pt idx="35">
                  <c:v>березень</c:v>
                </c:pt>
              </c:strCache>
              <c:extLst xmlns:c15="http://schemas.microsoft.com/office/drawing/2012/chart"/>
            </c:strRef>
          </c:cat>
          <c:val>
            <c:numRef>
              <c:f>'ВД Графіки'!$G$5:$AP$5</c:f>
              <c:numCache>
                <c:formatCode>#,##0</c:formatCode>
                <c:ptCount val="36"/>
                <c:pt idx="0">
                  <c:v>1410.2142857142856</c:v>
                </c:pt>
                <c:pt idx="1">
                  <c:v>1545.2142857142858</c:v>
                </c:pt>
                <c:pt idx="2">
                  <c:v>1605.2142857142856</c:v>
                </c:pt>
                <c:pt idx="3">
                  <c:v>1710.2142857142856</c:v>
                </c:pt>
                <c:pt idx="4">
                  <c:v>1710.2142857142856</c:v>
                </c:pt>
                <c:pt idx="5">
                  <c:v>1687.7142857142858</c:v>
                </c:pt>
                <c:pt idx="6">
                  <c:v>1417.7142857142856</c:v>
                </c:pt>
                <c:pt idx="7">
                  <c:v>1290.2142857142853</c:v>
                </c:pt>
                <c:pt idx="8">
                  <c:v>1110.2142857142856</c:v>
                </c:pt>
                <c:pt idx="9">
                  <c:v>1110.2142857142856</c:v>
                </c:pt>
                <c:pt idx="10">
                  <c:v>1110.2142857142856</c:v>
                </c:pt>
                <c:pt idx="11">
                  <c:v>1192.7142857142858</c:v>
                </c:pt>
                <c:pt idx="12">
                  <c:v>1705.9642857142856</c:v>
                </c:pt>
                <c:pt idx="13">
                  <c:v>1729.5892857142856</c:v>
                </c:pt>
                <c:pt idx="14">
                  <c:v>1705.9642857142856</c:v>
                </c:pt>
                <c:pt idx="15">
                  <c:v>1824.0892857142856</c:v>
                </c:pt>
                <c:pt idx="16">
                  <c:v>1824.0892857142856</c:v>
                </c:pt>
                <c:pt idx="17">
                  <c:v>1800.4642857142856</c:v>
                </c:pt>
                <c:pt idx="18">
                  <c:v>1485.4642857142856</c:v>
                </c:pt>
                <c:pt idx="19">
                  <c:v>1343.7142857142856</c:v>
                </c:pt>
                <c:pt idx="20">
                  <c:v>1131.0892857142856</c:v>
                </c:pt>
                <c:pt idx="21">
                  <c:v>1131.0892857142856</c:v>
                </c:pt>
                <c:pt idx="22">
                  <c:v>1131.0892857142856</c:v>
                </c:pt>
                <c:pt idx="23">
                  <c:v>1225.5892857142856</c:v>
                </c:pt>
                <c:pt idx="24">
                  <c:v>1811.9642857142858</c:v>
                </c:pt>
                <c:pt idx="25">
                  <c:v>1836.7142857142858</c:v>
                </c:pt>
                <c:pt idx="26">
                  <c:v>1811.9642857142858</c:v>
                </c:pt>
                <c:pt idx="27">
                  <c:v>1943.9642857142858</c:v>
                </c:pt>
                <c:pt idx="28">
                  <c:v>1943.9642857142858</c:v>
                </c:pt>
                <c:pt idx="29">
                  <c:v>1910.9642857142858</c:v>
                </c:pt>
                <c:pt idx="30">
                  <c:v>1556.2142857142858</c:v>
                </c:pt>
                <c:pt idx="31">
                  <c:v>1391.2142857142856</c:v>
                </c:pt>
                <c:pt idx="32">
                  <c:v>1151.9642857142856</c:v>
                </c:pt>
                <c:pt idx="33">
                  <c:v>1151.9642857142856</c:v>
                </c:pt>
                <c:pt idx="34">
                  <c:v>1151.9642857142856</c:v>
                </c:pt>
                <c:pt idx="35">
                  <c:v>1259.2142857142856</c:v>
                </c:pt>
              </c:numCache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4-8A09-4FAE-B59C-94782FD2666E}"/>
            </c:ext>
          </c:extLst>
        </c:ser>
        <c:ser>
          <c:idx val="4"/>
          <c:order val="4"/>
          <c:tx>
            <c:strRef>
              <c:f>'ВД Графіки'!$F$6</c:f>
              <c:strCache>
                <c:ptCount val="1"/>
                <c:pt idx="0">
                  <c:v>ЧИСТИЙ ПРИБУТОК, USD/міс.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'ВД Графіки'!$G$1:$AP$1</c:f>
              <c:strCache>
                <c:ptCount val="36"/>
                <c:pt idx="0">
                  <c:v>квітень</c:v>
                </c:pt>
                <c:pt idx="1">
                  <c:v>травень</c:v>
                </c:pt>
                <c:pt idx="2">
                  <c:v>червень</c:v>
                </c:pt>
                <c:pt idx="3">
                  <c:v>липень</c:v>
                </c:pt>
                <c:pt idx="4">
                  <c:v>серпень</c:v>
                </c:pt>
                <c:pt idx="5">
                  <c:v>вересень</c:v>
                </c:pt>
                <c:pt idx="6">
                  <c:v>жовтень</c:v>
                </c:pt>
                <c:pt idx="7">
                  <c:v>листопад</c:v>
                </c:pt>
                <c:pt idx="8">
                  <c:v>грудень</c:v>
                </c:pt>
                <c:pt idx="9">
                  <c:v>січень</c:v>
                </c:pt>
                <c:pt idx="10">
                  <c:v>лютий</c:v>
                </c:pt>
                <c:pt idx="11">
                  <c:v>березень</c:v>
                </c:pt>
                <c:pt idx="12">
                  <c:v>квітень</c:v>
                </c:pt>
                <c:pt idx="13">
                  <c:v>травень</c:v>
                </c:pt>
                <c:pt idx="14">
                  <c:v>червень</c:v>
                </c:pt>
                <c:pt idx="15">
                  <c:v>липень</c:v>
                </c:pt>
                <c:pt idx="16">
                  <c:v>серпень</c:v>
                </c:pt>
                <c:pt idx="17">
                  <c:v>вересень</c:v>
                </c:pt>
                <c:pt idx="18">
                  <c:v>жовтень</c:v>
                </c:pt>
                <c:pt idx="19">
                  <c:v>листопад</c:v>
                </c:pt>
                <c:pt idx="20">
                  <c:v>грудень</c:v>
                </c:pt>
                <c:pt idx="21">
                  <c:v>січень</c:v>
                </c:pt>
                <c:pt idx="22">
                  <c:v>лютий</c:v>
                </c:pt>
                <c:pt idx="23">
                  <c:v>березень</c:v>
                </c:pt>
                <c:pt idx="24">
                  <c:v>квітень</c:v>
                </c:pt>
                <c:pt idx="25">
                  <c:v>травень</c:v>
                </c:pt>
                <c:pt idx="26">
                  <c:v>червень</c:v>
                </c:pt>
                <c:pt idx="27">
                  <c:v>липень</c:v>
                </c:pt>
                <c:pt idx="28">
                  <c:v>серпень</c:v>
                </c:pt>
                <c:pt idx="29">
                  <c:v>вересень</c:v>
                </c:pt>
                <c:pt idx="30">
                  <c:v>жовтень</c:v>
                </c:pt>
                <c:pt idx="31">
                  <c:v>листопад</c:v>
                </c:pt>
                <c:pt idx="32">
                  <c:v>грудень</c:v>
                </c:pt>
                <c:pt idx="33">
                  <c:v>січень</c:v>
                </c:pt>
                <c:pt idx="34">
                  <c:v>лютий</c:v>
                </c:pt>
                <c:pt idx="35">
                  <c:v>березень</c:v>
                </c:pt>
              </c:strCache>
            </c:strRef>
          </c:cat>
          <c:val>
            <c:numRef>
              <c:f>'ВД Графіки'!$G$6:$AP$6</c:f>
              <c:numCache>
                <c:formatCode>#,##0</c:formatCode>
                <c:ptCount val="36"/>
                <c:pt idx="0">
                  <c:v>1518.3571428571433</c:v>
                </c:pt>
                <c:pt idx="1">
                  <c:v>2669.0714285714289</c:v>
                </c:pt>
                <c:pt idx="2">
                  <c:v>3180.5000000000009</c:v>
                </c:pt>
                <c:pt idx="3">
                  <c:v>4075.5000000000009</c:v>
                </c:pt>
                <c:pt idx="4">
                  <c:v>4075.5000000000009</c:v>
                </c:pt>
                <c:pt idx="5">
                  <c:v>3883.7142857142858</c:v>
                </c:pt>
                <c:pt idx="6">
                  <c:v>1582.2857142857144</c:v>
                </c:pt>
                <c:pt idx="7">
                  <c:v>495.50000000000045</c:v>
                </c:pt>
                <c:pt idx="8">
                  <c:v>-1038.7857142857142</c:v>
                </c:pt>
                <c:pt idx="9">
                  <c:v>-1038.7857142857142</c:v>
                </c:pt>
                <c:pt idx="10">
                  <c:v>-1038.7857142857142</c:v>
                </c:pt>
                <c:pt idx="11">
                  <c:v>-335.57142857142856</c:v>
                </c:pt>
                <c:pt idx="12">
                  <c:v>3844.0357142857156</c:v>
                </c:pt>
                <c:pt idx="13">
                  <c:v>4045.4107142857156</c:v>
                </c:pt>
                <c:pt idx="14">
                  <c:v>3844.0357142857156</c:v>
                </c:pt>
                <c:pt idx="15">
                  <c:v>4850.9107142857156</c:v>
                </c:pt>
                <c:pt idx="16">
                  <c:v>4850.9107142857156</c:v>
                </c:pt>
                <c:pt idx="17">
                  <c:v>4649.5357142857156</c:v>
                </c:pt>
                <c:pt idx="18">
                  <c:v>1964.5357142857149</c:v>
                </c:pt>
                <c:pt idx="19">
                  <c:v>756.2857142857149</c:v>
                </c:pt>
                <c:pt idx="20">
                  <c:v>-1056.0892857142856</c:v>
                </c:pt>
                <c:pt idx="21">
                  <c:v>-1056.0892857142856</c:v>
                </c:pt>
                <c:pt idx="22">
                  <c:v>-1056.0892857142856</c:v>
                </c:pt>
                <c:pt idx="23">
                  <c:v>-250.58928571428544</c:v>
                </c:pt>
                <c:pt idx="24">
                  <c:v>4552.3214285714294</c:v>
                </c:pt>
                <c:pt idx="25">
                  <c:v>4763.2857142857156</c:v>
                </c:pt>
                <c:pt idx="26">
                  <c:v>4552.3214285714294</c:v>
                </c:pt>
                <c:pt idx="27">
                  <c:v>5677.4642857142862</c:v>
                </c:pt>
                <c:pt idx="28">
                  <c:v>5677.4642857142862</c:v>
                </c:pt>
                <c:pt idx="29">
                  <c:v>5396.1785714285725</c:v>
                </c:pt>
                <c:pt idx="30">
                  <c:v>2372.3571428571436</c:v>
                </c:pt>
                <c:pt idx="31">
                  <c:v>965.92857142857179</c:v>
                </c:pt>
                <c:pt idx="32">
                  <c:v>-1073.3928571428569</c:v>
                </c:pt>
                <c:pt idx="33">
                  <c:v>-1073.3928571428569</c:v>
                </c:pt>
                <c:pt idx="34">
                  <c:v>-1073.3928571428569</c:v>
                </c:pt>
                <c:pt idx="35">
                  <c:v>-159.21428571428532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A09-4FAE-B59C-94782FD266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3746952"/>
        <c:axId val="430186368"/>
        <c:extLst>
          <c:ext xmlns:c15="http://schemas.microsoft.com/office/drawing/2012/chart" uri="{02D57815-91ED-43cb-92C2-25804820EDAC}">
            <c15:filteredLineSeries>
              <c15:ser>
                <c:idx val="1"/>
                <c:order val="1"/>
                <c:tx>
                  <c:strRef>
                    <c:extLst>
                      <c:ext uri="{02D57815-91ED-43cb-92C2-25804820EDAC}">
                        <c15:formulaRef>
                          <c15:sqref>'ВД Графіки'!$F$3</c15:sqref>
                        </c15:formulaRef>
                      </c:ext>
                    </c:extLst>
                    <c:strCache>
                      <c:ptCount val="1"/>
                      <c:pt idx="0">
                        <c:v>ДИНАМИКА ВИТРАТ, USD/міс.</c:v>
                      </c:pt>
                    </c:strCache>
                  </c:strRef>
                </c:tx>
                <c:spPr>
                  <a:ln w="28575" cap="rnd">
                    <a:solidFill>
                      <a:schemeClr val="accent2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>
                      <c:ext uri="{02D57815-91ED-43cb-92C2-25804820EDAC}">
                        <c15:formulaRef>
                          <c15:sqref>'ВД Графіки'!$G$1:$AP$1</c15:sqref>
                        </c15:formulaRef>
                      </c:ext>
                    </c:extLst>
                    <c:strCache>
                      <c:ptCount val="36"/>
                      <c:pt idx="0">
                        <c:v>квітень</c:v>
                      </c:pt>
                      <c:pt idx="1">
                        <c:v>травень</c:v>
                      </c:pt>
                      <c:pt idx="2">
                        <c:v>червень</c:v>
                      </c:pt>
                      <c:pt idx="3">
                        <c:v>липень</c:v>
                      </c:pt>
                      <c:pt idx="4">
                        <c:v>серпень</c:v>
                      </c:pt>
                      <c:pt idx="5">
                        <c:v>вересень</c:v>
                      </c:pt>
                      <c:pt idx="6">
                        <c:v>жовтень</c:v>
                      </c:pt>
                      <c:pt idx="7">
                        <c:v>листопад</c:v>
                      </c:pt>
                      <c:pt idx="8">
                        <c:v>грудень</c:v>
                      </c:pt>
                      <c:pt idx="9">
                        <c:v>січень</c:v>
                      </c:pt>
                      <c:pt idx="10">
                        <c:v>лютий</c:v>
                      </c:pt>
                      <c:pt idx="11">
                        <c:v>березень</c:v>
                      </c:pt>
                      <c:pt idx="12">
                        <c:v>квітень</c:v>
                      </c:pt>
                      <c:pt idx="13">
                        <c:v>травень</c:v>
                      </c:pt>
                      <c:pt idx="14">
                        <c:v>червень</c:v>
                      </c:pt>
                      <c:pt idx="15">
                        <c:v>липень</c:v>
                      </c:pt>
                      <c:pt idx="16">
                        <c:v>серпень</c:v>
                      </c:pt>
                      <c:pt idx="17">
                        <c:v>вересень</c:v>
                      </c:pt>
                      <c:pt idx="18">
                        <c:v>жовтень</c:v>
                      </c:pt>
                      <c:pt idx="19">
                        <c:v>листопад</c:v>
                      </c:pt>
                      <c:pt idx="20">
                        <c:v>грудень</c:v>
                      </c:pt>
                      <c:pt idx="21">
                        <c:v>січень</c:v>
                      </c:pt>
                      <c:pt idx="22">
                        <c:v>лютий</c:v>
                      </c:pt>
                      <c:pt idx="23">
                        <c:v>березень</c:v>
                      </c:pt>
                      <c:pt idx="24">
                        <c:v>квітень</c:v>
                      </c:pt>
                      <c:pt idx="25">
                        <c:v>травень</c:v>
                      </c:pt>
                      <c:pt idx="26">
                        <c:v>червень</c:v>
                      </c:pt>
                      <c:pt idx="27">
                        <c:v>липень</c:v>
                      </c:pt>
                      <c:pt idx="28">
                        <c:v>серпень</c:v>
                      </c:pt>
                      <c:pt idx="29">
                        <c:v>вересень</c:v>
                      </c:pt>
                      <c:pt idx="30">
                        <c:v>жовтень</c:v>
                      </c:pt>
                      <c:pt idx="31">
                        <c:v>листопад</c:v>
                      </c:pt>
                      <c:pt idx="32">
                        <c:v>грудень</c:v>
                      </c:pt>
                      <c:pt idx="33">
                        <c:v>січень</c:v>
                      </c:pt>
                      <c:pt idx="34">
                        <c:v>лютий</c:v>
                      </c:pt>
                      <c:pt idx="35">
                        <c:v>березень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'ВД Графіки'!$G$3:$AP$3</c15:sqref>
                        </c15:formulaRef>
                      </c:ext>
                    </c:extLst>
                    <c:numCache>
                      <c:formatCode>#,##0</c:formatCode>
                      <c:ptCount val="36"/>
                      <c:pt idx="0">
                        <c:v>1410.2142857142856</c:v>
                      </c:pt>
                      <c:pt idx="1">
                        <c:v>1545.2142857142858</c:v>
                      </c:pt>
                      <c:pt idx="2">
                        <c:v>1605.2142857142856</c:v>
                      </c:pt>
                      <c:pt idx="3">
                        <c:v>1710.2142857142856</c:v>
                      </c:pt>
                      <c:pt idx="4">
                        <c:v>1710.2142857142856</c:v>
                      </c:pt>
                      <c:pt idx="5">
                        <c:v>1687.7142857142858</c:v>
                      </c:pt>
                      <c:pt idx="6">
                        <c:v>1417.7142857142856</c:v>
                      </c:pt>
                      <c:pt idx="7">
                        <c:v>1290.2142857142853</c:v>
                      </c:pt>
                      <c:pt idx="8">
                        <c:v>1110.2142857142856</c:v>
                      </c:pt>
                      <c:pt idx="9">
                        <c:v>1110.2142857142856</c:v>
                      </c:pt>
                      <c:pt idx="10">
                        <c:v>1110.2142857142856</c:v>
                      </c:pt>
                      <c:pt idx="11">
                        <c:v>1192.7142857142858</c:v>
                      </c:pt>
                      <c:pt idx="12">
                        <c:v>1705.9642857142856</c:v>
                      </c:pt>
                      <c:pt idx="13">
                        <c:v>1729.5892857142856</c:v>
                      </c:pt>
                      <c:pt idx="14">
                        <c:v>1705.9642857142856</c:v>
                      </c:pt>
                      <c:pt idx="15">
                        <c:v>1824.0892857142856</c:v>
                      </c:pt>
                      <c:pt idx="16">
                        <c:v>1824.0892857142856</c:v>
                      </c:pt>
                      <c:pt idx="17">
                        <c:v>1800.4642857142856</c:v>
                      </c:pt>
                      <c:pt idx="18">
                        <c:v>1485.4642857142856</c:v>
                      </c:pt>
                      <c:pt idx="19">
                        <c:v>1343.7142857142856</c:v>
                      </c:pt>
                      <c:pt idx="20">
                        <c:v>1131.0892857142856</c:v>
                      </c:pt>
                      <c:pt idx="21">
                        <c:v>1131.0892857142856</c:v>
                      </c:pt>
                      <c:pt idx="22">
                        <c:v>1131.0892857142856</c:v>
                      </c:pt>
                      <c:pt idx="23">
                        <c:v>1225.5892857142856</c:v>
                      </c:pt>
                      <c:pt idx="24">
                        <c:v>1811.9642857142858</c:v>
                      </c:pt>
                      <c:pt idx="25">
                        <c:v>1836.7142857142858</c:v>
                      </c:pt>
                      <c:pt idx="26">
                        <c:v>1811.9642857142858</c:v>
                      </c:pt>
                      <c:pt idx="27">
                        <c:v>1943.9642857142858</c:v>
                      </c:pt>
                      <c:pt idx="28">
                        <c:v>1943.9642857142858</c:v>
                      </c:pt>
                      <c:pt idx="29">
                        <c:v>1910.9642857142858</c:v>
                      </c:pt>
                      <c:pt idx="30">
                        <c:v>1556.2142857142858</c:v>
                      </c:pt>
                      <c:pt idx="31">
                        <c:v>1391.2142857142856</c:v>
                      </c:pt>
                      <c:pt idx="32">
                        <c:v>1151.9642857142856</c:v>
                      </c:pt>
                      <c:pt idx="33">
                        <c:v>1151.9642857142856</c:v>
                      </c:pt>
                      <c:pt idx="34">
                        <c:v>1151.9642857142856</c:v>
                      </c:pt>
                      <c:pt idx="35">
                        <c:v>1259.2142857142856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1-8A09-4FAE-B59C-94782FD2666E}"/>
                  </c:ext>
                </c:extLst>
              </c15:ser>
            </c15:filteredLineSeries>
            <c15:filteredLine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'ВД Графіки'!$F$4</c15:sqref>
                        </c15:formulaRef>
                      </c:ext>
                    </c:extLst>
                    <c:strCache>
                      <c:ptCount val="1"/>
                      <c:pt idx="0">
                        <c:v>ДИНАМИКА СОБІВАРТОСТІ, USD/міс.</c:v>
                      </c:pt>
                    </c:strCache>
                  </c:strRef>
                </c:tx>
                <c:spPr>
                  <a:ln w="28575" cap="rnd">
                    <a:solidFill>
                      <a:schemeClr val="accent3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'ВД Графіки'!$G$1:$AP$1</c15:sqref>
                        </c15:formulaRef>
                      </c:ext>
                    </c:extLst>
                    <c:strCache>
                      <c:ptCount val="36"/>
                      <c:pt idx="0">
                        <c:v>квітень</c:v>
                      </c:pt>
                      <c:pt idx="1">
                        <c:v>травень</c:v>
                      </c:pt>
                      <c:pt idx="2">
                        <c:v>червень</c:v>
                      </c:pt>
                      <c:pt idx="3">
                        <c:v>липень</c:v>
                      </c:pt>
                      <c:pt idx="4">
                        <c:v>серпень</c:v>
                      </c:pt>
                      <c:pt idx="5">
                        <c:v>вересень</c:v>
                      </c:pt>
                      <c:pt idx="6">
                        <c:v>жовтень</c:v>
                      </c:pt>
                      <c:pt idx="7">
                        <c:v>листопад</c:v>
                      </c:pt>
                      <c:pt idx="8">
                        <c:v>грудень</c:v>
                      </c:pt>
                      <c:pt idx="9">
                        <c:v>січень</c:v>
                      </c:pt>
                      <c:pt idx="10">
                        <c:v>лютий</c:v>
                      </c:pt>
                      <c:pt idx="11">
                        <c:v>березень</c:v>
                      </c:pt>
                      <c:pt idx="12">
                        <c:v>квітень</c:v>
                      </c:pt>
                      <c:pt idx="13">
                        <c:v>травень</c:v>
                      </c:pt>
                      <c:pt idx="14">
                        <c:v>червень</c:v>
                      </c:pt>
                      <c:pt idx="15">
                        <c:v>липень</c:v>
                      </c:pt>
                      <c:pt idx="16">
                        <c:v>серпень</c:v>
                      </c:pt>
                      <c:pt idx="17">
                        <c:v>вересень</c:v>
                      </c:pt>
                      <c:pt idx="18">
                        <c:v>жовтень</c:v>
                      </c:pt>
                      <c:pt idx="19">
                        <c:v>листопад</c:v>
                      </c:pt>
                      <c:pt idx="20">
                        <c:v>грудень</c:v>
                      </c:pt>
                      <c:pt idx="21">
                        <c:v>січень</c:v>
                      </c:pt>
                      <c:pt idx="22">
                        <c:v>лютий</c:v>
                      </c:pt>
                      <c:pt idx="23">
                        <c:v>березень</c:v>
                      </c:pt>
                      <c:pt idx="24">
                        <c:v>квітень</c:v>
                      </c:pt>
                      <c:pt idx="25">
                        <c:v>травень</c:v>
                      </c:pt>
                      <c:pt idx="26">
                        <c:v>червень</c:v>
                      </c:pt>
                      <c:pt idx="27">
                        <c:v>липень</c:v>
                      </c:pt>
                      <c:pt idx="28">
                        <c:v>серпень</c:v>
                      </c:pt>
                      <c:pt idx="29">
                        <c:v>вересень</c:v>
                      </c:pt>
                      <c:pt idx="30">
                        <c:v>жовтень</c:v>
                      </c:pt>
                      <c:pt idx="31">
                        <c:v>листопад</c:v>
                      </c:pt>
                      <c:pt idx="32">
                        <c:v>грудень</c:v>
                      </c:pt>
                      <c:pt idx="33">
                        <c:v>січень</c:v>
                      </c:pt>
                      <c:pt idx="34">
                        <c:v>лютий</c:v>
                      </c:pt>
                      <c:pt idx="35">
                        <c:v>березень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'ВД Графіки'!$G$4:$AP$4</c15:sqref>
                        </c15:formulaRef>
                      </c:ext>
                    </c:extLst>
                    <c:numCache>
                      <c:formatCode>#,##0</c:formatCode>
                      <c:ptCount val="36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0</c:v>
                      </c:pt>
                      <c:pt idx="15">
                        <c:v>0</c:v>
                      </c:pt>
                      <c:pt idx="16">
                        <c:v>0</c:v>
                      </c:pt>
                      <c:pt idx="17">
                        <c:v>0</c:v>
                      </c:pt>
                      <c:pt idx="18">
                        <c:v>0</c:v>
                      </c:pt>
                      <c:pt idx="19">
                        <c:v>0</c:v>
                      </c:pt>
                      <c:pt idx="20">
                        <c:v>0</c:v>
                      </c:pt>
                      <c:pt idx="21">
                        <c:v>0</c:v>
                      </c:pt>
                      <c:pt idx="22">
                        <c:v>0</c:v>
                      </c:pt>
                      <c:pt idx="23">
                        <c:v>0</c:v>
                      </c:pt>
                      <c:pt idx="24">
                        <c:v>0</c:v>
                      </c:pt>
                      <c:pt idx="25">
                        <c:v>0</c:v>
                      </c:pt>
                      <c:pt idx="26">
                        <c:v>0</c:v>
                      </c:pt>
                      <c:pt idx="27">
                        <c:v>0</c:v>
                      </c:pt>
                      <c:pt idx="28">
                        <c:v>0</c:v>
                      </c:pt>
                      <c:pt idx="29">
                        <c:v>0</c:v>
                      </c:pt>
                      <c:pt idx="30">
                        <c:v>0</c:v>
                      </c:pt>
                      <c:pt idx="31">
                        <c:v>0</c:v>
                      </c:pt>
                      <c:pt idx="32">
                        <c:v>0</c:v>
                      </c:pt>
                      <c:pt idx="33">
                        <c:v>0</c:v>
                      </c:pt>
                      <c:pt idx="34">
                        <c:v>0</c:v>
                      </c:pt>
                      <c:pt idx="35">
                        <c:v>0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8A09-4FAE-B59C-94782FD2666E}"/>
                  </c:ext>
                </c:extLst>
              </c15:ser>
            </c15:filteredLineSeries>
          </c:ext>
        </c:extLst>
      </c:lineChart>
      <c:catAx>
        <c:axId val="3937469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30186368"/>
        <c:crosses val="autoZero"/>
        <c:auto val="1"/>
        <c:lblAlgn val="ctr"/>
        <c:lblOffset val="100"/>
        <c:noMultiLvlLbl val="0"/>
      </c:catAx>
      <c:valAx>
        <c:axId val="4301863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3937469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u-RU" sz="1800" b="1" i="0" baseline="0">
                <a:effectLst/>
              </a:rPr>
              <a:t>Структура виручки за 1-й рік роботи</a:t>
            </a:r>
            <a:endParaRPr lang="ru-RU" b="1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B703-4D56-A97C-628BA9DD75A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B703-4D56-A97C-628BA9DD75A6}"/>
              </c:ext>
            </c:extLst>
          </c:dPt>
          <c:dLbls>
            <c:dLbl>
              <c:idx val="0"/>
              <c:layout>
                <c:manualLayout>
                  <c:x val="-9.8368803766077317E-2"/>
                  <c:y val="5.0102227787564207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703-4D56-A97C-628BA9DD75A6}"/>
                </c:ext>
              </c:extLst>
            </c:dLbl>
            <c:dLbl>
              <c:idx val="1"/>
              <c:layout>
                <c:manualLayout>
                  <c:x val="-7.7010287832713339E-2"/>
                  <c:y val="-9.197653716998610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703-4D56-A97C-628BA9DD75A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'ВД Графіки'!$A$3:$A$5</c15:sqref>
                  </c15:fullRef>
                </c:ext>
              </c:extLst>
              <c:f>'ВД Графіки'!$A$4:$A$5</c:f>
              <c:strCache>
                <c:ptCount val="2"/>
                <c:pt idx="0">
                  <c:v>Поточні витрати (без собівартості), USD/рік</c:v>
                </c:pt>
                <c:pt idx="1">
                  <c:v>Чистий прибуток, USD/рік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'ВД Графіки'!$B$3:$B$5</c15:sqref>
                  </c15:fullRef>
                </c:ext>
              </c:extLst>
              <c:f>'ВД Графіки'!$B$4:$B$5</c:f>
              <c:numCache>
                <c:formatCode>#,##0</c:formatCode>
                <c:ptCount val="2"/>
                <c:pt idx="0">
                  <c:v>16900.071428571431</c:v>
                </c:pt>
                <c:pt idx="1">
                  <c:v>18028.500000000007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>
                <c15:categoryFilterException>
                  <c15:sqref>'ВД Графіки'!$B$3</c15:sqref>
                  <c15:spPr xmlns:c15="http://schemas.microsoft.com/office/drawing/2012/chart">
                    <a:solidFill>
                      <a:schemeClr val="accent1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15:spPr>
                  <c15:bubble3D val="0"/>
                  <c15:dLbl>
                    <c:idx val="-1"/>
                    <c:layout>
                      <c:manualLayout>
                        <c:x val="0.11559916776417183"/>
                        <c:y val="-2.7640412872919268E-2"/>
                      </c:manualLayout>
                    </c:layout>
                    <c:showLegendKey val="0"/>
                    <c:showVal val="0"/>
                    <c:showCatName val="0"/>
                    <c:showSerName val="0"/>
                    <c:showPercent val="1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5-3976-42B1-B625-D5870797F4AA}"/>
                      </c:ext>
                    </c:extLst>
                  </c15:dLbl>
                </c15:categoryFilterException>
              </c15:categoryFilterExceptions>
            </c:ext>
            <c:ext xmlns:c16="http://schemas.microsoft.com/office/drawing/2014/chart" uri="{C3380CC4-5D6E-409C-BE32-E72D297353CC}">
              <c16:uniqueId val="{00000006-B703-4D56-A97C-628BA9DD75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75"/>
      </c:doughnut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ru-RU" sz="1800" b="1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effectLst/>
                <a:latin typeface="+mn-lt"/>
                <a:ea typeface="+mn-ea"/>
                <a:cs typeface="+mn-cs"/>
              </a:defRPr>
            </a:pPr>
            <a:r>
              <a:rPr lang="ru-RU" sz="1800" b="1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effectLst/>
                <a:latin typeface="+mn-lt"/>
                <a:ea typeface="+mn-ea"/>
                <a:cs typeface="+mn-cs"/>
              </a:rPr>
              <a:t>Структура виручки за 2-й рік роботи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ru-RU" sz="1800" b="1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effectLst/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8998-4E61-B818-0BDFBCBAEC8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8998-4E61-B818-0BDFBCBAEC86}"/>
              </c:ext>
            </c:extLst>
          </c:dPt>
          <c:dLbls>
            <c:dLbl>
              <c:idx val="0"/>
              <c:layout>
                <c:manualLayout>
                  <c:x val="-9.3904552504525243E-2"/>
                  <c:y val="3.66251388387772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998-4E61-B818-0BDFBCBAEC86}"/>
                </c:ext>
              </c:extLst>
            </c:dLbl>
            <c:dLbl>
              <c:idx val="1"/>
              <c:layout>
                <c:manualLayout>
                  <c:x val="-0.12448017141476701"/>
                  <c:y val="-5.9910789453205139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998-4E61-B818-0BDFBCBAEC8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'ВД Графіки'!$A$3:$A$5</c15:sqref>
                  </c15:fullRef>
                </c:ext>
              </c:extLst>
              <c:f>'ВД Графіки'!$A$4:$A$5</c:f>
              <c:strCache>
                <c:ptCount val="2"/>
                <c:pt idx="0">
                  <c:v>Поточні витрати (без собівартості), USD/рік</c:v>
                </c:pt>
                <c:pt idx="1">
                  <c:v>Чистий прибуток, USD/рік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'ВД Графіки'!$C$3:$C$5</c15:sqref>
                  </c15:fullRef>
                </c:ext>
              </c:extLst>
              <c:f>'ВД Графіки'!$C$4:$C$5</c:f>
              <c:numCache>
                <c:formatCode>#,##0</c:formatCode>
                <c:ptCount val="2"/>
                <c:pt idx="0">
                  <c:v>18038.196428571431</c:v>
                </c:pt>
                <c:pt idx="1">
                  <c:v>25386.80357142858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>
                <c15:categoryFilterException>
                  <c15:sqref>'ВД Графіки'!$C$3</c15:sqref>
                  <c15:spPr xmlns:c15="http://schemas.microsoft.com/office/drawing/2012/chart">
                    <a:solidFill>
                      <a:schemeClr val="accent1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15:spPr>
                  <c15:bubble3D val="0"/>
                  <c15:dLbl>
                    <c:idx val="-1"/>
                    <c:layout>
                      <c:manualLayout>
                        <c:x val="0.11557717690802212"/>
                        <c:y val="-1.4163323924132125E-2"/>
                      </c:manualLayout>
                    </c:layout>
                    <c:showLegendKey val="0"/>
                    <c:showVal val="0"/>
                    <c:showCatName val="0"/>
                    <c:showSerName val="0"/>
                    <c:showPercent val="1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5-4BA3-4236-8D00-C7153722124F}"/>
                      </c:ext>
                    </c:extLst>
                  </c15:dLbl>
                </c15:categoryFilterException>
              </c15:categoryFilterExceptions>
            </c:ext>
            <c:ext xmlns:c16="http://schemas.microsoft.com/office/drawing/2014/chart" uri="{C3380CC4-5D6E-409C-BE32-E72D297353CC}">
              <c16:uniqueId val="{00000006-8998-4E61-B818-0BDFBCBAEC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75"/>
      </c:doughnut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ru-RU" sz="1800" b="1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effectLst/>
                <a:latin typeface="+mn-lt"/>
                <a:ea typeface="+mn-ea"/>
                <a:cs typeface="+mn-cs"/>
              </a:defRPr>
            </a:pPr>
            <a:r>
              <a:rPr lang="ru-RU" sz="1800" b="1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effectLst/>
                <a:latin typeface="+mn-lt"/>
                <a:ea typeface="+mn-ea"/>
                <a:cs typeface="+mn-cs"/>
              </a:rPr>
              <a:t>Структура виручки за 3-й рік роботи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ru-RU" sz="1800" b="1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effectLst/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2827-427C-BCDA-B9494AB9B7A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2827-427C-BCDA-B9494AB9B7A8}"/>
              </c:ext>
            </c:extLst>
          </c:dPt>
          <c:dLbls>
            <c:dLbl>
              <c:idx val="0"/>
              <c:layout>
                <c:manualLayout>
                  <c:x val="-0.12061079664863956"/>
                  <c:y val="3.2132775855848207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827-427C-BCDA-B9494AB9B7A8}"/>
                </c:ext>
              </c:extLst>
            </c:dLbl>
            <c:dLbl>
              <c:idx val="1"/>
              <c:layout>
                <c:manualLayout>
                  <c:x val="-8.0566710614949286E-2"/>
                  <c:y val="-9.63658667207040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827-427C-BCDA-B9494AB9B7A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'ВД Графіки'!$A$3:$A$5</c15:sqref>
                  </c15:fullRef>
                </c:ext>
              </c:extLst>
              <c:f>'ВД Графіки'!$A$4:$A$5</c:f>
              <c:strCache>
                <c:ptCount val="2"/>
                <c:pt idx="0">
                  <c:v>Поточні витрати (без собівартості), USD/рік</c:v>
                </c:pt>
                <c:pt idx="1">
                  <c:v>Чистий прибуток, USD/рік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'ВД Графіки'!$D$3:$D$5</c15:sqref>
                  </c15:fullRef>
                </c:ext>
              </c:extLst>
              <c:f>'ВД Графіки'!$D$4:$D$5</c:f>
              <c:numCache>
                <c:formatCode>#,##0</c:formatCode>
                <c:ptCount val="2"/>
                <c:pt idx="0">
                  <c:v>18922.071428571431</c:v>
                </c:pt>
                <c:pt idx="1">
                  <c:v>30577.928571428583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>
                <c15:categoryFilterException>
                  <c15:sqref>'ВД Графіки'!$D$3</c15:sqref>
                  <c15:spPr xmlns:c15="http://schemas.microsoft.com/office/drawing/2012/chart">
                    <a:solidFill>
                      <a:schemeClr val="accent1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15:spPr>
                  <c15:bubble3D val="0"/>
                  <c15:dLbl>
                    <c:idx val="-1"/>
                    <c:layout>
                      <c:manualLayout>
                        <c:x val="0.10225397203463438"/>
                        <c:y val="1.2790853973441998E-2"/>
                      </c:manualLayout>
                    </c:layout>
                    <c:showLegendKey val="0"/>
                    <c:showVal val="0"/>
                    <c:showCatName val="0"/>
                    <c:showSerName val="0"/>
                    <c:showPercent val="1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5-555D-484D-9515-72D2168EF131}"/>
                      </c:ext>
                    </c:extLst>
                  </c15:dLbl>
                </c15:categoryFilterException>
              </c15:categoryFilterExceptions>
            </c:ext>
            <c:ext xmlns:c16="http://schemas.microsoft.com/office/drawing/2014/chart" uri="{C3380CC4-5D6E-409C-BE32-E72D297353CC}">
              <c16:uniqueId val="{00000006-2827-427C-BCDA-B9494AB9B7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75"/>
      </c:doughnut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ru-RU" sz="1800" b="1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effectLst/>
                <a:latin typeface="+mn-lt"/>
                <a:ea typeface="+mn-ea"/>
                <a:cs typeface="+mn-cs"/>
              </a:defRPr>
            </a:pPr>
            <a:r>
              <a:rPr lang="ru-RU" sz="1800" b="1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effectLst/>
                <a:latin typeface="+mn-lt"/>
                <a:ea typeface="+mn-ea"/>
                <a:cs typeface="+mn-cs"/>
              </a:rPr>
              <a:t>Структура інвестицій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ru-RU" sz="1800" b="1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effectLst/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>
        <c:manualLayout>
          <c:layoutTarget val="inner"/>
          <c:xMode val="edge"/>
          <c:yMode val="edge"/>
          <c:x val="0.35322659135693146"/>
          <c:y val="0.15682335162650124"/>
          <c:w val="0.29933648111615224"/>
          <c:h val="0.69633526869747331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A335-441D-90C9-7DBF87FE3F6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A335-441D-90C9-7DBF87FE3F6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A335-441D-90C9-7DBF87FE3F6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A335-441D-90C9-7DBF87FE3F6A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A335-441D-90C9-7DBF87FE3F6A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A335-441D-90C9-7DBF87FE3F6A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A335-441D-90C9-7DBF87FE3F6A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A335-441D-90C9-7DBF87FE3F6A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A335-441D-90C9-7DBF87FE3F6A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3-0978-4038-AFB8-C76C55C47E7E}"/>
              </c:ext>
            </c:extLst>
          </c:dPt>
          <c:dPt>
            <c:idx val="10"/>
            <c:bubble3D val="0"/>
            <c:spPr>
              <a:solidFill>
                <a:schemeClr val="accent5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5-CC0C-4575-9970-38C8E07145BB}"/>
              </c:ext>
            </c:extLst>
          </c:dPt>
          <c:dLbls>
            <c:dLbl>
              <c:idx val="0"/>
              <c:layout>
                <c:manualLayout>
                  <c:x val="2.3245042697930235E-2"/>
                  <c:y val="7.1550147140698322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335-441D-90C9-7DBF87FE3F6A}"/>
                </c:ext>
              </c:extLst>
            </c:dLbl>
            <c:dLbl>
              <c:idx val="1"/>
              <c:layout>
                <c:manualLayout>
                  <c:x val="1.4036011456014807E-2"/>
                  <c:y val="-1.3888756329701211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335-441D-90C9-7DBF87FE3F6A}"/>
                </c:ext>
              </c:extLst>
            </c:dLbl>
            <c:dLbl>
              <c:idx val="2"/>
              <c:layout>
                <c:manualLayout>
                  <c:x val="3.3193039319933033E-3"/>
                  <c:y val="-7.1547495956944774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335-441D-90C9-7DBF87FE3F6A}"/>
                </c:ext>
              </c:extLst>
            </c:dLbl>
            <c:dLbl>
              <c:idx val="3"/>
              <c:layout>
                <c:manualLayout>
                  <c:x val="-4.3421623968736434E-3"/>
                  <c:y val="1.010101010101010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335-441D-90C9-7DBF87FE3F6A}"/>
                </c:ext>
              </c:extLst>
            </c:dLbl>
            <c:dLbl>
              <c:idx val="4"/>
              <c:layout>
                <c:manualLayout>
                  <c:x val="-8.6843247937472869E-3"/>
                  <c:y val="6.7340067340066721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335-441D-90C9-7DBF87FE3F6A}"/>
                </c:ext>
              </c:extLst>
            </c:dLbl>
            <c:dLbl>
              <c:idx val="5"/>
              <c:layout>
                <c:manualLayout>
                  <c:x val="1.4473874656244945E-3"/>
                  <c:y val="-3.3670033670033669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335-441D-90C9-7DBF87FE3F6A}"/>
                </c:ext>
              </c:extLst>
            </c:dLbl>
            <c:dLbl>
              <c:idx val="6"/>
              <c:layout>
                <c:manualLayout>
                  <c:x val="-4.3421623968736434E-3"/>
                  <c:y val="-6.734006734006733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335-441D-90C9-7DBF87FE3F6A}"/>
                </c:ext>
              </c:extLst>
            </c:dLbl>
            <c:dLbl>
              <c:idx val="7"/>
              <c:layout>
                <c:manualLayout>
                  <c:x val="3.4628232261240899E-2"/>
                  <c:y val="8.1640552506694244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335-441D-90C9-7DBF87FE3F6A}"/>
                </c:ext>
              </c:extLst>
            </c:dLbl>
            <c:dLbl>
              <c:idx val="8"/>
              <c:layout>
                <c:manualLayout>
                  <c:x val="4.3421623968736434E-3"/>
                  <c:y val="-1.3468013468013467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335-441D-90C9-7DBF87FE3F6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'ВД Графіки'!$A$9:$A$18</c:f>
              <c:strCache>
                <c:ptCount val="10"/>
                <c:pt idx="0">
                  <c:v>Авансовий платіж по оренді</c:v>
                </c:pt>
                <c:pt idx="1">
                  <c:v>Ремонт приміщення</c:v>
                </c:pt>
                <c:pt idx="2">
                  <c:v>Сигналізація (охоронна та пожежна)</c:v>
                </c:pt>
                <c:pt idx="3">
                  <c:v>Відеоспостереження</c:v>
                </c:pt>
                <c:pt idx="4">
                  <c:v>Меблі та комп'ютерна техніка</c:v>
                </c:pt>
                <c:pt idx="5">
                  <c:v>Обладнання для паркування самокатів</c:v>
                </c:pt>
                <c:pt idx="6">
                  <c:v>Вартість самокатів</c:v>
                </c:pt>
                <c:pt idx="7">
                  <c:v>Рекламна кампанія до відкриття</c:v>
                </c:pt>
                <c:pt idx="8">
                  <c:v>Паушальний внесок</c:v>
                </c:pt>
                <c:pt idx="9">
                  <c:v>Інше</c:v>
                </c:pt>
              </c:strCache>
            </c:strRef>
          </c:cat>
          <c:val>
            <c:numRef>
              <c:f>'ВД Графіки'!$B$9:$B$18</c:f>
              <c:numCache>
                <c:formatCode>#,##0</c:formatCode>
                <c:ptCount val="10"/>
                <c:pt idx="0">
                  <c:v>200</c:v>
                </c:pt>
                <c:pt idx="1">
                  <c:v>0</c:v>
                </c:pt>
                <c:pt idx="2">
                  <c:v>300</c:v>
                </c:pt>
                <c:pt idx="3">
                  <c:v>300</c:v>
                </c:pt>
                <c:pt idx="4">
                  <c:v>500</c:v>
                </c:pt>
                <c:pt idx="5">
                  <c:v>0</c:v>
                </c:pt>
                <c:pt idx="6">
                  <c:v>12000</c:v>
                </c:pt>
                <c:pt idx="7">
                  <c:v>200</c:v>
                </c:pt>
                <c:pt idx="8">
                  <c:v>500</c:v>
                </c:pt>
                <c:pt idx="9">
                  <c:v>200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A335-441D-90C9-7DBF87FE3F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1428856347363894E-2"/>
          <c:y val="0.84634871486399199"/>
          <c:w val="0.96740771588750818"/>
          <c:h val="0.1334492823650644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 orientation="portrait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13" Type="http://schemas.openxmlformats.org/officeDocument/2006/relationships/image" Target="../media/image12.png"/><Relationship Id="rId18" Type="http://schemas.openxmlformats.org/officeDocument/2006/relationships/image" Target="../media/image18.png"/><Relationship Id="rId3" Type="http://schemas.openxmlformats.org/officeDocument/2006/relationships/image" Target="../media/image2.png"/><Relationship Id="rId7" Type="http://schemas.openxmlformats.org/officeDocument/2006/relationships/image" Target="../media/image6.png"/><Relationship Id="rId12" Type="http://schemas.openxmlformats.org/officeDocument/2006/relationships/image" Target="../media/image11.png"/><Relationship Id="rId17" Type="http://schemas.openxmlformats.org/officeDocument/2006/relationships/image" Target="../media/image21.png"/><Relationship Id="rId2" Type="http://schemas.openxmlformats.org/officeDocument/2006/relationships/image" Target="../media/image16.png"/><Relationship Id="rId16" Type="http://schemas.openxmlformats.org/officeDocument/2006/relationships/image" Target="../media/image15.png"/><Relationship Id="rId1" Type="http://schemas.openxmlformats.org/officeDocument/2006/relationships/image" Target="../media/image20.png"/><Relationship Id="rId6" Type="http://schemas.openxmlformats.org/officeDocument/2006/relationships/image" Target="../media/image5.png"/><Relationship Id="rId11" Type="http://schemas.openxmlformats.org/officeDocument/2006/relationships/image" Target="../media/image10.png"/><Relationship Id="rId5" Type="http://schemas.openxmlformats.org/officeDocument/2006/relationships/image" Target="../media/image4.png"/><Relationship Id="rId15" Type="http://schemas.openxmlformats.org/officeDocument/2006/relationships/image" Target="../media/image14.png"/><Relationship Id="rId10" Type="http://schemas.openxmlformats.org/officeDocument/2006/relationships/image" Target="../media/image9.png"/><Relationship Id="rId4" Type="http://schemas.openxmlformats.org/officeDocument/2006/relationships/image" Target="../media/image17.png"/><Relationship Id="rId9" Type="http://schemas.openxmlformats.org/officeDocument/2006/relationships/image" Target="../media/image8.png"/><Relationship Id="rId14" Type="http://schemas.openxmlformats.org/officeDocument/2006/relationships/image" Target="../media/image13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87</xdr:row>
      <xdr:rowOff>26175</xdr:rowOff>
    </xdr:from>
    <xdr:to>
      <xdr:col>0</xdr:col>
      <xdr:colOff>538290</xdr:colOff>
      <xdr:row>87</xdr:row>
      <xdr:rowOff>526365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25657950"/>
          <a:ext cx="504000" cy="504000"/>
        </a:xfrm>
        <a:prstGeom prst="rect">
          <a:avLst/>
        </a:prstGeom>
      </xdr:spPr>
    </xdr:pic>
    <xdr:clientData/>
  </xdr:twoCellAnchor>
  <xdr:twoCellAnchor editAs="oneCell">
    <xdr:from>
      <xdr:col>0</xdr:col>
      <xdr:colOff>49875</xdr:colOff>
      <xdr:row>89</xdr:row>
      <xdr:rowOff>21300</xdr:rowOff>
    </xdr:from>
    <xdr:to>
      <xdr:col>0</xdr:col>
      <xdr:colOff>553875</xdr:colOff>
      <xdr:row>89</xdr:row>
      <xdr:rowOff>525300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875" y="26186475"/>
          <a:ext cx="504000" cy="504000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75</xdr:row>
      <xdr:rowOff>38100</xdr:rowOff>
    </xdr:from>
    <xdr:to>
      <xdr:col>0</xdr:col>
      <xdr:colOff>551625</xdr:colOff>
      <xdr:row>76</xdr:row>
      <xdr:rowOff>1080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32070675"/>
          <a:ext cx="504000" cy="504000"/>
        </a:xfrm>
        <a:prstGeom prst="rect">
          <a:avLst/>
        </a:prstGeom>
      </xdr:spPr>
    </xdr:pic>
    <xdr:clientData/>
  </xdr:twoCellAnchor>
  <xdr:twoCellAnchor editAs="oneCell">
    <xdr:from>
      <xdr:col>0</xdr:col>
      <xdr:colOff>42867</xdr:colOff>
      <xdr:row>49</xdr:row>
      <xdr:rowOff>28578</xdr:rowOff>
    </xdr:from>
    <xdr:to>
      <xdr:col>0</xdr:col>
      <xdr:colOff>546867</xdr:colOff>
      <xdr:row>50</xdr:row>
      <xdr:rowOff>5951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867" y="13158791"/>
          <a:ext cx="504000" cy="504000"/>
        </a:xfrm>
        <a:prstGeom prst="rect">
          <a:avLst/>
        </a:prstGeom>
      </xdr:spPr>
    </xdr:pic>
    <xdr:clientData/>
  </xdr:twoCellAnchor>
  <xdr:twoCellAnchor editAs="oneCell">
    <xdr:from>
      <xdr:col>0</xdr:col>
      <xdr:colOff>47622</xdr:colOff>
      <xdr:row>54</xdr:row>
      <xdr:rowOff>12814</xdr:rowOff>
    </xdr:from>
    <xdr:to>
      <xdr:col>0</xdr:col>
      <xdr:colOff>551622</xdr:colOff>
      <xdr:row>54</xdr:row>
      <xdr:rowOff>520625</xdr:rowOff>
    </xdr:to>
    <xdr:pic>
      <xdr:nvPicPr>
        <xdr:cNvPr id="31" name="Рисунок 30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2" y="12133377"/>
          <a:ext cx="504000" cy="504001"/>
        </a:xfrm>
        <a:prstGeom prst="rect">
          <a:avLst/>
        </a:prstGeom>
      </xdr:spPr>
    </xdr:pic>
    <xdr:clientData/>
  </xdr:twoCellAnchor>
  <xdr:twoCellAnchor editAs="oneCell">
    <xdr:from>
      <xdr:col>0</xdr:col>
      <xdr:colOff>50426</xdr:colOff>
      <xdr:row>48</xdr:row>
      <xdr:rowOff>23815</xdr:rowOff>
    </xdr:from>
    <xdr:to>
      <xdr:col>0</xdr:col>
      <xdr:colOff>558236</xdr:colOff>
      <xdr:row>48</xdr:row>
      <xdr:rowOff>519521</xdr:rowOff>
    </xdr:to>
    <xdr:pic>
      <xdr:nvPicPr>
        <xdr:cNvPr id="33" name="Рисунок 32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426" y="12649203"/>
          <a:ext cx="504000" cy="499516"/>
        </a:xfrm>
        <a:prstGeom prst="rect">
          <a:avLst/>
        </a:prstGeom>
      </xdr:spPr>
    </xdr:pic>
    <xdr:clientData/>
  </xdr:twoCellAnchor>
  <xdr:twoCellAnchor editAs="oneCell">
    <xdr:from>
      <xdr:col>0</xdr:col>
      <xdr:colOff>66674</xdr:colOff>
      <xdr:row>41</xdr:row>
      <xdr:rowOff>9525</xdr:rowOff>
    </xdr:from>
    <xdr:to>
      <xdr:col>0</xdr:col>
      <xdr:colOff>570674</xdr:colOff>
      <xdr:row>41</xdr:row>
      <xdr:rowOff>513525</xdr:rowOff>
    </xdr:to>
    <xdr:pic>
      <xdr:nvPicPr>
        <xdr:cNvPr id="43" name="Рисунок 42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4" y="26127075"/>
          <a:ext cx="504000" cy="504000"/>
        </a:xfrm>
        <a:prstGeom prst="rect">
          <a:avLst/>
        </a:prstGeom>
      </xdr:spPr>
    </xdr:pic>
    <xdr:clientData/>
  </xdr:twoCellAnchor>
  <xdr:twoCellAnchor editAs="oneCell">
    <xdr:from>
      <xdr:col>0</xdr:col>
      <xdr:colOff>47623</xdr:colOff>
      <xdr:row>47</xdr:row>
      <xdr:rowOff>90</xdr:rowOff>
    </xdr:from>
    <xdr:to>
      <xdr:col>0</xdr:col>
      <xdr:colOff>551623</xdr:colOff>
      <xdr:row>47</xdr:row>
      <xdr:rowOff>500281</xdr:rowOff>
    </xdr:to>
    <xdr:pic>
      <xdr:nvPicPr>
        <xdr:cNvPr id="44" name="Рисунок 43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3" y="11615828"/>
          <a:ext cx="504000" cy="504001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83</xdr:row>
      <xdr:rowOff>19050</xdr:rowOff>
    </xdr:from>
    <xdr:to>
      <xdr:col>0</xdr:col>
      <xdr:colOff>551625</xdr:colOff>
      <xdr:row>83</xdr:row>
      <xdr:rowOff>519240</xdr:rowOff>
    </xdr:to>
    <xdr:pic>
      <xdr:nvPicPr>
        <xdr:cNvPr id="50" name="Рисунок 49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22983825"/>
          <a:ext cx="504000" cy="504000"/>
        </a:xfrm>
        <a:prstGeom prst="rect">
          <a:avLst/>
        </a:prstGeom>
      </xdr:spPr>
    </xdr:pic>
    <xdr:clientData/>
  </xdr:twoCellAnchor>
  <xdr:twoCellAnchor editAs="oneCell">
    <xdr:from>
      <xdr:col>0</xdr:col>
      <xdr:colOff>44824</xdr:colOff>
      <xdr:row>81</xdr:row>
      <xdr:rowOff>22412</xdr:rowOff>
    </xdr:from>
    <xdr:to>
      <xdr:col>0</xdr:col>
      <xdr:colOff>545014</xdr:colOff>
      <xdr:row>81</xdr:row>
      <xdr:rowOff>526412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44824" y="26176941"/>
          <a:ext cx="504000" cy="504000"/>
        </a:xfrm>
        <a:prstGeom prst="rect">
          <a:avLst/>
        </a:prstGeom>
      </xdr:spPr>
    </xdr:pic>
    <xdr:clientData/>
  </xdr:twoCellAnchor>
  <xdr:twoCellAnchor editAs="oneCell">
    <xdr:from>
      <xdr:col>0</xdr:col>
      <xdr:colOff>56030</xdr:colOff>
      <xdr:row>42</xdr:row>
      <xdr:rowOff>6442</xdr:rowOff>
    </xdr:from>
    <xdr:to>
      <xdr:col>0</xdr:col>
      <xdr:colOff>560030</xdr:colOff>
      <xdr:row>42</xdr:row>
      <xdr:rowOff>507193</xdr:rowOff>
    </xdr:to>
    <xdr:pic>
      <xdr:nvPicPr>
        <xdr:cNvPr id="29" name="Рисунок 28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56030" y="32629567"/>
          <a:ext cx="504000" cy="504561"/>
        </a:xfrm>
        <a:prstGeom prst="rect">
          <a:avLst/>
        </a:prstGeom>
      </xdr:spPr>
    </xdr:pic>
    <xdr:clientData/>
  </xdr:twoCellAnchor>
  <xdr:twoCellAnchor editAs="oneCell">
    <xdr:from>
      <xdr:col>0</xdr:col>
      <xdr:colOff>47630</xdr:colOff>
      <xdr:row>80</xdr:row>
      <xdr:rowOff>0</xdr:rowOff>
    </xdr:from>
    <xdr:to>
      <xdr:col>0</xdr:col>
      <xdr:colOff>551630</xdr:colOff>
      <xdr:row>80</xdr:row>
      <xdr:rowOff>506721</xdr:rowOff>
    </xdr:to>
    <xdr:pic>
      <xdr:nvPicPr>
        <xdr:cNvPr id="28" name="Рисунок 27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30" y="18030825"/>
          <a:ext cx="504000" cy="506721"/>
        </a:xfrm>
        <a:prstGeom prst="rect">
          <a:avLst/>
        </a:prstGeom>
      </xdr:spPr>
    </xdr:pic>
    <xdr:clientData/>
  </xdr:twoCellAnchor>
  <xdr:twoCellAnchor editAs="oneCell">
    <xdr:from>
      <xdr:col>0</xdr:col>
      <xdr:colOff>57155</xdr:colOff>
      <xdr:row>79</xdr:row>
      <xdr:rowOff>19050</xdr:rowOff>
    </xdr:from>
    <xdr:to>
      <xdr:col>0</xdr:col>
      <xdr:colOff>557345</xdr:colOff>
      <xdr:row>79</xdr:row>
      <xdr:rowOff>525772</xdr:rowOff>
    </xdr:to>
    <xdr:pic>
      <xdr:nvPicPr>
        <xdr:cNvPr id="37" name="Рисунок 36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57155" y="57092850"/>
          <a:ext cx="504000" cy="506722"/>
        </a:xfrm>
        <a:prstGeom prst="rect">
          <a:avLst/>
        </a:prstGeom>
      </xdr:spPr>
    </xdr:pic>
    <xdr:clientData/>
  </xdr:twoCellAnchor>
  <xdr:twoCellAnchor editAs="oneCell">
    <xdr:from>
      <xdr:col>0</xdr:col>
      <xdr:colOff>52393</xdr:colOff>
      <xdr:row>86</xdr:row>
      <xdr:rowOff>0</xdr:rowOff>
    </xdr:from>
    <xdr:to>
      <xdr:col>0</xdr:col>
      <xdr:colOff>560203</xdr:colOff>
      <xdr:row>86</xdr:row>
      <xdr:rowOff>500751</xdr:rowOff>
    </xdr:to>
    <xdr:pic>
      <xdr:nvPicPr>
        <xdr:cNvPr id="41" name="Рисунок 40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52393" y="21383625"/>
          <a:ext cx="504000" cy="504561"/>
        </a:xfrm>
        <a:prstGeom prst="rect">
          <a:avLst/>
        </a:prstGeom>
      </xdr:spPr>
    </xdr:pic>
    <xdr:clientData/>
  </xdr:twoCellAnchor>
  <xdr:oneCellAnchor>
    <xdr:from>
      <xdr:col>0</xdr:col>
      <xdr:colOff>38104</xdr:colOff>
      <xdr:row>43</xdr:row>
      <xdr:rowOff>0</xdr:rowOff>
    </xdr:from>
    <xdr:ext cx="517622" cy="506721"/>
    <xdr:pic>
      <xdr:nvPicPr>
        <xdr:cNvPr id="39" name="Рисунок 21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4" y="12906374"/>
          <a:ext cx="517622" cy="5067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23496</xdr:colOff>
      <xdr:row>90</xdr:row>
      <xdr:rowOff>443865</xdr:rowOff>
    </xdr:from>
    <xdr:ext cx="504000" cy="504000"/>
    <xdr:pic>
      <xdr:nvPicPr>
        <xdr:cNvPr id="35" name="Рисунок 34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496" y="44157265"/>
          <a:ext cx="504000" cy="504000"/>
        </a:xfrm>
        <a:prstGeom prst="rect">
          <a:avLst/>
        </a:prstGeom>
      </xdr:spPr>
    </xdr:pic>
    <xdr:clientData/>
  </xdr:oneCellAnchor>
  <xdr:twoCellAnchor editAs="oneCell">
    <xdr:from>
      <xdr:col>0</xdr:col>
      <xdr:colOff>57150</xdr:colOff>
      <xdr:row>84</xdr:row>
      <xdr:rowOff>6350</xdr:rowOff>
    </xdr:from>
    <xdr:to>
      <xdr:col>0</xdr:col>
      <xdr:colOff>565970</xdr:colOff>
      <xdr:row>84</xdr:row>
      <xdr:rowOff>506540</xdr:rowOff>
    </xdr:to>
    <xdr:pic>
      <xdr:nvPicPr>
        <xdr:cNvPr id="53" name="Рисунок 52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57150" y="43980100"/>
          <a:ext cx="505010" cy="504000"/>
        </a:xfrm>
        <a:prstGeom prst="rect">
          <a:avLst/>
        </a:prstGeom>
      </xdr:spPr>
    </xdr:pic>
    <xdr:clientData/>
  </xdr:twoCellAnchor>
  <xdr:oneCellAnchor>
    <xdr:from>
      <xdr:col>0</xdr:col>
      <xdr:colOff>52274</xdr:colOff>
      <xdr:row>97</xdr:row>
      <xdr:rowOff>23700</xdr:rowOff>
    </xdr:from>
    <xdr:ext cx="540000" cy="491880"/>
    <xdr:pic>
      <xdr:nvPicPr>
        <xdr:cNvPr id="48" name="Рисунок 47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274" y="41830830"/>
          <a:ext cx="540000" cy="491880"/>
        </a:xfrm>
        <a:prstGeom prst="rect">
          <a:avLst/>
        </a:prstGeom>
      </xdr:spPr>
    </xdr:pic>
    <xdr:clientData/>
  </xdr:oneCellAnchor>
  <xdr:oneCellAnchor>
    <xdr:from>
      <xdr:col>0</xdr:col>
      <xdr:colOff>33224</xdr:colOff>
      <xdr:row>93</xdr:row>
      <xdr:rowOff>242775</xdr:rowOff>
    </xdr:from>
    <xdr:ext cx="540000" cy="491880"/>
    <xdr:pic>
      <xdr:nvPicPr>
        <xdr:cNvPr id="49" name="Рисунок 48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224" y="75309300"/>
          <a:ext cx="540000" cy="491880"/>
        </a:xfrm>
        <a:prstGeom prst="rect">
          <a:avLst/>
        </a:prstGeom>
      </xdr:spPr>
    </xdr:pic>
    <xdr:clientData/>
  </xdr:oneCellAnchor>
  <xdr:twoCellAnchor editAs="oneCell">
    <xdr:from>
      <xdr:col>0</xdr:col>
      <xdr:colOff>57150</xdr:colOff>
      <xdr:row>40</xdr:row>
      <xdr:rowOff>0</xdr:rowOff>
    </xdr:from>
    <xdr:to>
      <xdr:col>0</xdr:col>
      <xdr:colOff>557340</xdr:colOff>
      <xdr:row>40</xdr:row>
      <xdr:rowOff>506722</xdr:rowOff>
    </xdr:to>
    <xdr:pic>
      <xdr:nvPicPr>
        <xdr:cNvPr id="42" name="Рисунок 41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57150" y="33470850"/>
          <a:ext cx="504000" cy="506722"/>
        </a:xfrm>
        <a:prstGeom prst="rect">
          <a:avLst/>
        </a:prstGeom>
      </xdr:spPr>
    </xdr:pic>
    <xdr:clientData/>
  </xdr:twoCellAnchor>
  <xdr:oneCellAnchor>
    <xdr:from>
      <xdr:col>0</xdr:col>
      <xdr:colOff>60325</xdr:colOff>
      <xdr:row>77</xdr:row>
      <xdr:rowOff>295275</xdr:rowOff>
    </xdr:from>
    <xdr:ext cx="504000" cy="504000"/>
    <xdr:pic>
      <xdr:nvPicPr>
        <xdr:cNvPr id="51" name="Рисунок 50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325" y="39382065"/>
          <a:ext cx="504000" cy="504000"/>
        </a:xfrm>
        <a:prstGeom prst="rect">
          <a:avLst/>
        </a:prstGeom>
      </xdr:spPr>
    </xdr:pic>
    <xdr:clientData/>
  </xdr:oneCellAnchor>
  <xdr:twoCellAnchor editAs="oneCell">
    <xdr:from>
      <xdr:col>0</xdr:col>
      <xdr:colOff>42867</xdr:colOff>
      <xdr:row>49</xdr:row>
      <xdr:rowOff>15878</xdr:rowOff>
    </xdr:from>
    <xdr:to>
      <xdr:col>0</xdr:col>
      <xdr:colOff>546867</xdr:colOff>
      <xdr:row>49</xdr:row>
      <xdr:rowOff>525740</xdr:rowOff>
    </xdr:to>
    <xdr:pic>
      <xdr:nvPicPr>
        <xdr:cNvPr id="45" name="Рисунок 44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867" y="26292178"/>
          <a:ext cx="504000" cy="509862"/>
        </a:xfrm>
        <a:prstGeom prst="rect">
          <a:avLst/>
        </a:prstGeom>
      </xdr:spPr>
    </xdr:pic>
    <xdr:clientData/>
  </xdr:twoCellAnchor>
  <xdr:oneCellAnchor>
    <xdr:from>
      <xdr:col>0</xdr:col>
      <xdr:colOff>51708</xdr:colOff>
      <xdr:row>44</xdr:row>
      <xdr:rowOff>19957</xdr:rowOff>
    </xdr:from>
    <xdr:ext cx="504000" cy="499516"/>
    <xdr:pic>
      <xdr:nvPicPr>
        <xdr:cNvPr id="52" name="Рисунок 51">
          <a:extLst>
            <a:ext uri="{FF2B5EF4-FFF2-40B4-BE49-F238E27FC236}">
              <a16:creationId xmlns:a16="http://schemas.microsoft.com/office/drawing/2014/main" id="{B5698296-F23D-4574-AB82-3EED972A11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708" y="24315057"/>
          <a:ext cx="504000" cy="499516"/>
        </a:xfrm>
        <a:prstGeom prst="rect">
          <a:avLst/>
        </a:prstGeom>
      </xdr:spPr>
    </xdr:pic>
    <xdr:clientData/>
  </xdr:oneCellAnchor>
  <xdr:twoCellAnchor>
    <xdr:from>
      <xdr:col>19</xdr:col>
      <xdr:colOff>100330</xdr:colOff>
      <xdr:row>0</xdr:row>
      <xdr:rowOff>62231</xdr:rowOff>
    </xdr:from>
    <xdr:to>
      <xdr:col>31</xdr:col>
      <xdr:colOff>242570</xdr:colOff>
      <xdr:row>20</xdr:row>
      <xdr:rowOff>76201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5346FB5F-3769-4DF1-94A1-A855ABFC31D7}"/>
            </a:ext>
          </a:extLst>
        </xdr:cNvPr>
        <xdr:cNvSpPr txBox="1"/>
      </xdr:nvSpPr>
      <xdr:spPr>
        <a:xfrm>
          <a:off x="24255730" y="62231"/>
          <a:ext cx="7368540" cy="1068197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ru-RU" sz="16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Основні пояснення на фінансовій моделі:</a:t>
          </a:r>
          <a:br>
            <a:rPr lang="ru-RU" sz="16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</a:br>
          <a:br>
            <a:rPr lang="ru-RU" sz="16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</a:br>
          <a:r>
            <a:rPr lang="ru-RU" sz="16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 Всі клітинки, що виділені сірим кольором, можуть (і повинні) бути змінені. Якщо ви будете вносити зміни до решти клітинок (які не виділені сірим кольором), це може призвести до видалення формул і спотворення обчислень.</a:t>
          </a:r>
          <a:br>
            <a:rPr lang="ru-RU" sz="16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</a:br>
          <a:r>
            <a:rPr lang="ru-RU" sz="1600" b="1">
              <a:solidFill>
                <a:srgbClr val="0070C0"/>
              </a:solidFill>
              <a:effectLst/>
              <a:latin typeface="+mn-lt"/>
              <a:ea typeface="+mn-ea"/>
              <a:cs typeface="+mn-cs"/>
            </a:rPr>
            <a:t>У всіх клітинках, де напис синього кольору, необхідно натиснути на стрілочку та зробити вибір. Клітинки синього кольору  знаходяться на сторінці "Вхідні дані" - роялті, маркетингові відрахування, на сторінці "Узагальнений розрахунок" - валюта, місяць, формати співробітництва та оподаткування. </a:t>
          </a:r>
          <a:br>
            <a:rPr lang="ru-RU" sz="1600" b="1">
              <a:solidFill>
                <a:srgbClr val="0070C0"/>
              </a:solidFill>
            </a:rPr>
          </a:br>
          <a:r>
            <a:rPr lang="ru-RU" sz="16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2. </a:t>
          </a:r>
          <a:r>
            <a:rPr lang="ru-RU" sz="16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Сірі клітини розташовані на сторінці «Вхідні дані. Всі вхідні дані вводяться тільки на сторінках «Вхідні дані».</a:t>
          </a:r>
          <a:br>
            <a:rPr lang="ru-RU" sz="16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</a:br>
          <a:r>
            <a:rPr lang="ru-RU" sz="16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3. Валюта, в якій вказані всі дані - гривня та дол. США. Ви можете вибрати валюту, в якій буде проводитися розрахунок, валюта вибирається на сторінці «Вхідні дані», при цьому усі дані, що вказані в гривнях та дол. США, будуть переобчислені за курсом, вказаним у рядку 5 на сторінці «Вхідні дані». Курси валют та перелік валют (назви валют) у рядку 5 на сторінці «Вхідні дані», в які буде здійснено перерахунок, можна змінити.</a:t>
          </a:r>
          <a:br>
            <a:rPr lang="ru-RU" sz="16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</a:br>
          <a:r>
            <a:rPr lang="ru-RU" sz="16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4. </a:t>
          </a:r>
          <a:r>
            <a:rPr lang="ru-RU" sz="16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Всі вихідні дані вводяться на сторінці «Вхідні дані», а сторінці «Узагальнений розрахунок» необхідно вибрати один з форматів</a:t>
          </a:r>
          <a:r>
            <a:rPr lang="ru-RU" sz="16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і розрахунок на сторінках «Узагальнений розрахунок» та «Детальний розрахунок» буде зроблений для обраного формату.</a:t>
          </a:r>
        </a:p>
        <a:p>
          <a:r>
            <a:rPr lang="ru-RU" sz="16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5. </a:t>
          </a:r>
          <a:r>
            <a:rPr lang="ru-RU" sz="1600"/>
            <a:t>Роялті та маркетингові відрахування можна вказати як відсоток від виручки (обороту), так і фіксовану суму. Якщо ви не будете відслідковувати дохід ваших партнерів, ми рекомендуємо використовувати фіксовану суму роялті та маркетингових відрахувань.</a:t>
          </a:r>
          <a:br>
            <a:rPr lang="ru-RU" sz="16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</a:br>
          <a:r>
            <a:rPr lang="ru-RU" sz="16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6. </a:t>
          </a:r>
          <a:r>
            <a:rPr lang="ru-RU" sz="16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Необхідний вид оподаткування слід вибрати на сторінці «Узагальнений розрахунок», а дані для цього виду оподаткування, що вказані на сторінці «Вхідні дані» в розділі «Поточні витрати», будуть використовуватися в обчисленні.</a:t>
          </a:r>
          <a:br>
            <a:rPr lang="ru-RU" sz="16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</a:br>
          <a:r>
            <a:rPr lang="ru-RU" sz="16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7</a:t>
          </a:r>
          <a:r>
            <a:rPr lang="ru-RU" sz="16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. </a:t>
          </a:r>
          <a:r>
            <a:rPr lang="ru-RU" sz="1600" b="1"/>
            <a:t>Ми радимо вашим партнерам надавати сторінки «Узагальнений розрахунок» та «Детальний розрахунок» у форматі </a:t>
          </a:r>
          <a:r>
            <a:rPr lang="en-US" sz="1600" b="1"/>
            <a:t>PDF</a:t>
          </a:r>
          <a:r>
            <a:rPr lang="en-US" sz="1600"/>
            <a:t>. </a:t>
          </a:r>
          <a:r>
            <a:rPr lang="ru-RU" sz="1600"/>
            <a:t>В </a:t>
          </a:r>
          <a:r>
            <a:rPr lang="en-US" sz="1600"/>
            <a:t>Excel  </a:t>
          </a:r>
          <a:r>
            <a:rPr lang="ru-RU" sz="1600"/>
            <a:t>ви можете зробити це перебуваючи послідовно на сторінках «Узагальнений розрахунок» та «Детальний розрахунок», натиснувши кнопку «Зберегти як» та вибравши тип файлу </a:t>
          </a:r>
          <a:r>
            <a:rPr lang="en-US" sz="1600"/>
            <a:t>PDF. </a:t>
          </a:r>
          <a:r>
            <a:rPr lang="ru-RU" sz="1600" b="1"/>
            <a:t>Або якщо працювати з  гугл-таблицею -  радимо вашим партнерам надавати посилання на гугл-документ</a:t>
          </a:r>
          <a:r>
            <a:rPr lang="ru-RU" sz="1600"/>
            <a:t> в режимі "Читання" та приховати сторінку «Вхідні дані»</a:t>
          </a:r>
          <a:r>
            <a:rPr lang="en-US" sz="16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.</a:t>
          </a:r>
          <a:endParaRPr lang="uk-UA" sz="16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endParaRPr lang="ru-RU" sz="1600">
            <a:solidFill>
              <a:srgbClr val="FF0000"/>
            </a:solidFill>
            <a:effectLst/>
            <a:latin typeface="+mn-lt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-RU" sz="1600">
              <a:solidFill>
                <a:schemeClr val="dk1"/>
              </a:solidFill>
              <a:latin typeface="+mn-lt"/>
              <a:ea typeface="+mn-ea"/>
              <a:cs typeface="+mn-cs"/>
            </a:rPr>
            <a:t>Щоб заблокувати в </a:t>
          </a:r>
          <a:r>
            <a:rPr lang="en-US" sz="1600">
              <a:solidFill>
                <a:schemeClr val="dk1"/>
              </a:solidFill>
              <a:latin typeface="+mn-lt"/>
              <a:ea typeface="+mn-ea"/>
              <a:cs typeface="+mn-cs"/>
            </a:rPr>
            <a:t>Excel  </a:t>
          </a:r>
          <a:r>
            <a:rPr lang="ru-RU" sz="1600">
              <a:solidFill>
                <a:schemeClr val="dk1"/>
              </a:solidFill>
              <a:latin typeface="+mn-lt"/>
              <a:ea typeface="+mn-ea"/>
              <a:cs typeface="+mn-cs"/>
            </a:rPr>
            <a:t>сторінки та заборонити введення даних у всі клітинки за винятком сірих комірок, на кожному аркуші потрібно виконати такі дії: натисніть кнопку «Захистити аркуш» на вкладці «Рецензування» та введіть пароль 2 рази. Щоб відмінити пароль на вкладці «Рецензування», натисніть кнопку «Зняти захист із аркуша» та введіть пароль 2 рази.</a:t>
          </a:r>
        </a:p>
        <a:p>
          <a:endParaRPr lang="ru-RU" sz="1600"/>
        </a:p>
      </xdr:txBody>
    </xdr:sp>
    <xdr:clientData/>
  </xdr:twoCellAnchor>
  <xdr:oneCellAnchor>
    <xdr:from>
      <xdr:col>0</xdr:col>
      <xdr:colOff>51708</xdr:colOff>
      <xdr:row>46</xdr:row>
      <xdr:rowOff>19957</xdr:rowOff>
    </xdr:from>
    <xdr:ext cx="504000" cy="499516"/>
    <xdr:pic>
      <xdr:nvPicPr>
        <xdr:cNvPr id="46" name="Рисунок 45">
          <a:extLst>
            <a:ext uri="{FF2B5EF4-FFF2-40B4-BE49-F238E27FC236}">
              <a16:creationId xmlns:a16="http://schemas.microsoft.com/office/drawing/2014/main" id="{4B5DA8E6-28E9-43DB-BDCE-427033CAA0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708" y="23946757"/>
          <a:ext cx="504000" cy="499516"/>
        </a:xfrm>
        <a:prstGeom prst="rect">
          <a:avLst/>
        </a:prstGeom>
      </xdr:spPr>
    </xdr:pic>
    <xdr:clientData/>
  </xdr:oneCellAnchor>
  <xdr:twoCellAnchor editAs="oneCell">
    <xdr:from>
      <xdr:col>0</xdr:col>
      <xdr:colOff>25400</xdr:colOff>
      <xdr:row>85</xdr:row>
      <xdr:rowOff>12700</xdr:rowOff>
    </xdr:from>
    <xdr:to>
      <xdr:col>0</xdr:col>
      <xdr:colOff>525590</xdr:colOff>
      <xdr:row>85</xdr:row>
      <xdr:rowOff>519422</xdr:rowOff>
    </xdr:to>
    <xdr:pic>
      <xdr:nvPicPr>
        <xdr:cNvPr id="57" name="Рисунок 56">
          <a:extLst>
            <a:ext uri="{FF2B5EF4-FFF2-40B4-BE49-F238E27FC236}">
              <a16:creationId xmlns:a16="http://schemas.microsoft.com/office/drawing/2014/main" id="{0DDE39DA-190E-4886-B7CE-DFC3766EC2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56426100"/>
          <a:ext cx="504000" cy="506722"/>
        </a:xfrm>
        <a:prstGeom prst="rect">
          <a:avLst/>
        </a:prstGeom>
      </xdr:spPr>
    </xdr:pic>
    <xdr:clientData/>
  </xdr:twoCellAnchor>
  <xdr:oneCellAnchor>
    <xdr:from>
      <xdr:col>0</xdr:col>
      <xdr:colOff>49875</xdr:colOff>
      <xdr:row>88</xdr:row>
      <xdr:rowOff>21300</xdr:rowOff>
    </xdr:from>
    <xdr:ext cx="502730" cy="501460"/>
    <xdr:pic>
      <xdr:nvPicPr>
        <xdr:cNvPr id="56" name="Рисунок 55">
          <a:extLst>
            <a:ext uri="{FF2B5EF4-FFF2-40B4-BE49-F238E27FC236}">
              <a16:creationId xmlns:a16="http://schemas.microsoft.com/office/drawing/2014/main" id="{BD84866D-F54E-42E0-B908-57CBADCB85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145" y="62812640"/>
          <a:ext cx="502730" cy="501460"/>
        </a:xfrm>
        <a:prstGeom prst="rect">
          <a:avLst/>
        </a:prstGeom>
      </xdr:spPr>
    </xdr:pic>
    <xdr:clientData/>
  </xdr:oneCellAnchor>
  <xdr:oneCellAnchor>
    <xdr:from>
      <xdr:col>0</xdr:col>
      <xdr:colOff>51708</xdr:colOff>
      <xdr:row>45</xdr:row>
      <xdr:rowOff>19957</xdr:rowOff>
    </xdr:from>
    <xdr:ext cx="504000" cy="499516"/>
    <xdr:pic>
      <xdr:nvPicPr>
        <xdr:cNvPr id="58" name="Рисунок 57">
          <a:extLst>
            <a:ext uri="{FF2B5EF4-FFF2-40B4-BE49-F238E27FC236}">
              <a16:creationId xmlns:a16="http://schemas.microsoft.com/office/drawing/2014/main" id="{44043A31-E517-4E11-84F5-7D59CAF1AC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168" y="22562457"/>
          <a:ext cx="504000" cy="499516"/>
        </a:xfrm>
        <a:prstGeom prst="rect">
          <a:avLst/>
        </a:prstGeom>
      </xdr:spPr>
    </xdr:pic>
    <xdr:clientData/>
  </xdr:oneCellAnchor>
  <xdr:oneCellAnchor>
    <xdr:from>
      <xdr:col>0</xdr:col>
      <xdr:colOff>50800</xdr:colOff>
      <xdr:row>82</xdr:row>
      <xdr:rowOff>12700</xdr:rowOff>
    </xdr:from>
    <xdr:ext cx="502730" cy="501460"/>
    <xdr:pic>
      <xdr:nvPicPr>
        <xdr:cNvPr id="60" name="Рисунок 59">
          <a:extLst>
            <a:ext uri="{FF2B5EF4-FFF2-40B4-BE49-F238E27FC236}">
              <a16:creationId xmlns:a16="http://schemas.microsoft.com/office/drawing/2014/main" id="{FEFB4E46-5F38-4425-AF93-F42BA11AD8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" y="40220900"/>
          <a:ext cx="502730" cy="501460"/>
        </a:xfrm>
        <a:prstGeom prst="rect">
          <a:avLst/>
        </a:prstGeom>
      </xdr:spPr>
    </xdr:pic>
    <xdr:clientData/>
  </xdr:oneCellAnchor>
  <xdr:oneCellAnchor>
    <xdr:from>
      <xdr:col>0</xdr:col>
      <xdr:colOff>39370</xdr:colOff>
      <xdr:row>95</xdr:row>
      <xdr:rowOff>0</xdr:rowOff>
    </xdr:from>
    <xdr:ext cx="540000" cy="491880"/>
    <xdr:pic>
      <xdr:nvPicPr>
        <xdr:cNvPr id="61" name="Рисунок 60">
          <a:extLst>
            <a:ext uri="{FF2B5EF4-FFF2-40B4-BE49-F238E27FC236}">
              <a16:creationId xmlns:a16="http://schemas.microsoft.com/office/drawing/2014/main" id="{8E1E9573-BB99-40AB-807E-BC78C5B8ED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370" y="46215300"/>
          <a:ext cx="540000" cy="491880"/>
        </a:xfrm>
        <a:prstGeom prst="rect">
          <a:avLst/>
        </a:prstGeom>
      </xdr:spPr>
    </xdr:pic>
    <xdr:clientData/>
  </xdr:oneCellAnchor>
  <xdr:oneCellAnchor>
    <xdr:from>
      <xdr:col>0</xdr:col>
      <xdr:colOff>39370</xdr:colOff>
      <xdr:row>96</xdr:row>
      <xdr:rowOff>0</xdr:rowOff>
    </xdr:from>
    <xdr:ext cx="540000" cy="491880"/>
    <xdr:pic>
      <xdr:nvPicPr>
        <xdr:cNvPr id="62" name="Рисунок 61">
          <a:extLst>
            <a:ext uri="{FF2B5EF4-FFF2-40B4-BE49-F238E27FC236}">
              <a16:creationId xmlns:a16="http://schemas.microsoft.com/office/drawing/2014/main" id="{51898406-18BB-4C61-A837-51F394F3EB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370" y="46761400"/>
          <a:ext cx="540000" cy="491880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38100</xdr:colOff>
      <xdr:row>58</xdr:row>
      <xdr:rowOff>26175</xdr:rowOff>
    </xdr:from>
    <xdr:ext cx="504000" cy="504000"/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17399775"/>
          <a:ext cx="504000" cy="504000"/>
        </a:xfrm>
        <a:prstGeom prst="rect">
          <a:avLst/>
        </a:prstGeom>
      </xdr:spPr>
    </xdr:pic>
    <xdr:clientData/>
  </xdr:oneCellAnchor>
  <xdr:oneCellAnchor>
    <xdr:from>
      <xdr:col>0</xdr:col>
      <xdr:colOff>52274</xdr:colOff>
      <xdr:row>63</xdr:row>
      <xdr:rowOff>23700</xdr:rowOff>
    </xdr:from>
    <xdr:ext cx="540000" cy="491880"/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274" y="17214420"/>
          <a:ext cx="540000" cy="491880"/>
        </a:xfrm>
        <a:prstGeom prst="rect">
          <a:avLst/>
        </a:prstGeom>
      </xdr:spPr>
    </xdr:pic>
    <xdr:clientData/>
  </xdr:oneCellAnchor>
  <xdr:oneCellAnchor>
    <xdr:from>
      <xdr:col>0</xdr:col>
      <xdr:colOff>42255</xdr:colOff>
      <xdr:row>60</xdr:row>
      <xdr:rowOff>13680</xdr:rowOff>
    </xdr:from>
    <xdr:ext cx="504000" cy="504000"/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255" y="26196000"/>
          <a:ext cx="504000" cy="504000"/>
        </a:xfrm>
        <a:prstGeom prst="rect">
          <a:avLst/>
        </a:prstGeom>
      </xdr:spPr>
    </xdr:pic>
    <xdr:clientData/>
  </xdr:oneCellAnchor>
  <xdr:oneCellAnchor>
    <xdr:from>
      <xdr:col>0</xdr:col>
      <xdr:colOff>47625</xdr:colOff>
      <xdr:row>48</xdr:row>
      <xdr:rowOff>9525</xdr:rowOff>
    </xdr:from>
    <xdr:ext cx="504000" cy="504000"/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15371445"/>
          <a:ext cx="504000" cy="504000"/>
        </a:xfrm>
        <a:prstGeom prst="rect">
          <a:avLst/>
        </a:prstGeom>
      </xdr:spPr>
    </xdr:pic>
    <xdr:clientData/>
  </xdr:oneCellAnchor>
  <xdr:oneCellAnchor>
    <xdr:from>
      <xdr:col>0</xdr:col>
      <xdr:colOff>42867</xdr:colOff>
      <xdr:row>36</xdr:row>
      <xdr:rowOff>28578</xdr:rowOff>
    </xdr:from>
    <xdr:ext cx="504000" cy="504000"/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867" y="12098658"/>
          <a:ext cx="504000" cy="504000"/>
        </a:xfrm>
        <a:prstGeom prst="rect">
          <a:avLst/>
        </a:prstGeom>
      </xdr:spPr>
    </xdr:pic>
    <xdr:clientData/>
  </xdr:oneCellAnchor>
  <xdr:oneCellAnchor>
    <xdr:from>
      <xdr:col>0</xdr:col>
      <xdr:colOff>47622</xdr:colOff>
      <xdr:row>34</xdr:row>
      <xdr:rowOff>12814</xdr:rowOff>
    </xdr:from>
    <xdr:ext cx="504000" cy="504001"/>
    <xdr:pic>
      <xdr:nvPicPr>
        <xdr:cNvPr id="8" name="Рисунок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2" y="11534254"/>
          <a:ext cx="504000" cy="504001"/>
        </a:xfrm>
        <a:prstGeom prst="rect">
          <a:avLst/>
        </a:prstGeom>
      </xdr:spPr>
    </xdr:pic>
    <xdr:clientData/>
  </xdr:oneCellAnchor>
  <xdr:oneCellAnchor>
    <xdr:from>
      <xdr:col>0</xdr:col>
      <xdr:colOff>50426</xdr:colOff>
      <xdr:row>35</xdr:row>
      <xdr:rowOff>23815</xdr:rowOff>
    </xdr:from>
    <xdr:ext cx="504000" cy="499516"/>
    <xdr:pic>
      <xdr:nvPicPr>
        <xdr:cNvPr id="9" name="Рисунок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426" y="11728135"/>
          <a:ext cx="504000" cy="499516"/>
        </a:xfrm>
        <a:prstGeom prst="rect">
          <a:avLst/>
        </a:prstGeom>
      </xdr:spPr>
    </xdr:pic>
    <xdr:clientData/>
  </xdr:oneCellAnchor>
  <xdr:oneCellAnchor>
    <xdr:from>
      <xdr:col>0</xdr:col>
      <xdr:colOff>47624</xdr:colOff>
      <xdr:row>27</xdr:row>
      <xdr:rowOff>0</xdr:rowOff>
    </xdr:from>
    <xdr:ext cx="504000" cy="504000"/>
    <xdr:pic>
      <xdr:nvPicPr>
        <xdr:cNvPr id="10" name="Рисунок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4" y="10058400"/>
          <a:ext cx="504000" cy="504000"/>
        </a:xfrm>
        <a:prstGeom prst="rect">
          <a:avLst/>
        </a:prstGeom>
      </xdr:spPr>
    </xdr:pic>
    <xdr:clientData/>
  </xdr:oneCellAnchor>
  <xdr:oneCellAnchor>
    <xdr:from>
      <xdr:col>0</xdr:col>
      <xdr:colOff>47623</xdr:colOff>
      <xdr:row>33</xdr:row>
      <xdr:rowOff>90</xdr:rowOff>
    </xdr:from>
    <xdr:ext cx="504000" cy="504001"/>
    <xdr:pic>
      <xdr:nvPicPr>
        <xdr:cNvPr id="11" name="Рисунок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3" y="11338650"/>
          <a:ext cx="504000" cy="504001"/>
        </a:xfrm>
        <a:prstGeom prst="rect">
          <a:avLst/>
        </a:prstGeom>
      </xdr:spPr>
    </xdr:pic>
    <xdr:clientData/>
  </xdr:oneCellAnchor>
  <xdr:oneCellAnchor>
    <xdr:from>
      <xdr:col>0</xdr:col>
      <xdr:colOff>47625</xdr:colOff>
      <xdr:row>54</xdr:row>
      <xdr:rowOff>19050</xdr:rowOff>
    </xdr:from>
    <xdr:ext cx="504000" cy="504000"/>
    <xdr:pic>
      <xdr:nvPicPr>
        <xdr:cNvPr id="12" name="Рисунок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16844010"/>
          <a:ext cx="504000" cy="504000"/>
        </a:xfrm>
        <a:prstGeom prst="rect">
          <a:avLst/>
        </a:prstGeom>
      </xdr:spPr>
    </xdr:pic>
    <xdr:clientData/>
  </xdr:oneCellAnchor>
  <xdr:oneCellAnchor>
    <xdr:from>
      <xdr:col>0</xdr:col>
      <xdr:colOff>44824</xdr:colOff>
      <xdr:row>52</xdr:row>
      <xdr:rowOff>22412</xdr:rowOff>
    </xdr:from>
    <xdr:ext cx="504000" cy="504000"/>
    <xdr:pic>
      <xdr:nvPicPr>
        <xdr:cNvPr id="14" name="Рисунок 13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44824" y="16115852"/>
          <a:ext cx="504000" cy="504000"/>
        </a:xfrm>
        <a:prstGeom prst="rect">
          <a:avLst/>
        </a:prstGeom>
      </xdr:spPr>
    </xdr:pic>
    <xdr:clientData/>
  </xdr:oneCellAnchor>
  <xdr:oneCellAnchor>
    <xdr:from>
      <xdr:col>0</xdr:col>
      <xdr:colOff>56030</xdr:colOff>
      <xdr:row>28</xdr:row>
      <xdr:rowOff>0</xdr:rowOff>
    </xdr:from>
    <xdr:ext cx="504000" cy="504561"/>
    <xdr:pic>
      <xdr:nvPicPr>
        <xdr:cNvPr id="15" name="Рисунок 14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56030" y="11154502"/>
          <a:ext cx="504000" cy="504561"/>
        </a:xfrm>
        <a:prstGeom prst="rect">
          <a:avLst/>
        </a:prstGeom>
      </xdr:spPr>
    </xdr:pic>
    <xdr:clientData/>
  </xdr:oneCellAnchor>
  <xdr:oneCellAnchor>
    <xdr:from>
      <xdr:col>0</xdr:col>
      <xdr:colOff>47630</xdr:colOff>
      <xdr:row>51</xdr:row>
      <xdr:rowOff>0</xdr:rowOff>
    </xdr:from>
    <xdr:ext cx="504000" cy="506721"/>
    <xdr:pic>
      <xdr:nvPicPr>
        <xdr:cNvPr id="17" name="Рисунок 16"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30" y="15910560"/>
          <a:ext cx="504000" cy="506721"/>
        </a:xfrm>
        <a:prstGeom prst="rect">
          <a:avLst/>
        </a:prstGeom>
      </xdr:spPr>
    </xdr:pic>
    <xdr:clientData/>
  </xdr:oneCellAnchor>
  <xdr:oneCellAnchor>
    <xdr:from>
      <xdr:col>0</xdr:col>
      <xdr:colOff>47630</xdr:colOff>
      <xdr:row>50</xdr:row>
      <xdr:rowOff>4763</xdr:rowOff>
    </xdr:from>
    <xdr:ext cx="504000" cy="506722"/>
    <xdr:pic>
      <xdr:nvPicPr>
        <xdr:cNvPr id="21" name="Рисунок 20">
          <a:extLst>
            <a:ext uri="{FF2B5EF4-FFF2-40B4-BE49-F238E27FC236}">
              <a16:creationId xmlns:a16="http://schemas.microsoft.com/office/drawing/2014/main" id="{00000000-0008-0000-02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47630" y="15732443"/>
          <a:ext cx="504000" cy="506722"/>
        </a:xfrm>
        <a:prstGeom prst="rect">
          <a:avLst/>
        </a:prstGeom>
      </xdr:spPr>
    </xdr:pic>
    <xdr:clientData/>
  </xdr:oneCellAnchor>
  <xdr:oneCellAnchor>
    <xdr:from>
      <xdr:col>0</xdr:col>
      <xdr:colOff>52393</xdr:colOff>
      <xdr:row>57</xdr:row>
      <xdr:rowOff>0</xdr:rowOff>
    </xdr:from>
    <xdr:ext cx="504000" cy="504561"/>
    <xdr:pic>
      <xdr:nvPicPr>
        <xdr:cNvPr id="23" name="Рисунок 22">
          <a:extLst>
            <a:ext uri="{FF2B5EF4-FFF2-40B4-BE49-F238E27FC236}">
              <a16:creationId xmlns:a16="http://schemas.microsoft.com/office/drawing/2014/main" id="{00000000-0008-0000-02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52393" y="16642080"/>
          <a:ext cx="504000" cy="504561"/>
        </a:xfrm>
        <a:prstGeom prst="rect">
          <a:avLst/>
        </a:prstGeom>
      </xdr:spPr>
    </xdr:pic>
    <xdr:clientData/>
  </xdr:oneCellAnchor>
  <xdr:oneCellAnchor>
    <xdr:from>
      <xdr:col>0</xdr:col>
      <xdr:colOff>38104</xdr:colOff>
      <xdr:row>29</xdr:row>
      <xdr:rowOff>0</xdr:rowOff>
    </xdr:from>
    <xdr:ext cx="517622" cy="506721"/>
    <xdr:pic>
      <xdr:nvPicPr>
        <xdr:cNvPr id="31" name="Рисунок 21">
          <a:extLst>
            <a:ext uri="{FF2B5EF4-FFF2-40B4-BE49-F238E27FC236}">
              <a16:creationId xmlns:a16="http://schemas.microsoft.com/office/drawing/2014/main" id="{00000000-0008-0000-02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4" y="10972799"/>
          <a:ext cx="517622" cy="5067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63138</xdr:colOff>
      <xdr:row>30</xdr:row>
      <xdr:rowOff>2177</xdr:rowOff>
    </xdr:from>
    <xdr:ext cx="504000" cy="499516"/>
    <xdr:pic>
      <xdr:nvPicPr>
        <xdr:cNvPr id="30" name="Рисунок 29">
          <a:extLst>
            <a:ext uri="{FF2B5EF4-FFF2-40B4-BE49-F238E27FC236}">
              <a16:creationId xmlns:a16="http://schemas.microsoft.com/office/drawing/2014/main" id="{00000000-0008-0000-02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138" y="9191897"/>
          <a:ext cx="504000" cy="499516"/>
        </a:xfrm>
        <a:prstGeom prst="rect">
          <a:avLst/>
        </a:prstGeom>
      </xdr:spPr>
    </xdr:pic>
    <xdr:clientData/>
  </xdr:oneCellAnchor>
  <xdr:oneCellAnchor>
    <xdr:from>
      <xdr:col>0</xdr:col>
      <xdr:colOff>55518</xdr:colOff>
      <xdr:row>61</xdr:row>
      <xdr:rowOff>7620</xdr:rowOff>
    </xdr:from>
    <xdr:ext cx="504000" cy="504000"/>
    <xdr:pic>
      <xdr:nvPicPr>
        <xdr:cNvPr id="35" name="Рисунок 34">
          <a:extLst>
            <a:ext uri="{FF2B5EF4-FFF2-40B4-BE49-F238E27FC236}">
              <a16:creationId xmlns:a16="http://schemas.microsoft.com/office/drawing/2014/main" id="{00000000-0008-0000-02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518" y="26723340"/>
          <a:ext cx="504000" cy="504000"/>
        </a:xfrm>
        <a:prstGeom prst="rect">
          <a:avLst/>
        </a:prstGeom>
      </xdr:spPr>
    </xdr:pic>
    <xdr:clientData/>
  </xdr:oneCellAnchor>
  <xdr:twoCellAnchor editAs="oneCell">
    <xdr:from>
      <xdr:col>0</xdr:col>
      <xdr:colOff>39008</xdr:colOff>
      <xdr:row>55</xdr:row>
      <xdr:rowOff>5443</xdr:rowOff>
    </xdr:from>
    <xdr:to>
      <xdr:col>0</xdr:col>
      <xdr:colOff>546558</xdr:colOff>
      <xdr:row>55</xdr:row>
      <xdr:rowOff>508173</xdr:rowOff>
    </xdr:to>
    <xdr:pic>
      <xdr:nvPicPr>
        <xdr:cNvPr id="43" name="Рисунок 42">
          <a:extLst>
            <a:ext uri="{FF2B5EF4-FFF2-40B4-BE49-F238E27FC236}">
              <a16:creationId xmlns:a16="http://schemas.microsoft.com/office/drawing/2014/main" id="{00000000-0008-0000-02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39008" y="26599243"/>
          <a:ext cx="505010" cy="504000"/>
        </a:xfrm>
        <a:prstGeom prst="rect">
          <a:avLst/>
        </a:prstGeom>
      </xdr:spPr>
    </xdr:pic>
    <xdr:clientData/>
  </xdr:twoCellAnchor>
  <xdr:oneCellAnchor>
    <xdr:from>
      <xdr:col>0</xdr:col>
      <xdr:colOff>59873</xdr:colOff>
      <xdr:row>47</xdr:row>
      <xdr:rowOff>0</xdr:rowOff>
    </xdr:from>
    <xdr:ext cx="479937" cy="504000"/>
    <xdr:pic>
      <xdr:nvPicPr>
        <xdr:cNvPr id="34" name="Рисунок 33">
          <a:extLst>
            <a:ext uri="{FF2B5EF4-FFF2-40B4-BE49-F238E27FC236}">
              <a16:creationId xmlns:a16="http://schemas.microsoft.com/office/drawing/2014/main" id="{00000000-0008-0000-02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873" y="15963900"/>
          <a:ext cx="479937" cy="504000"/>
        </a:xfrm>
        <a:prstGeom prst="rect">
          <a:avLst/>
        </a:prstGeom>
      </xdr:spPr>
    </xdr:pic>
    <xdr:clientData/>
  </xdr:oneCellAnchor>
  <xdr:oneCellAnchor>
    <xdr:from>
      <xdr:col>0</xdr:col>
      <xdr:colOff>52274</xdr:colOff>
      <xdr:row>62</xdr:row>
      <xdr:rowOff>23700</xdr:rowOff>
    </xdr:from>
    <xdr:ext cx="540000" cy="491880"/>
    <xdr:pic>
      <xdr:nvPicPr>
        <xdr:cNvPr id="39" name="Рисунок 38">
          <a:extLst>
            <a:ext uri="{FF2B5EF4-FFF2-40B4-BE49-F238E27FC236}">
              <a16:creationId xmlns:a16="http://schemas.microsoft.com/office/drawing/2014/main" id="{00000000-0008-0000-02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274" y="22921800"/>
          <a:ext cx="540000" cy="491880"/>
        </a:xfrm>
        <a:prstGeom prst="rect">
          <a:avLst/>
        </a:prstGeom>
      </xdr:spPr>
    </xdr:pic>
    <xdr:clientData/>
  </xdr:oneCellAnchor>
  <xdr:twoCellAnchor editAs="oneCell">
    <xdr:from>
      <xdr:col>0</xdr:col>
      <xdr:colOff>54430</xdr:colOff>
      <xdr:row>26</xdr:row>
      <xdr:rowOff>5443</xdr:rowOff>
    </xdr:from>
    <xdr:to>
      <xdr:col>0</xdr:col>
      <xdr:colOff>559700</xdr:colOff>
      <xdr:row>26</xdr:row>
      <xdr:rowOff>507085</xdr:rowOff>
    </xdr:to>
    <xdr:pic>
      <xdr:nvPicPr>
        <xdr:cNvPr id="44" name="Рисунок 43">
          <a:extLst>
            <a:ext uri="{FF2B5EF4-FFF2-40B4-BE49-F238E27FC236}">
              <a16:creationId xmlns:a16="http://schemas.microsoft.com/office/drawing/2014/main" id="{00000000-0008-0000-02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54430" y="6362700"/>
          <a:ext cx="504000" cy="506722"/>
        </a:xfrm>
        <a:prstGeom prst="rect">
          <a:avLst/>
        </a:prstGeom>
      </xdr:spPr>
    </xdr:pic>
    <xdr:clientData/>
  </xdr:twoCellAnchor>
  <xdr:oneCellAnchor>
    <xdr:from>
      <xdr:col>0</xdr:col>
      <xdr:colOff>47625</xdr:colOff>
      <xdr:row>49</xdr:row>
      <xdr:rowOff>9525</xdr:rowOff>
    </xdr:from>
    <xdr:ext cx="504000" cy="504000"/>
    <xdr:pic>
      <xdr:nvPicPr>
        <xdr:cNvPr id="46" name="Рисунок 45">
          <a:extLst>
            <a:ext uri="{FF2B5EF4-FFF2-40B4-BE49-F238E27FC236}">
              <a16:creationId xmlns:a16="http://schemas.microsoft.com/office/drawing/2014/main" id="{00000000-0008-0000-02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16636365"/>
          <a:ext cx="504000" cy="504000"/>
        </a:xfrm>
        <a:prstGeom prst="rect">
          <a:avLst/>
        </a:prstGeom>
      </xdr:spPr>
    </xdr:pic>
    <xdr:clientData/>
  </xdr:oneCellAnchor>
  <xdr:twoCellAnchor editAs="oneCell">
    <xdr:from>
      <xdr:col>0</xdr:col>
      <xdr:colOff>32385</xdr:colOff>
      <xdr:row>53</xdr:row>
      <xdr:rowOff>9525</xdr:rowOff>
    </xdr:from>
    <xdr:to>
      <xdr:col>0</xdr:col>
      <xdr:colOff>541465</xdr:colOff>
      <xdr:row>53</xdr:row>
      <xdr:rowOff>513525</xdr:rowOff>
    </xdr:to>
    <xdr:pic>
      <xdr:nvPicPr>
        <xdr:cNvPr id="45" name="Рисунок 44">
          <a:extLst>
            <a:ext uri="{FF2B5EF4-FFF2-40B4-BE49-F238E27FC236}">
              <a16:creationId xmlns:a16="http://schemas.microsoft.com/office/drawing/2014/main" id="{00000000-0008-0000-02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385" y="22458045"/>
          <a:ext cx="504000" cy="504000"/>
        </a:xfrm>
        <a:prstGeom prst="rect">
          <a:avLst/>
        </a:prstGeom>
      </xdr:spPr>
    </xdr:pic>
    <xdr:clientData/>
  </xdr:twoCellAnchor>
  <xdr:oneCellAnchor>
    <xdr:from>
      <xdr:col>0</xdr:col>
      <xdr:colOff>63138</xdr:colOff>
      <xdr:row>32</xdr:row>
      <xdr:rowOff>2177</xdr:rowOff>
    </xdr:from>
    <xdr:ext cx="504000" cy="499516"/>
    <xdr:pic>
      <xdr:nvPicPr>
        <xdr:cNvPr id="32" name="Рисунок 31">
          <a:extLst>
            <a:ext uri="{FF2B5EF4-FFF2-40B4-BE49-F238E27FC236}">
              <a16:creationId xmlns:a16="http://schemas.microsoft.com/office/drawing/2014/main" id="{38C16DE0-D8EC-42FB-A702-31EEF2DF45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138" y="6987177"/>
          <a:ext cx="504000" cy="499516"/>
        </a:xfrm>
        <a:prstGeom prst="rect">
          <a:avLst/>
        </a:prstGeom>
      </xdr:spPr>
    </xdr:pic>
    <xdr:clientData/>
  </xdr:oneCellAnchor>
  <xdr:twoCellAnchor editAs="oneCell">
    <xdr:from>
      <xdr:col>0</xdr:col>
      <xdr:colOff>25400</xdr:colOff>
      <xdr:row>56</xdr:row>
      <xdr:rowOff>12700</xdr:rowOff>
    </xdr:from>
    <xdr:to>
      <xdr:col>0</xdr:col>
      <xdr:colOff>528130</xdr:colOff>
      <xdr:row>56</xdr:row>
      <xdr:rowOff>520692</xdr:rowOff>
    </xdr:to>
    <xdr:pic>
      <xdr:nvPicPr>
        <xdr:cNvPr id="40" name="Рисунок 39">
          <a:extLst>
            <a:ext uri="{FF2B5EF4-FFF2-40B4-BE49-F238E27FC236}">
              <a16:creationId xmlns:a16="http://schemas.microsoft.com/office/drawing/2014/main" id="{6B45FAAC-39B5-4B63-BBF4-CDA54BB7D0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22148800"/>
          <a:ext cx="504000" cy="506722"/>
        </a:xfrm>
        <a:prstGeom prst="rect">
          <a:avLst/>
        </a:prstGeom>
      </xdr:spPr>
    </xdr:pic>
    <xdr:clientData/>
  </xdr:twoCellAnchor>
  <xdr:oneCellAnchor>
    <xdr:from>
      <xdr:col>0</xdr:col>
      <xdr:colOff>42255</xdr:colOff>
      <xdr:row>59</xdr:row>
      <xdr:rowOff>13680</xdr:rowOff>
    </xdr:from>
    <xdr:ext cx="504000" cy="504000"/>
    <xdr:pic>
      <xdr:nvPicPr>
        <xdr:cNvPr id="41" name="Рисунок 40">
          <a:extLst>
            <a:ext uri="{FF2B5EF4-FFF2-40B4-BE49-F238E27FC236}">
              <a16:creationId xmlns:a16="http://schemas.microsoft.com/office/drawing/2014/main" id="{1A277D35-6F54-411C-97B1-6EB9489E46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95" y="28421040"/>
          <a:ext cx="504000" cy="504000"/>
        </a:xfrm>
        <a:prstGeom prst="rect">
          <a:avLst/>
        </a:prstGeom>
      </xdr:spPr>
    </xdr:pic>
    <xdr:clientData/>
  </xdr:oneCellAnchor>
  <xdr:oneCellAnchor>
    <xdr:from>
      <xdr:col>0</xdr:col>
      <xdr:colOff>63138</xdr:colOff>
      <xdr:row>31</xdr:row>
      <xdr:rowOff>2177</xdr:rowOff>
    </xdr:from>
    <xdr:ext cx="504000" cy="499516"/>
    <xdr:pic>
      <xdr:nvPicPr>
        <xdr:cNvPr id="33" name="Рисунок 32">
          <a:extLst>
            <a:ext uri="{FF2B5EF4-FFF2-40B4-BE49-F238E27FC236}">
              <a16:creationId xmlns:a16="http://schemas.microsoft.com/office/drawing/2014/main" id="{48E09538-1334-4343-849F-5D80E4E23B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868" y="13250817"/>
          <a:ext cx="504000" cy="499516"/>
        </a:xfrm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21167</xdr:rowOff>
    </xdr:from>
    <xdr:to>
      <xdr:col>13</xdr:col>
      <xdr:colOff>472440</xdr:colOff>
      <xdr:row>19</xdr:row>
      <xdr:rowOff>139277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20</xdr:row>
      <xdr:rowOff>3810</xdr:rowOff>
    </xdr:from>
    <xdr:to>
      <xdr:col>4</xdr:col>
      <xdr:colOff>289560</xdr:colOff>
      <xdr:row>35</xdr:row>
      <xdr:rowOff>68580</xdr:rowOff>
    </xdr:to>
    <xdr:graphicFrame macro="">
      <xdr:nvGraphicFramePr>
        <xdr:cNvPr id="3" name="Диаграмма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422910</xdr:colOff>
      <xdr:row>20</xdr:row>
      <xdr:rowOff>0</xdr:rowOff>
    </xdr:from>
    <xdr:to>
      <xdr:col>9</xdr:col>
      <xdr:colOff>72390</xdr:colOff>
      <xdr:row>35</xdr:row>
      <xdr:rowOff>64770</xdr:rowOff>
    </xdr:to>
    <xdr:graphicFrame macro="">
      <xdr:nvGraphicFramePr>
        <xdr:cNvPr id="4" name="Диаграмма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179070</xdr:colOff>
      <xdr:row>20</xdr:row>
      <xdr:rowOff>0</xdr:rowOff>
    </xdr:from>
    <xdr:to>
      <xdr:col>13</xdr:col>
      <xdr:colOff>468630</xdr:colOff>
      <xdr:row>35</xdr:row>
      <xdr:rowOff>64770</xdr:rowOff>
    </xdr:to>
    <xdr:graphicFrame macro="">
      <xdr:nvGraphicFramePr>
        <xdr:cNvPr id="5" name="Диаграмма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7620</xdr:colOff>
      <xdr:row>35</xdr:row>
      <xdr:rowOff>140970</xdr:rowOff>
    </xdr:from>
    <xdr:to>
      <xdr:col>13</xdr:col>
      <xdr:colOff>461010</xdr:colOff>
      <xdr:row>58</xdr:row>
      <xdr:rowOff>95250</xdr:rowOff>
    </xdr:to>
    <xdr:graphicFrame macro="">
      <xdr:nvGraphicFramePr>
        <xdr:cNvPr id="6" name="Диаграмма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Fmanager\AppData\Local\Temp\Rar$DI00.349\DOCUME~1\ZaziOne\LOCALS~1\Temp\bat\&#1056;&#1072;&#1089;&#1095;&#1077;&#1090;2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Fmanager\AppData\Local\Temp\Rar$DI00.349\Documents%20and%20Settings\&#1052;&#1072;&#1088;&#1075;&#1086;\&#1056;&#1072;&#1073;&#1086;&#1095;&#1080;&#1081;%20&#1089;&#1090;&#1086;&#1083;\5.%20&#1058;&#1069;&#1054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ZAZIPC\Exchange\_&#1071;&#1085;&#1072;\&#1056;&#1052;C%20&#1040;&#1074;&#1090;&#1086;\&#1060;&#1080;&#1085;&#1072;&#1085;&#1089;&#1086;&#1074;&#1072;&#1103;%20&#1084;&#1086;&#1076;&#1077;&#1083;&#1100;%20&#1092;&#1088;&#1072;&#1085;&#1096;&#1080;&#1079;&#1099;%20RMSAuto%202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омпания"/>
      <sheetName val="Проект"/>
      <sheetName val="Сумм"/>
      <sheetName val="Анализ"/>
      <sheetName val="Отчет"/>
      <sheetName val="Опции"/>
      <sheetName val="Язык"/>
    </sheetNames>
    <sheetDataSet>
      <sheetData sheetId="0" refreshError="1"/>
      <sheetData sheetId="1" refreshError="1">
        <row r="7">
          <cell r="D7">
            <v>39083</v>
          </cell>
        </row>
        <row r="8">
          <cell r="D8">
            <v>6</v>
          </cell>
        </row>
        <row r="9">
          <cell r="D9">
            <v>3</v>
          </cell>
          <cell r="E9" t="str">
            <v>пг.</v>
          </cell>
        </row>
        <row r="10">
          <cell r="D10">
            <v>180</v>
          </cell>
        </row>
        <row r="11">
          <cell r="B11" t="str">
            <v>грн.</v>
          </cell>
          <cell r="D11">
            <v>4</v>
          </cell>
        </row>
        <row r="12">
          <cell r="B12" t="str">
            <v>тыс. $</v>
          </cell>
          <cell r="D12">
            <v>6</v>
          </cell>
        </row>
        <row r="17">
          <cell r="D17">
            <v>0</v>
          </cell>
        </row>
        <row r="18">
          <cell r="D18" t="b">
            <v>0</v>
          </cell>
        </row>
        <row r="19">
          <cell r="B19" t="str">
            <v>грн.</v>
          </cell>
          <cell r="D19">
            <v>1</v>
          </cell>
        </row>
        <row r="20">
          <cell r="D20" t="b">
            <v>1</v>
          </cell>
        </row>
        <row r="25">
          <cell r="F25">
            <v>2007</v>
          </cell>
        </row>
        <row r="26">
          <cell r="F26">
            <v>1</v>
          </cell>
        </row>
        <row r="86">
          <cell r="F86" t="str">
            <v>"0"</v>
          </cell>
          <cell r="G86" t="str">
            <v>1/ 2007</v>
          </cell>
          <cell r="H86" t="str">
            <v>2/ 2007</v>
          </cell>
          <cell r="I86" t="str">
            <v>1/ 2008</v>
          </cell>
          <cell r="J86" t="str">
            <v>2/ 2008</v>
          </cell>
          <cell r="K86" t="str">
            <v>1/ 2009</v>
          </cell>
          <cell r="L86" t="str">
            <v>2/ 2009</v>
          </cell>
        </row>
        <row r="88">
          <cell r="F88">
            <v>2</v>
          </cell>
        </row>
        <row r="749">
          <cell r="B749">
            <v>0</v>
          </cell>
        </row>
        <row r="751">
          <cell r="B751">
            <v>0</v>
          </cell>
        </row>
        <row r="755">
          <cell r="B755">
            <v>0</v>
          </cell>
        </row>
        <row r="760">
          <cell r="B760">
            <v>0</v>
          </cell>
          <cell r="C760">
            <v>0</v>
          </cell>
        </row>
        <row r="761">
          <cell r="B761">
            <v>0</v>
          </cell>
          <cell r="C761">
            <v>0</v>
          </cell>
        </row>
        <row r="772">
          <cell r="B772">
            <v>0</v>
          </cell>
          <cell r="C772">
            <v>0</v>
          </cell>
        </row>
        <row r="773">
          <cell r="B773">
            <v>0</v>
          </cell>
          <cell r="C773">
            <v>10</v>
          </cell>
        </row>
        <row r="889">
          <cell r="B889">
            <v>0.2</v>
          </cell>
        </row>
        <row r="890">
          <cell r="B890">
            <v>30</v>
          </cell>
        </row>
        <row r="891">
          <cell r="B891">
            <v>2</v>
          </cell>
        </row>
        <row r="892">
          <cell r="B892">
            <v>1</v>
          </cell>
        </row>
        <row r="945">
          <cell r="B945">
            <v>0.25</v>
          </cell>
        </row>
        <row r="946">
          <cell r="B946">
            <v>60</v>
          </cell>
        </row>
      </sheetData>
      <sheetData sheetId="2" refreshError="1"/>
      <sheetData sheetId="3" refreshError="1">
        <row r="9">
          <cell r="E9">
            <v>4</v>
          </cell>
        </row>
      </sheetData>
      <sheetData sheetId="4" refreshError="1"/>
      <sheetData sheetId="5" refreshError="1">
        <row r="5">
          <cell r="B5" t="str">
            <v>5.05</v>
          </cell>
        </row>
        <row r="10">
          <cell r="B10" t="b">
            <v>1</v>
          </cell>
        </row>
      </sheetData>
      <sheetData sheetId="6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тчет"/>
    </sheetNames>
    <sheetDataSet>
      <sheetData sheetId="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 Исходные данные"/>
      <sheetName val="2. Резюме проекта"/>
      <sheetName val="3. Детальный расчет"/>
    </sheetNames>
    <sheetDataSet>
      <sheetData sheetId="0">
        <row r="1">
          <cell r="I1">
            <v>4</v>
          </cell>
        </row>
      </sheetData>
      <sheetData sheetId="1"/>
      <sheetData sheetId="2">
        <row r="12">
          <cell r="D12">
            <v>1</v>
          </cell>
        </row>
      </sheetData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E99"/>
  <sheetViews>
    <sheetView showGridLines="0" topLeftCell="A71" zoomScale="40" zoomScaleNormal="40" zoomScaleSheetLayoutView="20" workbookViewId="0">
      <selection activeCell="J76" sqref="J76:K98"/>
    </sheetView>
  </sheetViews>
  <sheetFormatPr defaultColWidth="8.81640625" defaultRowHeight="34.25" customHeight="1" x14ac:dyDescent="0.35"/>
  <cols>
    <col min="1" max="1" width="8.453125" style="8" customWidth="1"/>
    <col min="2" max="2" width="24.54296875" style="8" customWidth="1"/>
    <col min="3" max="3" width="20.08984375" style="8" customWidth="1"/>
    <col min="4" max="4" width="26.7265625" style="8" customWidth="1"/>
    <col min="5" max="5" width="20.6328125" style="8" customWidth="1"/>
    <col min="6" max="6" width="24.6328125" style="8" customWidth="1"/>
    <col min="7" max="7" width="20.08984375" style="8" customWidth="1"/>
    <col min="8" max="8" width="24.08984375" style="8" customWidth="1"/>
    <col min="9" max="9" width="20.6328125" style="8" customWidth="1"/>
    <col min="10" max="10" width="24.6328125" style="8" customWidth="1"/>
    <col min="11" max="11" width="22" style="8" customWidth="1"/>
    <col min="12" max="12" width="29.36328125" style="8" customWidth="1"/>
    <col min="13" max="13" width="28.81640625" style="8" customWidth="1"/>
    <col min="14" max="14" width="37.6328125" style="8" customWidth="1"/>
    <col min="15" max="15" width="12.54296875" style="8" customWidth="1"/>
    <col min="16" max="19" width="9.1796875" style="8" hidden="1" customWidth="1"/>
    <col min="20" max="20" width="6.08984375" style="8" customWidth="1"/>
    <col min="21" max="21" width="8.08984375" style="8" customWidth="1"/>
    <col min="22" max="27" width="8.81640625" style="8" customWidth="1"/>
    <col min="28" max="16384" width="8.81640625" style="8"/>
  </cols>
  <sheetData>
    <row r="1" spans="1:26" ht="34.25" customHeight="1" x14ac:dyDescent="0.35">
      <c r="A1" s="392" t="s">
        <v>184</v>
      </c>
      <c r="B1" s="392"/>
      <c r="C1" s="392"/>
      <c r="D1" s="392"/>
      <c r="E1" s="392"/>
      <c r="F1" s="392"/>
      <c r="G1" s="392"/>
      <c r="H1" s="392"/>
      <c r="I1" s="392"/>
      <c r="J1" s="392"/>
      <c r="K1" s="392"/>
      <c r="L1" s="392"/>
      <c r="M1" s="392"/>
      <c r="N1" s="392"/>
      <c r="O1" s="43"/>
      <c r="P1" s="1">
        <f>'Узагальнений розрахунок'!N7</f>
        <v>2</v>
      </c>
      <c r="Q1" s="51" t="s">
        <v>3</v>
      </c>
      <c r="R1" s="52">
        <f>'Узагальнений розрахунок'!P7</f>
        <v>4</v>
      </c>
      <c r="S1" s="52" t="s">
        <v>7</v>
      </c>
    </row>
    <row r="2" spans="1:26" ht="72.75" customHeight="1" x14ac:dyDescent="0.35">
      <c r="A2" s="394" t="s">
        <v>151</v>
      </c>
      <c r="B2" s="394"/>
      <c r="C2" s="394"/>
      <c r="D2" s="394"/>
      <c r="E2" s="394"/>
      <c r="F2" s="394"/>
      <c r="G2" s="394"/>
      <c r="H2" s="394"/>
      <c r="I2" s="394"/>
      <c r="J2" s="394"/>
      <c r="K2" s="394"/>
      <c r="L2" s="394"/>
      <c r="M2" s="394"/>
      <c r="N2" s="394"/>
      <c r="O2" s="3"/>
      <c r="P2" s="51"/>
      <c r="Q2" s="51" t="str">
        <f>E3</f>
        <v>USD</v>
      </c>
      <c r="R2" s="52"/>
      <c r="S2" s="52" t="s">
        <v>8</v>
      </c>
      <c r="W2" s="6"/>
      <c r="X2" s="6"/>
    </row>
    <row r="3" spans="1:26" ht="46.5" customHeight="1" x14ac:dyDescent="0.35">
      <c r="A3" s="395" t="s">
        <v>19</v>
      </c>
      <c r="B3" s="395"/>
      <c r="C3" s="395"/>
      <c r="D3" s="395"/>
      <c r="E3" s="396" t="s">
        <v>0</v>
      </c>
      <c r="F3" s="396"/>
      <c r="G3" s="399">
        <v>28</v>
      </c>
      <c r="H3" s="399"/>
      <c r="I3" s="396" t="s">
        <v>1</v>
      </c>
      <c r="J3" s="396"/>
      <c r="K3" s="2">
        <v>32</v>
      </c>
      <c r="L3" s="396" t="s">
        <v>127</v>
      </c>
      <c r="M3" s="396"/>
      <c r="N3" s="2">
        <v>34</v>
      </c>
      <c r="O3" s="9"/>
      <c r="P3" s="51"/>
      <c r="Q3" s="51" t="str">
        <f>I3</f>
        <v>EUR</v>
      </c>
      <c r="R3" s="52"/>
      <c r="S3" s="52" t="s">
        <v>9</v>
      </c>
    </row>
    <row r="4" spans="1:26" ht="17.75" customHeight="1" x14ac:dyDescent="0.35">
      <c r="A4" s="11"/>
      <c r="P4" s="51"/>
      <c r="Q4" s="51" t="str">
        <f>L3</f>
        <v>GBP</v>
      </c>
      <c r="R4" s="52"/>
      <c r="S4" s="52" t="s">
        <v>10</v>
      </c>
    </row>
    <row r="5" spans="1:26" ht="46.5" customHeight="1" x14ac:dyDescent="0.35">
      <c r="A5" s="395" t="s">
        <v>128</v>
      </c>
      <c r="B5" s="395"/>
      <c r="C5" s="395"/>
      <c r="D5" s="395"/>
      <c r="E5" s="410" t="s">
        <v>154</v>
      </c>
      <c r="F5" s="410"/>
      <c r="G5" s="410"/>
      <c r="H5" s="410"/>
      <c r="I5" s="410"/>
      <c r="J5" s="410"/>
      <c r="K5" s="410" t="s">
        <v>155</v>
      </c>
      <c r="L5" s="410"/>
      <c r="M5" s="410"/>
      <c r="N5" s="410"/>
      <c r="O5" s="9"/>
      <c r="P5" s="53"/>
      <c r="Q5" s="51"/>
      <c r="R5" s="52"/>
      <c r="S5" s="52" t="s">
        <v>11</v>
      </c>
    </row>
    <row r="6" spans="1:26" ht="17.75" customHeight="1" x14ac:dyDescent="0.35">
      <c r="A6" s="11"/>
      <c r="P6" s="51"/>
      <c r="Q6" s="51"/>
      <c r="R6" s="52"/>
      <c r="S6" s="52" t="s">
        <v>12</v>
      </c>
    </row>
    <row r="7" spans="1:26" ht="34.25" customHeight="1" x14ac:dyDescent="0.35">
      <c r="A7" s="11" t="s">
        <v>20</v>
      </c>
      <c r="P7" s="53"/>
      <c r="Q7" s="51"/>
      <c r="R7" s="52"/>
      <c r="S7" s="52" t="s">
        <v>13</v>
      </c>
    </row>
    <row r="8" spans="1:26" ht="34.25" customHeight="1" x14ac:dyDescent="0.35">
      <c r="A8" s="11"/>
      <c r="G8" s="417" t="s">
        <v>183</v>
      </c>
      <c r="H8" s="418"/>
      <c r="I8" s="418"/>
      <c r="J8" s="418"/>
      <c r="K8" s="418"/>
      <c r="L8" s="418"/>
      <c r="M8" s="418"/>
      <c r="N8" s="419"/>
      <c r="P8" s="53"/>
      <c r="Q8" s="51"/>
      <c r="R8" s="52"/>
      <c r="S8" s="52" t="s">
        <v>14</v>
      </c>
    </row>
    <row r="9" spans="1:26" s="61" customFormat="1" ht="45.5" customHeight="1" x14ac:dyDescent="0.35">
      <c r="A9" s="371" t="str">
        <f>A5</f>
        <v>Формати співробітництва</v>
      </c>
      <c r="B9" s="371"/>
      <c r="C9" s="371"/>
      <c r="D9" s="370" t="s">
        <v>87</v>
      </c>
      <c r="E9" s="370"/>
      <c r="F9" s="370"/>
      <c r="G9" s="370" t="s">
        <v>118</v>
      </c>
      <c r="H9" s="370"/>
      <c r="I9" s="370"/>
      <c r="J9" s="370" t="s">
        <v>131</v>
      </c>
      <c r="K9" s="411" t="s">
        <v>132</v>
      </c>
      <c r="L9" s="412"/>
      <c r="M9" s="370" t="s">
        <v>130</v>
      </c>
      <c r="N9" s="370"/>
      <c r="P9" s="51"/>
      <c r="Q9" s="51"/>
      <c r="R9" s="52"/>
      <c r="S9" s="57" t="s">
        <v>15</v>
      </c>
    </row>
    <row r="10" spans="1:26" s="61" customFormat="1" ht="48" customHeight="1" x14ac:dyDescent="0.35">
      <c r="A10" s="371"/>
      <c r="B10" s="371"/>
      <c r="C10" s="371"/>
      <c r="D10" s="228" t="s">
        <v>3</v>
      </c>
      <c r="E10" s="370" t="str">
        <f>"У валюті, в якій виконується розрахунок, "&amp;CHOOSE($P$1,$Q$1,$Q$2,$Q$3,$Q$4)&amp;""</f>
        <v>У валюті, в якій виконується розрахунок, USD</v>
      </c>
      <c r="F10" s="370"/>
      <c r="G10" s="228" t="s">
        <v>119</v>
      </c>
      <c r="H10" s="370" t="str">
        <f>"У валюті, в якій виконується розрахунок, "&amp;CHOOSE($P$1,$Q$1,$Q$2,$Q$3,$Q$4)&amp;"/день"</f>
        <v>У валюті, в якій виконується розрахунок, USD/день</v>
      </c>
      <c r="I10" s="370"/>
      <c r="J10" s="370"/>
      <c r="K10" s="413"/>
      <c r="L10" s="414"/>
      <c r="M10" s="228" t="s">
        <v>21</v>
      </c>
      <c r="N10" s="228" t="str">
        <f>"У валюті, в якій виконується розрахунок, "&amp;CHOOSE($P$1,$Q$1,$Q$2,$Q$3,$Q$4)&amp;"/міс."</f>
        <v>У валюті, в якій виконується розрахунок, USD/міс.</v>
      </c>
      <c r="P10" s="53"/>
      <c r="Q10" s="51"/>
      <c r="R10" s="52"/>
      <c r="S10" s="52" t="s">
        <v>16</v>
      </c>
      <c r="T10" s="62"/>
      <c r="V10" s="63"/>
    </row>
    <row r="11" spans="1:26" customFormat="1" ht="58.5" customHeight="1" x14ac:dyDescent="0.35">
      <c r="A11" s="372" t="str">
        <f>E5</f>
        <v>Класична оренда</v>
      </c>
      <c r="B11" s="372"/>
      <c r="C11" s="372"/>
      <c r="D11" s="233">
        <v>100</v>
      </c>
      <c r="E11" s="373">
        <f>D11/CHOOSE($P$1,1,$G$3,$K$3,$N$3)</f>
        <v>3.5714285714285716</v>
      </c>
      <c r="F11" s="373"/>
      <c r="G11" s="239">
        <f>D11*J11</f>
        <v>166.66666666666669</v>
      </c>
      <c r="H11" s="373">
        <f>G11/CHOOSE($P$1,1,$G$3,$K$3,$N$3)</f>
        <v>5.9523809523809534</v>
      </c>
      <c r="I11" s="373"/>
      <c r="J11" s="74">
        <f>K11/30</f>
        <v>1.6666666666666667</v>
      </c>
      <c r="K11" s="415">
        <v>50</v>
      </c>
      <c r="L11" s="416"/>
      <c r="M11" s="87">
        <f>K11*D11</f>
        <v>5000</v>
      </c>
      <c r="N11" s="87">
        <f>M11/CHOOSE($P$1,1,$G$3,$K$3,$N$3)</f>
        <v>178.57142857142858</v>
      </c>
      <c r="O11" s="91"/>
      <c r="P11" s="61"/>
      <c r="Q11" s="61"/>
      <c r="R11" s="61"/>
      <c r="S11" s="52" t="s">
        <v>17</v>
      </c>
      <c r="T11" s="89"/>
      <c r="U11" s="36"/>
      <c r="V11" s="63"/>
      <c r="W11" s="64"/>
      <c r="X11" s="64"/>
      <c r="Y11" s="64"/>
      <c r="Z11" s="61"/>
    </row>
    <row r="12" spans="1:26" customFormat="1" ht="58.5" customHeight="1" x14ac:dyDescent="0.35">
      <c r="A12" s="372" t="str">
        <f>K5</f>
        <v>Шерінг електросамокатів</v>
      </c>
      <c r="B12" s="372"/>
      <c r="C12" s="372"/>
      <c r="D12" s="233">
        <v>100</v>
      </c>
      <c r="E12" s="373">
        <f>D12/CHOOSE($P$1,1,$G$3,$K$3,$N$3)</f>
        <v>3.5714285714285716</v>
      </c>
      <c r="F12" s="373"/>
      <c r="G12" s="239">
        <f t="shared" ref="G12" si="0">D12*J12</f>
        <v>166.66666666666669</v>
      </c>
      <c r="H12" s="373">
        <f>G12/CHOOSE($P$1,1,$G$3,$K$3,$N$3)</f>
        <v>5.9523809523809534</v>
      </c>
      <c r="I12" s="373"/>
      <c r="J12" s="74">
        <f t="shared" ref="J12" si="1">K12/30</f>
        <v>1.6666666666666667</v>
      </c>
      <c r="K12" s="415">
        <v>50</v>
      </c>
      <c r="L12" s="416"/>
      <c r="M12" s="235">
        <f t="shared" ref="M12" si="2">K12*D12</f>
        <v>5000</v>
      </c>
      <c r="N12" s="87">
        <f>M12/CHOOSE($P$1,1,$G$3,$K$3,$N$3)</f>
        <v>178.57142857142858</v>
      </c>
      <c r="O12" s="73"/>
      <c r="P12" s="54"/>
      <c r="Q12" s="55"/>
      <c r="R12" s="56"/>
      <c r="S12" s="52" t="s">
        <v>18</v>
      </c>
      <c r="T12" s="89"/>
      <c r="U12" s="36"/>
      <c r="V12" s="63"/>
      <c r="W12" s="64"/>
      <c r="X12" s="64"/>
      <c r="Y12" s="64"/>
      <c r="Z12" s="61"/>
    </row>
    <row r="13" spans="1:26" ht="30.5" customHeight="1" x14ac:dyDescent="0.35">
      <c r="A13" s="389" t="s">
        <v>100</v>
      </c>
      <c r="B13" s="389"/>
      <c r="C13" s="389"/>
      <c r="D13" s="389"/>
      <c r="E13" s="389"/>
      <c r="F13" s="389"/>
      <c r="G13" s="389"/>
      <c r="H13" s="389"/>
      <c r="I13" s="389"/>
      <c r="J13" s="389"/>
      <c r="K13" s="389"/>
      <c r="L13" s="389"/>
      <c r="M13" s="389"/>
      <c r="N13" s="389"/>
      <c r="R13" s="36"/>
      <c r="T13" s="44"/>
      <c r="U13" s="68"/>
      <c r="V13" s="58"/>
      <c r="W13" s="48"/>
      <c r="X13" s="59"/>
    </row>
    <row r="14" spans="1:26" ht="47.25" customHeight="1" x14ac:dyDescent="0.35">
      <c r="A14" s="11" t="s">
        <v>88</v>
      </c>
      <c r="S14" s="7"/>
      <c r="T14" s="6"/>
      <c r="U14" s="68"/>
      <c r="V14" s="58"/>
      <c r="W14" s="48"/>
      <c r="X14" s="59"/>
    </row>
    <row r="15" spans="1:26" s="14" customFormat="1" ht="58" customHeight="1" x14ac:dyDescent="0.35">
      <c r="A15" s="377" t="s">
        <v>113</v>
      </c>
      <c r="B15" s="377"/>
      <c r="C15" s="420" t="s">
        <v>91</v>
      </c>
      <c r="D15" s="421"/>
      <c r="E15" s="421"/>
      <c r="F15" s="422"/>
      <c r="J15" s="406" t="s">
        <v>89</v>
      </c>
      <c r="K15" s="407"/>
      <c r="L15" s="423" t="s">
        <v>92</v>
      </c>
      <c r="M15" s="423"/>
      <c r="N15" s="8"/>
      <c r="R15" s="45"/>
      <c r="S15" s="15"/>
      <c r="T15" s="16"/>
      <c r="V15" s="58"/>
      <c r="W15" s="48"/>
      <c r="X15" s="59"/>
    </row>
    <row r="16" spans="1:26" s="14" customFormat="1" ht="47" x14ac:dyDescent="0.35">
      <c r="A16" s="377"/>
      <c r="B16" s="377"/>
      <c r="C16" s="378" t="str">
        <f>E5</f>
        <v>Класична оренда</v>
      </c>
      <c r="D16" s="378"/>
      <c r="E16" s="378" t="str">
        <f>K5</f>
        <v>Шерінг електросамокатів</v>
      </c>
      <c r="F16" s="378"/>
      <c r="J16" s="408"/>
      <c r="K16" s="409"/>
      <c r="L16" s="72" t="str">
        <f>C16</f>
        <v>Класична оренда</v>
      </c>
      <c r="M16" s="72" t="str">
        <f>E16</f>
        <v>Шерінг електросамокатів</v>
      </c>
      <c r="N16" s="8"/>
      <c r="R16" s="45"/>
      <c r="S16" s="15"/>
      <c r="T16" s="16"/>
      <c r="U16" s="8"/>
      <c r="V16" s="58"/>
      <c r="W16" s="48"/>
      <c r="X16" s="59"/>
    </row>
    <row r="17" spans="1:24" s="14" customFormat="1" ht="35" customHeight="1" x14ac:dyDescent="0.35">
      <c r="A17" s="376">
        <v>1</v>
      </c>
      <c r="B17" s="376"/>
      <c r="C17" s="374">
        <v>0.6</v>
      </c>
      <c r="D17" s="375"/>
      <c r="E17" s="374">
        <v>0.6</v>
      </c>
      <c r="F17" s="375"/>
      <c r="J17" s="387" t="str">
        <f t="shared" ref="J17:J28" si="3">S1</f>
        <v>січень</v>
      </c>
      <c r="K17" s="388"/>
      <c r="L17" s="232">
        <v>0.01</v>
      </c>
      <c r="M17" s="232">
        <v>0.1</v>
      </c>
      <c r="N17" s="8"/>
      <c r="R17" s="45"/>
      <c r="S17" s="15"/>
      <c r="T17" s="16"/>
      <c r="V17" s="58"/>
      <c r="W17" s="48"/>
      <c r="X17" s="59"/>
    </row>
    <row r="18" spans="1:24" ht="35" customHeight="1" x14ac:dyDescent="0.35">
      <c r="A18" s="376">
        <v>2</v>
      </c>
      <c r="B18" s="376"/>
      <c r="C18" s="374">
        <v>0.85</v>
      </c>
      <c r="D18" s="375"/>
      <c r="E18" s="374">
        <v>0.85</v>
      </c>
      <c r="F18" s="375"/>
      <c r="G18" s="14"/>
      <c r="H18" s="14"/>
      <c r="J18" s="387" t="str">
        <f t="shared" si="3"/>
        <v>лютий</v>
      </c>
      <c r="K18" s="388"/>
      <c r="L18" s="232">
        <v>0.01</v>
      </c>
      <c r="M18" s="232">
        <v>0.1</v>
      </c>
      <c r="R18" s="6"/>
      <c r="S18" s="6"/>
      <c r="T18" s="46"/>
      <c r="V18" s="60"/>
      <c r="W18" s="36"/>
      <c r="X18" s="36"/>
    </row>
    <row r="19" spans="1:24" ht="35" customHeight="1" x14ac:dyDescent="0.35">
      <c r="A19" s="376">
        <v>3</v>
      </c>
      <c r="B19" s="376"/>
      <c r="C19" s="374">
        <v>1</v>
      </c>
      <c r="D19" s="375"/>
      <c r="E19" s="374">
        <v>1</v>
      </c>
      <c r="F19" s="375"/>
      <c r="G19" s="14"/>
      <c r="H19" s="14"/>
      <c r="J19" s="387" t="str">
        <f t="shared" si="3"/>
        <v>березень</v>
      </c>
      <c r="K19" s="388"/>
      <c r="L19" s="232">
        <v>0.22</v>
      </c>
      <c r="M19" s="232">
        <v>0.3</v>
      </c>
      <c r="P19" s="47"/>
    </row>
    <row r="20" spans="1:24" s="14" customFormat="1" ht="35" customHeight="1" x14ac:dyDescent="0.35">
      <c r="A20" s="376">
        <v>4</v>
      </c>
      <c r="B20" s="376"/>
      <c r="C20" s="374">
        <v>1</v>
      </c>
      <c r="D20" s="375"/>
      <c r="E20" s="374">
        <v>1</v>
      </c>
      <c r="F20" s="375"/>
      <c r="J20" s="387" t="str">
        <f t="shared" si="3"/>
        <v>квітень</v>
      </c>
      <c r="K20" s="388"/>
      <c r="L20" s="232">
        <v>1.34</v>
      </c>
      <c r="M20" s="232">
        <v>1.34</v>
      </c>
      <c r="N20" s="8"/>
      <c r="R20" s="45"/>
      <c r="S20" s="15"/>
      <c r="T20" s="16"/>
      <c r="V20" s="17"/>
    </row>
    <row r="21" spans="1:24" ht="35" customHeight="1" x14ac:dyDescent="0.35">
      <c r="A21" s="376">
        <v>5</v>
      </c>
      <c r="B21" s="376"/>
      <c r="C21" s="374">
        <v>1</v>
      </c>
      <c r="D21" s="375"/>
      <c r="E21" s="374">
        <v>1</v>
      </c>
      <c r="F21" s="375"/>
      <c r="G21" s="14"/>
      <c r="H21" s="14"/>
      <c r="J21" s="387" t="str">
        <f t="shared" si="3"/>
        <v>травень</v>
      </c>
      <c r="K21" s="388"/>
      <c r="L21" s="232">
        <v>1.34</v>
      </c>
      <c r="M21" s="232">
        <v>1.34</v>
      </c>
      <c r="R21" s="6"/>
      <c r="S21" s="6"/>
      <c r="T21" s="46"/>
      <c r="V21" s="46"/>
    </row>
    <row r="22" spans="1:24" ht="35" customHeight="1" x14ac:dyDescent="0.35">
      <c r="A22" s="376">
        <v>6</v>
      </c>
      <c r="B22" s="376"/>
      <c r="C22" s="374">
        <v>1</v>
      </c>
      <c r="D22" s="375"/>
      <c r="E22" s="374">
        <v>1</v>
      </c>
      <c r="F22" s="375"/>
      <c r="G22" s="14"/>
      <c r="H22" s="14"/>
      <c r="J22" s="387" t="str">
        <f t="shared" si="3"/>
        <v>червень</v>
      </c>
      <c r="K22" s="388"/>
      <c r="L22" s="232">
        <v>1.34</v>
      </c>
      <c r="M22" s="232">
        <v>1.34</v>
      </c>
      <c r="P22" s="47"/>
    </row>
    <row r="23" spans="1:24" s="14" customFormat="1" ht="35" customHeight="1" x14ac:dyDescent="0.35">
      <c r="A23" s="376">
        <v>7</v>
      </c>
      <c r="B23" s="376"/>
      <c r="C23" s="374">
        <v>1</v>
      </c>
      <c r="D23" s="375"/>
      <c r="E23" s="374">
        <v>1</v>
      </c>
      <c r="F23" s="375"/>
      <c r="J23" s="387" t="str">
        <f t="shared" si="3"/>
        <v>липень</v>
      </c>
      <c r="K23" s="388"/>
      <c r="L23" s="232">
        <v>1.55</v>
      </c>
      <c r="M23" s="232">
        <v>1.55</v>
      </c>
      <c r="N23" s="8"/>
      <c r="R23" s="45"/>
      <c r="S23" s="15"/>
      <c r="T23" s="16"/>
      <c r="V23" s="17"/>
    </row>
    <row r="24" spans="1:24" ht="35" customHeight="1" x14ac:dyDescent="0.35">
      <c r="A24" s="376">
        <v>8</v>
      </c>
      <c r="B24" s="376"/>
      <c r="C24" s="374">
        <v>1</v>
      </c>
      <c r="D24" s="375"/>
      <c r="E24" s="374">
        <v>1</v>
      </c>
      <c r="F24" s="375"/>
      <c r="G24" s="14"/>
      <c r="H24" s="14"/>
      <c r="J24" s="387" t="str">
        <f t="shared" si="3"/>
        <v>серпень</v>
      </c>
      <c r="K24" s="388"/>
      <c r="L24" s="232">
        <v>1.55</v>
      </c>
      <c r="M24" s="232">
        <v>1.55</v>
      </c>
      <c r="R24" s="6"/>
      <c r="S24" s="6"/>
      <c r="T24" s="46"/>
      <c r="V24" s="46"/>
    </row>
    <row r="25" spans="1:24" ht="35" customHeight="1" x14ac:dyDescent="0.35">
      <c r="A25" s="376">
        <v>9</v>
      </c>
      <c r="B25" s="376"/>
      <c r="C25" s="374">
        <v>1</v>
      </c>
      <c r="D25" s="375"/>
      <c r="E25" s="374">
        <v>1</v>
      </c>
      <c r="F25" s="375"/>
      <c r="G25" s="14"/>
      <c r="H25" s="14"/>
      <c r="J25" s="387" t="str">
        <f t="shared" si="3"/>
        <v>вересень</v>
      </c>
      <c r="K25" s="388"/>
      <c r="L25" s="232">
        <v>1.55</v>
      </c>
      <c r="M25" s="232">
        <v>1.55</v>
      </c>
      <c r="P25" s="47"/>
    </row>
    <row r="26" spans="1:24" s="14" customFormat="1" ht="35" customHeight="1" x14ac:dyDescent="0.35">
      <c r="A26" s="376">
        <v>10</v>
      </c>
      <c r="B26" s="376"/>
      <c r="C26" s="374">
        <v>1</v>
      </c>
      <c r="D26" s="375"/>
      <c r="E26" s="374">
        <v>1</v>
      </c>
      <c r="F26" s="375"/>
      <c r="J26" s="387" t="str">
        <f t="shared" si="3"/>
        <v>жовтень</v>
      </c>
      <c r="K26" s="388"/>
      <c r="L26" s="232">
        <v>0.8</v>
      </c>
      <c r="M26" s="232">
        <v>0.9</v>
      </c>
      <c r="N26" s="8"/>
      <c r="Q26" s="8"/>
      <c r="R26" s="45"/>
      <c r="S26" s="15"/>
      <c r="T26" s="16"/>
      <c r="V26" s="17"/>
    </row>
    <row r="27" spans="1:24" ht="35" customHeight="1" x14ac:dyDescent="0.35">
      <c r="A27" s="376">
        <v>11</v>
      </c>
      <c r="B27" s="376"/>
      <c r="C27" s="374">
        <v>1</v>
      </c>
      <c r="D27" s="375"/>
      <c r="E27" s="374">
        <v>1</v>
      </c>
      <c r="F27" s="375"/>
      <c r="G27" s="14"/>
      <c r="H27" s="14"/>
      <c r="J27" s="387" t="str">
        <f t="shared" si="3"/>
        <v>листопад</v>
      </c>
      <c r="K27" s="388"/>
      <c r="L27" s="232">
        <v>0.5</v>
      </c>
      <c r="M27" s="232">
        <v>0.6</v>
      </c>
      <c r="R27" s="6"/>
      <c r="S27" s="6"/>
      <c r="T27" s="46"/>
      <c r="V27" s="46"/>
    </row>
    <row r="28" spans="1:24" ht="35" customHeight="1" x14ac:dyDescent="0.35">
      <c r="A28" s="376">
        <v>12</v>
      </c>
      <c r="B28" s="376"/>
      <c r="C28" s="374">
        <v>1</v>
      </c>
      <c r="D28" s="375"/>
      <c r="E28" s="374">
        <v>1</v>
      </c>
      <c r="F28" s="375"/>
      <c r="G28" s="14"/>
      <c r="H28" s="14"/>
      <c r="J28" s="387" t="str">
        <f t="shared" si="3"/>
        <v>грудень</v>
      </c>
      <c r="K28" s="388"/>
      <c r="L28" s="232">
        <v>0.01</v>
      </c>
      <c r="M28" s="232">
        <v>0.1</v>
      </c>
      <c r="P28" s="47"/>
    </row>
    <row r="29" spans="1:24" ht="35" customHeight="1" x14ac:dyDescent="0.35">
      <c r="A29" s="376" t="str">
        <f>A33</f>
        <v>2-й рік роботи</v>
      </c>
      <c r="B29" s="376"/>
      <c r="C29" s="374">
        <v>1.1000000000000001</v>
      </c>
      <c r="D29" s="375"/>
      <c r="E29" s="374">
        <v>1.1000000000000001</v>
      </c>
      <c r="F29" s="375"/>
      <c r="G29" s="14"/>
      <c r="H29" s="14"/>
      <c r="J29" s="90"/>
      <c r="P29" s="47"/>
    </row>
    <row r="30" spans="1:24" ht="35" customHeight="1" x14ac:dyDescent="0.35">
      <c r="A30" s="376" t="str">
        <f>A34</f>
        <v>3-й рік роботи</v>
      </c>
      <c r="B30" s="376"/>
      <c r="C30" s="374">
        <v>1.2</v>
      </c>
      <c r="D30" s="375"/>
      <c r="E30" s="374">
        <v>1.2</v>
      </c>
      <c r="F30" s="375"/>
      <c r="G30" s="14"/>
      <c r="H30" s="14"/>
      <c r="J30" s="90"/>
      <c r="P30" s="47"/>
    </row>
    <row r="31" spans="1:24" ht="32.4" customHeight="1" x14ac:dyDescent="0.35">
      <c r="A31" s="240" t="s">
        <v>134</v>
      </c>
      <c r="B31" s="240"/>
      <c r="C31" s="240"/>
      <c r="D31" s="240"/>
      <c r="E31" s="240"/>
      <c r="F31" s="240"/>
      <c r="G31" s="240"/>
      <c r="H31" s="240"/>
      <c r="I31" s="240"/>
      <c r="J31" s="240"/>
      <c r="K31" s="240"/>
      <c r="M31" s="240"/>
      <c r="N31" s="240"/>
      <c r="S31" s="7"/>
      <c r="T31" s="6"/>
    </row>
    <row r="32" spans="1:24" ht="54.25" customHeight="1" x14ac:dyDescent="0.35">
      <c r="A32" s="405"/>
      <c r="B32" s="405"/>
      <c r="C32" s="377" t="s">
        <v>140</v>
      </c>
      <c r="D32" s="377"/>
      <c r="E32" s="380" t="s">
        <v>135</v>
      </c>
      <c r="F32" s="381"/>
      <c r="G32" s="382"/>
      <c r="H32" s="380" t="s">
        <v>136</v>
      </c>
      <c r="I32" s="382"/>
      <c r="J32" s="377" t="s">
        <v>137</v>
      </c>
      <c r="K32" s="377"/>
      <c r="M32" s="377" t="s">
        <v>25</v>
      </c>
      <c r="N32" s="377"/>
      <c r="S32" s="7"/>
      <c r="T32" s="6"/>
    </row>
    <row r="33" spans="1:31" ht="43.75" customHeight="1" x14ac:dyDescent="0.35">
      <c r="A33" s="400" t="s">
        <v>23</v>
      </c>
      <c r="B33" s="400"/>
      <c r="C33" s="379">
        <v>1.05</v>
      </c>
      <c r="D33" s="379"/>
      <c r="E33" s="383">
        <v>1.05</v>
      </c>
      <c r="F33" s="384"/>
      <c r="G33" s="385"/>
      <c r="H33" s="374">
        <v>1</v>
      </c>
      <c r="I33" s="386"/>
      <c r="J33" s="379">
        <v>1.05</v>
      </c>
      <c r="K33" s="379"/>
      <c r="M33" s="401">
        <v>0.1</v>
      </c>
      <c r="N33" s="402"/>
      <c r="O33" s="36"/>
      <c r="P33" s="47"/>
    </row>
    <row r="34" spans="1:31" ht="43.75" customHeight="1" x14ac:dyDescent="0.35">
      <c r="A34" s="400" t="s">
        <v>24</v>
      </c>
      <c r="B34" s="400"/>
      <c r="C34" s="379">
        <v>1.1000000000000001</v>
      </c>
      <c r="D34" s="379"/>
      <c r="E34" s="383">
        <v>1.1000000000000001</v>
      </c>
      <c r="F34" s="384"/>
      <c r="G34" s="385"/>
      <c r="H34" s="374">
        <v>1</v>
      </c>
      <c r="I34" s="386"/>
      <c r="J34" s="379">
        <v>1.1000000000000001</v>
      </c>
      <c r="K34" s="379"/>
      <c r="M34" s="403"/>
      <c r="N34" s="404"/>
      <c r="P34" s="47"/>
    </row>
    <row r="35" spans="1:31" ht="47" customHeight="1" x14ac:dyDescent="0.35">
      <c r="A35" s="389" t="s">
        <v>141</v>
      </c>
      <c r="B35" s="389"/>
      <c r="C35" s="389"/>
      <c r="D35" s="389"/>
      <c r="E35" s="389"/>
      <c r="F35" s="389"/>
      <c r="G35" s="389"/>
      <c r="H35" s="389"/>
      <c r="I35" s="389"/>
      <c r="J35" s="389"/>
      <c r="K35" s="389"/>
      <c r="L35" s="389"/>
      <c r="M35" s="389"/>
      <c r="N35" s="389"/>
      <c r="S35" s="7"/>
      <c r="T35" s="6"/>
    </row>
    <row r="36" spans="1:31" ht="34.25" customHeight="1" x14ac:dyDescent="0.35">
      <c r="A36" s="18" t="s">
        <v>26</v>
      </c>
      <c r="J36" s="19"/>
      <c r="K36" s="19"/>
      <c r="L36" s="19"/>
      <c r="M36" s="19"/>
    </row>
    <row r="37" spans="1:31" ht="34.25" customHeight="1" thickBot="1" x14ac:dyDescent="0.4">
      <c r="A37" s="18"/>
      <c r="E37" s="441" t="str">
        <f>A36</f>
        <v>Інвестиції у відкриття</v>
      </c>
      <c r="F37" s="442"/>
      <c r="G37" s="442"/>
      <c r="H37" s="442"/>
      <c r="I37" s="442"/>
      <c r="J37" s="442"/>
      <c r="K37" s="442"/>
      <c r="L37" s="443"/>
    </row>
    <row r="38" spans="1:31" ht="41" customHeight="1" x14ac:dyDescent="0.35">
      <c r="A38" s="18"/>
      <c r="E38" s="444" t="str">
        <f>$E$5</f>
        <v>Класична оренда</v>
      </c>
      <c r="F38" s="445"/>
      <c r="G38" s="445"/>
      <c r="H38" s="446"/>
      <c r="I38" s="445" t="str">
        <f>$K$5</f>
        <v>Шерінг електросамокатів</v>
      </c>
      <c r="J38" s="445"/>
      <c r="K38" s="445"/>
      <c r="L38" s="446"/>
    </row>
    <row r="39" spans="1:31" ht="42" customHeight="1" x14ac:dyDescent="0.35">
      <c r="A39" s="24"/>
      <c r="B39" s="424" t="s">
        <v>144</v>
      </c>
      <c r="C39" s="424"/>
      <c r="D39" s="425"/>
      <c r="E39" s="432">
        <v>20</v>
      </c>
      <c r="F39" s="433"/>
      <c r="G39" s="451" t="s">
        <v>145</v>
      </c>
      <c r="H39" s="452"/>
      <c r="I39" s="432">
        <v>20</v>
      </c>
      <c r="J39" s="433"/>
      <c r="K39" s="451" t="s">
        <v>145</v>
      </c>
      <c r="L39" s="452"/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3"/>
      <c r="AD39" s="23"/>
    </row>
    <row r="40" spans="1:31" ht="45" customHeight="1" x14ac:dyDescent="0.35">
      <c r="B40" s="426"/>
      <c r="C40" s="426"/>
      <c r="D40" s="427"/>
      <c r="E40" s="447" t="s">
        <v>0</v>
      </c>
      <c r="F40" s="448"/>
      <c r="G40" s="454" t="str">
        <f>"У валюті, в якій виконується розрахунок, "&amp;CHOOSE($P$1,$Q$1,$Q$2,$Q$3,$Q$4)&amp;""</f>
        <v>У валюті, в якій виконується розрахунок, USD</v>
      </c>
      <c r="H40" s="455"/>
      <c r="I40" s="453" t="str">
        <f>E40</f>
        <v>USD</v>
      </c>
      <c r="J40" s="448"/>
      <c r="K40" s="454" t="str">
        <f>"У валюті, в якій виконується розрахунок, "&amp;CHOOSE($P$1,$Q$1,$Q$2,$Q$3,$Q$4)&amp;""</f>
        <v>У валюті, в якій виконується розрахунок, USD</v>
      </c>
      <c r="L40" s="455"/>
      <c r="P40" s="20"/>
      <c r="S40" s="23"/>
      <c r="T40" s="23"/>
      <c r="V40" s="23"/>
      <c r="W40" s="23"/>
      <c r="X40" s="23"/>
      <c r="Y40" s="23"/>
      <c r="Z40" s="23"/>
      <c r="AA40" s="23"/>
      <c r="AB40" s="23"/>
      <c r="AC40" s="23"/>
      <c r="AD40" s="23"/>
      <c r="AE40" s="23"/>
    </row>
    <row r="41" spans="1:31" ht="42" customHeight="1" x14ac:dyDescent="0.35">
      <c r="A41" s="24"/>
      <c r="B41" s="424" t="s">
        <v>96</v>
      </c>
      <c r="C41" s="424"/>
      <c r="D41" s="425"/>
      <c r="E41" s="437">
        <v>200</v>
      </c>
      <c r="F41" s="438"/>
      <c r="G41" s="457">
        <f t="shared" ref="G41:G50" si="4">E41*$G$3/CHOOSE($P$1,1,$G$3,$K$3,$N$3)</f>
        <v>200</v>
      </c>
      <c r="H41" s="458"/>
      <c r="I41" s="456">
        <v>200</v>
      </c>
      <c r="J41" s="438"/>
      <c r="K41" s="457">
        <f t="shared" ref="K41:K50" si="5">I41*$G$3/CHOOSE($P$1,1,$G$3,$K$3,$N$3)</f>
        <v>200</v>
      </c>
      <c r="L41" s="458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3"/>
      <c r="AD41" s="23"/>
    </row>
    <row r="42" spans="1:31" ht="42" customHeight="1" x14ac:dyDescent="0.35">
      <c r="A42" s="20"/>
      <c r="B42" s="358" t="s">
        <v>146</v>
      </c>
      <c r="C42" s="358"/>
      <c r="D42" s="359"/>
      <c r="E42" s="439"/>
      <c r="F42" s="440"/>
      <c r="G42" s="323">
        <f t="shared" si="4"/>
        <v>0</v>
      </c>
      <c r="H42" s="324"/>
      <c r="I42" s="433"/>
      <c r="J42" s="440"/>
      <c r="K42" s="323">
        <f t="shared" si="5"/>
        <v>0</v>
      </c>
      <c r="L42" s="324"/>
      <c r="R42" s="23"/>
      <c r="S42" s="23"/>
      <c r="T42" s="23"/>
      <c r="V42" s="23"/>
      <c r="W42" s="23"/>
      <c r="X42" s="23"/>
      <c r="Y42" s="23"/>
      <c r="Z42" s="23"/>
      <c r="AA42" s="23"/>
      <c r="AB42" s="23"/>
      <c r="AC42" s="23"/>
      <c r="AD42" s="23"/>
    </row>
    <row r="43" spans="1:31" ht="42" customHeight="1" x14ac:dyDescent="0.35">
      <c r="A43" s="24"/>
      <c r="B43" s="358" t="s">
        <v>28</v>
      </c>
      <c r="C43" s="358"/>
      <c r="D43" s="359"/>
      <c r="E43" s="449">
        <v>300</v>
      </c>
      <c r="F43" s="450"/>
      <c r="G43" s="460">
        <f t="shared" si="4"/>
        <v>300</v>
      </c>
      <c r="H43" s="461"/>
      <c r="I43" s="459">
        <v>300</v>
      </c>
      <c r="J43" s="450"/>
      <c r="K43" s="460">
        <f t="shared" si="5"/>
        <v>300</v>
      </c>
      <c r="L43" s="461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</row>
    <row r="44" spans="1:31" ht="42" customHeight="1" x14ac:dyDescent="0.35">
      <c r="A44" s="24"/>
      <c r="B44" s="358" t="s">
        <v>27</v>
      </c>
      <c r="C44" s="358"/>
      <c r="D44" s="359"/>
      <c r="E44" s="432">
        <v>300</v>
      </c>
      <c r="F44" s="433"/>
      <c r="G44" s="462">
        <f t="shared" si="4"/>
        <v>300</v>
      </c>
      <c r="H44" s="463"/>
      <c r="I44" s="464">
        <v>300</v>
      </c>
      <c r="J44" s="433"/>
      <c r="K44" s="462">
        <f t="shared" si="5"/>
        <v>300</v>
      </c>
      <c r="L44" s="46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  <c r="AD44" s="23"/>
    </row>
    <row r="45" spans="1:31" ht="42" customHeight="1" x14ac:dyDescent="0.35">
      <c r="A45" s="20"/>
      <c r="B45" s="428" t="s">
        <v>163</v>
      </c>
      <c r="C45" s="428"/>
      <c r="D45" s="429"/>
      <c r="E45" s="432">
        <v>500</v>
      </c>
      <c r="F45" s="433"/>
      <c r="G45" s="462">
        <f t="shared" si="4"/>
        <v>500</v>
      </c>
      <c r="H45" s="463"/>
      <c r="I45" s="464">
        <v>500</v>
      </c>
      <c r="J45" s="433"/>
      <c r="K45" s="462">
        <f t="shared" si="5"/>
        <v>500</v>
      </c>
      <c r="L45" s="463"/>
      <c r="R45" s="23"/>
      <c r="S45" s="23"/>
      <c r="T45" s="23"/>
      <c r="V45" s="23"/>
      <c r="W45" s="23"/>
      <c r="X45" s="23"/>
      <c r="Y45" s="23"/>
      <c r="Z45" s="23"/>
      <c r="AA45" s="23"/>
      <c r="AB45" s="23"/>
      <c r="AC45" s="23"/>
      <c r="AD45" s="23"/>
    </row>
    <row r="46" spans="1:31" s="274" customFormat="1" ht="42" customHeight="1" x14ac:dyDescent="0.35">
      <c r="A46" s="20"/>
      <c r="B46" s="428" t="s">
        <v>168</v>
      </c>
      <c r="C46" s="428"/>
      <c r="D46" s="429"/>
      <c r="E46" s="432"/>
      <c r="F46" s="433"/>
      <c r="G46" s="462">
        <f t="shared" ref="G46" si="6">E46*$G$3/CHOOSE($P$1,1,$G$3,$K$3,$N$3)</f>
        <v>0</v>
      </c>
      <c r="H46" s="463"/>
      <c r="I46" s="464"/>
      <c r="J46" s="433"/>
      <c r="K46" s="462">
        <f t="shared" ref="K46" si="7">I46*$G$3/CHOOSE($P$1,1,$G$3,$K$3,$N$3)</f>
        <v>0</v>
      </c>
      <c r="L46" s="463"/>
      <c r="R46" s="23"/>
      <c r="S46" s="23"/>
      <c r="T46" s="23"/>
      <c r="V46" s="23"/>
      <c r="W46" s="23"/>
      <c r="X46" s="23"/>
      <c r="Y46" s="23"/>
      <c r="Z46" s="23"/>
      <c r="AA46" s="23"/>
      <c r="AB46" s="23"/>
      <c r="AC46" s="23"/>
      <c r="AD46" s="23"/>
    </row>
    <row r="47" spans="1:31" ht="42" customHeight="1" x14ac:dyDescent="0.35">
      <c r="A47" s="20"/>
      <c r="B47" s="428" t="s">
        <v>162</v>
      </c>
      <c r="C47" s="428"/>
      <c r="D47" s="429"/>
      <c r="E47" s="432">
        <v>600</v>
      </c>
      <c r="F47" s="433"/>
      <c r="G47" s="462">
        <f t="shared" si="4"/>
        <v>600</v>
      </c>
      <c r="H47" s="463"/>
      <c r="I47" s="432">
        <v>600</v>
      </c>
      <c r="J47" s="433"/>
      <c r="K47" s="462">
        <f t="shared" si="5"/>
        <v>600</v>
      </c>
      <c r="L47" s="463"/>
      <c r="R47" s="23"/>
      <c r="S47" s="23"/>
      <c r="T47" s="23"/>
      <c r="V47" s="23"/>
      <c r="W47" s="23"/>
      <c r="X47" s="23"/>
      <c r="Y47" s="23"/>
      <c r="Z47" s="23"/>
      <c r="AA47" s="23"/>
      <c r="AB47" s="23"/>
      <c r="AC47" s="23"/>
      <c r="AD47" s="23"/>
    </row>
    <row r="48" spans="1:31" ht="42" customHeight="1" x14ac:dyDescent="0.35">
      <c r="A48" s="20"/>
      <c r="B48" s="428" t="s">
        <v>29</v>
      </c>
      <c r="C48" s="428"/>
      <c r="D48" s="429"/>
      <c r="E48" s="432">
        <v>200</v>
      </c>
      <c r="F48" s="433"/>
      <c r="G48" s="462">
        <f t="shared" si="4"/>
        <v>200</v>
      </c>
      <c r="H48" s="463"/>
      <c r="I48" s="464">
        <v>200</v>
      </c>
      <c r="J48" s="433"/>
      <c r="K48" s="462">
        <f t="shared" si="5"/>
        <v>200</v>
      </c>
      <c r="L48" s="463"/>
      <c r="R48" s="23"/>
      <c r="S48" s="23"/>
      <c r="T48" s="23"/>
      <c r="V48" s="23"/>
      <c r="W48" s="23"/>
      <c r="X48" s="23"/>
      <c r="Y48" s="23"/>
      <c r="Z48" s="23"/>
      <c r="AA48" s="23"/>
      <c r="AB48" s="23"/>
      <c r="AC48" s="23"/>
      <c r="AD48" s="23"/>
    </row>
    <row r="49" spans="1:31" ht="42" customHeight="1" x14ac:dyDescent="0.35">
      <c r="A49" s="20"/>
      <c r="B49" s="358" t="s">
        <v>31</v>
      </c>
      <c r="C49" s="358"/>
      <c r="D49" s="359"/>
      <c r="E49" s="432">
        <v>200</v>
      </c>
      <c r="F49" s="433"/>
      <c r="G49" s="462">
        <f t="shared" si="4"/>
        <v>200</v>
      </c>
      <c r="H49" s="463"/>
      <c r="I49" s="464">
        <v>600</v>
      </c>
      <c r="J49" s="433"/>
      <c r="K49" s="462">
        <f t="shared" si="5"/>
        <v>600</v>
      </c>
      <c r="L49" s="463"/>
      <c r="R49" s="23"/>
      <c r="S49" s="23"/>
      <c r="T49" s="23"/>
      <c r="U49" s="23"/>
      <c r="V49" s="23"/>
      <c r="W49" s="23"/>
      <c r="X49" s="23"/>
      <c r="Y49" s="23"/>
      <c r="Z49" s="23"/>
      <c r="AA49" s="23"/>
      <c r="AB49" s="23"/>
      <c r="AC49" s="23"/>
      <c r="AD49" s="23"/>
    </row>
    <row r="50" spans="1:31" ht="42" customHeight="1" thickBot="1" x14ac:dyDescent="0.4">
      <c r="A50" s="20"/>
      <c r="B50" s="430" t="s">
        <v>32</v>
      </c>
      <c r="C50" s="430"/>
      <c r="D50" s="431"/>
      <c r="E50" s="435">
        <f>SUM(E41:F49)</f>
        <v>2300</v>
      </c>
      <c r="F50" s="436"/>
      <c r="G50" s="434">
        <f t="shared" si="4"/>
        <v>2300</v>
      </c>
      <c r="H50" s="466"/>
      <c r="I50" s="465">
        <f>SUM(I41:J49)</f>
        <v>2700</v>
      </c>
      <c r="J50" s="436"/>
      <c r="K50" s="434">
        <f t="shared" si="5"/>
        <v>2700</v>
      </c>
      <c r="L50" s="466"/>
      <c r="P50" s="25"/>
      <c r="R50" s="23"/>
      <c r="T50" s="23"/>
      <c r="U50" s="23"/>
      <c r="V50" s="23"/>
      <c r="W50" s="23"/>
      <c r="X50" s="23"/>
      <c r="Y50" s="23"/>
      <c r="Z50" s="23"/>
      <c r="AA50" s="23"/>
      <c r="AB50" s="23"/>
      <c r="AC50" s="23"/>
      <c r="AD50" s="23"/>
    </row>
    <row r="51" spans="1:31" s="281" customFormat="1" ht="42" customHeight="1" x14ac:dyDescent="0.35">
      <c r="P51" s="25"/>
      <c r="R51" s="23"/>
      <c r="T51" s="23"/>
      <c r="U51" s="23"/>
      <c r="V51" s="23"/>
      <c r="W51" s="23"/>
      <c r="X51" s="23"/>
      <c r="Y51" s="23"/>
      <c r="Z51" s="23"/>
      <c r="AA51" s="23"/>
      <c r="AB51" s="23"/>
      <c r="AC51" s="23"/>
      <c r="AD51" s="23"/>
    </row>
    <row r="52" spans="1:31" s="281" customFormat="1" ht="42" customHeight="1" thickBot="1" x14ac:dyDescent="0.4">
      <c r="D52" s="474" t="s">
        <v>185</v>
      </c>
      <c r="E52" s="475"/>
      <c r="F52" s="475"/>
      <c r="G52" s="475"/>
      <c r="H52" s="475"/>
      <c r="I52" s="476"/>
      <c r="J52" s="286"/>
      <c r="K52" s="286"/>
      <c r="L52" s="286"/>
      <c r="P52" s="25"/>
      <c r="R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</row>
    <row r="53" spans="1:31" s="281" customFormat="1" ht="42" customHeight="1" x14ac:dyDescent="0.35">
      <c r="D53" s="283" t="s">
        <v>186</v>
      </c>
      <c r="E53" s="467">
        <v>20</v>
      </c>
      <c r="F53" s="468"/>
      <c r="G53" s="470" t="str">
        <f>"від "&amp;E53+1&amp;""</f>
        <v>від 21</v>
      </c>
      <c r="H53" s="471"/>
      <c r="I53" s="472"/>
      <c r="J53" s="286"/>
      <c r="K53" s="286"/>
      <c r="L53" s="286"/>
      <c r="P53" s="25"/>
      <c r="R53" s="23"/>
      <c r="T53" s="23"/>
      <c r="U53" s="23"/>
      <c r="V53" s="23"/>
      <c r="W53" s="23"/>
      <c r="X53" s="23"/>
      <c r="Y53" s="23"/>
      <c r="Z53" s="23"/>
      <c r="AA53" s="23"/>
      <c r="AB53" s="23"/>
      <c r="AC53" s="23"/>
      <c r="AD53" s="23"/>
    </row>
    <row r="54" spans="1:31" s="281" customFormat="1" ht="45" customHeight="1" x14ac:dyDescent="0.35">
      <c r="B54" s="282"/>
      <c r="C54" s="282"/>
      <c r="D54" s="284" t="s">
        <v>0</v>
      </c>
      <c r="E54" s="377" t="str">
        <f>"У валюті, в якій виконується розрахунок, "&amp;CHOOSE($P$1,$Q$1,$Q$2,$Q$3,$Q$4)&amp;""</f>
        <v>У валюті, в якій виконується розрахунок, USD</v>
      </c>
      <c r="F54" s="454"/>
      <c r="G54" s="284" t="s">
        <v>0</v>
      </c>
      <c r="H54" s="377" t="str">
        <f>"У валюті, в якій виконується розрахунок, "&amp;CHOOSE($P$1,$Q$1,$Q$2,$Q$3,$Q$4)&amp;""</f>
        <v>У валюті, в якій виконується розрахунок, USD</v>
      </c>
      <c r="I54" s="473"/>
      <c r="J54" s="286"/>
      <c r="K54" s="286"/>
      <c r="L54" s="286"/>
      <c r="P54" s="20"/>
      <c r="S54" s="23"/>
      <c r="T54" s="23"/>
      <c r="V54" s="23"/>
      <c r="W54" s="23"/>
      <c r="X54" s="23"/>
      <c r="Y54" s="23"/>
      <c r="Z54" s="23"/>
      <c r="AA54" s="23"/>
      <c r="AB54" s="23"/>
      <c r="AC54" s="23"/>
      <c r="AD54" s="23"/>
      <c r="AE54" s="23"/>
    </row>
    <row r="55" spans="1:31" ht="42" customHeight="1" thickBot="1" x14ac:dyDescent="0.4">
      <c r="A55" s="20"/>
      <c r="B55" s="359" t="s">
        <v>30</v>
      </c>
      <c r="C55" s="469"/>
      <c r="D55" s="285">
        <v>500</v>
      </c>
      <c r="E55" s="315">
        <f>D55*$G$3/CHOOSE($P$1,1,$G$3,$K$3,$N$3)</f>
        <v>500</v>
      </c>
      <c r="F55" s="434"/>
      <c r="G55" s="285">
        <v>3000</v>
      </c>
      <c r="H55" s="315">
        <f>G55*$G$3/CHOOSE($P$1,1,$G$3,$K$3,$N$3)</f>
        <v>3000</v>
      </c>
      <c r="I55" s="316"/>
      <c r="J55" s="286"/>
      <c r="K55" s="286"/>
      <c r="L55" s="286"/>
      <c r="R55" s="23"/>
      <c r="S55" s="23"/>
      <c r="T55" s="23"/>
      <c r="U55" s="23"/>
      <c r="V55" s="23"/>
      <c r="W55" s="23"/>
      <c r="X55" s="23"/>
      <c r="Y55" s="23"/>
      <c r="Z55" s="23"/>
      <c r="AA55" s="23"/>
      <c r="AB55" s="23"/>
      <c r="AC55" s="23"/>
      <c r="AD55" s="23"/>
    </row>
    <row r="56" spans="1:31" ht="21" x14ac:dyDescent="0.35">
      <c r="A56" s="393"/>
      <c r="B56" s="393"/>
      <c r="C56" s="393"/>
      <c r="D56" s="393"/>
      <c r="E56" s="393"/>
      <c r="F56" s="393"/>
      <c r="G56" s="393"/>
      <c r="H56" s="393"/>
      <c r="I56" s="393"/>
      <c r="J56" s="393"/>
      <c r="K56" s="393"/>
      <c r="L56" s="393"/>
      <c r="M56" s="393"/>
      <c r="N56" s="393"/>
      <c r="O56" s="22"/>
      <c r="R56" s="23"/>
      <c r="T56" s="23"/>
      <c r="U56" s="23"/>
      <c r="V56" s="23"/>
      <c r="W56" s="23"/>
      <c r="X56" s="23"/>
      <c r="Y56" s="23"/>
      <c r="Z56" s="23"/>
      <c r="AA56" s="23"/>
      <c r="AB56" s="23"/>
      <c r="AC56" s="23"/>
      <c r="AD56" s="23"/>
    </row>
    <row r="57" spans="1:31" ht="34.25" customHeight="1" x14ac:dyDescent="0.45">
      <c r="A57" s="18" t="s">
        <v>2</v>
      </c>
      <c r="B57" s="26"/>
      <c r="C57" s="26"/>
      <c r="D57" s="26"/>
      <c r="E57" s="26"/>
      <c r="F57" s="26"/>
      <c r="G57" s="26"/>
      <c r="H57" s="26"/>
      <c r="I57" s="26"/>
      <c r="J57" s="26"/>
      <c r="K57" s="26"/>
      <c r="L57" s="26"/>
      <c r="M57" s="26"/>
      <c r="N57" s="26"/>
      <c r="O57" s="22"/>
      <c r="R57" s="23"/>
      <c r="T57" s="23"/>
      <c r="U57" s="23"/>
      <c r="W57" s="23"/>
      <c r="X57" s="23"/>
      <c r="Y57" s="23"/>
      <c r="Z57" s="23"/>
      <c r="AA57" s="23"/>
      <c r="AB57" s="23"/>
      <c r="AC57" s="23"/>
      <c r="AD57" s="23"/>
    </row>
    <row r="58" spans="1:31" ht="34.25" customHeight="1" x14ac:dyDescent="0.45">
      <c r="A58" s="18" t="str">
        <f>"Персонал для формату "&amp;E5&amp;""</f>
        <v>Персонал для формату Класична оренда</v>
      </c>
      <c r="B58" s="26"/>
      <c r="C58" s="26"/>
      <c r="D58" s="26"/>
      <c r="E58" s="26"/>
      <c r="F58" s="26"/>
      <c r="G58" s="26"/>
      <c r="H58" s="26"/>
      <c r="I58" s="26"/>
      <c r="J58" s="26"/>
      <c r="K58" s="26"/>
      <c r="L58" s="26"/>
      <c r="M58" s="26"/>
      <c r="N58" s="26"/>
      <c r="O58" s="22"/>
      <c r="R58" s="23"/>
      <c r="T58" s="23"/>
      <c r="U58" s="23"/>
      <c r="W58" s="23"/>
      <c r="X58" s="23"/>
      <c r="Y58" s="23"/>
      <c r="Z58" s="23"/>
      <c r="AA58" s="23"/>
      <c r="AB58" s="23"/>
      <c r="AC58" s="23"/>
      <c r="AD58" s="23"/>
    </row>
    <row r="59" spans="1:31" ht="34.5" customHeight="1" x14ac:dyDescent="0.35">
      <c r="A59" s="364" t="s">
        <v>33</v>
      </c>
      <c r="B59" s="364"/>
      <c r="C59" s="364"/>
      <c r="D59" s="365" t="s">
        <v>34</v>
      </c>
      <c r="E59" s="365"/>
      <c r="F59" s="365" t="s">
        <v>90</v>
      </c>
      <c r="G59" s="365"/>
      <c r="H59" s="365" t="s">
        <v>167</v>
      </c>
      <c r="I59" s="365"/>
      <c r="J59" s="365"/>
      <c r="K59" s="365"/>
      <c r="L59" s="364" t="s">
        <v>107</v>
      </c>
      <c r="M59" s="364"/>
      <c r="N59" s="364" t="s">
        <v>35</v>
      </c>
      <c r="R59" s="23"/>
      <c r="T59" s="23"/>
      <c r="U59" s="23"/>
      <c r="V59" s="23"/>
      <c r="W59" s="23"/>
      <c r="X59" s="23"/>
      <c r="Y59" s="23"/>
      <c r="Z59" s="23"/>
      <c r="AA59" s="23"/>
      <c r="AB59" s="23"/>
      <c r="AC59" s="23"/>
      <c r="AD59" s="23"/>
    </row>
    <row r="60" spans="1:31" ht="46.5" customHeight="1" x14ac:dyDescent="0.35">
      <c r="A60" s="364"/>
      <c r="B60" s="364"/>
      <c r="C60" s="364"/>
      <c r="D60" s="365"/>
      <c r="E60" s="365"/>
      <c r="F60" s="365"/>
      <c r="G60" s="365"/>
      <c r="H60" s="364" t="s">
        <v>166</v>
      </c>
      <c r="I60" s="364"/>
      <c r="J60" s="364" t="str">
        <f>"У валюті, в якій виконується розрахунок, "&amp;CHOOSE($P$1,$Q$1,$Q$2,$Q$3,$Q$4)&amp;"/міс."</f>
        <v>У валюті, в якій виконується розрахунок, USD/міс.</v>
      </c>
      <c r="K60" s="364"/>
      <c r="L60" s="364"/>
      <c r="M60" s="364"/>
      <c r="N60" s="364"/>
      <c r="R60" s="23"/>
      <c r="T60" s="23"/>
      <c r="U60" s="23"/>
      <c r="V60" s="23"/>
      <c r="W60" s="23"/>
      <c r="X60" s="23"/>
      <c r="Y60" s="23"/>
      <c r="Z60" s="23"/>
      <c r="AA60" s="23"/>
      <c r="AB60" s="23"/>
      <c r="AC60" s="23"/>
      <c r="AD60" s="23"/>
    </row>
    <row r="61" spans="1:31" s="14" customFormat="1" ht="40" customHeight="1" x14ac:dyDescent="0.35">
      <c r="A61" s="369" t="s">
        <v>148</v>
      </c>
      <c r="B61" s="369"/>
      <c r="C61" s="369"/>
      <c r="D61" s="366">
        <v>2</v>
      </c>
      <c r="E61" s="366"/>
      <c r="F61" s="366">
        <v>2</v>
      </c>
      <c r="G61" s="366"/>
      <c r="H61" s="366">
        <v>200</v>
      </c>
      <c r="I61" s="366"/>
      <c r="J61" s="367">
        <f>H61*$G$3/CHOOSE($P$1,1,$G$3,$K$3,$N$3)</f>
        <v>200</v>
      </c>
      <c r="K61" s="367"/>
      <c r="L61" s="360">
        <v>0.1</v>
      </c>
      <c r="M61" s="360"/>
      <c r="N61" s="252" t="s">
        <v>121</v>
      </c>
      <c r="Q61" s="27">
        <f>D61*H61</f>
        <v>400</v>
      </c>
      <c r="R61" s="27"/>
      <c r="S61" s="27"/>
      <c r="T61" s="27"/>
      <c r="U61" s="27"/>
      <c r="W61" s="27"/>
      <c r="X61" s="27"/>
      <c r="Y61" s="27"/>
      <c r="Z61" s="27"/>
      <c r="AA61" s="27"/>
      <c r="AB61" s="27"/>
      <c r="AC61" s="27"/>
      <c r="AD61" s="27"/>
    </row>
    <row r="62" spans="1:31" s="14" customFormat="1" ht="40" customHeight="1" x14ac:dyDescent="0.35">
      <c r="A62" s="369"/>
      <c r="B62" s="369"/>
      <c r="C62" s="369"/>
      <c r="D62" s="366"/>
      <c r="E62" s="366"/>
      <c r="F62" s="366"/>
      <c r="G62" s="366"/>
      <c r="H62" s="366"/>
      <c r="I62" s="366"/>
      <c r="J62" s="367">
        <f>H62*$G$3/CHOOSE($P$1,1,$G$3,$K$3,$N$3)</f>
        <v>0</v>
      </c>
      <c r="K62" s="367"/>
      <c r="L62" s="360"/>
      <c r="M62" s="360"/>
      <c r="N62" s="252" t="s">
        <v>121</v>
      </c>
      <c r="Q62" s="27">
        <f>D62*H62</f>
        <v>0</v>
      </c>
      <c r="R62" s="27"/>
      <c r="S62" s="27"/>
      <c r="T62" s="27"/>
      <c r="U62" s="27"/>
      <c r="W62" s="27"/>
      <c r="X62" s="27"/>
      <c r="Y62" s="27"/>
      <c r="Z62" s="27"/>
      <c r="AA62" s="27"/>
      <c r="AB62" s="27"/>
      <c r="AC62" s="27"/>
      <c r="AD62" s="27"/>
    </row>
    <row r="63" spans="1:31" s="48" customFormat="1" ht="40" customHeight="1" x14ac:dyDescent="0.35">
      <c r="A63" s="398" t="s">
        <v>32</v>
      </c>
      <c r="B63" s="398"/>
      <c r="C63" s="398"/>
      <c r="D63" s="367">
        <f>SUM(D61:D62)</f>
        <v>2</v>
      </c>
      <c r="E63" s="367"/>
      <c r="F63" s="367">
        <f>SUM(F61:F62)</f>
        <v>2</v>
      </c>
      <c r="G63" s="367"/>
      <c r="H63" s="367">
        <f>Q63</f>
        <v>400</v>
      </c>
      <c r="I63" s="367"/>
      <c r="J63" s="367">
        <f>H63*$G$3/CHOOSE($P$1,1,$G$3,$K$3,$N$3)</f>
        <v>400</v>
      </c>
      <c r="K63" s="367"/>
      <c r="L63" s="367"/>
      <c r="M63" s="367"/>
      <c r="N63" s="252"/>
      <c r="O63" s="22"/>
      <c r="Q63" s="48">
        <f>SUM(Q61:Q62)</f>
        <v>400</v>
      </c>
      <c r="R63" s="49"/>
      <c r="S63" s="49"/>
      <c r="T63" s="49"/>
      <c r="U63" s="49"/>
      <c r="V63" s="49"/>
      <c r="W63" s="49"/>
      <c r="X63" s="49"/>
      <c r="Y63" s="49"/>
      <c r="Z63" s="49"/>
      <c r="AA63" s="49"/>
      <c r="AB63" s="49"/>
      <c r="AC63" s="49"/>
      <c r="AD63" s="49"/>
    </row>
    <row r="64" spans="1:31" ht="25.75" customHeight="1" x14ac:dyDescent="0.45">
      <c r="A64" s="368"/>
      <c r="B64" s="368"/>
      <c r="C64" s="368"/>
      <c r="D64" s="368"/>
      <c r="E64" s="368"/>
      <c r="F64" s="368"/>
      <c r="G64" s="368"/>
      <c r="H64" s="368"/>
      <c r="I64" s="368"/>
      <c r="J64" s="368"/>
      <c r="K64" s="368"/>
      <c r="L64" s="368"/>
      <c r="M64" s="368"/>
      <c r="N64" s="368"/>
      <c r="O64" s="22"/>
      <c r="R64" s="23"/>
      <c r="S64" s="23"/>
      <c r="T64" s="23"/>
      <c r="U64" s="23"/>
      <c r="V64" s="23"/>
      <c r="W64" s="23"/>
      <c r="X64" s="23"/>
      <c r="Y64" s="23"/>
      <c r="Z64" s="23"/>
      <c r="AA64" s="23"/>
      <c r="AB64" s="23"/>
      <c r="AC64" s="23"/>
      <c r="AD64" s="23"/>
    </row>
    <row r="65" spans="1:30" ht="34.25" customHeight="1" x14ac:dyDescent="0.45">
      <c r="A65" s="18" t="str">
        <f>"Персонал для формату "&amp;K5&amp;""</f>
        <v>Персонал для формату Шерінг електросамокатів</v>
      </c>
      <c r="B65" s="26"/>
      <c r="C65" s="26"/>
      <c r="D65" s="26"/>
      <c r="E65" s="26"/>
      <c r="F65" s="26"/>
      <c r="G65" s="26"/>
      <c r="H65" s="26"/>
      <c r="I65" s="26"/>
      <c r="J65" s="26"/>
      <c r="K65" s="26"/>
      <c r="L65" s="26"/>
      <c r="M65" s="26"/>
      <c r="N65" s="26"/>
      <c r="O65" s="22"/>
      <c r="R65" s="23"/>
      <c r="T65" s="23"/>
      <c r="U65" s="23"/>
      <c r="V65" s="23"/>
      <c r="W65" s="23"/>
      <c r="X65" s="23"/>
      <c r="Y65" s="23"/>
      <c r="Z65" s="23"/>
      <c r="AA65" s="23"/>
      <c r="AB65" s="23"/>
      <c r="AC65" s="23"/>
      <c r="AD65" s="23"/>
    </row>
    <row r="66" spans="1:30" ht="24.9" customHeight="1" x14ac:dyDescent="0.35">
      <c r="A66" s="364" t="s">
        <v>33</v>
      </c>
      <c r="B66" s="364"/>
      <c r="C66" s="364"/>
      <c r="D66" s="365" t="s">
        <v>34</v>
      </c>
      <c r="E66" s="365"/>
      <c r="F66" s="365" t="s">
        <v>90</v>
      </c>
      <c r="G66" s="365"/>
      <c r="H66" s="365" t="str">
        <f>H59</f>
        <v>Фіксований оклад на місяць</v>
      </c>
      <c r="I66" s="365"/>
      <c r="J66" s="365"/>
      <c r="K66" s="365"/>
      <c r="L66" s="364" t="s">
        <v>107</v>
      </c>
      <c r="M66" s="364"/>
      <c r="N66" s="364" t="s">
        <v>35</v>
      </c>
      <c r="O66" s="22"/>
      <c r="R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</row>
    <row r="67" spans="1:30" ht="45.25" customHeight="1" x14ac:dyDescent="0.35">
      <c r="A67" s="364"/>
      <c r="B67" s="364"/>
      <c r="C67" s="364"/>
      <c r="D67" s="365"/>
      <c r="E67" s="365"/>
      <c r="F67" s="365"/>
      <c r="G67" s="365"/>
      <c r="H67" s="364" t="str">
        <f>H60</f>
        <v>USD/міс.</v>
      </c>
      <c r="I67" s="364"/>
      <c r="J67" s="364" t="str">
        <f>J60</f>
        <v>У валюті, в якій виконується розрахунок, USD/міс.</v>
      </c>
      <c r="K67" s="364"/>
      <c r="L67" s="364"/>
      <c r="M67" s="364"/>
      <c r="N67" s="364"/>
      <c r="O67" s="22"/>
      <c r="R67" s="23"/>
      <c r="T67" s="23"/>
      <c r="U67" s="23"/>
      <c r="V67" s="23"/>
      <c r="W67" s="23"/>
      <c r="X67" s="23"/>
      <c r="Y67" s="23"/>
      <c r="Z67" s="23"/>
      <c r="AA67" s="23"/>
      <c r="AB67" s="23"/>
      <c r="AC67" s="23"/>
      <c r="AD67" s="23"/>
    </row>
    <row r="68" spans="1:30" s="14" customFormat="1" ht="40" customHeight="1" x14ac:dyDescent="0.35">
      <c r="A68" s="369" t="s">
        <v>165</v>
      </c>
      <c r="B68" s="369"/>
      <c r="C68" s="369"/>
      <c r="D68" s="366">
        <v>1</v>
      </c>
      <c r="E68" s="366"/>
      <c r="F68" s="366">
        <v>1</v>
      </c>
      <c r="G68" s="366"/>
      <c r="H68" s="366">
        <v>200</v>
      </c>
      <c r="I68" s="366"/>
      <c r="J68" s="367">
        <f>H68*$G$3/CHOOSE($P$1,1,$G$3,$K$3,$N$3)</f>
        <v>200</v>
      </c>
      <c r="K68" s="367"/>
      <c r="L68" s="360">
        <v>0.1</v>
      </c>
      <c r="M68" s="360"/>
      <c r="N68" s="252" t="s">
        <v>121</v>
      </c>
      <c r="O68" s="22"/>
      <c r="Q68" s="27">
        <f>D68*H68</f>
        <v>200</v>
      </c>
      <c r="R68" s="27"/>
      <c r="S68" s="27"/>
      <c r="T68" s="27"/>
      <c r="U68" s="27"/>
      <c r="W68" s="27"/>
      <c r="X68" s="27"/>
      <c r="Y68" s="27"/>
      <c r="Z68" s="27"/>
      <c r="AA68" s="27"/>
      <c r="AB68" s="27"/>
      <c r="AC68" s="27"/>
      <c r="AD68" s="27"/>
    </row>
    <row r="69" spans="1:30" s="14" customFormat="1" ht="40" customHeight="1" x14ac:dyDescent="0.35">
      <c r="A69" s="369"/>
      <c r="B69" s="369"/>
      <c r="C69" s="369"/>
      <c r="D69" s="366"/>
      <c r="E69" s="366"/>
      <c r="F69" s="366"/>
      <c r="G69" s="366"/>
      <c r="H69" s="366"/>
      <c r="I69" s="366"/>
      <c r="J69" s="367">
        <f>H69*$G$3/CHOOSE($P$1,1,$G$3,$K$3,$N$3)</f>
        <v>0</v>
      </c>
      <c r="K69" s="367"/>
      <c r="L69" s="360"/>
      <c r="M69" s="360"/>
      <c r="N69" s="252" t="s">
        <v>121</v>
      </c>
      <c r="O69" s="22"/>
      <c r="Q69" s="27">
        <f>D69*H69</f>
        <v>0</v>
      </c>
      <c r="R69" s="27"/>
      <c r="S69" s="27"/>
      <c r="T69" s="27"/>
      <c r="U69" s="27"/>
      <c r="W69" s="27"/>
      <c r="X69" s="27"/>
      <c r="Y69" s="27"/>
      <c r="Z69" s="27"/>
      <c r="AA69" s="27"/>
      <c r="AB69" s="27"/>
      <c r="AC69" s="27"/>
      <c r="AD69" s="27"/>
    </row>
    <row r="70" spans="1:30" s="48" customFormat="1" ht="40" customHeight="1" x14ac:dyDescent="0.35">
      <c r="A70" s="398" t="s">
        <v>32</v>
      </c>
      <c r="B70" s="398"/>
      <c r="C70" s="398"/>
      <c r="D70" s="367">
        <f>SUM(D68:D69)</f>
        <v>1</v>
      </c>
      <c r="E70" s="367"/>
      <c r="F70" s="367">
        <f>SUM(F68:F69)</f>
        <v>1</v>
      </c>
      <c r="G70" s="367"/>
      <c r="H70" s="367">
        <f>Q70</f>
        <v>200</v>
      </c>
      <c r="I70" s="367"/>
      <c r="J70" s="367">
        <f>H70*$G$3/CHOOSE($P$1,1,$G$3,$K$3,$N$3)</f>
        <v>200</v>
      </c>
      <c r="K70" s="367"/>
      <c r="L70" s="367"/>
      <c r="M70" s="367"/>
      <c r="N70" s="252"/>
      <c r="O70" s="22"/>
      <c r="Q70" s="48">
        <f>SUM(Q68:Q69)</f>
        <v>200</v>
      </c>
      <c r="R70" s="49"/>
      <c r="S70" s="49"/>
      <c r="T70" s="49"/>
      <c r="U70" s="49"/>
      <c r="V70" s="49"/>
      <c r="W70" s="49"/>
      <c r="X70" s="49"/>
      <c r="Y70" s="49"/>
      <c r="Z70" s="49"/>
      <c r="AA70" s="49"/>
      <c r="AB70" s="49"/>
      <c r="AC70" s="49"/>
      <c r="AD70" s="49"/>
    </row>
    <row r="71" spans="1:30" ht="25.75" customHeight="1" x14ac:dyDescent="0.45">
      <c r="A71" s="368"/>
      <c r="B71" s="368"/>
      <c r="C71" s="368"/>
      <c r="D71" s="368"/>
      <c r="E71" s="368"/>
      <c r="F71" s="368"/>
      <c r="G71" s="368"/>
      <c r="H71" s="368"/>
      <c r="I71" s="368"/>
      <c r="J71" s="368"/>
      <c r="K71" s="368"/>
      <c r="L71" s="368"/>
      <c r="M71" s="368"/>
      <c r="N71" s="368"/>
      <c r="O71" s="22"/>
      <c r="R71" s="23"/>
      <c r="S71" s="23"/>
      <c r="T71" s="23"/>
      <c r="U71" s="23"/>
      <c r="V71" s="23"/>
      <c r="W71" s="23"/>
      <c r="X71" s="23"/>
      <c r="Y71" s="23"/>
      <c r="Z71" s="23"/>
      <c r="AA71" s="23"/>
      <c r="AB71" s="23"/>
      <c r="AC71" s="23"/>
      <c r="AD71" s="23"/>
    </row>
    <row r="72" spans="1:30" ht="42" customHeight="1" x14ac:dyDescent="0.35">
      <c r="A72" s="11" t="s">
        <v>36</v>
      </c>
      <c r="D72" s="28"/>
      <c r="E72" s="28"/>
      <c r="F72" s="28"/>
      <c r="J72" s="397"/>
      <c r="K72" s="397"/>
      <c r="L72" s="397"/>
      <c r="M72" s="397"/>
      <c r="N72" s="397"/>
    </row>
    <row r="73" spans="1:30" ht="42" customHeight="1" thickBot="1" x14ac:dyDescent="0.4">
      <c r="E73" s="339" t="s">
        <v>122</v>
      </c>
      <c r="F73" s="340"/>
      <c r="G73" s="340"/>
      <c r="H73" s="340"/>
      <c r="I73" s="340"/>
      <c r="J73" s="340"/>
      <c r="K73" s="340"/>
      <c r="L73" s="340"/>
      <c r="M73" s="340"/>
      <c r="N73" s="341"/>
    </row>
    <row r="74" spans="1:30" ht="42" customHeight="1" x14ac:dyDescent="0.35">
      <c r="E74" s="306" t="str">
        <f>E38</f>
        <v>Класична оренда</v>
      </c>
      <c r="F74" s="307"/>
      <c r="G74" s="307"/>
      <c r="H74" s="307"/>
      <c r="I74" s="308"/>
      <c r="J74" s="306" t="str">
        <f>I38</f>
        <v>Шерінг електросамокатів</v>
      </c>
      <c r="K74" s="307"/>
      <c r="L74" s="307"/>
      <c r="M74" s="307"/>
      <c r="N74" s="308"/>
    </row>
    <row r="75" spans="1:30" ht="47.5" customHeight="1" thickBot="1" x14ac:dyDescent="0.4">
      <c r="A75" s="11"/>
      <c r="E75" s="309" t="s">
        <v>180</v>
      </c>
      <c r="F75" s="310"/>
      <c r="G75" s="310" t="str">
        <f>"У валюті, в якій виконується розрахунок, "&amp;CHOOSE($P$1,$Q$1,$Q$2,$Q$3,$Q$4)&amp;"/міс.*"</f>
        <v>У валюті, в якій виконується розрахунок, USD/міс.*</v>
      </c>
      <c r="H75" s="310"/>
      <c r="I75" s="311"/>
      <c r="J75" s="309" t="str">
        <f>E75</f>
        <v>USD/міс.* або %</v>
      </c>
      <c r="K75" s="310"/>
      <c r="L75" s="310" t="str">
        <f>G75</f>
        <v>У валюті, в якій виконується розрахунок, USD/міс.*</v>
      </c>
      <c r="M75" s="310"/>
      <c r="N75" s="311"/>
      <c r="Q75"/>
    </row>
    <row r="76" spans="1:30" customFormat="1" ht="43" customHeight="1" x14ac:dyDescent="0.35">
      <c r="A76" s="69"/>
      <c r="B76" s="350" t="s">
        <v>181</v>
      </c>
      <c r="C76" s="351"/>
      <c r="D76" s="352"/>
      <c r="E76" s="300">
        <v>0</v>
      </c>
      <c r="F76" s="301"/>
      <c r="G76" s="312" t="s">
        <v>42</v>
      </c>
      <c r="H76" s="312"/>
      <c r="I76" s="250">
        <f>E76*$N$11</f>
        <v>0</v>
      </c>
      <c r="J76" s="300">
        <v>0</v>
      </c>
      <c r="K76" s="301"/>
      <c r="L76" s="312" t="s">
        <v>42</v>
      </c>
      <c r="M76" s="312"/>
      <c r="N76" s="250">
        <f>J76*$N$12</f>
        <v>0</v>
      </c>
      <c r="P76" s="8"/>
      <c r="Q76" s="8"/>
      <c r="R76" s="70">
        <f>MATCH(B77,$S$76:$S$77,0)</f>
        <v>2</v>
      </c>
      <c r="S76" s="70" t="s">
        <v>42</v>
      </c>
      <c r="X76" s="8"/>
    </row>
    <row r="77" spans="1:30" customFormat="1" ht="43" customHeight="1" thickBot="1" x14ac:dyDescent="0.4">
      <c r="A77" s="65"/>
      <c r="B77" s="353" t="s">
        <v>46</v>
      </c>
      <c r="C77" s="354"/>
      <c r="D77" s="355"/>
      <c r="E77" s="313">
        <v>2</v>
      </c>
      <c r="F77" s="314"/>
      <c r="G77" s="315">
        <f>E77*$G$3/CHOOSE($P$1,1,$G$3,$K$3,$N$3)</f>
        <v>2</v>
      </c>
      <c r="H77" s="315"/>
      <c r="I77" s="316"/>
      <c r="J77" s="313">
        <v>2</v>
      </c>
      <c r="K77" s="314"/>
      <c r="L77" s="315">
        <f>J77*$G$3/CHOOSE($P$1,1,$G$3,$K$3,$N$3)</f>
        <v>2</v>
      </c>
      <c r="M77" s="315"/>
      <c r="N77" s="316"/>
      <c r="P77" s="8"/>
      <c r="Q77" s="8"/>
      <c r="R77" s="70">
        <f>MATCH(B79,$S$76:$S$77,0)</f>
        <v>1</v>
      </c>
      <c r="S77" s="70" t="s">
        <v>46</v>
      </c>
    </row>
    <row r="78" spans="1:30" customFormat="1" ht="43" customHeight="1" x14ac:dyDescent="0.35">
      <c r="A78" s="69"/>
      <c r="B78" s="350" t="s">
        <v>182</v>
      </c>
      <c r="C78" s="351"/>
      <c r="D78" s="352"/>
      <c r="E78" s="300">
        <v>0</v>
      </c>
      <c r="F78" s="301"/>
      <c r="G78" s="312" t="s">
        <v>42</v>
      </c>
      <c r="H78" s="312"/>
      <c r="I78" s="250">
        <f>E78*$N$11</f>
        <v>0</v>
      </c>
      <c r="J78" s="300">
        <v>0</v>
      </c>
      <c r="K78" s="301"/>
      <c r="L78" s="312" t="s">
        <v>42</v>
      </c>
      <c r="M78" s="312"/>
      <c r="N78" s="250">
        <f>J78*$N$12</f>
        <v>0</v>
      </c>
    </row>
    <row r="79" spans="1:30" customFormat="1" ht="43" customHeight="1" thickBot="1" x14ac:dyDescent="0.4">
      <c r="A79" s="65"/>
      <c r="B79" s="353" t="s">
        <v>42</v>
      </c>
      <c r="C79" s="354"/>
      <c r="D79" s="355"/>
      <c r="E79" s="313">
        <v>0</v>
      </c>
      <c r="F79" s="314"/>
      <c r="G79" s="315">
        <f t="shared" ref="G79:G91" si="8">E79*$G$3/CHOOSE($P$1,1,$G$3,$K$3,$N$3)</f>
        <v>0</v>
      </c>
      <c r="H79" s="315"/>
      <c r="I79" s="316"/>
      <c r="J79" s="313">
        <v>0</v>
      </c>
      <c r="K79" s="314"/>
      <c r="L79" s="315">
        <f t="shared" ref="L79:L91" si="9">J79*$G$3/CHOOSE($P$1,1,$G$3,$K$3,$N$3)</f>
        <v>0</v>
      </c>
      <c r="M79" s="315"/>
      <c r="N79" s="316"/>
    </row>
    <row r="80" spans="1:30" s="12" customFormat="1" ht="43" customHeight="1" x14ac:dyDescent="0.35">
      <c r="A80" s="20"/>
      <c r="B80" s="337" t="s">
        <v>123</v>
      </c>
      <c r="C80" s="337"/>
      <c r="D80" s="338"/>
      <c r="E80" s="317">
        <v>100</v>
      </c>
      <c r="F80" s="318"/>
      <c r="G80" s="319">
        <f t="shared" si="8"/>
        <v>100</v>
      </c>
      <c r="H80" s="319"/>
      <c r="I80" s="320"/>
      <c r="J80" s="317">
        <v>100</v>
      </c>
      <c r="K80" s="318"/>
      <c r="L80" s="319">
        <f t="shared" si="9"/>
        <v>100</v>
      </c>
      <c r="M80" s="319"/>
      <c r="N80" s="320"/>
      <c r="O80" s="22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0"/>
      <c r="AC80" s="50"/>
      <c r="AD80" s="50"/>
    </row>
    <row r="81" spans="1:31" ht="43" customHeight="1" x14ac:dyDescent="0.35">
      <c r="A81" s="20"/>
      <c r="B81" s="356" t="s">
        <v>174</v>
      </c>
      <c r="C81" s="356"/>
      <c r="D81" s="357"/>
      <c r="E81" s="321">
        <v>0.5</v>
      </c>
      <c r="F81" s="322"/>
      <c r="G81" s="323">
        <f t="shared" si="8"/>
        <v>0.5</v>
      </c>
      <c r="H81" s="323"/>
      <c r="I81" s="324"/>
      <c r="J81" s="321">
        <v>0.5</v>
      </c>
      <c r="K81" s="322"/>
      <c r="L81" s="323">
        <f t="shared" si="9"/>
        <v>0.5</v>
      </c>
      <c r="M81" s="323"/>
      <c r="N81" s="324"/>
      <c r="P81" s="14"/>
    </row>
    <row r="82" spans="1:31" ht="43" customHeight="1" x14ac:dyDescent="0.35">
      <c r="A82" s="12"/>
      <c r="B82" s="358" t="s">
        <v>175</v>
      </c>
      <c r="C82" s="358"/>
      <c r="D82" s="359"/>
      <c r="E82" s="321">
        <v>0.35</v>
      </c>
      <c r="F82" s="322"/>
      <c r="G82" s="323">
        <f t="shared" si="8"/>
        <v>0.35</v>
      </c>
      <c r="H82" s="323"/>
      <c r="I82" s="324"/>
      <c r="J82" s="321">
        <v>0.35</v>
      </c>
      <c r="K82" s="322"/>
      <c r="L82" s="323">
        <f t="shared" si="9"/>
        <v>0.35</v>
      </c>
      <c r="M82" s="323"/>
      <c r="N82" s="324"/>
      <c r="P82" s="14"/>
    </row>
    <row r="83" spans="1:31" ht="43" customHeight="1" x14ac:dyDescent="0.35">
      <c r="A83" s="12"/>
      <c r="B83" s="358" t="s">
        <v>176</v>
      </c>
      <c r="C83" s="358"/>
      <c r="D83" s="359"/>
      <c r="E83" s="325">
        <v>10</v>
      </c>
      <c r="F83" s="326"/>
      <c r="G83" s="323">
        <f t="shared" si="8"/>
        <v>10</v>
      </c>
      <c r="H83" s="323"/>
      <c r="I83" s="324"/>
      <c r="J83" s="325">
        <v>10</v>
      </c>
      <c r="K83" s="326"/>
      <c r="L83" s="323">
        <f t="shared" si="9"/>
        <v>10</v>
      </c>
      <c r="M83" s="323"/>
      <c r="N83" s="324"/>
      <c r="P83" s="14"/>
    </row>
    <row r="84" spans="1:31" ht="43" customHeight="1" x14ac:dyDescent="0.35">
      <c r="A84" s="12"/>
      <c r="B84" s="358" t="s">
        <v>177</v>
      </c>
      <c r="C84" s="358"/>
      <c r="D84" s="359"/>
      <c r="E84" s="321">
        <v>3.5</v>
      </c>
      <c r="F84" s="322"/>
      <c r="G84" s="323">
        <f t="shared" si="8"/>
        <v>3.5</v>
      </c>
      <c r="H84" s="323"/>
      <c r="I84" s="324"/>
      <c r="J84" s="321">
        <v>3.5</v>
      </c>
      <c r="K84" s="322"/>
      <c r="L84" s="323">
        <f t="shared" si="9"/>
        <v>3.5</v>
      </c>
      <c r="M84" s="323"/>
      <c r="N84" s="324"/>
      <c r="O84" s="31"/>
      <c r="P84" s="20"/>
      <c r="S84" s="23"/>
      <c r="T84" s="23"/>
      <c r="U84" s="23"/>
      <c r="V84" s="23"/>
      <c r="W84" s="23"/>
      <c r="X84" s="23"/>
      <c r="Y84" s="23"/>
      <c r="Z84" s="23"/>
      <c r="AA84" s="23"/>
      <c r="AB84" s="23"/>
      <c r="AC84" s="23"/>
      <c r="AD84" s="23"/>
      <c r="AE84" s="23"/>
    </row>
    <row r="85" spans="1:31" ht="43" customHeight="1" x14ac:dyDescent="0.35">
      <c r="A85" s="20"/>
      <c r="B85" s="358" t="s">
        <v>49</v>
      </c>
      <c r="C85" s="358"/>
      <c r="D85" s="359"/>
      <c r="E85" s="325">
        <v>20</v>
      </c>
      <c r="F85" s="326"/>
      <c r="G85" s="323">
        <f t="shared" si="8"/>
        <v>20</v>
      </c>
      <c r="H85" s="323"/>
      <c r="I85" s="324"/>
      <c r="J85" s="325">
        <v>20</v>
      </c>
      <c r="K85" s="326"/>
      <c r="L85" s="323">
        <f t="shared" si="9"/>
        <v>20</v>
      </c>
      <c r="M85" s="323"/>
      <c r="N85" s="324"/>
      <c r="P85" s="14"/>
    </row>
    <row r="86" spans="1:31" ht="43" customHeight="1" x14ac:dyDescent="0.35">
      <c r="A86" s="12"/>
      <c r="B86" s="358" t="s">
        <v>149</v>
      </c>
      <c r="C86" s="358"/>
      <c r="D86" s="359"/>
      <c r="E86" s="325">
        <v>20</v>
      </c>
      <c r="F86" s="326"/>
      <c r="G86" s="323">
        <f t="shared" si="8"/>
        <v>20</v>
      </c>
      <c r="H86" s="323"/>
      <c r="I86" s="324"/>
      <c r="J86" s="325">
        <v>20</v>
      </c>
      <c r="K86" s="326"/>
      <c r="L86" s="323">
        <f t="shared" si="9"/>
        <v>20</v>
      </c>
      <c r="M86" s="323"/>
      <c r="N86" s="324"/>
      <c r="P86" s="14"/>
    </row>
    <row r="87" spans="1:31" ht="43" customHeight="1" x14ac:dyDescent="0.35">
      <c r="A87" s="12"/>
      <c r="B87" s="358" t="s">
        <v>39</v>
      </c>
      <c r="C87" s="358"/>
      <c r="D87" s="359"/>
      <c r="E87" s="325">
        <v>25</v>
      </c>
      <c r="F87" s="326"/>
      <c r="G87" s="323">
        <f t="shared" si="8"/>
        <v>25</v>
      </c>
      <c r="H87" s="323"/>
      <c r="I87" s="324"/>
      <c r="J87" s="325">
        <v>25</v>
      </c>
      <c r="K87" s="326"/>
      <c r="L87" s="323">
        <f t="shared" si="9"/>
        <v>25</v>
      </c>
      <c r="M87" s="323"/>
      <c r="N87" s="324"/>
    </row>
    <row r="88" spans="1:31" ht="43" customHeight="1" x14ac:dyDescent="0.35">
      <c r="A88" s="12"/>
      <c r="B88" s="358" t="s">
        <v>105</v>
      </c>
      <c r="C88" s="358"/>
      <c r="D88" s="359"/>
      <c r="E88" s="325"/>
      <c r="F88" s="326"/>
      <c r="G88" s="323">
        <f t="shared" si="8"/>
        <v>0</v>
      </c>
      <c r="H88" s="323"/>
      <c r="I88" s="324"/>
      <c r="J88" s="325"/>
      <c r="K88" s="326"/>
      <c r="L88" s="323">
        <f t="shared" si="9"/>
        <v>0</v>
      </c>
      <c r="M88" s="323"/>
      <c r="N88" s="324"/>
    </row>
    <row r="89" spans="1:31" s="274" customFormat="1" ht="43" customHeight="1" x14ac:dyDescent="0.35">
      <c r="A89" s="275"/>
      <c r="B89" s="358" t="s">
        <v>179</v>
      </c>
      <c r="C89" s="358"/>
      <c r="D89" s="359"/>
      <c r="E89" s="325"/>
      <c r="F89" s="326"/>
      <c r="G89" s="323">
        <f t="shared" si="8"/>
        <v>0</v>
      </c>
      <c r="H89" s="323"/>
      <c r="I89" s="324"/>
      <c r="J89" s="325"/>
      <c r="K89" s="326"/>
      <c r="L89" s="323">
        <f t="shared" si="9"/>
        <v>0</v>
      </c>
      <c r="M89" s="323"/>
      <c r="N89" s="324"/>
    </row>
    <row r="90" spans="1:31" ht="43" customHeight="1" thickBot="1" x14ac:dyDescent="0.4">
      <c r="A90" s="12"/>
      <c r="B90" s="361" t="s">
        <v>31</v>
      </c>
      <c r="C90" s="361"/>
      <c r="D90" s="362"/>
      <c r="E90" s="342"/>
      <c r="F90" s="343"/>
      <c r="G90" s="327">
        <f t="shared" si="8"/>
        <v>0</v>
      </c>
      <c r="H90" s="327"/>
      <c r="I90" s="328"/>
      <c r="J90" s="342"/>
      <c r="K90" s="343"/>
      <c r="L90" s="327">
        <f t="shared" si="9"/>
        <v>0</v>
      </c>
      <c r="M90" s="327"/>
      <c r="N90" s="328"/>
    </row>
    <row r="91" spans="1:31" ht="36.9" customHeight="1" x14ac:dyDescent="0.35">
      <c r="A91" s="12"/>
      <c r="B91" s="331" t="s">
        <v>124</v>
      </c>
      <c r="C91" s="332"/>
      <c r="D91" s="333"/>
      <c r="E91" s="296"/>
      <c r="F91" s="297"/>
      <c r="G91" s="298">
        <f t="shared" si="8"/>
        <v>0</v>
      </c>
      <c r="H91" s="298"/>
      <c r="I91" s="299"/>
      <c r="J91" s="296"/>
      <c r="K91" s="297"/>
      <c r="L91" s="298">
        <f t="shared" si="9"/>
        <v>0</v>
      </c>
      <c r="M91" s="298"/>
      <c r="N91" s="299"/>
      <c r="O91" s="246" t="s">
        <v>150</v>
      </c>
      <c r="P91" s="20"/>
      <c r="S91" s="23"/>
      <c r="T91" s="23"/>
      <c r="U91" s="23"/>
      <c r="V91" s="23"/>
      <c r="W91" s="23"/>
      <c r="X91" s="23"/>
      <c r="Y91" s="23"/>
      <c r="Z91" s="23"/>
      <c r="AA91" s="23"/>
      <c r="AB91" s="23"/>
      <c r="AC91" s="23"/>
      <c r="AD91" s="23"/>
      <c r="AE91" s="23"/>
    </row>
    <row r="92" spans="1:31" ht="36.9" customHeight="1" x14ac:dyDescent="0.35">
      <c r="A92" s="12"/>
      <c r="B92" s="363"/>
      <c r="C92" s="358"/>
      <c r="D92" s="359"/>
      <c r="E92" s="344">
        <v>0.5</v>
      </c>
      <c r="F92" s="345"/>
      <c r="G92" s="329" t="s">
        <v>44</v>
      </c>
      <c r="H92" s="329"/>
      <c r="I92" s="330"/>
      <c r="J92" s="344">
        <v>1</v>
      </c>
      <c r="K92" s="345"/>
      <c r="L92" s="329" t="s">
        <v>44</v>
      </c>
      <c r="M92" s="329"/>
      <c r="N92" s="330"/>
    </row>
    <row r="93" spans="1:31" ht="36.9" customHeight="1" thickBot="1" x14ac:dyDescent="0.4">
      <c r="A93" s="12"/>
      <c r="B93" s="334"/>
      <c r="C93" s="335"/>
      <c r="D93" s="336"/>
      <c r="E93" s="292">
        <v>0.01</v>
      </c>
      <c r="F93" s="293"/>
      <c r="G93" s="294" t="s">
        <v>45</v>
      </c>
      <c r="H93" s="294"/>
      <c r="I93" s="295"/>
      <c r="J93" s="292">
        <v>2.1999999999999999E-2</v>
      </c>
      <c r="K93" s="293"/>
      <c r="L93" s="294" t="s">
        <v>45</v>
      </c>
      <c r="M93" s="294"/>
      <c r="N93" s="295"/>
      <c r="O93" s="31"/>
      <c r="P93" s="20"/>
      <c r="S93" s="23"/>
      <c r="T93" s="23"/>
      <c r="U93" s="23"/>
      <c r="V93" s="23"/>
      <c r="W93" s="23"/>
      <c r="X93" s="23"/>
      <c r="Y93" s="23"/>
      <c r="Z93" s="23"/>
      <c r="AA93" s="23"/>
      <c r="AB93" s="23"/>
      <c r="AC93" s="23"/>
      <c r="AD93" s="23"/>
      <c r="AE93" s="23"/>
    </row>
    <row r="94" spans="1:31" ht="43" customHeight="1" x14ac:dyDescent="0.35">
      <c r="A94" s="12"/>
      <c r="B94" s="390" t="s">
        <v>117</v>
      </c>
      <c r="C94" s="346" t="s">
        <v>114</v>
      </c>
      <c r="D94" s="347"/>
      <c r="E94" s="296">
        <v>69.642857142857139</v>
      </c>
      <c r="F94" s="297"/>
      <c r="G94" s="298">
        <f>E94*$G$3/CHOOSE($P$1,1,$G$3,$K$3,$N$3)</f>
        <v>69.642857142857139</v>
      </c>
      <c r="H94" s="298"/>
      <c r="I94" s="299"/>
      <c r="J94" s="296">
        <v>69.642857142857139</v>
      </c>
      <c r="K94" s="297"/>
      <c r="L94" s="298">
        <f>J94*$G$3/CHOOSE($P$1,1,$G$3,$K$3,$N$3)</f>
        <v>69.642857142857139</v>
      </c>
      <c r="M94" s="298"/>
      <c r="N94" s="299"/>
      <c r="O94" s="31"/>
      <c r="P94" s="20"/>
      <c r="S94" s="23"/>
    </row>
    <row r="95" spans="1:31" ht="43" customHeight="1" thickBot="1" x14ac:dyDescent="0.4">
      <c r="A95" s="12"/>
      <c r="B95" s="391"/>
      <c r="C95" s="348" t="str">
        <f>G95</f>
        <v>% від фонду оплати праці</v>
      </c>
      <c r="D95" s="349"/>
      <c r="E95" s="292">
        <v>0.22</v>
      </c>
      <c r="F95" s="293"/>
      <c r="G95" s="294" t="s">
        <v>116</v>
      </c>
      <c r="H95" s="294"/>
      <c r="I95" s="295"/>
      <c r="J95" s="292">
        <v>0.22</v>
      </c>
      <c r="K95" s="293"/>
      <c r="L95" s="294" t="s">
        <v>116</v>
      </c>
      <c r="M95" s="294"/>
      <c r="N95" s="295"/>
    </row>
    <row r="96" spans="1:31" s="274" customFormat="1" ht="43" customHeight="1" x14ac:dyDescent="0.35">
      <c r="A96" s="275"/>
      <c r="B96" s="331" t="s">
        <v>171</v>
      </c>
      <c r="C96" s="332"/>
      <c r="D96" s="333"/>
      <c r="E96" s="300">
        <v>0.5</v>
      </c>
      <c r="F96" s="301"/>
      <c r="G96" s="302" t="s">
        <v>42</v>
      </c>
      <c r="H96" s="302"/>
      <c r="I96" s="303"/>
      <c r="J96" s="300">
        <v>1</v>
      </c>
      <c r="K96" s="301"/>
      <c r="L96" s="302" t="s">
        <v>42</v>
      </c>
      <c r="M96" s="302"/>
      <c r="N96" s="303"/>
      <c r="O96" s="31"/>
      <c r="P96" s="20"/>
      <c r="S96" s="23"/>
    </row>
    <row r="97" spans="1:19" ht="43" customHeight="1" thickBot="1" x14ac:dyDescent="0.4">
      <c r="A97" s="12"/>
      <c r="B97" s="334" t="s">
        <v>41</v>
      </c>
      <c r="C97" s="335"/>
      <c r="D97" s="336"/>
      <c r="E97" s="304">
        <v>0</v>
      </c>
      <c r="F97" s="305"/>
      <c r="G97" s="294" t="s">
        <v>172</v>
      </c>
      <c r="H97" s="294"/>
      <c r="I97" s="295"/>
      <c r="J97" s="304">
        <v>0</v>
      </c>
      <c r="K97" s="305"/>
      <c r="L97" s="294" t="s">
        <v>172</v>
      </c>
      <c r="M97" s="294"/>
      <c r="N97" s="295"/>
      <c r="O97" s="31"/>
      <c r="P97" s="20"/>
      <c r="S97" s="23"/>
    </row>
    <row r="98" spans="1:19" ht="43" customHeight="1" thickBot="1" x14ac:dyDescent="0.4">
      <c r="A98" s="12"/>
      <c r="B98" s="337" t="s">
        <v>43</v>
      </c>
      <c r="C98" s="337"/>
      <c r="D98" s="338"/>
      <c r="E98" s="288">
        <v>71.428571428571431</v>
      </c>
      <c r="F98" s="289"/>
      <c r="G98" s="290">
        <f>E98*$G$3/CHOOSE($P$1,1,$G$3,$K$3,$N$3)</f>
        <v>71.428571428571431</v>
      </c>
      <c r="H98" s="290"/>
      <c r="I98" s="291"/>
      <c r="J98" s="288">
        <v>71.428571428571431</v>
      </c>
      <c r="K98" s="289"/>
      <c r="L98" s="290">
        <f>J98*$G$3/CHOOSE($P$1,1,$G$3,$K$3,$N$3)</f>
        <v>71.428571428571431</v>
      </c>
      <c r="M98" s="290"/>
      <c r="N98" s="291"/>
      <c r="O98" s="31"/>
      <c r="P98" s="20"/>
      <c r="S98" s="23"/>
    </row>
    <row r="99" spans="1:19" ht="45.9" customHeight="1" x14ac:dyDescent="0.35">
      <c r="A99" s="389" t="s">
        <v>178</v>
      </c>
      <c r="B99" s="389"/>
      <c r="C99" s="389"/>
      <c r="D99" s="389"/>
      <c r="E99" s="389"/>
      <c r="F99" s="389"/>
      <c r="G99" s="389"/>
      <c r="H99" s="389"/>
      <c r="I99" s="389"/>
      <c r="J99" s="389"/>
      <c r="K99" s="389"/>
      <c r="L99" s="389"/>
      <c r="M99" s="389"/>
      <c r="N99" s="389"/>
    </row>
  </sheetData>
  <sheetProtection formatCells="0" formatColumns="0" formatRows="0" insertColumns="0" insertRows="0" insertHyperlinks="0" deleteColumns="0" deleteRows="0" sort="0" autoFilter="0" pivotTables="0"/>
  <mergeCells count="355">
    <mergeCell ref="E53:F53"/>
    <mergeCell ref="E54:F54"/>
    <mergeCell ref="B55:C55"/>
    <mergeCell ref="G53:I53"/>
    <mergeCell ref="H54:I54"/>
    <mergeCell ref="H55:I55"/>
    <mergeCell ref="D52:I52"/>
    <mergeCell ref="G44:H44"/>
    <mergeCell ref="G45:H45"/>
    <mergeCell ref="G47:H47"/>
    <mergeCell ref="G48:H48"/>
    <mergeCell ref="G49:H49"/>
    <mergeCell ref="G50:H50"/>
    <mergeCell ref="I48:J48"/>
    <mergeCell ref="G46:H46"/>
    <mergeCell ref="K48:L48"/>
    <mergeCell ref="I49:J49"/>
    <mergeCell ref="K49:L49"/>
    <mergeCell ref="I50:J50"/>
    <mergeCell ref="K50:L50"/>
    <mergeCell ref="I44:J44"/>
    <mergeCell ref="K44:L44"/>
    <mergeCell ref="I45:J45"/>
    <mergeCell ref="K45:L45"/>
    <mergeCell ref="I47:J47"/>
    <mergeCell ref="K47:L47"/>
    <mergeCell ref="I46:J46"/>
    <mergeCell ref="K46:L46"/>
    <mergeCell ref="E43:F43"/>
    <mergeCell ref="I39:J39"/>
    <mergeCell ref="K39:L39"/>
    <mergeCell ref="I40:J40"/>
    <mergeCell ref="K40:L40"/>
    <mergeCell ref="I41:J41"/>
    <mergeCell ref="K41:L41"/>
    <mergeCell ref="I42:J42"/>
    <mergeCell ref="K42:L42"/>
    <mergeCell ref="I43:J43"/>
    <mergeCell ref="K43:L43"/>
    <mergeCell ref="G39:H39"/>
    <mergeCell ref="G40:H40"/>
    <mergeCell ref="G41:H41"/>
    <mergeCell ref="G42:H42"/>
    <mergeCell ref="G43:H43"/>
    <mergeCell ref="A29:B29"/>
    <mergeCell ref="C29:D29"/>
    <mergeCell ref="E29:F29"/>
    <mergeCell ref="E16:F16"/>
    <mergeCell ref="E37:L37"/>
    <mergeCell ref="E38:H38"/>
    <mergeCell ref="I38:L38"/>
    <mergeCell ref="E39:F39"/>
    <mergeCell ref="E40:F40"/>
    <mergeCell ref="J28:K28"/>
    <mergeCell ref="J22:K22"/>
    <mergeCell ref="J23:K23"/>
    <mergeCell ref="C26:D26"/>
    <mergeCell ref="C27:D27"/>
    <mergeCell ref="C28:D28"/>
    <mergeCell ref="A18:B18"/>
    <mergeCell ref="A19:B19"/>
    <mergeCell ref="A20:B20"/>
    <mergeCell ref="A21:B21"/>
    <mergeCell ref="E21:F21"/>
    <mergeCell ref="E22:F22"/>
    <mergeCell ref="E23:F23"/>
    <mergeCell ref="E24:F24"/>
    <mergeCell ref="A27:B27"/>
    <mergeCell ref="A64:N64"/>
    <mergeCell ref="A61:C61"/>
    <mergeCell ref="B40:D40"/>
    <mergeCell ref="B41:D41"/>
    <mergeCell ref="B42:D42"/>
    <mergeCell ref="B43:D43"/>
    <mergeCell ref="B44:D44"/>
    <mergeCell ref="B45:D45"/>
    <mergeCell ref="B47:D47"/>
    <mergeCell ref="B48:D48"/>
    <mergeCell ref="B49:D49"/>
    <mergeCell ref="B50:D50"/>
    <mergeCell ref="E44:F44"/>
    <mergeCell ref="E45:F45"/>
    <mergeCell ref="E47:F47"/>
    <mergeCell ref="E48:F48"/>
    <mergeCell ref="E55:F55"/>
    <mergeCell ref="E49:F49"/>
    <mergeCell ref="E50:F50"/>
    <mergeCell ref="B46:D46"/>
    <mergeCell ref="E46:F46"/>
    <mergeCell ref="E41:F41"/>
    <mergeCell ref="E42:F42"/>
    <mergeCell ref="F63:G63"/>
    <mergeCell ref="M33:N34"/>
    <mergeCell ref="A35:N35"/>
    <mergeCell ref="A32:B32"/>
    <mergeCell ref="M32:N32"/>
    <mergeCell ref="J15:K16"/>
    <mergeCell ref="A5:D5"/>
    <mergeCell ref="A13:N13"/>
    <mergeCell ref="N59:N60"/>
    <mergeCell ref="A17:B17"/>
    <mergeCell ref="A25:B25"/>
    <mergeCell ref="A26:B26"/>
    <mergeCell ref="C17:D17"/>
    <mergeCell ref="C18:D18"/>
    <mergeCell ref="E5:J5"/>
    <mergeCell ref="K5:N5"/>
    <mergeCell ref="K9:L10"/>
    <mergeCell ref="K11:L11"/>
    <mergeCell ref="K12:L12"/>
    <mergeCell ref="G8:N8"/>
    <mergeCell ref="C15:F15"/>
    <mergeCell ref="L15:M15"/>
    <mergeCell ref="B39:D39"/>
    <mergeCell ref="C19:D19"/>
    <mergeCell ref="C20:D20"/>
    <mergeCell ref="A99:N99"/>
    <mergeCell ref="B94:B95"/>
    <mergeCell ref="A1:N1"/>
    <mergeCell ref="A56:N56"/>
    <mergeCell ref="A2:N2"/>
    <mergeCell ref="A3:D3"/>
    <mergeCell ref="I3:J3"/>
    <mergeCell ref="J72:N72"/>
    <mergeCell ref="A59:C60"/>
    <mergeCell ref="A62:C62"/>
    <mergeCell ref="A69:C69"/>
    <mergeCell ref="A70:C70"/>
    <mergeCell ref="A22:B22"/>
    <mergeCell ref="A23:B23"/>
    <mergeCell ref="A24:B24"/>
    <mergeCell ref="G3:H3"/>
    <mergeCell ref="A63:C63"/>
    <mergeCell ref="N66:N67"/>
    <mergeCell ref="E3:F3"/>
    <mergeCell ref="A66:C67"/>
    <mergeCell ref="H34:I34"/>
    <mergeCell ref="L3:M3"/>
    <mergeCell ref="A33:B33"/>
    <mergeCell ref="A34:B34"/>
    <mergeCell ref="C21:D21"/>
    <mergeCell ref="C22:D22"/>
    <mergeCell ref="C23:D23"/>
    <mergeCell ref="C24:D24"/>
    <mergeCell ref="C25:D25"/>
    <mergeCell ref="E25:F25"/>
    <mergeCell ref="E26:F26"/>
    <mergeCell ref="E27:F27"/>
    <mergeCell ref="E28:F28"/>
    <mergeCell ref="J17:K17"/>
    <mergeCell ref="J18:K18"/>
    <mergeCell ref="J19:K19"/>
    <mergeCell ref="J20:K20"/>
    <mergeCell ref="J21:K21"/>
    <mergeCell ref="J24:K24"/>
    <mergeCell ref="J25:K25"/>
    <mergeCell ref="J26:K26"/>
    <mergeCell ref="J27:K27"/>
    <mergeCell ref="E94:F94"/>
    <mergeCell ref="E95:F95"/>
    <mergeCell ref="E96:F96"/>
    <mergeCell ref="E97:F97"/>
    <mergeCell ref="J90:K90"/>
    <mergeCell ref="J91:K91"/>
    <mergeCell ref="J92:K92"/>
    <mergeCell ref="A28:B28"/>
    <mergeCell ref="A15:B16"/>
    <mergeCell ref="C16:D16"/>
    <mergeCell ref="A30:B30"/>
    <mergeCell ref="C30:D30"/>
    <mergeCell ref="E30:F30"/>
    <mergeCell ref="J32:K32"/>
    <mergeCell ref="J33:K33"/>
    <mergeCell ref="J34:K34"/>
    <mergeCell ref="C32:D32"/>
    <mergeCell ref="C33:D33"/>
    <mergeCell ref="C34:D34"/>
    <mergeCell ref="E32:G32"/>
    <mergeCell ref="E33:G33"/>
    <mergeCell ref="E34:G34"/>
    <mergeCell ref="H32:I32"/>
    <mergeCell ref="H33:I33"/>
    <mergeCell ref="A68:C68"/>
    <mergeCell ref="J76:K76"/>
    <mergeCell ref="D70:E70"/>
    <mergeCell ref="F70:G70"/>
    <mergeCell ref="H70:I70"/>
    <mergeCell ref="J70:K70"/>
    <mergeCell ref="L70:M70"/>
    <mergeCell ref="M9:N9"/>
    <mergeCell ref="A9:C10"/>
    <mergeCell ref="A11:C11"/>
    <mergeCell ref="A12:C12"/>
    <mergeCell ref="D9:F9"/>
    <mergeCell ref="E10:F10"/>
    <mergeCell ref="E11:F11"/>
    <mergeCell ref="E12:F12"/>
    <mergeCell ref="G9:I9"/>
    <mergeCell ref="H10:I10"/>
    <mergeCell ref="H11:I11"/>
    <mergeCell ref="H12:I12"/>
    <mergeCell ref="J9:J10"/>
    <mergeCell ref="E17:F17"/>
    <mergeCell ref="E18:F18"/>
    <mergeCell ref="E19:F19"/>
    <mergeCell ref="E20:F20"/>
    <mergeCell ref="D63:E63"/>
    <mergeCell ref="D66:E67"/>
    <mergeCell ref="F66:G67"/>
    <mergeCell ref="H66:K66"/>
    <mergeCell ref="J78:K78"/>
    <mergeCell ref="J82:K82"/>
    <mergeCell ref="J88:K88"/>
    <mergeCell ref="J89:K89"/>
    <mergeCell ref="A71:N71"/>
    <mergeCell ref="L63:M63"/>
    <mergeCell ref="J63:K63"/>
    <mergeCell ref="H63:I63"/>
    <mergeCell ref="L66:M67"/>
    <mergeCell ref="H67:I67"/>
    <mergeCell ref="J67:K67"/>
    <mergeCell ref="D68:E68"/>
    <mergeCell ref="F68:G68"/>
    <mergeCell ref="H68:I68"/>
    <mergeCell ref="J68:K68"/>
    <mergeCell ref="L68:M68"/>
    <mergeCell ref="D69:E69"/>
    <mergeCell ref="F69:G69"/>
    <mergeCell ref="H69:I69"/>
    <mergeCell ref="J69:K69"/>
    <mergeCell ref="L59:M60"/>
    <mergeCell ref="L61:M61"/>
    <mergeCell ref="L62:M62"/>
    <mergeCell ref="F59:G60"/>
    <mergeCell ref="F61:G61"/>
    <mergeCell ref="F62:G62"/>
    <mergeCell ref="D59:E60"/>
    <mergeCell ref="D61:E61"/>
    <mergeCell ref="D62:E62"/>
    <mergeCell ref="H59:K59"/>
    <mergeCell ref="H60:I60"/>
    <mergeCell ref="H61:I61"/>
    <mergeCell ref="H62:I62"/>
    <mergeCell ref="J60:K60"/>
    <mergeCell ref="J61:K61"/>
    <mergeCell ref="J62:K62"/>
    <mergeCell ref="L69:M69"/>
    <mergeCell ref="B85:D85"/>
    <mergeCell ref="B86:D86"/>
    <mergeCell ref="B87:D87"/>
    <mergeCell ref="B88:D88"/>
    <mergeCell ref="B89:D89"/>
    <mergeCell ref="B90:D90"/>
    <mergeCell ref="B91:D93"/>
    <mergeCell ref="L87:N87"/>
    <mergeCell ref="L88:N88"/>
    <mergeCell ref="L89:N89"/>
    <mergeCell ref="L90:N90"/>
    <mergeCell ref="L91:N91"/>
    <mergeCell ref="L92:N92"/>
    <mergeCell ref="C94:D94"/>
    <mergeCell ref="C95:D95"/>
    <mergeCell ref="B76:D76"/>
    <mergeCell ref="B77:D77"/>
    <mergeCell ref="B78:D78"/>
    <mergeCell ref="B79:D79"/>
    <mergeCell ref="B80:D80"/>
    <mergeCell ref="B81:D81"/>
    <mergeCell ref="B82:D82"/>
    <mergeCell ref="B83:D83"/>
    <mergeCell ref="B84:D84"/>
    <mergeCell ref="B96:D96"/>
    <mergeCell ref="B97:D97"/>
    <mergeCell ref="B98:D98"/>
    <mergeCell ref="E74:I74"/>
    <mergeCell ref="E73:N73"/>
    <mergeCell ref="E75:F75"/>
    <mergeCell ref="E76:F76"/>
    <mergeCell ref="E77:F77"/>
    <mergeCell ref="E78:F78"/>
    <mergeCell ref="E79:F79"/>
    <mergeCell ref="E80:F80"/>
    <mergeCell ref="E81:F81"/>
    <mergeCell ref="E82:F82"/>
    <mergeCell ref="E83:F83"/>
    <mergeCell ref="E84:F84"/>
    <mergeCell ref="E85:F85"/>
    <mergeCell ref="E86:F86"/>
    <mergeCell ref="E87:F87"/>
    <mergeCell ref="E88:F88"/>
    <mergeCell ref="E89:F89"/>
    <mergeCell ref="E90:F90"/>
    <mergeCell ref="E91:F91"/>
    <mergeCell ref="E92:F92"/>
    <mergeCell ref="E93:F93"/>
    <mergeCell ref="E98:F98"/>
    <mergeCell ref="G75:I75"/>
    <mergeCell ref="G76:H76"/>
    <mergeCell ref="G78:H78"/>
    <mergeCell ref="G77:I77"/>
    <mergeCell ref="G79:I79"/>
    <mergeCell ref="G80:I80"/>
    <mergeCell ref="G81:I81"/>
    <mergeCell ref="G82:I82"/>
    <mergeCell ref="G83:I83"/>
    <mergeCell ref="G84:I84"/>
    <mergeCell ref="G85:I85"/>
    <mergeCell ref="G86:I86"/>
    <mergeCell ref="G87:I87"/>
    <mergeCell ref="G88:I88"/>
    <mergeCell ref="G89:I89"/>
    <mergeCell ref="G90:I90"/>
    <mergeCell ref="G91:I91"/>
    <mergeCell ref="G92:I92"/>
    <mergeCell ref="G93:I93"/>
    <mergeCell ref="G94:I94"/>
    <mergeCell ref="G95:I95"/>
    <mergeCell ref="G96:I96"/>
    <mergeCell ref="G97:I97"/>
    <mergeCell ref="G98:I98"/>
    <mergeCell ref="J74:N74"/>
    <mergeCell ref="J75:K75"/>
    <mergeCell ref="L75:N75"/>
    <mergeCell ref="L76:M76"/>
    <mergeCell ref="J77:K77"/>
    <mergeCell ref="L77:N77"/>
    <mergeCell ref="L78:M78"/>
    <mergeCell ref="J79:K79"/>
    <mergeCell ref="L79:N79"/>
    <mergeCell ref="J80:K80"/>
    <mergeCell ref="L80:N80"/>
    <mergeCell ref="J81:K81"/>
    <mergeCell ref="L81:N81"/>
    <mergeCell ref="L82:N82"/>
    <mergeCell ref="J83:K83"/>
    <mergeCell ref="L83:N83"/>
    <mergeCell ref="J84:K84"/>
    <mergeCell ref="L84:N84"/>
    <mergeCell ref="J85:K85"/>
    <mergeCell ref="L85:N85"/>
    <mergeCell ref="J86:K86"/>
    <mergeCell ref="L86:N86"/>
    <mergeCell ref="J87:K87"/>
    <mergeCell ref="J98:K98"/>
    <mergeCell ref="L98:N98"/>
    <mergeCell ref="J93:K93"/>
    <mergeCell ref="L93:N93"/>
    <mergeCell ref="J94:K94"/>
    <mergeCell ref="L94:N94"/>
    <mergeCell ref="J95:K95"/>
    <mergeCell ref="L95:N95"/>
    <mergeCell ref="J96:K96"/>
    <mergeCell ref="L96:N96"/>
    <mergeCell ref="J97:K97"/>
    <mergeCell ref="L97:N97"/>
  </mergeCells>
  <dataValidations disablePrompts="1" count="1">
    <dataValidation type="list" allowBlank="1" showInputMessage="1" showErrorMessage="1" sqref="B77 B79" xr:uid="{88D3CAC8-0CA3-4028-89D4-B9B02A303163}">
      <formula1>$S$76:$S$77</formula1>
    </dataValidation>
  </dataValidations>
  <printOptions horizontalCentered="1"/>
  <pageMargins left="0.39370078740157483" right="0.39370078740157483" top="0.39370078740157483" bottom="0.39370078740157483" header="0.31496062992125984" footer="0.31496062992125984"/>
  <pageSetup paperSize="9" scale="28" orientation="portrait" r:id="rId1"/>
  <rowBreaks count="1" manualBreakCount="1">
    <brk id="71" max="13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4C74CB-F2D6-4875-A42E-6009CDC89B56}">
  <dimension ref="A1:J63"/>
  <sheetViews>
    <sheetView zoomScale="40" zoomScaleNormal="40" zoomScaleSheetLayoutView="10" workbookViewId="0">
      <pane ySplit="5" topLeftCell="A6" activePane="bottomLeft" state="frozen"/>
      <selection pane="bottomLeft" activeCell="A35" sqref="A35"/>
    </sheetView>
  </sheetViews>
  <sheetFormatPr defaultColWidth="8.7265625" defaultRowHeight="21" outlineLevelRow="1" x14ac:dyDescent="0.5"/>
  <cols>
    <col min="1" max="1" width="98.81640625" style="95" customWidth="1"/>
    <col min="2" max="2" width="15.90625" style="95" customWidth="1"/>
    <col min="3" max="3" width="20.26953125" style="95" customWidth="1"/>
    <col min="4" max="4" width="25.08984375" style="95" customWidth="1"/>
    <col min="5" max="5" width="51" style="95" customWidth="1"/>
    <col min="6" max="6" width="98.81640625" style="95" customWidth="1"/>
    <col min="7" max="7" width="17.1796875" style="95" customWidth="1"/>
    <col min="8" max="8" width="20.26953125" style="95" customWidth="1"/>
    <col min="9" max="9" width="25.08984375" style="95" customWidth="1"/>
    <col min="10" max="10" width="51" style="95" customWidth="1"/>
    <col min="11" max="16384" width="8.7265625" style="95"/>
  </cols>
  <sheetData>
    <row r="1" spans="1:10" x14ac:dyDescent="0.5">
      <c r="A1" s="480" t="s">
        <v>4</v>
      </c>
      <c r="B1" s="480"/>
      <c r="C1" s="480"/>
      <c r="D1" s="480"/>
      <c r="E1" s="480"/>
      <c r="F1" s="480" t="str">
        <f>A1</f>
        <v>Зміни необхідно вносити тільки в комірки, які окрашені в сірий колір</v>
      </c>
      <c r="G1" s="480"/>
      <c r="H1" s="480"/>
      <c r="I1" s="480"/>
      <c r="J1" s="480"/>
    </row>
    <row r="2" spans="1:10" s="230" customFormat="1" ht="36" x14ac:dyDescent="0.8">
      <c r="A2" s="481" t="s">
        <v>152</v>
      </c>
      <c r="B2" s="481"/>
      <c r="C2" s="481"/>
      <c r="D2" s="481"/>
      <c r="E2" s="481"/>
      <c r="F2" s="482" t="str">
        <f>A2</f>
        <v>Інвестиції для запуску франчайзингової точки AMPER</v>
      </c>
      <c r="G2" s="482"/>
      <c r="H2" s="482"/>
      <c r="I2" s="482"/>
      <c r="J2" s="482"/>
    </row>
    <row r="3" spans="1:10" ht="21.5" thickBot="1" x14ac:dyDescent="0.55000000000000004">
      <c r="A3" s="483"/>
      <c r="B3" s="483"/>
      <c r="C3" s="483"/>
      <c r="D3" s="483"/>
      <c r="E3" s="483"/>
      <c r="F3" s="483"/>
      <c r="G3" s="483"/>
      <c r="H3" s="483"/>
      <c r="I3" s="483"/>
      <c r="J3" s="483"/>
    </row>
    <row r="4" spans="1:10" s="229" customFormat="1" ht="31" x14ac:dyDescent="0.7">
      <c r="A4" s="477" t="str">
        <f>'Вхідні дані'!E38</f>
        <v>Класична оренда</v>
      </c>
      <c r="B4" s="478"/>
      <c r="C4" s="478"/>
      <c r="D4" s="478"/>
      <c r="E4" s="479"/>
      <c r="F4" s="477" t="str">
        <f>'Вхідні дані'!I38</f>
        <v>Шерінг електросамокатів</v>
      </c>
      <c r="G4" s="478"/>
      <c r="H4" s="478"/>
      <c r="I4" s="478"/>
      <c r="J4" s="479"/>
    </row>
    <row r="5" spans="1:10" s="96" customFormat="1" ht="70.5" x14ac:dyDescent="0.55000000000000004">
      <c r="A5" s="98" t="s">
        <v>103</v>
      </c>
      <c r="B5" s="99" t="s">
        <v>138</v>
      </c>
      <c r="C5" s="99" t="s">
        <v>142</v>
      </c>
      <c r="D5" s="99" t="s">
        <v>143</v>
      </c>
      <c r="E5" s="100" t="str">
        <f>"Загальна вартість у валюті, в якій виконується розрахунок, "&amp;CHOOSE('Вхідні дані'!$P$1,'Вхідні дані'!$Q$1,'Вхідні дані'!$Q$2,'Вхідні дані'!$Q$3,'Вхідні дані'!$Q$4)&amp;""</f>
        <v>Загальна вартість у валюті, в якій виконується розрахунок, USD</v>
      </c>
      <c r="F5" s="98" t="str">
        <f t="shared" ref="F5:J5" si="0">A5</f>
        <v>Назва</v>
      </c>
      <c r="G5" s="99" t="s">
        <v>138</v>
      </c>
      <c r="H5" s="99" t="str">
        <f t="shared" si="0"/>
        <v>Вартість одиниці, USD</v>
      </c>
      <c r="I5" s="99" t="str">
        <f t="shared" si="0"/>
        <v>Загальна вартість, USD</v>
      </c>
      <c r="J5" s="100" t="str">
        <f t="shared" si="0"/>
        <v>Загальна вартість у валюті, в якій виконується розрахунок, USD</v>
      </c>
    </row>
    <row r="6" spans="1:10" s="97" customFormat="1" ht="26" x14ac:dyDescent="0.6">
      <c r="A6" s="101" t="s">
        <v>147</v>
      </c>
      <c r="B6" s="102"/>
      <c r="C6" s="102"/>
      <c r="D6" s="74">
        <f>SUM(D7:D38)</f>
        <v>0</v>
      </c>
      <c r="E6" s="75">
        <f>SUM(E7:E38)</f>
        <v>0</v>
      </c>
      <c r="F6" s="101" t="str">
        <f>A6</f>
        <v>Меблі</v>
      </c>
      <c r="G6" s="102"/>
      <c r="H6" s="102"/>
      <c r="I6" s="74">
        <f>SUM(I7:I38)</f>
        <v>0</v>
      </c>
      <c r="J6" s="75">
        <f>SUM(J7:J38)</f>
        <v>0</v>
      </c>
    </row>
    <row r="7" spans="1:10" outlineLevel="1" x14ac:dyDescent="0.5">
      <c r="A7" s="76"/>
      <c r="B7" s="77"/>
      <c r="C7" s="77"/>
      <c r="D7" s="78">
        <f t="shared" ref="D7:D38" si="1">B7*C7</f>
        <v>0</v>
      </c>
      <c r="E7" s="79">
        <f>D7*'Вхідні дані'!$G$3/CHOOSE('Вхідні дані'!$P$1,1,'Вхідні дані'!$G$3,'Вхідні дані'!$K$3,'Вхідні дані'!$N$3)</f>
        <v>0</v>
      </c>
      <c r="F7" s="76"/>
      <c r="G7" s="77"/>
      <c r="H7" s="77"/>
      <c r="I7" s="78">
        <f t="shared" ref="I7:I38" si="2">G7*H7</f>
        <v>0</v>
      </c>
      <c r="J7" s="79">
        <f>I7*'Вхідні дані'!$G$3/CHOOSE('Вхідні дані'!$P$1,1,'Вхідні дані'!$G$3,'Вхідні дані'!$K$3,'Вхідні дані'!$N$3)</f>
        <v>0</v>
      </c>
    </row>
    <row r="8" spans="1:10" outlineLevel="1" x14ac:dyDescent="0.5">
      <c r="A8" s="76"/>
      <c r="B8" s="77"/>
      <c r="C8" s="77"/>
      <c r="D8" s="78">
        <f t="shared" si="1"/>
        <v>0</v>
      </c>
      <c r="E8" s="79">
        <f>D8*'Вхідні дані'!$G$3/CHOOSE('Вхідні дані'!$P$1,1,'Вхідні дані'!$G$3,'Вхідні дані'!$K$3,'Вхідні дані'!$N$3)</f>
        <v>0</v>
      </c>
      <c r="F8" s="76"/>
      <c r="G8" s="77"/>
      <c r="H8" s="77"/>
      <c r="I8" s="78">
        <f t="shared" si="2"/>
        <v>0</v>
      </c>
      <c r="J8" s="79">
        <f>I8*'Вхідні дані'!$G$3/CHOOSE('Вхідні дані'!$P$1,1,'Вхідні дані'!$G$3,'Вхідні дані'!$K$3,'Вхідні дані'!$N$3)</f>
        <v>0</v>
      </c>
    </row>
    <row r="9" spans="1:10" outlineLevel="1" x14ac:dyDescent="0.5">
      <c r="A9" s="76"/>
      <c r="B9" s="77"/>
      <c r="C9" s="77"/>
      <c r="D9" s="78">
        <f t="shared" si="1"/>
        <v>0</v>
      </c>
      <c r="E9" s="79">
        <f>D9*'Вхідні дані'!$G$3/CHOOSE('Вхідні дані'!$P$1,1,'Вхідні дані'!$G$3,'Вхідні дані'!$K$3,'Вхідні дані'!$N$3)</f>
        <v>0</v>
      </c>
      <c r="F9" s="76"/>
      <c r="G9" s="77"/>
      <c r="H9" s="77"/>
      <c r="I9" s="78">
        <f t="shared" si="2"/>
        <v>0</v>
      </c>
      <c r="J9" s="79">
        <f>I9*'Вхідні дані'!$G$3/CHOOSE('Вхідні дані'!$P$1,1,'Вхідні дані'!$G$3,'Вхідні дані'!$K$3,'Вхідні дані'!$N$3)</f>
        <v>0</v>
      </c>
    </row>
    <row r="10" spans="1:10" outlineLevel="1" x14ac:dyDescent="0.5">
      <c r="A10" s="76"/>
      <c r="B10" s="77"/>
      <c r="C10" s="77"/>
      <c r="D10" s="78">
        <f t="shared" si="1"/>
        <v>0</v>
      </c>
      <c r="E10" s="79">
        <f>D10*'Вхідні дані'!$G$3/CHOOSE('Вхідні дані'!$P$1,1,'Вхідні дані'!$G$3,'Вхідні дані'!$K$3,'Вхідні дані'!$N$3)</f>
        <v>0</v>
      </c>
      <c r="F10" s="76"/>
      <c r="G10" s="77"/>
      <c r="H10" s="77"/>
      <c r="I10" s="78">
        <f t="shared" si="2"/>
        <v>0</v>
      </c>
      <c r="J10" s="79">
        <f>I10*'Вхідні дані'!$G$3/CHOOSE('Вхідні дані'!$P$1,1,'Вхідні дані'!$G$3,'Вхідні дані'!$K$3,'Вхідні дані'!$N$3)</f>
        <v>0</v>
      </c>
    </row>
    <row r="11" spans="1:10" outlineLevel="1" x14ac:dyDescent="0.5">
      <c r="A11" s="76"/>
      <c r="B11" s="77"/>
      <c r="C11" s="77"/>
      <c r="D11" s="78">
        <f t="shared" si="1"/>
        <v>0</v>
      </c>
      <c r="E11" s="79">
        <f>D11*'Вхідні дані'!$G$3/CHOOSE('Вхідні дані'!$P$1,1,'Вхідні дані'!$G$3,'Вхідні дані'!$K$3,'Вхідні дані'!$N$3)</f>
        <v>0</v>
      </c>
      <c r="F11" s="76"/>
      <c r="G11" s="77"/>
      <c r="H11" s="77"/>
      <c r="I11" s="78">
        <f t="shared" si="2"/>
        <v>0</v>
      </c>
      <c r="J11" s="79">
        <f>I11*'Вхідні дані'!$G$3/CHOOSE('Вхідні дані'!$P$1,1,'Вхідні дані'!$G$3,'Вхідні дані'!$K$3,'Вхідні дані'!$N$3)</f>
        <v>0</v>
      </c>
    </row>
    <row r="12" spans="1:10" outlineLevel="1" x14ac:dyDescent="0.5">
      <c r="A12" s="76"/>
      <c r="B12" s="77"/>
      <c r="C12" s="77"/>
      <c r="D12" s="78">
        <f t="shared" si="1"/>
        <v>0</v>
      </c>
      <c r="E12" s="79">
        <f>D12*'Вхідні дані'!$G$3/CHOOSE('Вхідні дані'!$P$1,1,'Вхідні дані'!$G$3,'Вхідні дані'!$K$3,'Вхідні дані'!$N$3)</f>
        <v>0</v>
      </c>
      <c r="F12" s="76"/>
      <c r="G12" s="77"/>
      <c r="H12" s="77"/>
      <c r="I12" s="78">
        <f t="shared" si="2"/>
        <v>0</v>
      </c>
      <c r="J12" s="79">
        <f>I12*'Вхідні дані'!$G$3/CHOOSE('Вхідні дані'!$P$1,1,'Вхідні дані'!$G$3,'Вхідні дані'!$K$3,'Вхідні дані'!$N$3)</f>
        <v>0</v>
      </c>
    </row>
    <row r="13" spans="1:10" outlineLevel="1" x14ac:dyDescent="0.5">
      <c r="A13" s="76"/>
      <c r="B13" s="77"/>
      <c r="C13" s="77"/>
      <c r="D13" s="78">
        <f t="shared" si="1"/>
        <v>0</v>
      </c>
      <c r="E13" s="79">
        <f>D13*'Вхідні дані'!$G$3/CHOOSE('Вхідні дані'!$P$1,1,'Вхідні дані'!$G$3,'Вхідні дані'!$K$3,'Вхідні дані'!$N$3)</f>
        <v>0</v>
      </c>
      <c r="F13" s="76"/>
      <c r="G13" s="77"/>
      <c r="H13" s="77"/>
      <c r="I13" s="78">
        <f t="shared" si="2"/>
        <v>0</v>
      </c>
      <c r="J13" s="79">
        <f>I13*'Вхідні дані'!$G$3/CHOOSE('Вхідні дані'!$P$1,1,'Вхідні дані'!$G$3,'Вхідні дані'!$K$3,'Вхідні дані'!$N$3)</f>
        <v>0</v>
      </c>
    </row>
    <row r="14" spans="1:10" outlineLevel="1" x14ac:dyDescent="0.5">
      <c r="A14" s="76"/>
      <c r="B14" s="77"/>
      <c r="C14" s="77"/>
      <c r="D14" s="78">
        <f t="shared" si="1"/>
        <v>0</v>
      </c>
      <c r="E14" s="79">
        <f>D14*'Вхідні дані'!$G$3/CHOOSE('Вхідні дані'!$P$1,1,'Вхідні дані'!$G$3,'Вхідні дані'!$K$3,'Вхідні дані'!$N$3)</f>
        <v>0</v>
      </c>
      <c r="F14" s="76"/>
      <c r="G14" s="77"/>
      <c r="H14" s="77"/>
      <c r="I14" s="78">
        <f t="shared" si="2"/>
        <v>0</v>
      </c>
      <c r="J14" s="79">
        <f>I14*'Вхідні дані'!$G$3/CHOOSE('Вхідні дані'!$P$1,1,'Вхідні дані'!$G$3,'Вхідні дані'!$K$3,'Вхідні дані'!$N$3)</f>
        <v>0</v>
      </c>
    </row>
    <row r="15" spans="1:10" outlineLevel="1" x14ac:dyDescent="0.5">
      <c r="A15" s="76"/>
      <c r="B15" s="77"/>
      <c r="C15" s="77"/>
      <c r="D15" s="78">
        <f t="shared" si="1"/>
        <v>0</v>
      </c>
      <c r="E15" s="79">
        <f>D15*'Вхідні дані'!$G$3/CHOOSE('Вхідні дані'!$P$1,1,'Вхідні дані'!$G$3,'Вхідні дані'!$K$3,'Вхідні дані'!$N$3)</f>
        <v>0</v>
      </c>
      <c r="F15" s="76"/>
      <c r="G15" s="77"/>
      <c r="H15" s="77"/>
      <c r="I15" s="78">
        <f t="shared" si="2"/>
        <v>0</v>
      </c>
      <c r="J15" s="79">
        <f>I15*'Вхідні дані'!$G$3/CHOOSE('Вхідні дані'!$P$1,1,'Вхідні дані'!$G$3,'Вхідні дані'!$K$3,'Вхідні дані'!$N$3)</f>
        <v>0</v>
      </c>
    </row>
    <row r="16" spans="1:10" outlineLevel="1" x14ac:dyDescent="0.5">
      <c r="A16" s="76"/>
      <c r="B16" s="77"/>
      <c r="C16" s="77"/>
      <c r="D16" s="78">
        <f t="shared" si="1"/>
        <v>0</v>
      </c>
      <c r="E16" s="79">
        <f>D16*'Вхідні дані'!$G$3/CHOOSE('Вхідні дані'!$P$1,1,'Вхідні дані'!$G$3,'Вхідні дані'!$K$3,'Вхідні дані'!$N$3)</f>
        <v>0</v>
      </c>
      <c r="F16" s="76"/>
      <c r="G16" s="77"/>
      <c r="H16" s="77"/>
      <c r="I16" s="78">
        <f t="shared" si="2"/>
        <v>0</v>
      </c>
      <c r="J16" s="79">
        <f>I16*'Вхідні дані'!$G$3/CHOOSE('Вхідні дані'!$P$1,1,'Вхідні дані'!$G$3,'Вхідні дані'!$K$3,'Вхідні дані'!$N$3)</f>
        <v>0</v>
      </c>
    </row>
    <row r="17" spans="1:10" outlineLevel="1" x14ac:dyDescent="0.5">
      <c r="A17" s="76"/>
      <c r="B17" s="77"/>
      <c r="C17" s="77"/>
      <c r="D17" s="78">
        <f t="shared" si="1"/>
        <v>0</v>
      </c>
      <c r="E17" s="79">
        <f>D17*'Вхідні дані'!$G$3/CHOOSE('Вхідні дані'!$P$1,1,'Вхідні дані'!$G$3,'Вхідні дані'!$K$3,'Вхідні дані'!$N$3)</f>
        <v>0</v>
      </c>
      <c r="F17" s="76"/>
      <c r="G17" s="77"/>
      <c r="H17" s="77"/>
      <c r="I17" s="78">
        <f t="shared" si="2"/>
        <v>0</v>
      </c>
      <c r="J17" s="79">
        <f>I17*'Вхідні дані'!$G$3/CHOOSE('Вхідні дані'!$P$1,1,'Вхідні дані'!$G$3,'Вхідні дані'!$K$3,'Вхідні дані'!$N$3)</f>
        <v>0</v>
      </c>
    </row>
    <row r="18" spans="1:10" outlineLevel="1" x14ac:dyDescent="0.5">
      <c r="A18" s="76"/>
      <c r="B18" s="77"/>
      <c r="C18" s="77"/>
      <c r="D18" s="78">
        <f t="shared" si="1"/>
        <v>0</v>
      </c>
      <c r="E18" s="79">
        <f>D18*'Вхідні дані'!$G$3/CHOOSE('Вхідні дані'!$P$1,1,'Вхідні дані'!$G$3,'Вхідні дані'!$K$3,'Вхідні дані'!$N$3)</f>
        <v>0</v>
      </c>
      <c r="F18" s="76"/>
      <c r="G18" s="77"/>
      <c r="H18" s="77"/>
      <c r="I18" s="78">
        <f t="shared" si="2"/>
        <v>0</v>
      </c>
      <c r="J18" s="79">
        <f>I18*'Вхідні дані'!$G$3/CHOOSE('Вхідні дані'!$P$1,1,'Вхідні дані'!$G$3,'Вхідні дані'!$K$3,'Вхідні дані'!$N$3)</f>
        <v>0</v>
      </c>
    </row>
    <row r="19" spans="1:10" outlineLevel="1" x14ac:dyDescent="0.5">
      <c r="A19" s="76"/>
      <c r="B19" s="77"/>
      <c r="C19" s="77"/>
      <c r="D19" s="78">
        <f t="shared" ref="D19:D23" si="3">B19*C19</f>
        <v>0</v>
      </c>
      <c r="E19" s="79">
        <f>D19*'Вхідні дані'!$G$3/CHOOSE('Вхідні дані'!$P$1,1,'Вхідні дані'!$G$3,'Вхідні дані'!$K$3,'Вхідні дані'!$N$3)</f>
        <v>0</v>
      </c>
      <c r="F19" s="76"/>
      <c r="G19" s="77"/>
      <c r="H19" s="77"/>
      <c r="I19" s="78">
        <f t="shared" ref="I19:I23" si="4">G19*H19</f>
        <v>0</v>
      </c>
      <c r="J19" s="79">
        <f>I19*'Вхідні дані'!$G$3/CHOOSE('Вхідні дані'!$P$1,1,'Вхідні дані'!$G$3,'Вхідні дані'!$K$3,'Вхідні дані'!$N$3)</f>
        <v>0</v>
      </c>
    </row>
    <row r="20" spans="1:10" outlineLevel="1" x14ac:dyDescent="0.5">
      <c r="A20" s="76"/>
      <c r="B20" s="77"/>
      <c r="C20" s="77"/>
      <c r="D20" s="78">
        <f t="shared" si="3"/>
        <v>0</v>
      </c>
      <c r="E20" s="79">
        <f>D20*'Вхідні дані'!$G$3/CHOOSE('Вхідні дані'!$P$1,1,'Вхідні дані'!$G$3,'Вхідні дані'!$K$3,'Вхідні дані'!$N$3)</f>
        <v>0</v>
      </c>
      <c r="F20" s="76"/>
      <c r="G20" s="77"/>
      <c r="H20" s="77"/>
      <c r="I20" s="78">
        <f t="shared" si="4"/>
        <v>0</v>
      </c>
      <c r="J20" s="79">
        <f>I20*'Вхідні дані'!$G$3/CHOOSE('Вхідні дані'!$P$1,1,'Вхідні дані'!$G$3,'Вхідні дані'!$K$3,'Вхідні дані'!$N$3)</f>
        <v>0</v>
      </c>
    </row>
    <row r="21" spans="1:10" outlineLevel="1" x14ac:dyDescent="0.5">
      <c r="A21" s="76"/>
      <c r="B21" s="77"/>
      <c r="C21" s="77"/>
      <c r="D21" s="78">
        <f t="shared" si="3"/>
        <v>0</v>
      </c>
      <c r="E21" s="79">
        <f>D21*'Вхідні дані'!$G$3/CHOOSE('Вхідні дані'!$P$1,1,'Вхідні дані'!$G$3,'Вхідні дані'!$K$3,'Вхідні дані'!$N$3)</f>
        <v>0</v>
      </c>
      <c r="F21" s="76"/>
      <c r="G21" s="77"/>
      <c r="H21" s="77"/>
      <c r="I21" s="78">
        <f t="shared" si="4"/>
        <v>0</v>
      </c>
      <c r="J21" s="79">
        <f>I21*'Вхідні дані'!$G$3/CHOOSE('Вхідні дані'!$P$1,1,'Вхідні дані'!$G$3,'Вхідні дані'!$K$3,'Вхідні дані'!$N$3)</f>
        <v>0</v>
      </c>
    </row>
    <row r="22" spans="1:10" outlineLevel="1" x14ac:dyDescent="0.5">
      <c r="A22" s="76"/>
      <c r="B22" s="77"/>
      <c r="C22" s="77"/>
      <c r="D22" s="78">
        <f t="shared" si="3"/>
        <v>0</v>
      </c>
      <c r="E22" s="79">
        <f>D22*'Вхідні дані'!$G$3/CHOOSE('Вхідні дані'!$P$1,1,'Вхідні дані'!$G$3,'Вхідні дані'!$K$3,'Вхідні дані'!$N$3)</f>
        <v>0</v>
      </c>
      <c r="F22" s="76"/>
      <c r="G22" s="77"/>
      <c r="H22" s="77"/>
      <c r="I22" s="78">
        <f t="shared" si="4"/>
        <v>0</v>
      </c>
      <c r="J22" s="79">
        <f>I22*'Вхідні дані'!$G$3/CHOOSE('Вхідні дані'!$P$1,1,'Вхідні дані'!$G$3,'Вхідні дані'!$K$3,'Вхідні дані'!$N$3)</f>
        <v>0</v>
      </c>
    </row>
    <row r="23" spans="1:10" outlineLevel="1" x14ac:dyDescent="0.5">
      <c r="A23" s="76"/>
      <c r="B23" s="77"/>
      <c r="C23" s="77"/>
      <c r="D23" s="78">
        <f t="shared" si="3"/>
        <v>0</v>
      </c>
      <c r="E23" s="79">
        <f>D23*'Вхідні дані'!$G$3/CHOOSE('Вхідні дані'!$P$1,1,'Вхідні дані'!$G$3,'Вхідні дані'!$K$3,'Вхідні дані'!$N$3)</f>
        <v>0</v>
      </c>
      <c r="F23" s="76"/>
      <c r="G23" s="77"/>
      <c r="H23" s="77"/>
      <c r="I23" s="78">
        <f t="shared" si="4"/>
        <v>0</v>
      </c>
      <c r="J23" s="79">
        <f>I23*'Вхідні дані'!$G$3/CHOOSE('Вхідні дані'!$P$1,1,'Вхідні дані'!$G$3,'Вхідні дані'!$K$3,'Вхідні дані'!$N$3)</f>
        <v>0</v>
      </c>
    </row>
    <row r="24" spans="1:10" outlineLevel="1" x14ac:dyDescent="0.5">
      <c r="A24" s="76"/>
      <c r="B24" s="77"/>
      <c r="C24" s="77"/>
      <c r="D24" s="78">
        <f t="shared" si="1"/>
        <v>0</v>
      </c>
      <c r="E24" s="79">
        <f>D24*'Вхідні дані'!$G$3/CHOOSE('Вхідні дані'!$P$1,1,'Вхідні дані'!$G$3,'Вхідні дані'!$K$3,'Вхідні дані'!$N$3)</f>
        <v>0</v>
      </c>
      <c r="F24" s="76"/>
      <c r="G24" s="77"/>
      <c r="H24" s="77"/>
      <c r="I24" s="78">
        <f t="shared" si="2"/>
        <v>0</v>
      </c>
      <c r="J24" s="79">
        <f>I24*'Вхідні дані'!$G$3/CHOOSE('Вхідні дані'!$P$1,1,'Вхідні дані'!$G$3,'Вхідні дані'!$K$3,'Вхідні дані'!$N$3)</f>
        <v>0</v>
      </c>
    </row>
    <row r="25" spans="1:10" outlineLevel="1" x14ac:dyDescent="0.5">
      <c r="A25" s="76"/>
      <c r="B25" s="77"/>
      <c r="C25" s="77"/>
      <c r="D25" s="78">
        <f t="shared" si="1"/>
        <v>0</v>
      </c>
      <c r="E25" s="79">
        <f>D25*'Вхідні дані'!$G$3/CHOOSE('Вхідні дані'!$P$1,1,'Вхідні дані'!$G$3,'Вхідні дані'!$K$3,'Вхідні дані'!$N$3)</f>
        <v>0</v>
      </c>
      <c r="F25" s="76"/>
      <c r="G25" s="77"/>
      <c r="H25" s="77"/>
      <c r="I25" s="78">
        <f t="shared" si="2"/>
        <v>0</v>
      </c>
      <c r="J25" s="79">
        <f>I25*'Вхідні дані'!$G$3/CHOOSE('Вхідні дані'!$P$1,1,'Вхідні дані'!$G$3,'Вхідні дані'!$K$3,'Вхідні дані'!$N$3)</f>
        <v>0</v>
      </c>
    </row>
    <row r="26" spans="1:10" outlineLevel="1" x14ac:dyDescent="0.5">
      <c r="A26" s="76"/>
      <c r="B26" s="77"/>
      <c r="C26" s="77"/>
      <c r="D26" s="78">
        <f t="shared" si="1"/>
        <v>0</v>
      </c>
      <c r="E26" s="79">
        <f>D26*'Вхідні дані'!$G$3/CHOOSE('Вхідні дані'!$P$1,1,'Вхідні дані'!$G$3,'Вхідні дані'!$K$3,'Вхідні дані'!$N$3)</f>
        <v>0</v>
      </c>
      <c r="F26" s="76"/>
      <c r="G26" s="77"/>
      <c r="H26" s="77"/>
      <c r="I26" s="78">
        <f t="shared" si="2"/>
        <v>0</v>
      </c>
      <c r="J26" s="79">
        <f>I26*'Вхідні дані'!$G$3/CHOOSE('Вхідні дані'!$P$1,1,'Вхідні дані'!$G$3,'Вхідні дані'!$K$3,'Вхідні дані'!$N$3)</f>
        <v>0</v>
      </c>
    </row>
    <row r="27" spans="1:10" outlineLevel="1" x14ac:dyDescent="0.5">
      <c r="A27" s="76"/>
      <c r="B27" s="77"/>
      <c r="C27" s="77"/>
      <c r="D27" s="78">
        <f t="shared" si="1"/>
        <v>0</v>
      </c>
      <c r="E27" s="79">
        <f>D27*'Вхідні дані'!$G$3/CHOOSE('Вхідні дані'!$P$1,1,'Вхідні дані'!$G$3,'Вхідні дані'!$K$3,'Вхідні дані'!$N$3)</f>
        <v>0</v>
      </c>
      <c r="F27" s="76"/>
      <c r="G27" s="77"/>
      <c r="H27" s="77"/>
      <c r="I27" s="78">
        <f t="shared" si="2"/>
        <v>0</v>
      </c>
      <c r="J27" s="79">
        <f>I27*'Вхідні дані'!$G$3/CHOOSE('Вхідні дані'!$P$1,1,'Вхідні дані'!$G$3,'Вхідні дані'!$K$3,'Вхідні дані'!$N$3)</f>
        <v>0</v>
      </c>
    </row>
    <row r="28" spans="1:10" outlineLevel="1" x14ac:dyDescent="0.5">
      <c r="A28" s="76"/>
      <c r="B28" s="77"/>
      <c r="C28" s="77"/>
      <c r="D28" s="78">
        <f t="shared" si="1"/>
        <v>0</v>
      </c>
      <c r="E28" s="79">
        <f>D28*'Вхідні дані'!$G$3/CHOOSE('Вхідні дані'!$P$1,1,'Вхідні дані'!$G$3,'Вхідні дані'!$K$3,'Вхідні дані'!$N$3)</f>
        <v>0</v>
      </c>
      <c r="F28" s="76"/>
      <c r="G28" s="77"/>
      <c r="H28" s="77"/>
      <c r="I28" s="78">
        <f t="shared" si="2"/>
        <v>0</v>
      </c>
      <c r="J28" s="79">
        <f>I28*'Вхідні дані'!$G$3/CHOOSE('Вхідні дані'!$P$1,1,'Вхідні дані'!$G$3,'Вхідні дані'!$K$3,'Вхідні дані'!$N$3)</f>
        <v>0</v>
      </c>
    </row>
    <row r="29" spans="1:10" outlineLevel="1" x14ac:dyDescent="0.5">
      <c r="A29" s="76"/>
      <c r="B29" s="77"/>
      <c r="C29" s="77"/>
      <c r="D29" s="78">
        <f t="shared" si="1"/>
        <v>0</v>
      </c>
      <c r="E29" s="79">
        <f>D29*'Вхідні дані'!$G$3/CHOOSE('Вхідні дані'!$P$1,1,'Вхідні дані'!$G$3,'Вхідні дані'!$K$3,'Вхідні дані'!$N$3)</f>
        <v>0</v>
      </c>
      <c r="F29" s="76"/>
      <c r="G29" s="77"/>
      <c r="H29" s="77"/>
      <c r="I29" s="78">
        <f t="shared" si="2"/>
        <v>0</v>
      </c>
      <c r="J29" s="79">
        <f>I29*'Вхідні дані'!$G$3/CHOOSE('Вхідні дані'!$P$1,1,'Вхідні дані'!$G$3,'Вхідні дані'!$K$3,'Вхідні дані'!$N$3)</f>
        <v>0</v>
      </c>
    </row>
    <row r="30" spans="1:10" outlineLevel="1" x14ac:dyDescent="0.5">
      <c r="A30" s="76"/>
      <c r="B30" s="77"/>
      <c r="C30" s="77"/>
      <c r="D30" s="78">
        <f t="shared" si="1"/>
        <v>0</v>
      </c>
      <c r="E30" s="79">
        <f>D30*'Вхідні дані'!$G$3/CHOOSE('Вхідні дані'!$P$1,1,'Вхідні дані'!$G$3,'Вхідні дані'!$K$3,'Вхідні дані'!$N$3)</f>
        <v>0</v>
      </c>
      <c r="F30" s="76"/>
      <c r="G30" s="77"/>
      <c r="H30" s="77"/>
      <c r="I30" s="78">
        <f t="shared" si="2"/>
        <v>0</v>
      </c>
      <c r="J30" s="79">
        <f>I30*'Вхідні дані'!$G$3/CHOOSE('Вхідні дані'!$P$1,1,'Вхідні дані'!$G$3,'Вхідні дані'!$K$3,'Вхідні дані'!$N$3)</f>
        <v>0</v>
      </c>
    </row>
    <row r="31" spans="1:10" outlineLevel="1" x14ac:dyDescent="0.5">
      <c r="A31" s="76"/>
      <c r="B31" s="77"/>
      <c r="C31" s="77"/>
      <c r="D31" s="78">
        <f t="shared" si="1"/>
        <v>0</v>
      </c>
      <c r="E31" s="79">
        <f>D31*'Вхідні дані'!$G$3/CHOOSE('Вхідні дані'!$P$1,1,'Вхідні дані'!$G$3,'Вхідні дані'!$K$3,'Вхідні дані'!$N$3)</f>
        <v>0</v>
      </c>
      <c r="F31" s="76"/>
      <c r="G31" s="77"/>
      <c r="H31" s="77"/>
      <c r="I31" s="78">
        <f t="shared" si="2"/>
        <v>0</v>
      </c>
      <c r="J31" s="79">
        <f>I31*'Вхідні дані'!$G$3/CHOOSE('Вхідні дані'!$P$1,1,'Вхідні дані'!$G$3,'Вхідні дані'!$K$3,'Вхідні дані'!$N$3)</f>
        <v>0</v>
      </c>
    </row>
    <row r="32" spans="1:10" outlineLevel="1" x14ac:dyDescent="0.5">
      <c r="A32" s="76"/>
      <c r="B32" s="77"/>
      <c r="C32" s="77"/>
      <c r="D32" s="78">
        <f t="shared" si="1"/>
        <v>0</v>
      </c>
      <c r="E32" s="79">
        <f>D32*'Вхідні дані'!$G$3/CHOOSE('Вхідні дані'!$P$1,1,'Вхідні дані'!$G$3,'Вхідні дані'!$K$3,'Вхідні дані'!$N$3)</f>
        <v>0</v>
      </c>
      <c r="F32" s="76"/>
      <c r="G32" s="77"/>
      <c r="H32" s="77"/>
      <c r="I32" s="78">
        <f t="shared" si="2"/>
        <v>0</v>
      </c>
      <c r="J32" s="79">
        <f>I32*'Вхідні дані'!$G$3/CHOOSE('Вхідні дані'!$P$1,1,'Вхідні дані'!$G$3,'Вхідні дані'!$K$3,'Вхідні дані'!$N$3)</f>
        <v>0</v>
      </c>
    </row>
    <row r="33" spans="1:10" outlineLevel="1" x14ac:dyDescent="0.5">
      <c r="A33" s="76"/>
      <c r="B33" s="77"/>
      <c r="C33" s="77"/>
      <c r="D33" s="78">
        <f t="shared" si="1"/>
        <v>0</v>
      </c>
      <c r="E33" s="79">
        <f>D33*'Вхідні дані'!$G$3/CHOOSE('Вхідні дані'!$P$1,1,'Вхідні дані'!$G$3,'Вхідні дані'!$K$3,'Вхідні дані'!$N$3)</f>
        <v>0</v>
      </c>
      <c r="F33" s="76"/>
      <c r="G33" s="77"/>
      <c r="H33" s="77"/>
      <c r="I33" s="78">
        <f t="shared" si="2"/>
        <v>0</v>
      </c>
      <c r="J33" s="79">
        <f>I33*'Вхідні дані'!$G$3/CHOOSE('Вхідні дані'!$P$1,1,'Вхідні дані'!$G$3,'Вхідні дані'!$K$3,'Вхідні дані'!$N$3)</f>
        <v>0</v>
      </c>
    </row>
    <row r="34" spans="1:10" outlineLevel="1" x14ac:dyDescent="0.5">
      <c r="A34" s="76"/>
      <c r="B34" s="77"/>
      <c r="C34" s="77"/>
      <c r="D34" s="78">
        <f t="shared" si="1"/>
        <v>0</v>
      </c>
      <c r="E34" s="79">
        <f>D34*'Вхідні дані'!$G$3/CHOOSE('Вхідні дані'!$P$1,1,'Вхідні дані'!$G$3,'Вхідні дані'!$K$3,'Вхідні дані'!$N$3)</f>
        <v>0</v>
      </c>
      <c r="F34" s="76"/>
      <c r="G34" s="77"/>
      <c r="H34" s="77"/>
      <c r="I34" s="78">
        <f t="shared" si="2"/>
        <v>0</v>
      </c>
      <c r="J34" s="79">
        <f>I34*'Вхідні дані'!$G$3/CHOOSE('Вхідні дані'!$P$1,1,'Вхідні дані'!$G$3,'Вхідні дані'!$K$3,'Вхідні дані'!$N$3)</f>
        <v>0</v>
      </c>
    </row>
    <row r="35" spans="1:10" outlineLevel="1" x14ac:dyDescent="0.5">
      <c r="A35" s="76"/>
      <c r="B35" s="77"/>
      <c r="C35" s="77"/>
      <c r="D35" s="78">
        <f t="shared" si="1"/>
        <v>0</v>
      </c>
      <c r="E35" s="79">
        <f>D35*'Вхідні дані'!$G$3/CHOOSE('Вхідні дані'!$P$1,1,'Вхідні дані'!$G$3,'Вхідні дані'!$K$3,'Вхідні дані'!$N$3)</f>
        <v>0</v>
      </c>
      <c r="F35" s="76"/>
      <c r="G35" s="77"/>
      <c r="H35" s="77"/>
      <c r="I35" s="78">
        <f t="shared" si="2"/>
        <v>0</v>
      </c>
      <c r="J35" s="79">
        <f>I35*'Вхідні дані'!$G$3/CHOOSE('Вхідні дані'!$P$1,1,'Вхідні дані'!$G$3,'Вхідні дані'!$K$3,'Вхідні дані'!$N$3)</f>
        <v>0</v>
      </c>
    </row>
    <row r="36" spans="1:10" outlineLevel="1" x14ac:dyDescent="0.5">
      <c r="A36" s="76"/>
      <c r="B36" s="77"/>
      <c r="C36" s="77"/>
      <c r="D36" s="78">
        <f t="shared" si="1"/>
        <v>0</v>
      </c>
      <c r="E36" s="79">
        <f>D36*'Вхідні дані'!$G$3/CHOOSE('Вхідні дані'!$P$1,1,'Вхідні дані'!$G$3,'Вхідні дані'!$K$3,'Вхідні дані'!$N$3)</f>
        <v>0</v>
      </c>
      <c r="F36" s="76"/>
      <c r="G36" s="77"/>
      <c r="H36" s="77"/>
      <c r="I36" s="78">
        <f t="shared" si="2"/>
        <v>0</v>
      </c>
      <c r="J36" s="79">
        <f>I36*'Вхідні дані'!$G$3/CHOOSE('Вхідні дані'!$P$1,1,'Вхідні дані'!$G$3,'Вхідні дані'!$K$3,'Вхідні дані'!$N$3)</f>
        <v>0</v>
      </c>
    </row>
    <row r="37" spans="1:10" outlineLevel="1" x14ac:dyDescent="0.5">
      <c r="A37" s="76"/>
      <c r="B37" s="77"/>
      <c r="C37" s="77"/>
      <c r="D37" s="78">
        <f t="shared" si="1"/>
        <v>0</v>
      </c>
      <c r="E37" s="79">
        <f>D37*'Вхідні дані'!$G$3/CHOOSE('Вхідні дані'!$P$1,1,'Вхідні дані'!$G$3,'Вхідні дані'!$K$3,'Вхідні дані'!$N$3)</f>
        <v>0</v>
      </c>
      <c r="F37" s="76"/>
      <c r="G37" s="77"/>
      <c r="H37" s="77"/>
      <c r="I37" s="78">
        <f t="shared" si="2"/>
        <v>0</v>
      </c>
      <c r="J37" s="79">
        <f>I37*'Вхідні дані'!$G$3/CHOOSE('Вхідні дані'!$P$1,1,'Вхідні дані'!$G$3,'Вхідні дані'!$K$3,'Вхідні дані'!$N$3)</f>
        <v>0</v>
      </c>
    </row>
    <row r="38" spans="1:10" ht="21.5" outlineLevel="1" thickBot="1" x14ac:dyDescent="0.55000000000000004">
      <c r="A38" s="93"/>
      <c r="B38" s="94"/>
      <c r="C38" s="94"/>
      <c r="D38" s="80">
        <f t="shared" si="1"/>
        <v>0</v>
      </c>
      <c r="E38" s="81">
        <f>D38*'Вхідні дані'!$G$3/CHOOSE('Вхідні дані'!$P$1,1,'Вхідні дані'!$G$3,'Вхідні дані'!$K$3,'Вхідні дані'!$N$3)</f>
        <v>0</v>
      </c>
      <c r="F38" s="93"/>
      <c r="G38" s="94"/>
      <c r="H38" s="94"/>
      <c r="I38" s="80">
        <f t="shared" si="2"/>
        <v>0</v>
      </c>
      <c r="J38" s="81">
        <f>I38*'Вхідні дані'!$G$3/CHOOSE('Вхідні дані'!$P$1,1,'Вхідні дані'!$G$3,'Вхідні дані'!$K$3,'Вхідні дані'!$N$3)</f>
        <v>0</v>
      </c>
    </row>
    <row r="39" spans="1:10" s="97" customFormat="1" ht="26" x14ac:dyDescent="0.6">
      <c r="A39" s="101" t="s">
        <v>104</v>
      </c>
      <c r="B39" s="102"/>
      <c r="C39" s="102"/>
      <c r="D39" s="74">
        <f>SUM(D40:D63)</f>
        <v>0</v>
      </c>
      <c r="E39" s="75">
        <f>SUM(E40:E63)</f>
        <v>0</v>
      </c>
      <c r="F39" s="101" t="str">
        <f>A39</f>
        <v>Комп'ютери, каси та інша техніка</v>
      </c>
      <c r="G39" s="102"/>
      <c r="H39" s="102"/>
      <c r="I39" s="74">
        <f>SUM(I40:I63)</f>
        <v>0</v>
      </c>
      <c r="J39" s="75">
        <f>SUM(J40:J63)</f>
        <v>0</v>
      </c>
    </row>
    <row r="40" spans="1:10" outlineLevel="1" x14ac:dyDescent="0.5">
      <c r="A40" s="76"/>
      <c r="B40" s="77"/>
      <c r="C40" s="77"/>
      <c r="D40" s="78">
        <f t="shared" ref="D40:D63" si="5">B40*C40</f>
        <v>0</v>
      </c>
      <c r="E40" s="79">
        <f>D40*'Вхідні дані'!$G$3/CHOOSE('Вхідні дані'!$P$1,1,'Вхідні дані'!$G$3,'Вхідні дані'!$K$3,'Вхідні дані'!$N$3)</f>
        <v>0</v>
      </c>
      <c r="F40" s="76"/>
      <c r="G40" s="77"/>
      <c r="H40" s="77"/>
      <c r="I40" s="78">
        <f t="shared" ref="I40:I63" si="6">G40*H40</f>
        <v>0</v>
      </c>
      <c r="J40" s="79">
        <f>I40*'Вхідні дані'!$G$3/CHOOSE('Вхідні дані'!$P$1,1,'Вхідні дані'!$G$3,'Вхідні дані'!$K$3,'Вхідні дані'!$N$3)</f>
        <v>0</v>
      </c>
    </row>
    <row r="41" spans="1:10" outlineLevel="1" x14ac:dyDescent="0.5">
      <c r="A41" s="76"/>
      <c r="B41" s="77"/>
      <c r="C41" s="77"/>
      <c r="D41" s="78">
        <f t="shared" si="5"/>
        <v>0</v>
      </c>
      <c r="E41" s="79">
        <f>D41*'Вхідні дані'!$G$3/CHOOSE('Вхідні дані'!$P$1,1,'Вхідні дані'!$G$3,'Вхідні дані'!$K$3,'Вхідні дані'!$N$3)</f>
        <v>0</v>
      </c>
      <c r="F41" s="76"/>
      <c r="G41" s="77"/>
      <c r="H41" s="77"/>
      <c r="I41" s="78">
        <f t="shared" si="6"/>
        <v>0</v>
      </c>
      <c r="J41" s="79">
        <f>I41*'Вхідні дані'!$G$3/CHOOSE('Вхідні дані'!$P$1,1,'Вхідні дані'!$G$3,'Вхідні дані'!$K$3,'Вхідні дані'!$N$3)</f>
        <v>0</v>
      </c>
    </row>
    <row r="42" spans="1:10" outlineLevel="1" x14ac:dyDescent="0.5">
      <c r="A42" s="76"/>
      <c r="B42" s="77"/>
      <c r="C42" s="77"/>
      <c r="D42" s="78">
        <f t="shared" si="5"/>
        <v>0</v>
      </c>
      <c r="E42" s="79">
        <f>D42*'Вхідні дані'!$G$3/CHOOSE('Вхідні дані'!$P$1,1,'Вхідні дані'!$G$3,'Вхідні дані'!$K$3,'Вхідні дані'!$N$3)</f>
        <v>0</v>
      </c>
      <c r="F42" s="76"/>
      <c r="G42" s="77"/>
      <c r="H42" s="77"/>
      <c r="I42" s="78">
        <f t="shared" si="6"/>
        <v>0</v>
      </c>
      <c r="J42" s="79">
        <f>I42*'Вхідні дані'!$G$3/CHOOSE('Вхідні дані'!$P$1,1,'Вхідні дані'!$G$3,'Вхідні дані'!$K$3,'Вхідні дані'!$N$3)</f>
        <v>0</v>
      </c>
    </row>
    <row r="43" spans="1:10" outlineLevel="1" x14ac:dyDescent="0.5">
      <c r="A43" s="76"/>
      <c r="B43" s="77"/>
      <c r="C43" s="77"/>
      <c r="D43" s="78">
        <f t="shared" si="5"/>
        <v>0</v>
      </c>
      <c r="E43" s="79">
        <f>D43*'Вхідні дані'!$G$3/CHOOSE('Вхідні дані'!$P$1,1,'Вхідні дані'!$G$3,'Вхідні дані'!$K$3,'Вхідні дані'!$N$3)</f>
        <v>0</v>
      </c>
      <c r="F43" s="76"/>
      <c r="G43" s="77"/>
      <c r="H43" s="77"/>
      <c r="I43" s="78">
        <f t="shared" si="6"/>
        <v>0</v>
      </c>
      <c r="J43" s="79">
        <f>I43*'Вхідні дані'!$G$3/CHOOSE('Вхідні дані'!$P$1,1,'Вхідні дані'!$G$3,'Вхідні дані'!$K$3,'Вхідні дані'!$N$3)</f>
        <v>0</v>
      </c>
    </row>
    <row r="44" spans="1:10" outlineLevel="1" x14ac:dyDescent="0.5">
      <c r="A44" s="76"/>
      <c r="B44" s="77"/>
      <c r="C44" s="77"/>
      <c r="D44" s="78">
        <f t="shared" si="5"/>
        <v>0</v>
      </c>
      <c r="E44" s="79">
        <f>D44*'Вхідні дані'!$G$3/CHOOSE('Вхідні дані'!$P$1,1,'Вхідні дані'!$G$3,'Вхідні дані'!$K$3,'Вхідні дані'!$N$3)</f>
        <v>0</v>
      </c>
      <c r="F44" s="76"/>
      <c r="G44" s="77"/>
      <c r="H44" s="77"/>
      <c r="I44" s="78">
        <f t="shared" si="6"/>
        <v>0</v>
      </c>
      <c r="J44" s="79">
        <f>I44*'Вхідні дані'!$G$3/CHOOSE('Вхідні дані'!$P$1,1,'Вхідні дані'!$G$3,'Вхідні дані'!$K$3,'Вхідні дані'!$N$3)</f>
        <v>0</v>
      </c>
    </row>
    <row r="45" spans="1:10" outlineLevel="1" x14ac:dyDescent="0.5">
      <c r="A45" s="76"/>
      <c r="B45" s="77"/>
      <c r="C45" s="77"/>
      <c r="D45" s="78">
        <f t="shared" si="5"/>
        <v>0</v>
      </c>
      <c r="E45" s="79">
        <f>D45*'Вхідні дані'!$G$3/CHOOSE('Вхідні дані'!$P$1,1,'Вхідні дані'!$G$3,'Вхідні дані'!$K$3,'Вхідні дані'!$N$3)</f>
        <v>0</v>
      </c>
      <c r="F45" s="76"/>
      <c r="G45" s="77"/>
      <c r="H45" s="77"/>
      <c r="I45" s="78">
        <f t="shared" si="6"/>
        <v>0</v>
      </c>
      <c r="J45" s="79">
        <f>I45*'Вхідні дані'!$G$3/CHOOSE('Вхідні дані'!$P$1,1,'Вхідні дані'!$G$3,'Вхідні дані'!$K$3,'Вхідні дані'!$N$3)</f>
        <v>0</v>
      </c>
    </row>
    <row r="46" spans="1:10" outlineLevel="1" x14ac:dyDescent="0.5">
      <c r="A46" s="76"/>
      <c r="B46" s="77"/>
      <c r="C46" s="77"/>
      <c r="D46" s="78">
        <f t="shared" si="5"/>
        <v>0</v>
      </c>
      <c r="E46" s="79">
        <f>D46*'Вхідні дані'!$G$3/CHOOSE('Вхідні дані'!$P$1,1,'Вхідні дані'!$G$3,'Вхідні дані'!$K$3,'Вхідні дані'!$N$3)</f>
        <v>0</v>
      </c>
      <c r="F46" s="76"/>
      <c r="G46" s="77"/>
      <c r="H46" s="77"/>
      <c r="I46" s="78">
        <f t="shared" si="6"/>
        <v>0</v>
      </c>
      <c r="J46" s="79">
        <f>I46*'Вхідні дані'!$G$3/CHOOSE('Вхідні дані'!$P$1,1,'Вхідні дані'!$G$3,'Вхідні дані'!$K$3,'Вхідні дані'!$N$3)</f>
        <v>0</v>
      </c>
    </row>
    <row r="47" spans="1:10" outlineLevel="1" x14ac:dyDescent="0.5">
      <c r="A47" s="76"/>
      <c r="B47" s="77"/>
      <c r="C47" s="77"/>
      <c r="D47" s="78">
        <f t="shared" si="5"/>
        <v>0</v>
      </c>
      <c r="E47" s="79">
        <f>D47*'Вхідні дані'!$G$3/CHOOSE('Вхідні дані'!$P$1,1,'Вхідні дані'!$G$3,'Вхідні дані'!$K$3,'Вхідні дані'!$N$3)</f>
        <v>0</v>
      </c>
      <c r="F47" s="76"/>
      <c r="G47" s="77"/>
      <c r="H47" s="77"/>
      <c r="I47" s="78">
        <f t="shared" si="6"/>
        <v>0</v>
      </c>
      <c r="J47" s="79">
        <f>I47*'Вхідні дані'!$G$3/CHOOSE('Вхідні дані'!$P$1,1,'Вхідні дані'!$G$3,'Вхідні дані'!$K$3,'Вхідні дані'!$N$3)</f>
        <v>0</v>
      </c>
    </row>
    <row r="48" spans="1:10" outlineLevel="1" x14ac:dyDescent="0.5">
      <c r="A48" s="76"/>
      <c r="B48" s="77"/>
      <c r="C48" s="77"/>
      <c r="D48" s="78">
        <f t="shared" si="5"/>
        <v>0</v>
      </c>
      <c r="E48" s="79">
        <f>D48*'Вхідні дані'!$G$3/CHOOSE('Вхідні дані'!$P$1,1,'Вхідні дані'!$G$3,'Вхідні дані'!$K$3,'Вхідні дані'!$N$3)</f>
        <v>0</v>
      </c>
      <c r="F48" s="76"/>
      <c r="G48" s="77"/>
      <c r="H48" s="77"/>
      <c r="I48" s="78">
        <f t="shared" si="6"/>
        <v>0</v>
      </c>
      <c r="J48" s="79">
        <f>I48*'Вхідні дані'!$G$3/CHOOSE('Вхідні дані'!$P$1,1,'Вхідні дані'!$G$3,'Вхідні дані'!$K$3,'Вхідні дані'!$N$3)</f>
        <v>0</v>
      </c>
    </row>
    <row r="49" spans="1:10" outlineLevel="1" x14ac:dyDescent="0.5">
      <c r="A49" s="76"/>
      <c r="B49" s="77"/>
      <c r="C49" s="77"/>
      <c r="D49" s="78">
        <f t="shared" si="5"/>
        <v>0</v>
      </c>
      <c r="E49" s="79">
        <f>D49*'Вхідні дані'!$G$3/CHOOSE('Вхідні дані'!$P$1,1,'Вхідні дані'!$G$3,'Вхідні дані'!$K$3,'Вхідні дані'!$N$3)</f>
        <v>0</v>
      </c>
      <c r="F49" s="76"/>
      <c r="G49" s="77"/>
      <c r="H49" s="77"/>
      <c r="I49" s="78">
        <f t="shared" si="6"/>
        <v>0</v>
      </c>
      <c r="J49" s="79">
        <f>I49*'Вхідні дані'!$G$3/CHOOSE('Вхідні дані'!$P$1,1,'Вхідні дані'!$G$3,'Вхідні дані'!$K$3,'Вхідні дані'!$N$3)</f>
        <v>0</v>
      </c>
    </row>
    <row r="50" spans="1:10" outlineLevel="1" x14ac:dyDescent="0.5">
      <c r="A50" s="76"/>
      <c r="B50" s="77"/>
      <c r="C50" s="77"/>
      <c r="D50" s="78">
        <f t="shared" si="5"/>
        <v>0</v>
      </c>
      <c r="E50" s="79">
        <f>D50*'Вхідні дані'!$G$3/CHOOSE('Вхідні дані'!$P$1,1,'Вхідні дані'!$G$3,'Вхідні дані'!$K$3,'Вхідні дані'!$N$3)</f>
        <v>0</v>
      </c>
      <c r="F50" s="76"/>
      <c r="G50" s="77"/>
      <c r="H50" s="77"/>
      <c r="I50" s="78">
        <f t="shared" si="6"/>
        <v>0</v>
      </c>
      <c r="J50" s="79">
        <f>I50*'Вхідні дані'!$G$3/CHOOSE('Вхідні дані'!$P$1,1,'Вхідні дані'!$G$3,'Вхідні дані'!$K$3,'Вхідні дані'!$N$3)</f>
        <v>0</v>
      </c>
    </row>
    <row r="51" spans="1:10" outlineLevel="1" x14ac:dyDescent="0.5">
      <c r="A51" s="76"/>
      <c r="B51" s="77"/>
      <c r="C51" s="77"/>
      <c r="D51" s="78">
        <f t="shared" si="5"/>
        <v>0</v>
      </c>
      <c r="E51" s="79">
        <f>D51*'Вхідні дані'!$G$3/CHOOSE('Вхідні дані'!$P$1,1,'Вхідні дані'!$G$3,'Вхідні дані'!$K$3,'Вхідні дані'!$N$3)</f>
        <v>0</v>
      </c>
      <c r="F51" s="76"/>
      <c r="G51" s="77"/>
      <c r="H51" s="77"/>
      <c r="I51" s="78">
        <f t="shared" si="6"/>
        <v>0</v>
      </c>
      <c r="J51" s="79">
        <f>I51*'Вхідні дані'!$G$3/CHOOSE('Вхідні дані'!$P$1,1,'Вхідні дані'!$G$3,'Вхідні дані'!$K$3,'Вхідні дані'!$N$3)</f>
        <v>0</v>
      </c>
    </row>
    <row r="52" spans="1:10" outlineLevel="1" x14ac:dyDescent="0.5">
      <c r="A52" s="76"/>
      <c r="B52" s="77"/>
      <c r="C52" s="77"/>
      <c r="D52" s="78">
        <f t="shared" si="5"/>
        <v>0</v>
      </c>
      <c r="E52" s="79">
        <f>D52*'Вхідні дані'!$G$3/CHOOSE('Вхідні дані'!$P$1,1,'Вхідні дані'!$G$3,'Вхідні дані'!$K$3,'Вхідні дані'!$N$3)</f>
        <v>0</v>
      </c>
      <c r="F52" s="76"/>
      <c r="G52" s="77"/>
      <c r="H52" s="77"/>
      <c r="I52" s="78">
        <f t="shared" si="6"/>
        <v>0</v>
      </c>
      <c r="J52" s="79">
        <f>I52*'Вхідні дані'!$G$3/CHOOSE('Вхідні дані'!$P$1,1,'Вхідні дані'!$G$3,'Вхідні дані'!$K$3,'Вхідні дані'!$N$3)</f>
        <v>0</v>
      </c>
    </row>
    <row r="53" spans="1:10" outlineLevel="1" x14ac:dyDescent="0.5">
      <c r="A53" s="76"/>
      <c r="B53" s="77"/>
      <c r="C53" s="77"/>
      <c r="D53" s="78">
        <f t="shared" si="5"/>
        <v>0</v>
      </c>
      <c r="E53" s="79">
        <f>D53*'Вхідні дані'!$G$3/CHOOSE('Вхідні дані'!$P$1,1,'Вхідні дані'!$G$3,'Вхідні дані'!$K$3,'Вхідні дані'!$N$3)</f>
        <v>0</v>
      </c>
      <c r="F53" s="76"/>
      <c r="G53" s="77"/>
      <c r="H53" s="77"/>
      <c r="I53" s="78">
        <f t="shared" si="6"/>
        <v>0</v>
      </c>
      <c r="J53" s="79">
        <f>I53*'Вхідні дані'!$G$3/CHOOSE('Вхідні дані'!$P$1,1,'Вхідні дані'!$G$3,'Вхідні дані'!$K$3,'Вхідні дані'!$N$3)</f>
        <v>0</v>
      </c>
    </row>
    <row r="54" spans="1:10" outlineLevel="1" x14ac:dyDescent="0.5">
      <c r="A54" s="76"/>
      <c r="B54" s="77"/>
      <c r="C54" s="77"/>
      <c r="D54" s="78">
        <f t="shared" si="5"/>
        <v>0</v>
      </c>
      <c r="E54" s="79">
        <f>D54*'Вхідні дані'!$G$3/CHOOSE('Вхідні дані'!$P$1,1,'Вхідні дані'!$G$3,'Вхідні дані'!$K$3,'Вхідні дані'!$N$3)</f>
        <v>0</v>
      </c>
      <c r="F54" s="76"/>
      <c r="G54" s="77"/>
      <c r="H54" s="77"/>
      <c r="I54" s="78">
        <f t="shared" si="6"/>
        <v>0</v>
      </c>
      <c r="J54" s="79">
        <f>I54*'Вхідні дані'!$G$3/CHOOSE('Вхідні дані'!$P$1,1,'Вхідні дані'!$G$3,'Вхідні дані'!$K$3,'Вхідні дані'!$N$3)</f>
        <v>0</v>
      </c>
    </row>
    <row r="55" spans="1:10" outlineLevel="1" x14ac:dyDescent="0.5">
      <c r="A55" s="76"/>
      <c r="B55" s="77"/>
      <c r="C55" s="77"/>
      <c r="D55" s="78">
        <f t="shared" si="5"/>
        <v>0</v>
      </c>
      <c r="E55" s="79">
        <f>D55*'Вхідні дані'!$G$3/CHOOSE('Вхідні дані'!$P$1,1,'Вхідні дані'!$G$3,'Вхідні дані'!$K$3,'Вхідні дані'!$N$3)</f>
        <v>0</v>
      </c>
      <c r="F55" s="76"/>
      <c r="G55" s="77"/>
      <c r="H55" s="77"/>
      <c r="I55" s="78">
        <f t="shared" si="6"/>
        <v>0</v>
      </c>
      <c r="J55" s="79">
        <f>I55*'Вхідні дані'!$G$3/CHOOSE('Вхідні дані'!$P$1,1,'Вхідні дані'!$G$3,'Вхідні дані'!$K$3,'Вхідні дані'!$N$3)</f>
        <v>0</v>
      </c>
    </row>
    <row r="56" spans="1:10" outlineLevel="1" x14ac:dyDescent="0.5">
      <c r="A56" s="76"/>
      <c r="B56" s="77"/>
      <c r="C56" s="77"/>
      <c r="D56" s="78">
        <f t="shared" si="5"/>
        <v>0</v>
      </c>
      <c r="E56" s="79">
        <f>D56*'Вхідні дані'!$G$3/CHOOSE('Вхідні дані'!$P$1,1,'Вхідні дані'!$G$3,'Вхідні дані'!$K$3,'Вхідні дані'!$N$3)</f>
        <v>0</v>
      </c>
      <c r="F56" s="76"/>
      <c r="G56" s="77"/>
      <c r="H56" s="77"/>
      <c r="I56" s="78">
        <f t="shared" si="6"/>
        <v>0</v>
      </c>
      <c r="J56" s="79">
        <f>I56*'Вхідні дані'!$G$3/CHOOSE('Вхідні дані'!$P$1,1,'Вхідні дані'!$G$3,'Вхідні дані'!$K$3,'Вхідні дані'!$N$3)</f>
        <v>0</v>
      </c>
    </row>
    <row r="57" spans="1:10" outlineLevel="1" x14ac:dyDescent="0.5">
      <c r="A57" s="76"/>
      <c r="B57" s="77"/>
      <c r="C57" s="77"/>
      <c r="D57" s="78">
        <f t="shared" si="5"/>
        <v>0</v>
      </c>
      <c r="E57" s="79">
        <f>D57*'Вхідні дані'!$G$3/CHOOSE('Вхідні дані'!$P$1,1,'Вхідні дані'!$G$3,'Вхідні дані'!$K$3,'Вхідні дані'!$N$3)</f>
        <v>0</v>
      </c>
      <c r="F57" s="76"/>
      <c r="G57" s="77"/>
      <c r="H57" s="77"/>
      <c r="I57" s="78">
        <f t="shared" si="6"/>
        <v>0</v>
      </c>
      <c r="J57" s="79">
        <f>I57*'Вхідні дані'!$G$3/CHOOSE('Вхідні дані'!$P$1,1,'Вхідні дані'!$G$3,'Вхідні дані'!$K$3,'Вхідні дані'!$N$3)</f>
        <v>0</v>
      </c>
    </row>
    <row r="58" spans="1:10" outlineLevel="1" x14ac:dyDescent="0.5">
      <c r="A58" s="76"/>
      <c r="B58" s="77"/>
      <c r="C58" s="77"/>
      <c r="D58" s="78">
        <f t="shared" si="5"/>
        <v>0</v>
      </c>
      <c r="E58" s="79">
        <f>D58*'Вхідні дані'!$G$3/CHOOSE('Вхідні дані'!$P$1,1,'Вхідні дані'!$G$3,'Вхідні дані'!$K$3,'Вхідні дані'!$N$3)</f>
        <v>0</v>
      </c>
      <c r="F58" s="76"/>
      <c r="G58" s="77"/>
      <c r="H58" s="77"/>
      <c r="I58" s="78">
        <f t="shared" si="6"/>
        <v>0</v>
      </c>
      <c r="J58" s="79">
        <f>I58*'Вхідні дані'!$G$3/CHOOSE('Вхідні дані'!$P$1,1,'Вхідні дані'!$G$3,'Вхідні дані'!$K$3,'Вхідні дані'!$N$3)</f>
        <v>0</v>
      </c>
    </row>
    <row r="59" spans="1:10" outlineLevel="1" x14ac:dyDescent="0.5">
      <c r="A59" s="76"/>
      <c r="B59" s="77"/>
      <c r="C59" s="77"/>
      <c r="D59" s="78">
        <f t="shared" si="5"/>
        <v>0</v>
      </c>
      <c r="E59" s="79">
        <f>D59*'Вхідні дані'!$G$3/CHOOSE('Вхідні дані'!$P$1,1,'Вхідні дані'!$G$3,'Вхідні дані'!$K$3,'Вхідні дані'!$N$3)</f>
        <v>0</v>
      </c>
      <c r="F59" s="76"/>
      <c r="G59" s="77"/>
      <c r="H59" s="77"/>
      <c r="I59" s="78">
        <f t="shared" si="6"/>
        <v>0</v>
      </c>
      <c r="J59" s="79">
        <f>I59*'Вхідні дані'!$G$3/CHOOSE('Вхідні дані'!$P$1,1,'Вхідні дані'!$G$3,'Вхідні дані'!$K$3,'Вхідні дані'!$N$3)</f>
        <v>0</v>
      </c>
    </row>
    <row r="60" spans="1:10" outlineLevel="1" x14ac:dyDescent="0.5">
      <c r="A60" s="76"/>
      <c r="B60" s="77"/>
      <c r="C60" s="77"/>
      <c r="D60" s="78">
        <f t="shared" si="5"/>
        <v>0</v>
      </c>
      <c r="E60" s="79">
        <f>D60*'Вхідні дані'!$G$3/CHOOSE('Вхідні дані'!$P$1,1,'Вхідні дані'!$G$3,'Вхідні дані'!$K$3,'Вхідні дані'!$N$3)</f>
        <v>0</v>
      </c>
      <c r="F60" s="76"/>
      <c r="G60" s="77"/>
      <c r="H60" s="77"/>
      <c r="I60" s="78">
        <f t="shared" si="6"/>
        <v>0</v>
      </c>
      <c r="J60" s="79">
        <f>I60*'Вхідні дані'!$G$3/CHOOSE('Вхідні дані'!$P$1,1,'Вхідні дані'!$G$3,'Вхідні дані'!$K$3,'Вхідні дані'!$N$3)</f>
        <v>0</v>
      </c>
    </row>
    <row r="61" spans="1:10" outlineLevel="1" x14ac:dyDescent="0.5">
      <c r="A61" s="76"/>
      <c r="B61" s="77"/>
      <c r="C61" s="77"/>
      <c r="D61" s="78">
        <f t="shared" si="5"/>
        <v>0</v>
      </c>
      <c r="E61" s="79">
        <f>D61*'Вхідні дані'!$G$3/CHOOSE('Вхідні дані'!$P$1,1,'Вхідні дані'!$G$3,'Вхідні дані'!$K$3,'Вхідні дані'!$N$3)</f>
        <v>0</v>
      </c>
      <c r="F61" s="76"/>
      <c r="G61" s="77"/>
      <c r="H61" s="77"/>
      <c r="I61" s="78">
        <f t="shared" si="6"/>
        <v>0</v>
      </c>
      <c r="J61" s="79">
        <f>I61*'Вхідні дані'!$G$3/CHOOSE('Вхідні дані'!$P$1,1,'Вхідні дані'!$G$3,'Вхідні дані'!$K$3,'Вхідні дані'!$N$3)</f>
        <v>0</v>
      </c>
    </row>
    <row r="62" spans="1:10" outlineLevel="1" x14ac:dyDescent="0.5">
      <c r="A62" s="76"/>
      <c r="B62" s="77"/>
      <c r="C62" s="77"/>
      <c r="D62" s="78">
        <f t="shared" si="5"/>
        <v>0</v>
      </c>
      <c r="E62" s="79">
        <f>D62*'Вхідні дані'!$G$3/CHOOSE('Вхідні дані'!$P$1,1,'Вхідні дані'!$G$3,'Вхідні дані'!$K$3,'Вхідні дані'!$N$3)</f>
        <v>0</v>
      </c>
      <c r="F62" s="76"/>
      <c r="G62" s="77"/>
      <c r="H62" s="77"/>
      <c r="I62" s="78">
        <f t="shared" si="6"/>
        <v>0</v>
      </c>
      <c r="J62" s="79">
        <f>I62*'Вхідні дані'!$G$3/CHOOSE('Вхідні дані'!$P$1,1,'Вхідні дані'!$G$3,'Вхідні дані'!$K$3,'Вхідні дані'!$N$3)</f>
        <v>0</v>
      </c>
    </row>
    <row r="63" spans="1:10" ht="21.5" outlineLevel="1" thickBot="1" x14ac:dyDescent="0.55000000000000004">
      <c r="A63" s="93"/>
      <c r="B63" s="94"/>
      <c r="C63" s="94"/>
      <c r="D63" s="80">
        <f t="shared" si="5"/>
        <v>0</v>
      </c>
      <c r="E63" s="81">
        <f>D63*'Вхідні дані'!$G$3/CHOOSE('Вхідні дані'!$P$1,1,'Вхідні дані'!$G$3,'Вхідні дані'!$K$3,'Вхідні дані'!$N$3)</f>
        <v>0</v>
      </c>
      <c r="F63" s="93"/>
      <c r="G63" s="94"/>
      <c r="H63" s="94"/>
      <c r="I63" s="80">
        <f t="shared" si="6"/>
        <v>0</v>
      </c>
      <c r="J63" s="81">
        <f>I63*'Вхідні дані'!$G$3/CHOOSE('Вхідні дані'!$P$1,1,'Вхідні дані'!$G$3,'Вхідні дані'!$K$3,'Вхідні дані'!$N$3)</f>
        <v>0</v>
      </c>
    </row>
  </sheetData>
  <mergeCells count="8">
    <mergeCell ref="A4:E4"/>
    <mergeCell ref="F4:J4"/>
    <mergeCell ref="A1:E1"/>
    <mergeCell ref="F1:J1"/>
    <mergeCell ref="A2:E2"/>
    <mergeCell ref="F2:J2"/>
    <mergeCell ref="A3:E3"/>
    <mergeCell ref="F3:J3"/>
  </mergeCells>
  <pageMargins left="0.39370078740157483" right="0.39370078740157483" top="0.39370078740157483" bottom="0.39370078740157483" header="0.31496062992125984" footer="0.31496062992125984"/>
  <pageSetup paperSize="9" scale="43" orientation="portrait" r:id="rId1"/>
  <colBreaks count="1" manualBreakCount="1">
    <brk id="5" min="1" max="57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E80EF0-B160-43F5-ABE2-7DAF51CC1651}">
  <sheetPr>
    <pageSetUpPr fitToPage="1"/>
  </sheetPr>
  <dimension ref="A1:AA66"/>
  <sheetViews>
    <sheetView showGridLines="0" tabSelected="1" topLeftCell="A13" zoomScale="50" zoomScaleNormal="50" zoomScaleSheetLayoutView="30" workbookViewId="0">
      <selection activeCell="I2" sqref="I2:J2"/>
    </sheetView>
  </sheetViews>
  <sheetFormatPr defaultColWidth="8.81640625" defaultRowHeight="34.25" customHeight="1" x14ac:dyDescent="0.35"/>
  <cols>
    <col min="1" max="1" width="8.453125" style="8" customWidth="1"/>
    <col min="2" max="2" width="24.453125" style="8" customWidth="1"/>
    <col min="3" max="3" width="26.1796875" style="8" customWidth="1"/>
    <col min="4" max="5" width="28.453125" style="8" customWidth="1"/>
    <col min="6" max="6" width="32.90625" style="8" customWidth="1"/>
    <col min="7" max="7" width="31.08984375" style="8" customWidth="1"/>
    <col min="8" max="8" width="30" style="8" customWidth="1"/>
    <col min="9" max="9" width="27.90625" style="8" customWidth="1"/>
    <col min="10" max="10" width="24.7265625" style="8" customWidth="1"/>
    <col min="11" max="11" width="12.7265625" style="8" customWidth="1"/>
    <col min="12" max="12" width="10.90625" style="8" hidden="1" customWidth="1"/>
    <col min="13" max="13" width="9.1796875" style="8" hidden="1" customWidth="1"/>
    <col min="14" max="14" width="5" style="8" hidden="1" customWidth="1"/>
    <col min="15" max="15" width="20.453125" style="8" hidden="1" customWidth="1"/>
    <col min="16" max="16" width="6.1796875" style="8" hidden="1" customWidth="1"/>
    <col min="17" max="17" width="21.08984375" style="8" hidden="1" customWidth="1"/>
    <col min="18" max="18" width="12.453125" style="8" hidden="1" customWidth="1"/>
    <col min="19" max="19" width="19" style="8" hidden="1" customWidth="1"/>
    <col min="20" max="22" width="8.81640625" style="8" customWidth="1"/>
    <col min="23" max="16384" width="8.81640625" style="8"/>
  </cols>
  <sheetData>
    <row r="1" spans="1:24" ht="59.4" customHeight="1" x14ac:dyDescent="0.35">
      <c r="A1" s="394" t="s">
        <v>153</v>
      </c>
      <c r="B1" s="394"/>
      <c r="C1" s="394"/>
      <c r="D1" s="394"/>
      <c r="E1" s="394"/>
      <c r="F1" s="394"/>
      <c r="G1" s="394"/>
      <c r="H1" s="394"/>
      <c r="I1" s="394"/>
      <c r="J1" s="394"/>
      <c r="K1" s="3"/>
      <c r="L1" s="4">
        <f>D13</f>
        <v>1502.3750000000007</v>
      </c>
      <c r="M1" s="5">
        <f>I13</f>
        <v>0.51615337423312901</v>
      </c>
      <c r="N1" s="52">
        <f>MATCH(I4,O1:O2,0)</f>
        <v>2</v>
      </c>
      <c r="O1" s="52" t="s">
        <v>42</v>
      </c>
      <c r="P1" s="7">
        <f>MATCH(I2,Q1:Q2,0)</f>
        <v>1</v>
      </c>
      <c r="Q1" s="7" t="str">
        <f>'Вхідні дані'!E5</f>
        <v>Класична оренда</v>
      </c>
      <c r="R1" s="6">
        <f>MATCH(I5,S1:S2,0)</f>
        <v>2</v>
      </c>
      <c r="S1" s="52" t="s">
        <v>116</v>
      </c>
    </row>
    <row r="2" spans="1:24" ht="34.25" customHeight="1" x14ac:dyDescent="0.35">
      <c r="A2" s="521" t="s">
        <v>5</v>
      </c>
      <c r="B2" s="521"/>
      <c r="C2" s="521"/>
      <c r="D2" s="253" t="s">
        <v>0</v>
      </c>
      <c r="F2" s="67"/>
      <c r="G2" s="67"/>
      <c r="H2" s="66" t="s">
        <v>133</v>
      </c>
      <c r="I2" s="523" t="s">
        <v>154</v>
      </c>
      <c r="J2" s="523"/>
      <c r="K2" s="9"/>
      <c r="L2" s="4">
        <f>D17</f>
        <v>2115.5669642857151</v>
      </c>
      <c r="M2" s="5">
        <f>I17</f>
        <v>0.58461263261781415</v>
      </c>
      <c r="N2" s="52"/>
      <c r="O2" s="52" t="s">
        <v>46</v>
      </c>
      <c r="P2" s="7"/>
      <c r="Q2" s="7" t="str">
        <f>'Вхідні дані'!K5</f>
        <v>Шерінг електросамокатів</v>
      </c>
      <c r="R2" s="6"/>
      <c r="S2" s="52" t="s">
        <v>46</v>
      </c>
    </row>
    <row r="3" spans="1:24" ht="34.25" customHeight="1" x14ac:dyDescent="0.35">
      <c r="A3" s="522" t="s">
        <v>6</v>
      </c>
      <c r="B3" s="522"/>
      <c r="C3" s="522"/>
      <c r="D3" s="253" t="s">
        <v>10</v>
      </c>
      <c r="H3" s="66" t="s">
        <v>158</v>
      </c>
      <c r="I3" s="510">
        <v>20</v>
      </c>
      <c r="J3" s="510"/>
      <c r="K3" s="287"/>
      <c r="L3" s="4">
        <f>D19</f>
        <v>2548.1607142857151</v>
      </c>
      <c r="M3" s="5">
        <f>I19</f>
        <v>0.61773593073593092</v>
      </c>
      <c r="N3" s="52"/>
      <c r="Q3" s="7"/>
      <c r="R3" s="7"/>
      <c r="S3" s="7"/>
    </row>
    <row r="4" spans="1:24" ht="34.25" customHeight="1" x14ac:dyDescent="0.35">
      <c r="A4" s="522"/>
      <c r="B4" s="522"/>
      <c r="C4" s="522"/>
      <c r="D4" s="88"/>
      <c r="H4" s="10" t="s">
        <v>47</v>
      </c>
      <c r="I4" s="523" t="s">
        <v>46</v>
      </c>
      <c r="J4" s="523"/>
      <c r="K4" s="9"/>
      <c r="L4" s="4">
        <f>D21</f>
        <v>1</v>
      </c>
      <c r="M4" s="5"/>
      <c r="N4" s="52"/>
      <c r="Q4" s="7"/>
      <c r="R4" s="7"/>
      <c r="S4" s="7"/>
    </row>
    <row r="5" spans="1:24" ht="34.25" customHeight="1" x14ac:dyDescent="0.35">
      <c r="A5" s="238"/>
      <c r="B5" s="238"/>
      <c r="C5" s="238"/>
      <c r="D5" s="88"/>
      <c r="H5" s="66" t="s">
        <v>115</v>
      </c>
      <c r="I5" s="523" t="s">
        <v>46</v>
      </c>
      <c r="J5" s="523"/>
      <c r="K5" s="9"/>
      <c r="L5" s="4"/>
      <c r="M5" s="5"/>
      <c r="N5" s="52"/>
      <c r="R5" s="7"/>
      <c r="S5" s="7"/>
    </row>
    <row r="6" spans="1:24" ht="34.25" customHeight="1" x14ac:dyDescent="0.35">
      <c r="A6" s="11" t="str">
        <f>'Вхідні дані'!A7</f>
        <v>Фінансові параметри</v>
      </c>
      <c r="L6" s="4">
        <f>D23</f>
        <v>5</v>
      </c>
      <c r="M6" s="13"/>
      <c r="N6" s="6"/>
      <c r="O6" s="6"/>
      <c r="P6" s="6"/>
      <c r="Q6" s="17"/>
    </row>
    <row r="7" spans="1:24" s="14" customFormat="1" ht="63" x14ac:dyDescent="0.35">
      <c r="A7" s="520"/>
      <c r="B7" s="520"/>
      <c r="C7" s="247" t="str">
        <f>"Середній чек, "&amp;CHOOSE('Вхідні дані'!$P$1,'Вхідні дані'!$Q$1,'Вхідні дані'!$Q$2,'Вхідні дані'!$Q$3,'Вхідні дані'!$Q$4)&amp;""</f>
        <v>Середній чек, USD</v>
      </c>
      <c r="D7" s="247" t="s">
        <v>156</v>
      </c>
      <c r="E7" s="247" t="str">
        <f>"Середня виручка на день*, "&amp;CHOOSE('Вхідні дані'!$P$1,'Вхідні дані'!$Q$1,'Вхідні дані'!$Q$2,'Вхідні дані'!$Q$3,'Вхідні дані'!$Q$4)&amp;"/день"</f>
        <v>Середня виручка на день*, USD/день</v>
      </c>
      <c r="F7" s="247" t="s">
        <v>157</v>
      </c>
      <c r="G7" s="247" t="str">
        <f>"Середня виручка на місяць*, "&amp;CHOOSE('Вхідні дані'!$P$1,'Вхідні дані'!$Q$1,'Вхідні дані'!$Q$2,'Вхідні дані'!$Q$3,'Вхідні дані'!$Q$4)&amp;"/міс."</f>
        <v>Середня виручка на місяць*, USD/міс.</v>
      </c>
      <c r="H7" s="247" t="s">
        <v>161</v>
      </c>
      <c r="I7" s="511" t="str">
        <f>"Максимальна виручка на місяць*, "&amp;CHOOSE('Вхідні дані'!$P$1,'Вхідні дані'!$Q$1,'Вхідні дані'!$Q$2,'Вхідні дані'!$Q$3,'Вхідні дані'!$Q$4)&amp;"/міс."</f>
        <v>Максимальна виручка на місяць*, USD/міс.</v>
      </c>
      <c r="J7" s="512"/>
      <c r="L7" s="4">
        <f>D35</f>
        <v>500</v>
      </c>
      <c r="N7" s="52">
        <f>MATCH(D2,O7:O10,0)</f>
        <v>2</v>
      </c>
      <c r="O7" s="16" t="str">
        <f>'Вхідні дані'!Q1</f>
        <v>UAH</v>
      </c>
      <c r="P7" s="8">
        <f>MATCH(D3,Q7:Q24,0)</f>
        <v>4</v>
      </c>
      <c r="Q7" s="14" t="str">
        <f>'Вхідні дані'!S1</f>
        <v>січень</v>
      </c>
      <c r="R7" s="17"/>
      <c r="S7" s="17"/>
    </row>
    <row r="8" spans="1:24" s="14" customFormat="1" ht="40" customHeight="1" x14ac:dyDescent="0.35">
      <c r="A8" s="511" t="str">
        <f>'Детальний розрахунок'!D5</f>
        <v>1-й рік роботи</v>
      </c>
      <c r="B8" s="512"/>
      <c r="C8" s="248">
        <f>CHOOSE($P$1,'Вхідні дані'!E11,'Вхідні дані'!E12)</f>
        <v>3.5714285714285716</v>
      </c>
      <c r="D8" s="248">
        <f>F8/'Детальний розрахунок'!$P$3</f>
        <v>26.794520547945204</v>
      </c>
      <c r="E8" s="248">
        <f>G8/'Детальний розрахунок'!$P$3</f>
        <v>95.694716242661457</v>
      </c>
      <c r="F8" s="248">
        <f>'Детальний розрахунок'!Q18</f>
        <v>815</v>
      </c>
      <c r="G8" s="248">
        <f>'Детальний розрахунок'!Q21</f>
        <v>2910.7142857142862</v>
      </c>
      <c r="H8" s="248">
        <f>MAX('Детальний розрахунок'!D18:O18)</f>
        <v>1620</v>
      </c>
      <c r="I8" s="517">
        <f>MAX('Детальний розрахунок'!D20:O20)</f>
        <v>5785.7142857142862</v>
      </c>
      <c r="J8" s="518"/>
      <c r="L8" s="4">
        <f>D37-D35</f>
        <v>13700</v>
      </c>
      <c r="N8" s="15"/>
      <c r="O8" s="16" t="str">
        <f>'Вхідні дані'!Q2</f>
        <v>USD</v>
      </c>
      <c r="P8" s="6"/>
      <c r="Q8" s="14" t="str">
        <f>'Вхідні дані'!S2</f>
        <v>лютий</v>
      </c>
      <c r="R8" s="17"/>
      <c r="S8" s="17"/>
    </row>
    <row r="9" spans="1:24" s="14" customFormat="1" ht="40" customHeight="1" x14ac:dyDescent="0.35">
      <c r="A9" s="511" t="str">
        <f>'Детальний розрахунок'!R5</f>
        <v>2-й рік роботи</v>
      </c>
      <c r="B9" s="512"/>
      <c r="C9" s="248">
        <f>$C$8*'Вхідні дані'!C33</f>
        <v>3.7500000000000004</v>
      </c>
      <c r="D9" s="248">
        <f>F9/'Детальний розрахунок'!$P$3</f>
        <v>31.726027397260271</v>
      </c>
      <c r="E9" s="248">
        <f>G9/'Детальний розрахунок'!$P$3</f>
        <v>118.97260273972604</v>
      </c>
      <c r="F9" s="248">
        <f>'Детальний розрахунок'!AE18</f>
        <v>965</v>
      </c>
      <c r="G9" s="248">
        <f>'Детальний розрахунок'!AE21</f>
        <v>3618.7500000000005</v>
      </c>
      <c r="H9" s="248">
        <f>MAX('Детальний розрахунок'!R18:AC18)</f>
        <v>1780</v>
      </c>
      <c r="I9" s="517">
        <f>MAX('Детальний розрахунок'!R20:AC20)</f>
        <v>6675.0000000000009</v>
      </c>
      <c r="J9" s="518"/>
      <c r="L9" s="4"/>
      <c r="N9" s="15"/>
      <c r="O9" s="16" t="str">
        <f>'Вхідні дані'!Q3</f>
        <v>EUR</v>
      </c>
      <c r="P9" s="8"/>
      <c r="Q9" s="14" t="str">
        <f>'Вхідні дані'!S3</f>
        <v>березень</v>
      </c>
      <c r="R9" s="17"/>
      <c r="S9" s="17"/>
    </row>
    <row r="10" spans="1:24" s="14" customFormat="1" ht="40" customHeight="1" x14ac:dyDescent="0.35">
      <c r="A10" s="511" t="str">
        <f>'Детальний розрахунок'!AF5</f>
        <v>3-й рік роботи</v>
      </c>
      <c r="B10" s="512"/>
      <c r="C10" s="248">
        <f>$C$8*'Вхідні дані'!C34</f>
        <v>3.9285714285714293</v>
      </c>
      <c r="D10" s="248">
        <f>F10/'Детальний розрахунок'!$P$3</f>
        <v>34.520547945205479</v>
      </c>
      <c r="E10" s="248">
        <f>G10/'Детальний розрахунок'!$P$3</f>
        <v>135.61643835616437</v>
      </c>
      <c r="F10" s="248">
        <f>'Детальний розрахунок'!AS18</f>
        <v>1050</v>
      </c>
      <c r="G10" s="248">
        <f>'Детальний розрахунок'!AS21</f>
        <v>4125</v>
      </c>
      <c r="H10" s="248">
        <f>MAX('Детальний розрахунок'!AF18:AQ18)</f>
        <v>1940</v>
      </c>
      <c r="I10" s="517">
        <f>MAX('Детальний розрахунок'!AF20:AQ20)</f>
        <v>7621.4285714285725</v>
      </c>
      <c r="J10" s="518"/>
      <c r="L10" s="4"/>
      <c r="N10" s="15"/>
      <c r="O10" s="16" t="str">
        <f>'Вхідні дані'!Q4</f>
        <v>GBP</v>
      </c>
      <c r="P10" s="8"/>
      <c r="Q10" s="14" t="str">
        <f>'Вхідні дані'!S4</f>
        <v>квітень</v>
      </c>
      <c r="R10" s="17"/>
      <c r="S10" s="17"/>
    </row>
    <row r="11" spans="1:24" ht="34.25" customHeight="1" x14ac:dyDescent="0.35">
      <c r="A11" s="519" t="s">
        <v>120</v>
      </c>
      <c r="B11" s="519"/>
      <c r="C11" s="519"/>
      <c r="D11" s="519"/>
      <c r="E11" s="519"/>
      <c r="F11" s="519"/>
      <c r="G11" s="519"/>
      <c r="H11" s="519"/>
      <c r="I11" s="519"/>
      <c r="J11" s="519"/>
      <c r="O11" s="23"/>
      <c r="P11" s="23"/>
      <c r="Q11" s="14" t="str">
        <f>'Вхідні дані'!S5</f>
        <v>травень</v>
      </c>
    </row>
    <row r="12" spans="1:24" ht="52.5" customHeight="1" x14ac:dyDescent="0.35">
      <c r="A12" s="11" t="s">
        <v>159</v>
      </c>
      <c r="B12" s="32"/>
      <c r="C12" s="32"/>
      <c r="D12" s="33"/>
      <c r="E12" s="33"/>
      <c r="F12" s="33"/>
      <c r="G12" s="34"/>
      <c r="H12" s="33"/>
      <c r="I12" s="453" t="s">
        <v>52</v>
      </c>
      <c r="J12" s="453"/>
      <c r="K12" s="22"/>
      <c r="Q12" s="14" t="str">
        <f>'Вхідні дані'!S6</f>
        <v>червень</v>
      </c>
    </row>
    <row r="13" spans="1:24" ht="38.5" x14ac:dyDescent="0.35">
      <c r="A13" s="499" t="s">
        <v>54</v>
      </c>
      <c r="B13" s="499"/>
      <c r="C13" s="500"/>
      <c r="D13" s="492">
        <f>'Детальний розрахунок'!Q70</f>
        <v>1502.3750000000007</v>
      </c>
      <c r="E13" s="492"/>
      <c r="F13" s="492"/>
      <c r="G13" s="492"/>
      <c r="H13" s="29" t="str">
        <f>""&amp;CHOOSE('Вхідні дані'!$P$1,'Вхідні дані'!$Q$1,'Вхідні дані'!$Q$2,'Вхідні дані'!$Q$3,'Вхідні дані'!$Q$4)&amp;"/міс."</f>
        <v>USD/міс.</v>
      </c>
      <c r="I13" s="495">
        <f>IF('Детальний розрахунок'!Q70&gt;0,'Детальний розрахунок'!Q70/'Детальний розрахунок'!Q64,0)</f>
        <v>0.51615337423312901</v>
      </c>
      <c r="J13" s="495"/>
      <c r="K13" s="36"/>
      <c r="Q13" s="14" t="str">
        <f>'Вхідні дані'!S7</f>
        <v>липень</v>
      </c>
    </row>
    <row r="14" spans="1:24" ht="8" customHeight="1" x14ac:dyDescent="0.85">
      <c r="A14" s="12"/>
      <c r="B14" s="12"/>
      <c r="C14" s="12"/>
      <c r="D14" s="506"/>
      <c r="E14" s="506"/>
      <c r="F14" s="506"/>
      <c r="G14" s="506"/>
      <c r="H14" s="37"/>
      <c r="I14" s="494"/>
      <c r="J14" s="494"/>
      <c r="K14" s="36"/>
      <c r="Q14" s="14" t="str">
        <f>'Вхідні дані'!S8</f>
        <v>серпень</v>
      </c>
      <c r="X14" s="71"/>
    </row>
    <row r="15" spans="1:24" ht="38.5" x14ac:dyDescent="0.35">
      <c r="A15" s="499" t="s">
        <v>160</v>
      </c>
      <c r="B15" s="499"/>
      <c r="C15" s="500"/>
      <c r="D15" s="492">
        <f>'Детальний розрахунок'!Q102</f>
        <v>1502.3750000000007</v>
      </c>
      <c r="E15" s="492"/>
      <c r="F15" s="492"/>
      <c r="G15" s="492"/>
      <c r="H15" s="29" t="str">
        <f>""&amp;CHOOSE('Вхідні дані'!$P$1,'Вхідні дані'!$Q$1,'Вхідні дані'!$Q$2,'Вхідні дані'!$Q$3,'Вхідні дані'!$Q$4)&amp;"/міс."</f>
        <v>USD/міс.</v>
      </c>
      <c r="I15" s="495">
        <f>IF(D15&gt;0,D15/'Детальний розрахунок'!Q101,0)</f>
        <v>0.51615337423312901</v>
      </c>
      <c r="J15" s="495"/>
      <c r="K15" s="36"/>
      <c r="Q15" s="14" t="str">
        <f>'Вхідні дані'!S9</f>
        <v>вересень</v>
      </c>
    </row>
    <row r="16" spans="1:24" ht="8" customHeight="1" x14ac:dyDescent="0.85">
      <c r="A16" s="12"/>
      <c r="B16" s="12"/>
      <c r="C16" s="12"/>
      <c r="D16" s="506"/>
      <c r="E16" s="506"/>
      <c r="F16" s="506"/>
      <c r="G16" s="506"/>
      <c r="H16" s="37"/>
      <c r="I16" s="494"/>
      <c r="J16" s="494"/>
      <c r="K16" s="36"/>
      <c r="Q16" s="14" t="str">
        <f>'Вхідні дані'!S10</f>
        <v>жовтень</v>
      </c>
      <c r="X16" s="71"/>
    </row>
    <row r="17" spans="1:26" ht="38.5" x14ac:dyDescent="0.35">
      <c r="A17" s="499" t="s">
        <v>55</v>
      </c>
      <c r="B17" s="499"/>
      <c r="C17" s="500"/>
      <c r="D17" s="492">
        <f>'Детальний розрахунок'!AE70</f>
        <v>2115.5669642857151</v>
      </c>
      <c r="E17" s="492"/>
      <c r="F17" s="492"/>
      <c r="G17" s="492"/>
      <c r="H17" s="35" t="str">
        <f>""&amp;CHOOSE('Вхідні дані'!$P$1,'Вхідні дані'!$Q$1,'Вхідні дані'!$Q$2,'Вхідні дані'!$Q$3,'Вхідні дані'!$Q$4)&amp;"/міс."</f>
        <v>USD/міс.</v>
      </c>
      <c r="I17" s="495">
        <f>IF('Детальний розрахунок'!AE70&gt;0,'Детальний розрахунок'!AE70/'Детальний розрахунок'!AE64,0)</f>
        <v>0.58461263261781415</v>
      </c>
      <c r="J17" s="495"/>
      <c r="K17" s="36"/>
      <c r="Q17" s="14" t="str">
        <f>'Вхідні дані'!S11</f>
        <v>листопад</v>
      </c>
    </row>
    <row r="18" spans="1:26" ht="8" customHeight="1" x14ac:dyDescent="0.85">
      <c r="A18" s="12"/>
      <c r="B18" s="12"/>
      <c r="C18" s="12"/>
      <c r="D18" s="506"/>
      <c r="E18" s="506"/>
      <c r="F18" s="506"/>
      <c r="G18" s="506"/>
      <c r="H18" s="37"/>
      <c r="I18" s="494"/>
      <c r="J18" s="494"/>
      <c r="Q18" s="14" t="str">
        <f>'Вхідні дані'!S12</f>
        <v>грудень</v>
      </c>
    </row>
    <row r="19" spans="1:26" ht="38.5" x14ac:dyDescent="0.35">
      <c r="A19" s="499" t="s">
        <v>56</v>
      </c>
      <c r="B19" s="499"/>
      <c r="C19" s="500"/>
      <c r="D19" s="507">
        <f>'Детальний розрахунок'!AS70</f>
        <v>2548.1607142857151</v>
      </c>
      <c r="E19" s="507"/>
      <c r="F19" s="507"/>
      <c r="G19" s="507"/>
      <c r="H19" s="35" t="str">
        <f>""&amp;CHOOSE('Вхідні дані'!$P$1,'Вхідні дані'!$Q$1,'Вхідні дані'!$Q$2,'Вхідні дані'!$Q$3,'Вхідні дані'!$Q$4)&amp;"/міс."</f>
        <v>USD/міс.</v>
      </c>
      <c r="I19" s="495">
        <f>IF('Детальний розрахунок'!AS70&gt;0,'Детальний розрахунок'!AS70/'Детальний розрахунок'!AS64,0)</f>
        <v>0.61773593073593092</v>
      </c>
      <c r="J19" s="495"/>
    </row>
    <row r="20" spans="1:26" ht="8" customHeight="1" x14ac:dyDescent="0.35">
      <c r="A20" s="12"/>
      <c r="B20" s="12"/>
      <c r="C20" s="12"/>
      <c r="D20" s="12"/>
      <c r="E20" s="12"/>
      <c r="F20" s="12"/>
      <c r="H20" s="38"/>
      <c r="I20" s="38"/>
      <c r="J20" s="38"/>
    </row>
    <row r="21" spans="1:26" ht="38.5" x14ac:dyDescent="0.35">
      <c r="A21" s="515" t="s">
        <v>57</v>
      </c>
      <c r="B21" s="515"/>
      <c r="C21" s="516"/>
      <c r="D21" s="501">
        <f>'Детальний розрахунок'!B94</f>
        <v>1</v>
      </c>
      <c r="E21" s="502"/>
      <c r="F21" s="502"/>
      <c r="G21" s="502"/>
      <c r="H21" s="503"/>
      <c r="I21" s="39" t="s">
        <v>53</v>
      </c>
    </row>
    <row r="22" spans="1:26" ht="8" customHeight="1" x14ac:dyDescent="0.35">
      <c r="A22" s="12"/>
      <c r="B22" s="12"/>
      <c r="C22" s="12"/>
      <c r="D22" s="504"/>
      <c r="E22" s="504"/>
      <c r="F22" s="504"/>
      <c r="G22" s="504"/>
      <c r="H22" s="504"/>
      <c r="I22" s="38"/>
    </row>
    <row r="23" spans="1:26" ht="38.5" x14ac:dyDescent="0.35">
      <c r="A23" s="499" t="s">
        <v>58</v>
      </c>
      <c r="B23" s="499"/>
      <c r="C23" s="514"/>
      <c r="D23" s="501">
        <f>'Детальний розрахунок'!B93</f>
        <v>5</v>
      </c>
      <c r="E23" s="502"/>
      <c r="F23" s="502"/>
      <c r="G23" s="502"/>
      <c r="H23" s="503"/>
      <c r="I23" s="39" t="s">
        <v>53</v>
      </c>
    </row>
    <row r="24" spans="1:26" ht="27" customHeight="1" x14ac:dyDescent="0.35">
      <c r="A24" s="40"/>
      <c r="B24" s="41"/>
      <c r="C24" s="41"/>
      <c r="D24" s="41"/>
      <c r="E24" s="41"/>
      <c r="F24" s="41"/>
      <c r="G24" s="42"/>
      <c r="H24" s="42"/>
      <c r="I24" s="42"/>
      <c r="J24" s="41"/>
    </row>
    <row r="25" spans="1:26" ht="34.25" customHeight="1" x14ac:dyDescent="0.35">
      <c r="A25" s="18" t="str">
        <f>'Вхідні дані'!A36</f>
        <v>Інвестиції у відкриття</v>
      </c>
      <c r="G25" s="19"/>
      <c r="H25" s="19"/>
      <c r="I25" s="19"/>
      <c r="O25" s="23"/>
      <c r="P25" s="23"/>
    </row>
    <row r="26" spans="1:26" ht="42" customHeight="1" x14ac:dyDescent="0.35">
      <c r="A26" s="24"/>
      <c r="D26" s="513" t="str">
        <f>'Вхідні дані'!B39</f>
        <v>Площа приміщення, кв.м.</v>
      </c>
      <c r="E26" s="513"/>
      <c r="F26" s="513"/>
      <c r="G26" s="462">
        <f>CHOOSE($P$1,'Вхідні дані'!E39,'Вхідні дані'!I39)</f>
        <v>20</v>
      </c>
      <c r="H26" s="508"/>
      <c r="I26" s="509"/>
      <c r="J26" s="21"/>
      <c r="K26" s="22"/>
      <c r="N26" s="23"/>
      <c r="P26" s="23" t="s">
        <v>99</v>
      </c>
      <c r="R26" s="23"/>
      <c r="S26" s="23"/>
      <c r="T26" s="23"/>
      <c r="U26" s="23"/>
      <c r="V26" s="23"/>
      <c r="W26" s="23"/>
      <c r="X26" s="23"/>
      <c r="Y26" s="23"/>
      <c r="Z26" s="23"/>
    </row>
    <row r="27" spans="1:26" ht="42" customHeight="1" x14ac:dyDescent="0.35">
      <c r="A27" s="24"/>
      <c r="B27" s="484" t="str">
        <f>'Вхідні дані'!B41:C41</f>
        <v>Авансовий платіж по оренді</v>
      </c>
      <c r="C27" s="485"/>
      <c r="D27" s="323">
        <f>CHOOSE($P$1,'Вхідні дані'!G41,'Вхідні дані'!K41)</f>
        <v>200</v>
      </c>
      <c r="E27" s="323"/>
      <c r="F27" s="323"/>
      <c r="G27" s="323"/>
      <c r="H27" s="323"/>
      <c r="I27" s="323"/>
      <c r="J27" s="21" t="str">
        <f>""&amp;CHOOSE('Вхідні дані'!$P$1,'Вхідні дані'!$Q$1,'Вхідні дані'!$Q$2,'Вхідні дані'!$Q$3,'Вхідні дані'!$Q$4)&amp;""</f>
        <v>USD</v>
      </c>
      <c r="K27" s="22"/>
      <c r="N27" s="23"/>
      <c r="O27" s="23"/>
      <c r="P27" s="23"/>
      <c r="R27" s="23"/>
      <c r="S27" s="23"/>
      <c r="T27" s="23"/>
      <c r="U27" s="23"/>
      <c r="V27" s="23"/>
      <c r="W27" s="23"/>
      <c r="X27" s="23"/>
      <c r="Y27" s="23"/>
      <c r="Z27" s="23"/>
    </row>
    <row r="28" spans="1:26" ht="42" customHeight="1" x14ac:dyDescent="0.35">
      <c r="A28" s="20"/>
      <c r="B28" s="484" t="str">
        <f>'Вхідні дані'!B42</f>
        <v>Ремонт приміщення</v>
      </c>
      <c r="C28" s="485"/>
      <c r="D28" s="323">
        <f>CHOOSE($P$1,'Вхідні дані'!G42,'Вхідні дані'!K42)</f>
        <v>0</v>
      </c>
      <c r="E28" s="323"/>
      <c r="F28" s="323"/>
      <c r="G28" s="323"/>
      <c r="H28" s="323"/>
      <c r="I28" s="323"/>
      <c r="J28" s="21" t="str">
        <f>""&amp;CHOOSE('Вхідні дані'!$P$1,'Вхідні дані'!$Q$1,'Вхідні дані'!$Q$2,'Вхідні дані'!$Q$3,'Вхідні дані'!$Q$4)&amp;""</f>
        <v>USD</v>
      </c>
      <c r="K28" s="22"/>
      <c r="N28" s="23"/>
      <c r="O28" s="23"/>
      <c r="P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42" customHeight="1" x14ac:dyDescent="0.35">
      <c r="A29" s="24"/>
      <c r="B29" s="484" t="str">
        <f>'Вхідні дані'!B43:C43</f>
        <v>Сигналізація (охоронна та пожежна)</v>
      </c>
      <c r="C29" s="485"/>
      <c r="D29" s="323">
        <f>CHOOSE($P$1,'Вхідні дані'!G43,'Вхідні дані'!K43)</f>
        <v>300</v>
      </c>
      <c r="E29" s="323"/>
      <c r="F29" s="323"/>
      <c r="G29" s="323"/>
      <c r="H29" s="323"/>
      <c r="I29" s="323"/>
      <c r="J29" s="21" t="str">
        <f>""&amp;CHOOSE('Вхідні дані'!$P$1,'Вхідні дані'!$Q$1,'Вхідні дані'!$Q$2,'Вхідні дані'!$Q$3,'Вхідні дані'!$Q$4)&amp;""</f>
        <v>USD</v>
      </c>
      <c r="K29" s="22"/>
      <c r="N29" s="23"/>
      <c r="O29" s="23"/>
      <c r="P29" s="23"/>
      <c r="R29" s="23"/>
      <c r="S29" s="23"/>
      <c r="T29" s="23"/>
      <c r="U29" s="23"/>
      <c r="V29" s="23"/>
      <c r="W29" s="23"/>
      <c r="X29" s="23"/>
      <c r="Y29" s="23"/>
      <c r="Z29" s="23"/>
    </row>
    <row r="30" spans="1:26" ht="42" customHeight="1" x14ac:dyDescent="0.35">
      <c r="A30" s="24"/>
      <c r="B30" s="484" t="str">
        <f>'Вхідні дані'!B44:C44</f>
        <v>Відеоспостереження</v>
      </c>
      <c r="C30" s="485"/>
      <c r="D30" s="323">
        <f>CHOOSE($P$1,'Вхідні дані'!G44,'Вхідні дані'!K44)</f>
        <v>300</v>
      </c>
      <c r="E30" s="323"/>
      <c r="F30" s="323"/>
      <c r="G30" s="323"/>
      <c r="H30" s="323"/>
      <c r="I30" s="323"/>
      <c r="J30" s="21" t="str">
        <f>""&amp;CHOOSE('Вхідні дані'!$P$1,'Вхідні дані'!$Q$1,'Вхідні дані'!$Q$2,'Вхідні дані'!$Q$3,'Вхідні дані'!$Q$4)&amp;""</f>
        <v>USD</v>
      </c>
      <c r="K30" s="22"/>
      <c r="N30" s="23"/>
      <c r="O30" s="23"/>
      <c r="P30" s="23"/>
      <c r="R30" s="23"/>
      <c r="S30" s="23"/>
      <c r="T30" s="23"/>
      <c r="U30" s="23"/>
      <c r="V30" s="23"/>
      <c r="W30" s="23"/>
      <c r="X30" s="23"/>
      <c r="Y30" s="23"/>
      <c r="Z30" s="23"/>
    </row>
    <row r="31" spans="1:26" ht="42" customHeight="1" x14ac:dyDescent="0.35">
      <c r="A31" s="20"/>
      <c r="B31" s="484" t="str">
        <f>'Вхідні дані'!B45:C45</f>
        <v>Меблі та комп'ютерна техніка</v>
      </c>
      <c r="C31" s="485"/>
      <c r="D31" s="323">
        <f>CHOOSE($P$1,'Вхідні дані'!G45,'Вхідні дані'!K45)</f>
        <v>500</v>
      </c>
      <c r="E31" s="323"/>
      <c r="F31" s="323"/>
      <c r="G31" s="323"/>
      <c r="H31" s="323"/>
      <c r="I31" s="323"/>
      <c r="J31" s="21" t="str">
        <f>""&amp;CHOOSE('Вхідні дані'!$P$1,'Вхідні дані'!$Q$1,'Вхідні дані'!$Q$2,'Вхідні дані'!$Q$3,'Вхідні дані'!$Q$4)&amp;""</f>
        <v>USD</v>
      </c>
      <c r="K31" s="22"/>
      <c r="N31" s="23"/>
      <c r="O31" s="23"/>
      <c r="P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s="274" customFormat="1" ht="42" customHeight="1" x14ac:dyDescent="0.35">
      <c r="A32" s="20"/>
      <c r="B32" s="484" t="str">
        <f>'Вхідні дані'!B46:C46</f>
        <v>Обладнання для паркування самокатів</v>
      </c>
      <c r="C32" s="485"/>
      <c r="D32" s="323">
        <f>CHOOSE($P$1,'Вхідні дані'!G46,'Вхідні дані'!K46)</f>
        <v>0</v>
      </c>
      <c r="E32" s="323"/>
      <c r="F32" s="323"/>
      <c r="G32" s="323"/>
      <c r="H32" s="323"/>
      <c r="I32" s="323"/>
      <c r="J32" s="21" t="str">
        <f>""&amp;CHOOSE('Вхідні дані'!$P$1,'Вхідні дані'!$Q$1,'Вхідні дані'!$Q$2,'Вхідні дані'!$Q$3,'Вхідні дані'!$Q$4)&amp;""</f>
        <v>USD</v>
      </c>
      <c r="K32" s="22"/>
      <c r="N32" s="23"/>
      <c r="O32" s="23"/>
      <c r="P32" s="23"/>
      <c r="R32" s="23"/>
      <c r="S32" s="23"/>
      <c r="T32" s="23"/>
      <c r="U32" s="23"/>
      <c r="V32" s="23"/>
      <c r="W32" s="23"/>
      <c r="X32" s="23"/>
      <c r="Y32" s="23"/>
      <c r="Z32" s="23"/>
    </row>
    <row r="33" spans="1:27" ht="42" customHeight="1" x14ac:dyDescent="0.35">
      <c r="A33" s="20"/>
      <c r="B33" s="484" t="s">
        <v>164</v>
      </c>
      <c r="C33" s="485"/>
      <c r="D33" s="323">
        <f>CHOOSE($P$1,'Вхідні дані'!G47,'Вхідні дані'!K47)*$I$3</f>
        <v>12000</v>
      </c>
      <c r="E33" s="323"/>
      <c r="F33" s="323"/>
      <c r="G33" s="323"/>
      <c r="H33" s="323"/>
      <c r="I33" s="323"/>
      <c r="J33" s="21" t="str">
        <f>""&amp;CHOOSE('Вхідні дані'!$P$1,'Вхідні дані'!$Q$1,'Вхідні дані'!$Q$2,'Вхідні дані'!$Q$3,'Вхідні дані'!$Q$4)&amp;""</f>
        <v>USD</v>
      </c>
      <c r="K33" s="22"/>
      <c r="N33" s="23"/>
      <c r="R33" s="23"/>
      <c r="S33" s="23"/>
      <c r="T33" s="23"/>
      <c r="U33" s="23"/>
      <c r="V33" s="23"/>
      <c r="W33" s="23"/>
      <c r="X33" s="23"/>
      <c r="Y33" s="23"/>
      <c r="Z33" s="23"/>
    </row>
    <row r="34" spans="1:27" ht="42" customHeight="1" x14ac:dyDescent="0.35">
      <c r="A34" s="20"/>
      <c r="B34" s="484" t="str">
        <f>'Вхідні дані'!B48:C48</f>
        <v>Рекламна кампанія до відкриття</v>
      </c>
      <c r="C34" s="485"/>
      <c r="D34" s="323">
        <f>CHOOSE($P$1,'Вхідні дані'!G48,'Вхідні дані'!K48)</f>
        <v>200</v>
      </c>
      <c r="E34" s="323"/>
      <c r="F34" s="323"/>
      <c r="G34" s="323"/>
      <c r="H34" s="323"/>
      <c r="I34" s="323"/>
      <c r="J34" s="21" t="str">
        <f>""&amp;CHOOSE('Вхідні дані'!$P$1,'Вхідні дані'!$Q$1,'Вхідні дані'!$Q$2,'Вхідні дані'!$Q$3,'Вхідні дані'!$Q$4)&amp;""</f>
        <v>USD</v>
      </c>
      <c r="K34" s="22"/>
      <c r="N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7" ht="42" customHeight="1" x14ac:dyDescent="0.35">
      <c r="A35" s="20"/>
      <c r="B35" s="484" t="str">
        <f>'Вхідні дані'!B55:C55</f>
        <v>Паушальний внесок</v>
      </c>
      <c r="C35" s="485"/>
      <c r="D35" s="323">
        <f>IF($I$3&lt;='Вхідні дані'!E53,'Вхідні дані'!E55,0)+IF($I$3&gt;='Вхідні дані'!E53+1,'Вхідні дані'!H55,0)</f>
        <v>500</v>
      </c>
      <c r="E35" s="323"/>
      <c r="F35" s="323"/>
      <c r="G35" s="323"/>
      <c r="H35" s="323"/>
      <c r="I35" s="323"/>
      <c r="J35" s="21" t="str">
        <f>""&amp;CHOOSE('Вхідні дані'!$P$1,'Вхідні дані'!$Q$1,'Вхідні дані'!$Q$2,'Вхідні дані'!$Q$3,'Вхідні дані'!$Q$4)&amp;""</f>
        <v>USD</v>
      </c>
      <c r="K35" s="22"/>
      <c r="N35" s="23"/>
      <c r="O35" s="23"/>
      <c r="P35" s="23"/>
      <c r="Q35" s="23"/>
      <c r="R35" s="23"/>
      <c r="S35" s="23"/>
      <c r="T35" s="23"/>
      <c r="U35" s="23"/>
      <c r="V35" s="23"/>
      <c r="W35" s="23"/>
      <c r="X35" s="23"/>
      <c r="Y35" s="23"/>
      <c r="Z35" s="23"/>
    </row>
    <row r="36" spans="1:27" ht="42" customHeight="1" x14ac:dyDescent="0.35">
      <c r="A36" s="20"/>
      <c r="B36" s="484" t="str">
        <f>'Вхідні дані'!B49:C49</f>
        <v>Інше</v>
      </c>
      <c r="C36" s="485"/>
      <c r="D36" s="323">
        <f>CHOOSE($P$1,'Вхідні дані'!G49,'Вхідні дані'!K49)</f>
        <v>200</v>
      </c>
      <c r="E36" s="323"/>
      <c r="F36" s="323"/>
      <c r="G36" s="323"/>
      <c r="H36" s="323"/>
      <c r="I36" s="323"/>
      <c r="J36" s="21" t="str">
        <f>""&amp;CHOOSE('Вхідні дані'!$P$1,'Вхідні дані'!$Q$1,'Вхідні дані'!$Q$2,'Вхідні дані'!$Q$3,'Вхідні дані'!$Q$4)&amp;""</f>
        <v>USD</v>
      </c>
      <c r="K36" s="22"/>
      <c r="N36" s="23"/>
      <c r="O36" s="23"/>
      <c r="P36" s="23"/>
      <c r="Q36" s="23"/>
      <c r="R36" s="23"/>
      <c r="S36" s="23"/>
      <c r="T36" s="23"/>
      <c r="U36" s="23"/>
      <c r="V36" s="23"/>
      <c r="W36" s="23"/>
      <c r="X36" s="23"/>
      <c r="Y36" s="23"/>
      <c r="Z36" s="23"/>
    </row>
    <row r="37" spans="1:27" ht="42" customHeight="1" x14ac:dyDescent="0.35">
      <c r="A37" s="20"/>
      <c r="B37" s="484" t="str">
        <f>'Вхідні дані'!B50:C50</f>
        <v>Разом:</v>
      </c>
      <c r="C37" s="485"/>
      <c r="D37" s="486">
        <f>SUM(D27:I36)</f>
        <v>14200</v>
      </c>
      <c r="E37" s="486"/>
      <c r="F37" s="486"/>
      <c r="G37" s="486"/>
      <c r="H37" s="486"/>
      <c r="I37" s="486"/>
      <c r="J37" s="21" t="str">
        <f>""&amp;CHOOSE('Вхідні дані'!$P$1,'Вхідні дані'!$Q$1,'Вхідні дані'!$Q$2,'Вхідні дані'!$Q$3,'Вхідні дані'!$Q$4)&amp;""</f>
        <v>USD</v>
      </c>
      <c r="L37" s="25"/>
      <c r="N37" s="23"/>
      <c r="O37" s="23"/>
      <c r="P37" s="23"/>
      <c r="Q37" s="23"/>
      <c r="R37" s="23"/>
      <c r="S37" s="23"/>
      <c r="T37" s="23"/>
      <c r="U37" s="23"/>
      <c r="V37" s="23"/>
      <c r="W37" s="23"/>
      <c r="X37" s="23"/>
      <c r="Y37" s="23"/>
      <c r="Z37" s="23"/>
    </row>
    <row r="38" spans="1:27" ht="34.25" customHeight="1" x14ac:dyDescent="0.45">
      <c r="A38" s="497"/>
      <c r="B38" s="497"/>
      <c r="C38" s="497"/>
      <c r="D38" s="497"/>
      <c r="E38" s="497"/>
      <c r="F38" s="497"/>
      <c r="G38" s="497"/>
      <c r="H38" s="497"/>
      <c r="I38" s="497"/>
      <c r="J38" s="497"/>
      <c r="K38" s="22"/>
      <c r="N38" s="23"/>
      <c r="O38" s="23"/>
      <c r="P38" s="23"/>
      <c r="Q38" s="23"/>
      <c r="R38" s="23"/>
      <c r="S38" s="23"/>
      <c r="T38" s="23"/>
      <c r="U38" s="23"/>
      <c r="V38" s="23"/>
      <c r="W38" s="23"/>
      <c r="X38" s="23"/>
      <c r="Y38" s="23"/>
      <c r="Z38" s="23"/>
    </row>
    <row r="39" spans="1:27" ht="34.25" customHeight="1" x14ac:dyDescent="0.45">
      <c r="A39" s="11" t="s">
        <v>2</v>
      </c>
      <c r="B39" s="26"/>
      <c r="C39" s="26"/>
      <c r="D39" s="26"/>
      <c r="E39" s="26"/>
      <c r="F39" s="26"/>
      <c r="G39" s="26"/>
      <c r="H39" s="26"/>
      <c r="I39" s="26"/>
      <c r="J39" s="26"/>
      <c r="K39" s="22"/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</row>
    <row r="40" spans="1:27" ht="84" x14ac:dyDescent="0.35">
      <c r="A40" s="364" t="str">
        <f>'Вхідні дані'!A59</f>
        <v>Посадові одиниці</v>
      </c>
      <c r="B40" s="364"/>
      <c r="C40" s="364"/>
      <c r="D40" s="92" t="str">
        <f>'Вхідні дані'!D59</f>
        <v>Кількість співробітників, чол.</v>
      </c>
      <c r="E40" s="487" t="str">
        <f>"Фіксований оклад на місяць, "&amp;CHOOSE('Вхідні дані'!$P$1,'Вхідні дані'!$Q$1,'Вхідні дані'!$Q$2,'Вхідні дані'!$Q$3,'Вхідні дані'!$Q$4)&amp;"/міс."</f>
        <v>Фіксований оклад на місяць, USD/міс.</v>
      </c>
      <c r="F40" s="488"/>
      <c r="G40" s="234" t="str">
        <f>'Вхідні дані'!L59</f>
        <v>Базовий розмір бонусу для всіх співробітників, % від бази нарахування*</v>
      </c>
      <c r="H40" s="234" t="str">
        <f>'Вхідні дані'!N59</f>
        <v xml:space="preserve"> * - База нарахування бонусу</v>
      </c>
      <c r="I40" s="364" t="str">
        <f>"Середній розмір зарплати одного співробітника з урахуванням бонусів на місяць за 1-й рік роботи, "&amp;CHOOSE('Вхідні дані'!$P$1,'Вхідні дані'!$Q$1,'Вхідні дані'!$Q$2,'Вхідні дані'!$Q$3,'Вхідні дані'!$Q$4)&amp;"/міс."</f>
        <v>Середній розмір зарплати одного співробітника з урахуванням бонусів на місяць за 1-й рік роботи, USD/міс.</v>
      </c>
      <c r="J40" s="364"/>
      <c r="L40" s="22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</row>
    <row r="41" spans="1:27" s="14" customFormat="1" ht="40" customHeight="1" x14ac:dyDescent="0.35">
      <c r="A41" s="491" t="str">
        <f>CHOOSE($P$1,'Вхідні дані'!A61,'Вхідні дані'!A68)</f>
        <v>Адміністратор</v>
      </c>
      <c r="B41" s="491"/>
      <c r="C41" s="491"/>
      <c r="D41" s="86">
        <f>CHOOSE($P$1,'Вхідні дані'!D61,'Вхідні дані'!D68)</f>
        <v>2</v>
      </c>
      <c r="E41" s="489">
        <f>CHOOSE($P$1,'Вхідні дані'!J61,'Вхідні дані'!J68)</f>
        <v>200</v>
      </c>
      <c r="F41" s="490"/>
      <c r="G41" s="236">
        <f>CHOOSE($P$1,'Вхідні дані'!L61,'Вхідні дані'!L68)</f>
        <v>0.1</v>
      </c>
      <c r="H41" s="237" t="str">
        <f>CHOOSE($P$1,'Вхідні дані'!N61,'Вхідні дані'!N68)</f>
        <v>загальна виручка</v>
      </c>
      <c r="I41" s="367">
        <f>IF(D41=0,0,'Детальний розрахунок'!Q41/D41)</f>
        <v>345.53571428571422</v>
      </c>
      <c r="J41" s="367"/>
      <c r="L41" s="22"/>
      <c r="O41" s="27"/>
      <c r="P41" s="27"/>
      <c r="Q41" s="27"/>
      <c r="R41" s="27"/>
      <c r="S41" s="27"/>
      <c r="T41" s="27"/>
      <c r="U41" s="27"/>
      <c r="V41" s="27"/>
      <c r="W41" s="27"/>
      <c r="X41" s="27"/>
      <c r="Y41" s="27"/>
      <c r="Z41" s="27"/>
      <c r="AA41" s="27"/>
    </row>
    <row r="42" spans="1:27" s="14" customFormat="1" ht="40" customHeight="1" x14ac:dyDescent="0.35">
      <c r="A42" s="491">
        <f>CHOOSE($P$1,'Вхідні дані'!A62,'Вхідні дані'!A69)</f>
        <v>0</v>
      </c>
      <c r="B42" s="491"/>
      <c r="C42" s="491"/>
      <c r="D42" s="251">
        <f>CHOOSE($P$1,'Вхідні дані'!D62,'Вхідні дані'!D69)</f>
        <v>0</v>
      </c>
      <c r="E42" s="489">
        <f>CHOOSE($P$1,'Вхідні дані'!J62,'Вхідні дані'!J69)</f>
        <v>0</v>
      </c>
      <c r="F42" s="490"/>
      <c r="G42" s="236">
        <f>CHOOSE($P$1,'Вхідні дані'!M62,'Вхідні дані'!L69)</f>
        <v>0</v>
      </c>
      <c r="H42" s="237" t="str">
        <f>CHOOSE($P$1,'Вхідні дані'!N62,'Вхідні дані'!N69)</f>
        <v>загальна виручка</v>
      </c>
      <c r="I42" s="367">
        <f>IF(D42=0,0,'Детальний розрахунок'!Q42/D42)</f>
        <v>0</v>
      </c>
      <c r="J42" s="367"/>
      <c r="L42" s="22"/>
      <c r="O42" s="27"/>
      <c r="P42" s="27"/>
      <c r="Q42" s="27"/>
      <c r="R42" s="27"/>
      <c r="S42" s="27"/>
      <c r="T42" s="27"/>
      <c r="U42" s="27"/>
      <c r="V42" s="27"/>
      <c r="W42" s="27"/>
      <c r="X42" s="27"/>
      <c r="Y42" s="27"/>
      <c r="Z42" s="27"/>
      <c r="AA42" s="27"/>
    </row>
    <row r="43" spans="1:27" s="14" customFormat="1" ht="40" customHeight="1" x14ac:dyDescent="0.35">
      <c r="A43" s="491" t="s">
        <v>32</v>
      </c>
      <c r="B43" s="491"/>
      <c r="C43" s="491"/>
      <c r="D43" s="86">
        <f>SUM(D41:D42)</f>
        <v>2</v>
      </c>
      <c r="E43" s="489"/>
      <c r="F43" s="490"/>
      <c r="G43" s="236"/>
      <c r="H43" s="237"/>
      <c r="I43" s="367">
        <f>E48</f>
        <v>691.07142857142844</v>
      </c>
      <c r="J43" s="367"/>
      <c r="L43" s="22"/>
      <c r="N43" s="231"/>
      <c r="O43" s="27"/>
      <c r="P43" s="27"/>
      <c r="Q43" s="27"/>
      <c r="R43" s="27"/>
      <c r="S43" s="27"/>
      <c r="T43" s="27"/>
      <c r="U43" s="27"/>
      <c r="V43" s="27"/>
      <c r="W43" s="27"/>
      <c r="X43" s="27"/>
      <c r="Y43" s="27"/>
      <c r="Z43" s="27"/>
      <c r="AA43" s="27"/>
    </row>
    <row r="44" spans="1:27" ht="34.25" customHeight="1" x14ac:dyDescent="0.45">
      <c r="A44" s="368"/>
      <c r="B44" s="368"/>
      <c r="C44" s="368"/>
      <c r="D44" s="368"/>
      <c r="E44" s="368"/>
      <c r="F44" s="368"/>
      <c r="G44" s="368"/>
      <c r="H44" s="368"/>
      <c r="I44" s="368"/>
      <c r="J44" s="368"/>
      <c r="K44" s="22"/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7" ht="34.25" customHeight="1" thickBot="1" x14ac:dyDescent="0.4">
      <c r="A45" s="11" t="str">
        <f>'Вхідні дані'!A72</f>
        <v>Поточні витрати</v>
      </c>
      <c r="L45" s="14"/>
    </row>
    <row r="46" spans="1:27" s="274" customFormat="1" ht="34.25" customHeight="1" x14ac:dyDescent="0.35">
      <c r="A46" s="11"/>
      <c r="D46" s="306" t="str">
        <f>A8</f>
        <v>1-й рік роботи</v>
      </c>
      <c r="E46" s="308"/>
      <c r="F46" s="306" t="str">
        <f>A9</f>
        <v>2-й рік роботи</v>
      </c>
      <c r="G46" s="308"/>
      <c r="H46" s="306" t="str">
        <f>A10</f>
        <v>3-й рік роботи</v>
      </c>
      <c r="I46" s="308"/>
      <c r="L46" s="14"/>
    </row>
    <row r="47" spans="1:27" ht="40.25" customHeight="1" x14ac:dyDescent="0.35">
      <c r="A47" s="11"/>
      <c r="D47" s="276" t="s">
        <v>169</v>
      </c>
      <c r="E47" s="277" t="s">
        <v>170</v>
      </c>
      <c r="F47" s="276" t="s">
        <v>169</v>
      </c>
      <c r="G47" s="277" t="s">
        <v>170</v>
      </c>
      <c r="H47" s="276" t="s">
        <v>169</v>
      </c>
      <c r="I47" s="277" t="s">
        <v>170</v>
      </c>
      <c r="J47" s="28"/>
      <c r="L47" s="14"/>
    </row>
    <row r="48" spans="1:27" ht="42" customHeight="1" x14ac:dyDescent="0.35">
      <c r="A48" s="12"/>
      <c r="B48" s="484" t="s">
        <v>48</v>
      </c>
      <c r="C48" s="484"/>
      <c r="D48" s="278">
        <f>E48/'Детальний розрахунок'!$Q$21</f>
        <v>0.23742331288343549</v>
      </c>
      <c r="E48" s="249">
        <f>'Детальний розрахунок'!Q44</f>
        <v>691.07142857142844</v>
      </c>
      <c r="F48" s="278">
        <f>G48/'Детальний розрахунок'!$AE$21</f>
        <v>0.21606217616580309</v>
      </c>
      <c r="G48" s="249">
        <f>'Детальний розрахунок'!AE44</f>
        <v>781.875</v>
      </c>
      <c r="H48" s="278">
        <f>I48/'Детальний розрахунок'!$AS$21</f>
        <v>0.20666666666666669</v>
      </c>
      <c r="I48" s="249">
        <f>'Детальний розрахунок'!AS44</f>
        <v>852.50000000000011</v>
      </c>
      <c r="J48" s="29" t="str">
        <f>""&amp;CHOOSE('Вхідні дані'!$P$1,'Вхідні дані'!$Q$1,'Вхідні дані'!$Q$2,'Вхідні дані'!$Q$3,'Вхідні дані'!$Q$4)&amp;"/міс."</f>
        <v>USD/міс.</v>
      </c>
    </row>
    <row r="49" spans="1:27" ht="42" customHeight="1" x14ac:dyDescent="0.35">
      <c r="A49" s="30"/>
      <c r="B49" s="496" t="s">
        <v>37</v>
      </c>
      <c r="C49" s="496"/>
      <c r="D49" s="278">
        <f>E49/'Детальний розрахунок'!$Q$21</f>
        <v>1.3742331288343556E-2</v>
      </c>
      <c r="E49" s="249">
        <f>'Детальний розрахунок'!Q45</f>
        <v>40</v>
      </c>
      <c r="F49" s="278">
        <f>G49/'Детальний розрахунок'!$AE$21</f>
        <v>1.1053540587219341E-2</v>
      </c>
      <c r="G49" s="249">
        <f>'Детальний розрахунок'!AE45</f>
        <v>40</v>
      </c>
      <c r="H49" s="278">
        <f>I49/'Детальний розрахунок'!$AS$21</f>
        <v>9.696969696969697E-3</v>
      </c>
      <c r="I49" s="249">
        <f>'Детальний розрахунок'!AS45</f>
        <v>40</v>
      </c>
      <c r="J49" s="29" t="str">
        <f>""&amp;CHOOSE('Вхідні дані'!$P$1,'Вхідні дані'!$Q$1,'Вхідні дані'!$Q$2,'Вхідні дані'!$Q$3,'Вхідні дані'!$Q$4)&amp;"/міс."</f>
        <v>USD/міс.</v>
      </c>
    </row>
    <row r="50" spans="1:27" ht="42" customHeight="1" x14ac:dyDescent="0.35">
      <c r="A50" s="30"/>
      <c r="B50" s="496" t="s">
        <v>97</v>
      </c>
      <c r="C50" s="496"/>
      <c r="D50" s="278">
        <f>E50/'Детальний розрахунок'!$Q$21</f>
        <v>0</v>
      </c>
      <c r="E50" s="249">
        <f>'Детальний розрахунок'!Q46</f>
        <v>0</v>
      </c>
      <c r="F50" s="278">
        <f>G50/'Детальний розрахунок'!$AE$21</f>
        <v>0</v>
      </c>
      <c r="G50" s="249">
        <f>'Детальний розрахунок'!AE46</f>
        <v>0</v>
      </c>
      <c r="H50" s="278">
        <f>I50/'Детальний розрахунок'!$AS$21</f>
        <v>0</v>
      </c>
      <c r="I50" s="249">
        <f>'Детальний розрахунок'!AS46</f>
        <v>0</v>
      </c>
      <c r="J50" s="29" t="str">
        <f>""&amp;CHOOSE('Вхідні дані'!$P$1,'Вхідні дані'!$Q$1,'Вхідні дані'!$Q$2,'Вхідні дані'!$Q$3,'Вхідні дані'!$Q$4)&amp;"/міс."</f>
        <v>USD/міс.</v>
      </c>
    </row>
    <row r="51" spans="1:27" ht="42" customHeight="1" x14ac:dyDescent="0.35">
      <c r="A51" s="20"/>
      <c r="B51" s="505" t="str">
        <f>'Вхідні дані'!B80</f>
        <v>Оренда</v>
      </c>
      <c r="C51" s="505"/>
      <c r="D51" s="278">
        <f>E51/'Детальний розрахунок'!$Q$21</f>
        <v>3.4355828220858892E-2</v>
      </c>
      <c r="E51" s="249">
        <f>'Детальний розрахунок'!Q47</f>
        <v>100</v>
      </c>
      <c r="F51" s="278">
        <f>G51/'Детальний розрахунок'!$AE$21</f>
        <v>2.7633851468048354E-2</v>
      </c>
      <c r="G51" s="249">
        <f>'Детальний розрахунок'!AE47</f>
        <v>100</v>
      </c>
      <c r="H51" s="278">
        <f>I51/'Детальний розрахунок'!$AS$21</f>
        <v>2.4242424242424242E-2</v>
      </c>
      <c r="I51" s="249">
        <f>'Детальний розрахунок'!AS47</f>
        <v>100</v>
      </c>
      <c r="J51" s="29" t="str">
        <f>""&amp;CHOOSE('Вхідні дані'!$P$1,'Вхідні дані'!$Q$1,'Вхідні дані'!$Q$2,'Вхідні дані'!$Q$3,'Вхідні дані'!$Q$4)&amp;"/міс."</f>
        <v>USD/міс.</v>
      </c>
      <c r="K51" s="31"/>
      <c r="L51" s="20"/>
      <c r="N51" s="23"/>
      <c r="O51" s="23"/>
      <c r="P51" s="23"/>
      <c r="Q51" s="23"/>
      <c r="R51" s="23"/>
      <c r="S51" s="23"/>
      <c r="T51" s="23"/>
      <c r="U51" s="23"/>
      <c r="V51" s="23"/>
      <c r="W51" s="23"/>
      <c r="X51" s="23"/>
      <c r="Y51" s="23"/>
      <c r="Z51" s="23"/>
      <c r="AA51" s="23"/>
    </row>
    <row r="52" spans="1:27" ht="42" customHeight="1" x14ac:dyDescent="0.35">
      <c r="A52" s="20"/>
      <c r="B52" s="493" t="s">
        <v>173</v>
      </c>
      <c r="C52" s="493"/>
      <c r="D52" s="278">
        <f>E52/'Детальний розрахунок'!$Q$21</f>
        <v>3.4355828220858889E-3</v>
      </c>
      <c r="E52" s="249">
        <f>'Детальний розрахунок'!Q48</f>
        <v>10</v>
      </c>
      <c r="F52" s="278">
        <f>G52/'Детальний розрахунок'!$AE$21</f>
        <v>2.9015544041450774E-3</v>
      </c>
      <c r="G52" s="249">
        <f>'Детальний розрахунок'!AE48</f>
        <v>10.5</v>
      </c>
      <c r="H52" s="278">
        <f>I52/'Детальний розрахунок'!$AS$21</f>
        <v>2.6666666666666666E-3</v>
      </c>
      <c r="I52" s="249">
        <f>'Детальний розрахунок'!AS48</f>
        <v>11</v>
      </c>
      <c r="J52" s="29" t="str">
        <f>""&amp;CHOOSE('Вхідні дані'!$P$1,'Вхідні дані'!$Q$1,'Вхідні дані'!$Q$2,'Вхідні дані'!$Q$3,'Вхідні дані'!$Q$4)&amp;"/міс."</f>
        <v>USD/міс.</v>
      </c>
      <c r="K52" s="31"/>
      <c r="L52" s="20"/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</row>
    <row r="53" spans="1:27" ht="42" customHeight="1" x14ac:dyDescent="0.35">
      <c r="A53" s="12"/>
      <c r="B53" s="493" t="s">
        <v>38</v>
      </c>
      <c r="C53" s="493"/>
      <c r="D53" s="278">
        <f>E53/'Детальний розрахунок'!$Q$21</f>
        <v>2.4049079754601224E-3</v>
      </c>
      <c r="E53" s="249">
        <f>'Детальний розрахунок'!Q49</f>
        <v>7</v>
      </c>
      <c r="F53" s="278">
        <f>G53/'Детальний розрахунок'!$AE$21</f>
        <v>1.9343696027633848E-3</v>
      </c>
      <c r="G53" s="249">
        <f>'Детальний розрахунок'!AE49</f>
        <v>7</v>
      </c>
      <c r="H53" s="278">
        <f>I53/'Детальний розрахунок'!$AS$21</f>
        <v>1.696969696969697E-3</v>
      </c>
      <c r="I53" s="249">
        <f>'Детальний розрахунок'!AS49</f>
        <v>7</v>
      </c>
      <c r="J53" s="29" t="str">
        <f>""&amp;CHOOSE('Вхідні дані'!$P$1,'Вхідні дані'!$Q$1,'Вхідні дані'!$Q$2,'Вхідні дані'!$Q$3,'Вхідні дані'!$Q$4)&amp;"/міс."</f>
        <v>USD/міс.</v>
      </c>
    </row>
    <row r="54" spans="1:27" ht="42" customHeight="1" x14ac:dyDescent="0.35">
      <c r="A54" s="12"/>
      <c r="B54" s="493" t="s">
        <v>106</v>
      </c>
      <c r="C54" s="493"/>
      <c r="D54" s="278">
        <f>E54/'Детальний розрахунок'!$Q$21</f>
        <v>6.8711656441717783E-2</v>
      </c>
      <c r="E54" s="249">
        <f>'Детальний розрахунок'!Q50</f>
        <v>200</v>
      </c>
      <c r="F54" s="278">
        <f>G54/'Детальний розрахунок'!$AE$21</f>
        <v>5.5267702936096709E-2</v>
      </c>
      <c r="G54" s="249">
        <f>'Детальний розрахунок'!AE50</f>
        <v>200</v>
      </c>
      <c r="H54" s="278">
        <f>I54/'Детальний розрахунок'!$AS$21</f>
        <v>4.8484848484848485E-2</v>
      </c>
      <c r="I54" s="249">
        <f>'Детальний розрахунок'!AS50</f>
        <v>200</v>
      </c>
      <c r="J54" s="29" t="str">
        <f>""&amp;CHOOSE('Вхідні дані'!$P$1,'Вхідні дані'!$Q$1,'Вхідні дані'!$Q$2,'Вхідні дані'!$Q$3,'Вхідні дані'!$Q$4)&amp;"/міс."</f>
        <v>USD/міс.</v>
      </c>
    </row>
    <row r="55" spans="1:27" ht="42" customHeight="1" x14ac:dyDescent="0.35">
      <c r="A55" s="12"/>
      <c r="B55" s="493" t="s">
        <v>40</v>
      </c>
      <c r="C55" s="493"/>
      <c r="D55" s="278">
        <f>E55/'Детальний розрахунок'!$Q$21</f>
        <v>2.4049079754601223E-2</v>
      </c>
      <c r="E55" s="249">
        <f>'Детальний розрахунок'!Q51</f>
        <v>70</v>
      </c>
      <c r="F55" s="278">
        <f>G55/'Детальний розрахунок'!$AE$21</f>
        <v>1.9343696027633851E-2</v>
      </c>
      <c r="G55" s="249">
        <f>'Детальний розрахунок'!AE51</f>
        <v>70</v>
      </c>
      <c r="H55" s="278">
        <f>I55/'Детальний розрахунок'!$AS$21</f>
        <v>1.6969696969696971E-2</v>
      </c>
      <c r="I55" s="249">
        <f>'Детальний розрахунок'!AS51</f>
        <v>70</v>
      </c>
      <c r="J55" s="29" t="str">
        <f>""&amp;CHOOSE('Вхідні дані'!$P$1,'Вхідні дані'!$Q$1,'Вхідні дані'!$Q$2,'Вхідні дані'!$Q$3,'Вхідні дані'!$Q$4)&amp;"/міс."</f>
        <v>USD/міс.</v>
      </c>
    </row>
    <row r="56" spans="1:27" ht="42" customHeight="1" x14ac:dyDescent="0.35">
      <c r="A56" s="12"/>
      <c r="B56" s="505" t="str">
        <f>'Вхідні дані'!B85</f>
        <v>Уніформа персоналу</v>
      </c>
      <c r="C56" s="505"/>
      <c r="D56" s="278">
        <f>E56/'Детальний розрахунок'!$Q$21</f>
        <v>6.8711656441717778E-3</v>
      </c>
      <c r="E56" s="249">
        <f>'Детальний розрахунок'!Q52</f>
        <v>20</v>
      </c>
      <c r="F56" s="278">
        <f>G56/'Детальний розрахунок'!$AE$21</f>
        <v>5.5267702936096707E-3</v>
      </c>
      <c r="G56" s="249">
        <f>'Детальний розрахунок'!AE52</f>
        <v>20</v>
      </c>
      <c r="H56" s="278">
        <f>I56/'Детальний розрахунок'!$AS$21</f>
        <v>4.8484848484848485E-3</v>
      </c>
      <c r="I56" s="249">
        <f>'Детальний розрахунок'!AS52</f>
        <v>20</v>
      </c>
      <c r="J56" s="29" t="str">
        <f>""&amp;CHOOSE('Вхідні дані'!$P$1,'Вхідні дані'!$Q$1,'Вхідні дані'!$Q$2,'Вхідні дані'!$Q$3,'Вхідні дані'!$Q$4)&amp;"/міс."</f>
        <v>USD/міс.</v>
      </c>
    </row>
    <row r="57" spans="1:27" ht="42" customHeight="1" x14ac:dyDescent="0.35">
      <c r="A57" s="12"/>
      <c r="B57" s="505" t="str">
        <f>'Вхідні дані'!B86</f>
        <v>Офісні витрати</v>
      </c>
      <c r="C57" s="505"/>
      <c r="D57" s="278">
        <f>E57/'Детальний розрахунок'!$Q$21</f>
        <v>6.8711656441717778E-3</v>
      </c>
      <c r="E57" s="249">
        <f>'Детальний розрахунок'!Q53</f>
        <v>20</v>
      </c>
      <c r="F57" s="278">
        <f>G57/'Детальний розрахунок'!$AE$21</f>
        <v>5.5267702936096707E-3</v>
      </c>
      <c r="G57" s="249">
        <f>'Детальний розрахунок'!AE53</f>
        <v>20</v>
      </c>
      <c r="H57" s="278">
        <f>I57/'Детальний розрахунок'!$AS$21</f>
        <v>4.8484848484848485E-3</v>
      </c>
      <c r="I57" s="249">
        <f>'Детальний розрахунок'!AS53</f>
        <v>20</v>
      </c>
      <c r="J57" s="29" t="str">
        <f>""&amp;CHOOSE('Вхідні дані'!$P$1,'Вхідні дані'!$Q$1,'Вхідні дані'!$Q$2,'Вхідні дані'!$Q$3,'Вхідні дані'!$Q$4)&amp;"/міс."</f>
        <v>USD/міс.</v>
      </c>
    </row>
    <row r="58" spans="1:27" ht="42" customHeight="1" x14ac:dyDescent="0.35">
      <c r="A58" s="12"/>
      <c r="B58" s="505" t="str">
        <f>'Вхідні дані'!B87</f>
        <v>Охорона</v>
      </c>
      <c r="C58" s="505"/>
      <c r="D58" s="278">
        <f>E58/'Детальний розрахунок'!$Q$21</f>
        <v>8.5889570552147229E-3</v>
      </c>
      <c r="E58" s="249">
        <f>'Детальний розрахунок'!Q54</f>
        <v>25</v>
      </c>
      <c r="F58" s="278">
        <f>G58/'Детальний розрахунок'!$AE$21</f>
        <v>6.9084628670120886E-3</v>
      </c>
      <c r="G58" s="249">
        <f>'Детальний розрахунок'!AE54</f>
        <v>25</v>
      </c>
      <c r="H58" s="278">
        <f>I58/'Детальний розрахунок'!$AS$21</f>
        <v>6.0606060606060606E-3</v>
      </c>
      <c r="I58" s="249">
        <f>'Детальний розрахунок'!AS54</f>
        <v>25</v>
      </c>
      <c r="J58" s="29" t="str">
        <f>""&amp;CHOOSE('Вхідні дані'!$P$1,'Вхідні дані'!$Q$1,'Вхідні дані'!$Q$2,'Вхідні дані'!$Q$3,'Вхідні дані'!$Q$4)&amp;"/міс."</f>
        <v>USD/міс.</v>
      </c>
    </row>
    <row r="59" spans="1:27" ht="42" customHeight="1" x14ac:dyDescent="0.35">
      <c r="A59" s="12"/>
      <c r="B59" s="484" t="str">
        <f>'Вхідні дані'!B88</f>
        <v>Власний маркетинг</v>
      </c>
      <c r="C59" s="484"/>
      <c r="D59" s="278">
        <f>E59/'Детальний розрахунок'!$Q$21</f>
        <v>0</v>
      </c>
      <c r="E59" s="249">
        <f>'Детальний розрахунок'!Q55</f>
        <v>0</v>
      </c>
      <c r="F59" s="278">
        <f>G59/'Детальний розрахунок'!$AE$21</f>
        <v>0</v>
      </c>
      <c r="G59" s="249">
        <f>'Детальний розрахунок'!AE55</f>
        <v>0</v>
      </c>
      <c r="H59" s="278">
        <f>I59/'Детальний розрахунок'!$AS$21</f>
        <v>0</v>
      </c>
      <c r="I59" s="249">
        <f>'Детальний розрахунок'!AS55</f>
        <v>0</v>
      </c>
      <c r="J59" s="29" t="str">
        <f>""&amp;CHOOSE('Вхідні дані'!$P$1,'Вхідні дані'!$Q$1,'Вхідні дані'!$Q$2,'Вхідні дані'!$Q$3,'Вхідні дані'!$Q$4)&amp;"/міс."</f>
        <v>USD/міс.</v>
      </c>
    </row>
    <row r="60" spans="1:27" s="274" customFormat="1" ht="42" customHeight="1" x14ac:dyDescent="0.35">
      <c r="A60" s="275"/>
      <c r="B60" s="484" t="str">
        <f>'Вхідні дані'!B89</f>
        <v>Ведення бухгалтерського обліку</v>
      </c>
      <c r="C60" s="484"/>
      <c r="D60" s="278">
        <f>E60/'Детальний розрахунок'!$Q$21</f>
        <v>0</v>
      </c>
      <c r="E60" s="249">
        <f>'Детальний розрахунок'!Q56</f>
        <v>0</v>
      </c>
      <c r="F60" s="278">
        <f>G60/'Детальний розрахунок'!$AE$21</f>
        <v>0</v>
      </c>
      <c r="G60" s="249">
        <f>'Детальний розрахунок'!AE56</f>
        <v>0</v>
      </c>
      <c r="H60" s="278">
        <f>I60/'Детальний розрахунок'!$AS$21</f>
        <v>0</v>
      </c>
      <c r="I60" s="249">
        <f>'Детальний розрахунок'!AS56</f>
        <v>0</v>
      </c>
      <c r="J60" s="29" t="str">
        <f>""&amp;CHOOSE('Вхідні дані'!$P$1,'Вхідні дані'!$Q$1,'Вхідні дані'!$Q$2,'Вхідні дані'!$Q$3,'Вхідні дані'!$Q$4)&amp;"/міс."</f>
        <v>USD/міс.</v>
      </c>
    </row>
    <row r="61" spans="1:27" ht="42" customHeight="1" x14ac:dyDescent="0.35">
      <c r="A61" s="12"/>
      <c r="B61" s="484" t="str">
        <f>'Вхідні дані'!B90</f>
        <v>Інше</v>
      </c>
      <c r="C61" s="484"/>
      <c r="D61" s="278">
        <f>E61/'Детальний розрахунок'!$Q$21</f>
        <v>0</v>
      </c>
      <c r="E61" s="249">
        <f>'Детальний розрахунок'!Q57</f>
        <v>0</v>
      </c>
      <c r="F61" s="278">
        <f>G61/'Детальний розрахунок'!$AE$21</f>
        <v>0</v>
      </c>
      <c r="G61" s="249">
        <f>'Детальний розрахунок'!AE57</f>
        <v>0</v>
      </c>
      <c r="H61" s="278">
        <f>I61/'Детальний розрахунок'!$AS$21</f>
        <v>0</v>
      </c>
      <c r="I61" s="249">
        <f>'Детальний розрахунок'!AS57</f>
        <v>0</v>
      </c>
      <c r="J61" s="29" t="str">
        <f>""&amp;CHOOSE('Вхідні дані'!$P$1,'Вхідні дані'!$Q$1,'Вхідні дані'!$Q$2,'Вхідні дані'!$Q$3,'Вхідні дані'!$Q$4)&amp;"/міс."</f>
        <v>USD/міс.</v>
      </c>
    </row>
    <row r="62" spans="1:27" ht="42" customHeight="1" x14ac:dyDescent="0.35">
      <c r="A62" s="12"/>
      <c r="B62" s="505" t="str">
        <f>'Вхідні дані'!B91</f>
        <v>Банковське обслуговування</v>
      </c>
      <c r="C62" s="505"/>
      <c r="D62" s="278">
        <f>E62/'Детальний розрахунок'!$Q$21</f>
        <v>4.9999999999999992E-3</v>
      </c>
      <c r="E62" s="249">
        <f>'Детальний розрахунок'!Q58</f>
        <v>14.553571428571429</v>
      </c>
      <c r="F62" s="278">
        <f>G62/'Детальний розрахунок'!$AE$21</f>
        <v>5.0000000000000001E-3</v>
      </c>
      <c r="G62" s="249">
        <f>'Детальний розрахунок'!AE58</f>
        <v>18.093750000000004</v>
      </c>
      <c r="H62" s="278">
        <f>I62/'Детальний розрахунок'!$AS$21</f>
        <v>5.0000000000000001E-3</v>
      </c>
      <c r="I62" s="249">
        <f>'Детальний розрахунок'!AS58</f>
        <v>20.625</v>
      </c>
      <c r="J62" s="29" t="str">
        <f>""&amp;CHOOSE('Вхідні дані'!$P$1,'Вхідні дані'!$Q$1,'Вхідні дані'!$Q$2,'Вхідні дані'!$Q$3,'Вхідні дані'!$Q$4)&amp;"/міс."</f>
        <v>USD/міс.</v>
      </c>
    </row>
    <row r="63" spans="1:27" ht="42" customHeight="1" x14ac:dyDescent="0.35">
      <c r="A63" s="12"/>
      <c r="B63" s="484" t="s">
        <v>50</v>
      </c>
      <c r="C63" s="484"/>
      <c r="D63" s="278">
        <f>E63/'Детальний розрахунок'!$Q$21</f>
        <v>4.7852760736196299E-2</v>
      </c>
      <c r="E63" s="249">
        <f>'Детальний розрахунок'!Q59</f>
        <v>139.28571428571425</v>
      </c>
      <c r="F63" s="278">
        <f>G63/'Детальний розрахунок'!$AE$21</f>
        <v>3.8490007401924486E-2</v>
      </c>
      <c r="G63" s="249">
        <f>'Детальний розрахунок'!AE59</f>
        <v>139.28571428571425</v>
      </c>
      <c r="H63" s="278">
        <f>I63/'Детальний розрахунок'!$AS$21</f>
        <v>3.3766233766233757E-2</v>
      </c>
      <c r="I63" s="249">
        <f>'Детальний розрахунок'!AS59</f>
        <v>139.28571428571425</v>
      </c>
      <c r="J63" s="29" t="str">
        <f>""&amp;CHOOSE('Вхідні дані'!$P$1,'Вхідні дані'!$Q$1,'Вхідні дані'!$Q$2,'Вхідні дані'!$Q$3,'Вхідні дані'!$Q$4)&amp;"/міс."</f>
        <v>USD/міс.</v>
      </c>
    </row>
    <row r="64" spans="1:27" ht="42" customHeight="1" x14ac:dyDescent="0.35">
      <c r="A64" s="12"/>
      <c r="B64" s="484" t="s">
        <v>51</v>
      </c>
      <c r="C64" s="484"/>
      <c r="D64" s="278">
        <f>E64/'Детальний розрахунок'!$Q$21</f>
        <v>2.4539877300613494E-2</v>
      </c>
      <c r="E64" s="249">
        <f>'Детальний розрахунок'!Q60</f>
        <v>71.428571428571431</v>
      </c>
      <c r="F64" s="278">
        <f>G64/'Детальний розрахунок'!$AE$21</f>
        <v>1.9738465334320256E-2</v>
      </c>
      <c r="G64" s="249">
        <f>'Детальний розрахунок'!AE60</f>
        <v>71.428571428571431</v>
      </c>
      <c r="H64" s="278">
        <f>I64/'Детальний розрахунок'!$AS$21</f>
        <v>1.7316017316017316E-2</v>
      </c>
      <c r="I64" s="249">
        <f>'Детальний розрахунок'!AS60</f>
        <v>71.428571428571431</v>
      </c>
      <c r="J64" s="29" t="str">
        <f>""&amp;CHOOSE('Вхідні дані'!$P$1,'Вхідні дані'!$Q$1,'Вхідні дані'!$Q$2,'Вхідні дані'!$Q$3,'Вхідні дані'!$Q$4)&amp;"/міс."</f>
        <v>USD/міс.</v>
      </c>
    </row>
    <row r="65" spans="1:26" ht="34.25" customHeight="1" thickBot="1" x14ac:dyDescent="0.4">
      <c r="A65" s="12"/>
      <c r="B65" s="498" t="s">
        <v>22</v>
      </c>
      <c r="C65" s="498"/>
      <c r="D65" s="279">
        <f t="shared" ref="D65:I65" si="0">SUM(D48:D64)</f>
        <v>0.4838466257668711</v>
      </c>
      <c r="E65" s="280">
        <f t="shared" si="0"/>
        <v>1408.3392857142853</v>
      </c>
      <c r="F65" s="279">
        <f t="shared" si="0"/>
        <v>0.41538736738218596</v>
      </c>
      <c r="G65" s="280">
        <f t="shared" si="0"/>
        <v>1503.1830357142856</v>
      </c>
      <c r="H65" s="279">
        <f t="shared" si="0"/>
        <v>0.38226406926406925</v>
      </c>
      <c r="I65" s="280">
        <f t="shared" si="0"/>
        <v>1576.8392857142856</v>
      </c>
      <c r="J65" s="29" t="str">
        <f>""&amp;CHOOSE('Вхідні дані'!$P$1,'Вхідні дані'!$Q$1,'Вхідні дані'!$Q$2,'Вхідні дані'!$Q$3,'Вхідні дані'!$Q$4)&amp;"/міс."</f>
        <v>USD/міс.</v>
      </c>
    </row>
    <row r="66" spans="1:26" ht="16.25" customHeight="1" x14ac:dyDescent="0.35">
      <c r="A66" s="393"/>
      <c r="B66" s="393"/>
      <c r="C66" s="393"/>
      <c r="D66" s="393"/>
      <c r="E66" s="393"/>
      <c r="F66" s="393"/>
      <c r="G66" s="393"/>
      <c r="H66" s="393"/>
      <c r="I66" s="393"/>
      <c r="J66" s="393"/>
      <c r="K66" s="22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</row>
  </sheetData>
  <sheetProtection formatCells="0" formatColumns="0" formatRows="0" insertColumns="0" insertRows="0" insertHyperlinks="0" deleteColumns="0" deleteRows="0" sort="0" autoFilter="0" pivotTables="0"/>
  <mergeCells count="101">
    <mergeCell ref="A1:J1"/>
    <mergeCell ref="A11:J11"/>
    <mergeCell ref="I14:J14"/>
    <mergeCell ref="I13:J13"/>
    <mergeCell ref="A7:B7"/>
    <mergeCell ref="A8:B8"/>
    <mergeCell ref="I7:J7"/>
    <mergeCell ref="I8:J8"/>
    <mergeCell ref="A2:C2"/>
    <mergeCell ref="A3:C3"/>
    <mergeCell ref="I2:J2"/>
    <mergeCell ref="I4:J4"/>
    <mergeCell ref="I5:J5"/>
    <mergeCell ref="A4:C4"/>
    <mergeCell ref="G26:I26"/>
    <mergeCell ref="I3:J3"/>
    <mergeCell ref="A9:B9"/>
    <mergeCell ref="A10:B10"/>
    <mergeCell ref="D26:F26"/>
    <mergeCell ref="A23:C23"/>
    <mergeCell ref="A19:C19"/>
    <mergeCell ref="A21:C21"/>
    <mergeCell ref="I12:J12"/>
    <mergeCell ref="D14:G14"/>
    <mergeCell ref="D16:G16"/>
    <mergeCell ref="I16:J16"/>
    <mergeCell ref="I9:J9"/>
    <mergeCell ref="I10:J10"/>
    <mergeCell ref="A15:C15"/>
    <mergeCell ref="D15:G15"/>
    <mergeCell ref="I15:J15"/>
    <mergeCell ref="B65:C65"/>
    <mergeCell ref="A66:J66"/>
    <mergeCell ref="A13:C13"/>
    <mergeCell ref="A17:C17"/>
    <mergeCell ref="D21:H21"/>
    <mergeCell ref="D22:H22"/>
    <mergeCell ref="D23:H23"/>
    <mergeCell ref="B62:C62"/>
    <mergeCell ref="D18:G18"/>
    <mergeCell ref="I19:J19"/>
    <mergeCell ref="D19:G19"/>
    <mergeCell ref="B49:C49"/>
    <mergeCell ref="B37:C37"/>
    <mergeCell ref="B56:C56"/>
    <mergeCell ref="B55:C55"/>
    <mergeCell ref="B28:C28"/>
    <mergeCell ref="D28:I28"/>
    <mergeCell ref="B51:C51"/>
    <mergeCell ref="B54:C54"/>
    <mergeCell ref="B58:C58"/>
    <mergeCell ref="B57:C57"/>
    <mergeCell ref="B35:C35"/>
    <mergeCell ref="D27:I27"/>
    <mergeCell ref="B27:C27"/>
    <mergeCell ref="B48:C48"/>
    <mergeCell ref="A40:C40"/>
    <mergeCell ref="A41:C41"/>
    <mergeCell ref="A43:C43"/>
    <mergeCell ref="B64:C64"/>
    <mergeCell ref="D13:G13"/>
    <mergeCell ref="B63:C63"/>
    <mergeCell ref="D46:E46"/>
    <mergeCell ref="B60:C60"/>
    <mergeCell ref="D30:I30"/>
    <mergeCell ref="D29:I29"/>
    <mergeCell ref="B52:C52"/>
    <mergeCell ref="B53:C53"/>
    <mergeCell ref="I18:J18"/>
    <mergeCell ref="D17:G17"/>
    <mergeCell ref="I17:J17"/>
    <mergeCell ref="A44:J44"/>
    <mergeCell ref="B50:C50"/>
    <mergeCell ref="A38:J38"/>
    <mergeCell ref="B30:C30"/>
    <mergeCell ref="B36:C36"/>
    <mergeCell ref="B59:C59"/>
    <mergeCell ref="B61:C61"/>
    <mergeCell ref="D34:I34"/>
    <mergeCell ref="B34:C34"/>
    <mergeCell ref="D31:I31"/>
    <mergeCell ref="B29:C29"/>
    <mergeCell ref="B31:C31"/>
    <mergeCell ref="D37:I37"/>
    <mergeCell ref="B33:C33"/>
    <mergeCell ref="F46:G46"/>
    <mergeCell ref="H46:I46"/>
    <mergeCell ref="B32:C32"/>
    <mergeCell ref="D32:I32"/>
    <mergeCell ref="I40:J40"/>
    <mergeCell ref="I41:J41"/>
    <mergeCell ref="I42:J42"/>
    <mergeCell ref="I43:J43"/>
    <mergeCell ref="E40:F40"/>
    <mergeCell ref="E41:F41"/>
    <mergeCell ref="E42:F42"/>
    <mergeCell ref="E43:F43"/>
    <mergeCell ref="D33:I33"/>
    <mergeCell ref="D35:I35"/>
    <mergeCell ref="D36:I36"/>
    <mergeCell ref="A42:C42"/>
  </mergeCells>
  <dataValidations count="5">
    <dataValidation type="list" allowBlank="1" showInputMessage="1" showErrorMessage="1" sqref="I2:J2" xr:uid="{DAFDE574-027F-4CC6-97CB-1CC0402A23D5}">
      <formula1>$Q$1:$Q$2</formula1>
    </dataValidation>
    <dataValidation type="list" allowBlank="1" showInputMessage="1" showErrorMessage="1" sqref="I4:J4" xr:uid="{1FDB90A1-BAD5-4EA7-8AEA-9F1CE129FEE7}">
      <formula1>$O$1:$O$2</formula1>
    </dataValidation>
    <dataValidation type="list" allowBlank="1" showInputMessage="1" showErrorMessage="1" sqref="I5:J5" xr:uid="{FB021AC8-C73D-4F64-BC7A-6B998FBD18C9}">
      <formula1>$S$1:$S$2</formula1>
    </dataValidation>
    <dataValidation type="list" allowBlank="1" showInputMessage="1" showErrorMessage="1" sqref="D2" xr:uid="{06E2AC61-690F-4459-A240-BE5F90B2D380}">
      <formula1>$O$7:$O$10</formula1>
    </dataValidation>
    <dataValidation type="list" allowBlank="1" showInputMessage="1" showErrorMessage="1" sqref="D3" xr:uid="{1A2445D4-D790-4AE4-981B-B23B89652243}">
      <formula1>$Q$7:$Q$18</formula1>
    </dataValidation>
  </dataValidations>
  <printOptions horizontalCentered="1"/>
  <pageMargins left="0.39370078740157483" right="0.39370078740157483" top="0.39370078740157483" bottom="0.39370078740157483" header="0.31496062992125984" footer="0.31496062992125984"/>
  <pageSetup paperSize="9" scale="31" orientation="portrait" r:id="rId1"/>
  <rowBreaks count="1" manualBreakCount="1">
    <brk id="44" max="9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outlinePr summaryBelow="0" summaryRight="0"/>
  </sheetPr>
  <dimension ref="A1:AW112"/>
  <sheetViews>
    <sheetView zoomScale="51" zoomScaleNormal="51" zoomScaleSheetLayoutView="47" workbookViewId="0">
      <pane xSplit="2" ySplit="6" topLeftCell="C7" activePane="bottomRight" state="frozen"/>
      <selection pane="topRight" activeCell="C1" sqref="C1"/>
      <selection pane="bottomLeft" activeCell="A7" sqref="A7"/>
      <selection pane="bottomRight" activeCell="C7" sqref="C7"/>
    </sheetView>
  </sheetViews>
  <sheetFormatPr defaultRowHeight="21" outlineLevelRow="1" outlineLevelCol="1" x14ac:dyDescent="0.5"/>
  <cols>
    <col min="1" max="1" width="85.7265625" style="110" customWidth="1"/>
    <col min="2" max="2" width="19.36328125" style="110" customWidth="1"/>
    <col min="3" max="3" width="22.36328125" style="110" bestFit="1" customWidth="1"/>
    <col min="4" max="15" width="15.26953125" style="110" customWidth="1" outlineLevel="1"/>
    <col min="16" max="17" width="23.81640625" style="126" customWidth="1"/>
    <col min="18" max="29" width="15.26953125" style="110" customWidth="1" outlineLevel="1"/>
    <col min="30" max="31" width="23.81640625" style="126" customWidth="1"/>
    <col min="32" max="43" width="15.26953125" style="110" customWidth="1" outlineLevel="1"/>
    <col min="44" max="45" width="23.81640625" style="126" customWidth="1"/>
    <col min="46" max="46" width="23.81640625" style="110" customWidth="1"/>
    <col min="47" max="47" width="10" style="110" bestFit="1" customWidth="1"/>
    <col min="48" max="286" width="9.1796875" style="110"/>
    <col min="287" max="287" width="53" style="110" customWidth="1"/>
    <col min="288" max="288" width="14.453125" style="110" customWidth="1"/>
    <col min="289" max="301" width="11" style="110" customWidth="1"/>
    <col min="302" max="302" width="12.81640625" style="110" customWidth="1"/>
    <col min="303" max="303" width="10" style="110" bestFit="1" customWidth="1"/>
    <col min="304" max="542" width="9.1796875" style="110"/>
    <col min="543" max="543" width="53" style="110" customWidth="1"/>
    <col min="544" max="544" width="14.453125" style="110" customWidth="1"/>
    <col min="545" max="557" width="11" style="110" customWidth="1"/>
    <col min="558" max="558" width="12.81640625" style="110" customWidth="1"/>
    <col min="559" max="559" width="10" style="110" bestFit="1" customWidth="1"/>
    <col min="560" max="798" width="9.1796875" style="110"/>
    <col min="799" max="799" width="53" style="110" customWidth="1"/>
    <col min="800" max="800" width="14.453125" style="110" customWidth="1"/>
    <col min="801" max="813" width="11" style="110" customWidth="1"/>
    <col min="814" max="814" width="12.81640625" style="110" customWidth="1"/>
    <col min="815" max="815" width="10" style="110" bestFit="1" customWidth="1"/>
    <col min="816" max="1054" width="9.1796875" style="110"/>
    <col min="1055" max="1055" width="53" style="110" customWidth="1"/>
    <col min="1056" max="1056" width="14.453125" style="110" customWidth="1"/>
    <col min="1057" max="1069" width="11" style="110" customWidth="1"/>
    <col min="1070" max="1070" width="12.81640625" style="110" customWidth="1"/>
    <col min="1071" max="1071" width="10" style="110" bestFit="1" customWidth="1"/>
    <col min="1072" max="1310" width="9.1796875" style="110"/>
    <col min="1311" max="1311" width="53" style="110" customWidth="1"/>
    <col min="1312" max="1312" width="14.453125" style="110" customWidth="1"/>
    <col min="1313" max="1325" width="11" style="110" customWidth="1"/>
    <col min="1326" max="1326" width="12.81640625" style="110" customWidth="1"/>
    <col min="1327" max="1327" width="10" style="110" bestFit="1" customWidth="1"/>
    <col min="1328" max="1566" width="9.1796875" style="110"/>
    <col min="1567" max="1567" width="53" style="110" customWidth="1"/>
    <col min="1568" max="1568" width="14.453125" style="110" customWidth="1"/>
    <col min="1569" max="1581" width="11" style="110" customWidth="1"/>
    <col min="1582" max="1582" width="12.81640625" style="110" customWidth="1"/>
    <col min="1583" max="1583" width="10" style="110" bestFit="1" customWidth="1"/>
    <col min="1584" max="1822" width="9.1796875" style="110"/>
    <col min="1823" max="1823" width="53" style="110" customWidth="1"/>
    <col min="1824" max="1824" width="14.453125" style="110" customWidth="1"/>
    <col min="1825" max="1837" width="11" style="110" customWidth="1"/>
    <col min="1838" max="1838" width="12.81640625" style="110" customWidth="1"/>
    <col min="1839" max="1839" width="10" style="110" bestFit="1" customWidth="1"/>
    <col min="1840" max="2078" width="9.1796875" style="110"/>
    <col min="2079" max="2079" width="53" style="110" customWidth="1"/>
    <col min="2080" max="2080" width="14.453125" style="110" customWidth="1"/>
    <col min="2081" max="2093" width="11" style="110" customWidth="1"/>
    <col min="2094" max="2094" width="12.81640625" style="110" customWidth="1"/>
    <col min="2095" max="2095" width="10" style="110" bestFit="1" customWidth="1"/>
    <col min="2096" max="2334" width="9.1796875" style="110"/>
    <col min="2335" max="2335" width="53" style="110" customWidth="1"/>
    <col min="2336" max="2336" width="14.453125" style="110" customWidth="1"/>
    <col min="2337" max="2349" width="11" style="110" customWidth="1"/>
    <col min="2350" max="2350" width="12.81640625" style="110" customWidth="1"/>
    <col min="2351" max="2351" width="10" style="110" bestFit="1" customWidth="1"/>
    <col min="2352" max="2590" width="9.1796875" style="110"/>
    <col min="2591" max="2591" width="53" style="110" customWidth="1"/>
    <col min="2592" max="2592" width="14.453125" style="110" customWidth="1"/>
    <col min="2593" max="2605" width="11" style="110" customWidth="1"/>
    <col min="2606" max="2606" width="12.81640625" style="110" customWidth="1"/>
    <col min="2607" max="2607" width="10" style="110" bestFit="1" customWidth="1"/>
    <col min="2608" max="2846" width="9.1796875" style="110"/>
    <col min="2847" max="2847" width="53" style="110" customWidth="1"/>
    <col min="2848" max="2848" width="14.453125" style="110" customWidth="1"/>
    <col min="2849" max="2861" width="11" style="110" customWidth="1"/>
    <col min="2862" max="2862" width="12.81640625" style="110" customWidth="1"/>
    <col min="2863" max="2863" width="10" style="110" bestFit="1" customWidth="1"/>
    <col min="2864" max="3102" width="9.1796875" style="110"/>
    <col min="3103" max="3103" width="53" style="110" customWidth="1"/>
    <col min="3104" max="3104" width="14.453125" style="110" customWidth="1"/>
    <col min="3105" max="3117" width="11" style="110" customWidth="1"/>
    <col min="3118" max="3118" width="12.81640625" style="110" customWidth="1"/>
    <col min="3119" max="3119" width="10" style="110" bestFit="1" customWidth="1"/>
    <col min="3120" max="3358" width="9.1796875" style="110"/>
    <col min="3359" max="3359" width="53" style="110" customWidth="1"/>
    <col min="3360" max="3360" width="14.453125" style="110" customWidth="1"/>
    <col min="3361" max="3373" width="11" style="110" customWidth="1"/>
    <col min="3374" max="3374" width="12.81640625" style="110" customWidth="1"/>
    <col min="3375" max="3375" width="10" style="110" bestFit="1" customWidth="1"/>
    <col min="3376" max="3614" width="9.1796875" style="110"/>
    <col min="3615" max="3615" width="53" style="110" customWidth="1"/>
    <col min="3616" max="3616" width="14.453125" style="110" customWidth="1"/>
    <col min="3617" max="3629" width="11" style="110" customWidth="1"/>
    <col min="3630" max="3630" width="12.81640625" style="110" customWidth="1"/>
    <col min="3631" max="3631" width="10" style="110" bestFit="1" customWidth="1"/>
    <col min="3632" max="3870" width="9.1796875" style="110"/>
    <col min="3871" max="3871" width="53" style="110" customWidth="1"/>
    <col min="3872" max="3872" width="14.453125" style="110" customWidth="1"/>
    <col min="3873" max="3885" width="11" style="110" customWidth="1"/>
    <col min="3886" max="3886" width="12.81640625" style="110" customWidth="1"/>
    <col min="3887" max="3887" width="10" style="110" bestFit="1" customWidth="1"/>
    <col min="3888" max="4126" width="9.1796875" style="110"/>
    <col min="4127" max="4127" width="53" style="110" customWidth="1"/>
    <col min="4128" max="4128" width="14.453125" style="110" customWidth="1"/>
    <col min="4129" max="4141" width="11" style="110" customWidth="1"/>
    <col min="4142" max="4142" width="12.81640625" style="110" customWidth="1"/>
    <col min="4143" max="4143" width="10" style="110" bestFit="1" customWidth="1"/>
    <col min="4144" max="4382" width="9.1796875" style="110"/>
    <col min="4383" max="4383" width="53" style="110" customWidth="1"/>
    <col min="4384" max="4384" width="14.453125" style="110" customWidth="1"/>
    <col min="4385" max="4397" width="11" style="110" customWidth="1"/>
    <col min="4398" max="4398" width="12.81640625" style="110" customWidth="1"/>
    <col min="4399" max="4399" width="10" style="110" bestFit="1" customWidth="1"/>
    <col min="4400" max="4638" width="9.1796875" style="110"/>
    <col min="4639" max="4639" width="53" style="110" customWidth="1"/>
    <col min="4640" max="4640" width="14.453125" style="110" customWidth="1"/>
    <col min="4641" max="4653" width="11" style="110" customWidth="1"/>
    <col min="4654" max="4654" width="12.81640625" style="110" customWidth="1"/>
    <col min="4655" max="4655" width="10" style="110" bestFit="1" customWidth="1"/>
    <col min="4656" max="4894" width="9.1796875" style="110"/>
    <col min="4895" max="4895" width="53" style="110" customWidth="1"/>
    <col min="4896" max="4896" width="14.453125" style="110" customWidth="1"/>
    <col min="4897" max="4909" width="11" style="110" customWidth="1"/>
    <col min="4910" max="4910" width="12.81640625" style="110" customWidth="1"/>
    <col min="4911" max="4911" width="10" style="110" bestFit="1" customWidth="1"/>
    <col min="4912" max="5150" width="9.1796875" style="110"/>
    <col min="5151" max="5151" width="53" style="110" customWidth="1"/>
    <col min="5152" max="5152" width="14.453125" style="110" customWidth="1"/>
    <col min="5153" max="5165" width="11" style="110" customWidth="1"/>
    <col min="5166" max="5166" width="12.81640625" style="110" customWidth="1"/>
    <col min="5167" max="5167" width="10" style="110" bestFit="1" customWidth="1"/>
    <col min="5168" max="5406" width="9.1796875" style="110"/>
    <col min="5407" max="5407" width="53" style="110" customWidth="1"/>
    <col min="5408" max="5408" width="14.453125" style="110" customWidth="1"/>
    <col min="5409" max="5421" width="11" style="110" customWidth="1"/>
    <col min="5422" max="5422" width="12.81640625" style="110" customWidth="1"/>
    <col min="5423" max="5423" width="10" style="110" bestFit="1" customWidth="1"/>
    <col min="5424" max="5662" width="9.1796875" style="110"/>
    <col min="5663" max="5663" width="53" style="110" customWidth="1"/>
    <col min="5664" max="5664" width="14.453125" style="110" customWidth="1"/>
    <col min="5665" max="5677" width="11" style="110" customWidth="1"/>
    <col min="5678" max="5678" width="12.81640625" style="110" customWidth="1"/>
    <col min="5679" max="5679" width="10" style="110" bestFit="1" customWidth="1"/>
    <col min="5680" max="5918" width="9.1796875" style="110"/>
    <col min="5919" max="5919" width="53" style="110" customWidth="1"/>
    <col min="5920" max="5920" width="14.453125" style="110" customWidth="1"/>
    <col min="5921" max="5933" width="11" style="110" customWidth="1"/>
    <col min="5934" max="5934" width="12.81640625" style="110" customWidth="1"/>
    <col min="5935" max="5935" width="10" style="110" bestFit="1" customWidth="1"/>
    <col min="5936" max="6174" width="9.1796875" style="110"/>
    <col min="6175" max="6175" width="53" style="110" customWidth="1"/>
    <col min="6176" max="6176" width="14.453125" style="110" customWidth="1"/>
    <col min="6177" max="6189" width="11" style="110" customWidth="1"/>
    <col min="6190" max="6190" width="12.81640625" style="110" customWidth="1"/>
    <col min="6191" max="6191" width="10" style="110" bestFit="1" customWidth="1"/>
    <col min="6192" max="6430" width="9.1796875" style="110"/>
    <col min="6431" max="6431" width="53" style="110" customWidth="1"/>
    <col min="6432" max="6432" width="14.453125" style="110" customWidth="1"/>
    <col min="6433" max="6445" width="11" style="110" customWidth="1"/>
    <col min="6446" max="6446" width="12.81640625" style="110" customWidth="1"/>
    <col min="6447" max="6447" width="10" style="110" bestFit="1" customWidth="1"/>
    <col min="6448" max="6686" width="9.1796875" style="110"/>
    <col min="6687" max="6687" width="53" style="110" customWidth="1"/>
    <col min="6688" max="6688" width="14.453125" style="110" customWidth="1"/>
    <col min="6689" max="6701" width="11" style="110" customWidth="1"/>
    <col min="6702" max="6702" width="12.81640625" style="110" customWidth="1"/>
    <col min="6703" max="6703" width="10" style="110" bestFit="1" customWidth="1"/>
    <col min="6704" max="6942" width="9.1796875" style="110"/>
    <col min="6943" max="6943" width="53" style="110" customWidth="1"/>
    <col min="6944" max="6944" width="14.453125" style="110" customWidth="1"/>
    <col min="6945" max="6957" width="11" style="110" customWidth="1"/>
    <col min="6958" max="6958" width="12.81640625" style="110" customWidth="1"/>
    <col min="6959" max="6959" width="10" style="110" bestFit="1" customWidth="1"/>
    <col min="6960" max="7198" width="9.1796875" style="110"/>
    <col min="7199" max="7199" width="53" style="110" customWidth="1"/>
    <col min="7200" max="7200" width="14.453125" style="110" customWidth="1"/>
    <col min="7201" max="7213" width="11" style="110" customWidth="1"/>
    <col min="7214" max="7214" width="12.81640625" style="110" customWidth="1"/>
    <col min="7215" max="7215" width="10" style="110" bestFit="1" customWidth="1"/>
    <col min="7216" max="7454" width="9.1796875" style="110"/>
    <col min="7455" max="7455" width="53" style="110" customWidth="1"/>
    <col min="7456" max="7456" width="14.453125" style="110" customWidth="1"/>
    <col min="7457" max="7469" width="11" style="110" customWidth="1"/>
    <col min="7470" max="7470" width="12.81640625" style="110" customWidth="1"/>
    <col min="7471" max="7471" width="10" style="110" bestFit="1" customWidth="1"/>
    <col min="7472" max="7710" width="9.1796875" style="110"/>
    <col min="7711" max="7711" width="53" style="110" customWidth="1"/>
    <col min="7712" max="7712" width="14.453125" style="110" customWidth="1"/>
    <col min="7713" max="7725" width="11" style="110" customWidth="1"/>
    <col min="7726" max="7726" width="12.81640625" style="110" customWidth="1"/>
    <col min="7727" max="7727" width="10" style="110" bestFit="1" customWidth="1"/>
    <col min="7728" max="7966" width="9.1796875" style="110"/>
    <col min="7967" max="7967" width="53" style="110" customWidth="1"/>
    <col min="7968" max="7968" width="14.453125" style="110" customWidth="1"/>
    <col min="7969" max="7981" width="11" style="110" customWidth="1"/>
    <col min="7982" max="7982" width="12.81640625" style="110" customWidth="1"/>
    <col min="7983" max="7983" width="10" style="110" bestFit="1" customWidth="1"/>
    <col min="7984" max="8222" width="9.1796875" style="110"/>
    <col min="8223" max="8223" width="53" style="110" customWidth="1"/>
    <col min="8224" max="8224" width="14.453125" style="110" customWidth="1"/>
    <col min="8225" max="8237" width="11" style="110" customWidth="1"/>
    <col min="8238" max="8238" width="12.81640625" style="110" customWidth="1"/>
    <col min="8239" max="8239" width="10" style="110" bestFit="1" customWidth="1"/>
    <col min="8240" max="8478" width="9.1796875" style="110"/>
    <col min="8479" max="8479" width="53" style="110" customWidth="1"/>
    <col min="8480" max="8480" width="14.453125" style="110" customWidth="1"/>
    <col min="8481" max="8493" width="11" style="110" customWidth="1"/>
    <col min="8494" max="8494" width="12.81640625" style="110" customWidth="1"/>
    <col min="8495" max="8495" width="10" style="110" bestFit="1" customWidth="1"/>
    <col min="8496" max="8734" width="9.1796875" style="110"/>
    <col min="8735" max="8735" width="53" style="110" customWidth="1"/>
    <col min="8736" max="8736" width="14.453125" style="110" customWidth="1"/>
    <col min="8737" max="8749" width="11" style="110" customWidth="1"/>
    <col min="8750" max="8750" width="12.81640625" style="110" customWidth="1"/>
    <col min="8751" max="8751" width="10" style="110" bestFit="1" customWidth="1"/>
    <col min="8752" max="8990" width="9.1796875" style="110"/>
    <col min="8991" max="8991" width="53" style="110" customWidth="1"/>
    <col min="8992" max="8992" width="14.453125" style="110" customWidth="1"/>
    <col min="8993" max="9005" width="11" style="110" customWidth="1"/>
    <col min="9006" max="9006" width="12.81640625" style="110" customWidth="1"/>
    <col min="9007" max="9007" width="10" style="110" bestFit="1" customWidth="1"/>
    <col min="9008" max="9246" width="9.1796875" style="110"/>
    <col min="9247" max="9247" width="53" style="110" customWidth="1"/>
    <col min="9248" max="9248" width="14.453125" style="110" customWidth="1"/>
    <col min="9249" max="9261" width="11" style="110" customWidth="1"/>
    <col min="9262" max="9262" width="12.81640625" style="110" customWidth="1"/>
    <col min="9263" max="9263" width="10" style="110" bestFit="1" customWidth="1"/>
    <col min="9264" max="9502" width="9.1796875" style="110"/>
    <col min="9503" max="9503" width="53" style="110" customWidth="1"/>
    <col min="9504" max="9504" width="14.453125" style="110" customWidth="1"/>
    <col min="9505" max="9517" width="11" style="110" customWidth="1"/>
    <col min="9518" max="9518" width="12.81640625" style="110" customWidth="1"/>
    <col min="9519" max="9519" width="10" style="110" bestFit="1" customWidth="1"/>
    <col min="9520" max="9758" width="9.1796875" style="110"/>
    <col min="9759" max="9759" width="53" style="110" customWidth="1"/>
    <col min="9760" max="9760" width="14.453125" style="110" customWidth="1"/>
    <col min="9761" max="9773" width="11" style="110" customWidth="1"/>
    <col min="9774" max="9774" width="12.81640625" style="110" customWidth="1"/>
    <col min="9775" max="9775" width="10" style="110" bestFit="1" customWidth="1"/>
    <col min="9776" max="10014" width="9.1796875" style="110"/>
    <col min="10015" max="10015" width="53" style="110" customWidth="1"/>
    <col min="10016" max="10016" width="14.453125" style="110" customWidth="1"/>
    <col min="10017" max="10029" width="11" style="110" customWidth="1"/>
    <col min="10030" max="10030" width="12.81640625" style="110" customWidth="1"/>
    <col min="10031" max="10031" width="10" style="110" bestFit="1" customWidth="1"/>
    <col min="10032" max="10270" width="9.1796875" style="110"/>
    <col min="10271" max="10271" width="53" style="110" customWidth="1"/>
    <col min="10272" max="10272" width="14.453125" style="110" customWidth="1"/>
    <col min="10273" max="10285" width="11" style="110" customWidth="1"/>
    <col min="10286" max="10286" width="12.81640625" style="110" customWidth="1"/>
    <col min="10287" max="10287" width="10" style="110" bestFit="1" customWidth="1"/>
    <col min="10288" max="10526" width="9.1796875" style="110"/>
    <col min="10527" max="10527" width="53" style="110" customWidth="1"/>
    <col min="10528" max="10528" width="14.453125" style="110" customWidth="1"/>
    <col min="10529" max="10541" width="11" style="110" customWidth="1"/>
    <col min="10542" max="10542" width="12.81640625" style="110" customWidth="1"/>
    <col min="10543" max="10543" width="10" style="110" bestFit="1" customWidth="1"/>
    <col min="10544" max="10782" width="9.1796875" style="110"/>
    <col min="10783" max="10783" width="53" style="110" customWidth="1"/>
    <col min="10784" max="10784" width="14.453125" style="110" customWidth="1"/>
    <col min="10785" max="10797" width="11" style="110" customWidth="1"/>
    <col min="10798" max="10798" width="12.81640625" style="110" customWidth="1"/>
    <col min="10799" max="10799" width="10" style="110" bestFit="1" customWidth="1"/>
    <col min="10800" max="11038" width="9.1796875" style="110"/>
    <col min="11039" max="11039" width="53" style="110" customWidth="1"/>
    <col min="11040" max="11040" width="14.453125" style="110" customWidth="1"/>
    <col min="11041" max="11053" width="11" style="110" customWidth="1"/>
    <col min="11054" max="11054" width="12.81640625" style="110" customWidth="1"/>
    <col min="11055" max="11055" width="10" style="110" bestFit="1" customWidth="1"/>
    <col min="11056" max="11294" width="9.1796875" style="110"/>
    <col min="11295" max="11295" width="53" style="110" customWidth="1"/>
    <col min="11296" max="11296" width="14.453125" style="110" customWidth="1"/>
    <col min="11297" max="11309" width="11" style="110" customWidth="1"/>
    <col min="11310" max="11310" width="12.81640625" style="110" customWidth="1"/>
    <col min="11311" max="11311" width="10" style="110" bestFit="1" customWidth="1"/>
    <col min="11312" max="11550" width="9.1796875" style="110"/>
    <col min="11551" max="11551" width="53" style="110" customWidth="1"/>
    <col min="11552" max="11552" width="14.453125" style="110" customWidth="1"/>
    <col min="11553" max="11565" width="11" style="110" customWidth="1"/>
    <col min="11566" max="11566" width="12.81640625" style="110" customWidth="1"/>
    <col min="11567" max="11567" width="10" style="110" bestFit="1" customWidth="1"/>
    <col min="11568" max="11806" width="9.1796875" style="110"/>
    <col min="11807" max="11807" width="53" style="110" customWidth="1"/>
    <col min="11808" max="11808" width="14.453125" style="110" customWidth="1"/>
    <col min="11809" max="11821" width="11" style="110" customWidth="1"/>
    <col min="11822" max="11822" width="12.81640625" style="110" customWidth="1"/>
    <col min="11823" max="11823" width="10" style="110" bestFit="1" customWidth="1"/>
    <col min="11824" max="12062" width="9.1796875" style="110"/>
    <col min="12063" max="12063" width="53" style="110" customWidth="1"/>
    <col min="12064" max="12064" width="14.453125" style="110" customWidth="1"/>
    <col min="12065" max="12077" width="11" style="110" customWidth="1"/>
    <col min="12078" max="12078" width="12.81640625" style="110" customWidth="1"/>
    <col min="12079" max="12079" width="10" style="110" bestFit="1" customWidth="1"/>
    <col min="12080" max="12318" width="9.1796875" style="110"/>
    <col min="12319" max="12319" width="53" style="110" customWidth="1"/>
    <col min="12320" max="12320" width="14.453125" style="110" customWidth="1"/>
    <col min="12321" max="12333" width="11" style="110" customWidth="1"/>
    <col min="12334" max="12334" width="12.81640625" style="110" customWidth="1"/>
    <col min="12335" max="12335" width="10" style="110" bestFit="1" customWidth="1"/>
    <col min="12336" max="12574" width="9.1796875" style="110"/>
    <col min="12575" max="12575" width="53" style="110" customWidth="1"/>
    <col min="12576" max="12576" width="14.453125" style="110" customWidth="1"/>
    <col min="12577" max="12589" width="11" style="110" customWidth="1"/>
    <col min="12590" max="12590" width="12.81640625" style="110" customWidth="1"/>
    <col min="12591" max="12591" width="10" style="110" bestFit="1" customWidth="1"/>
    <col min="12592" max="12830" width="9.1796875" style="110"/>
    <col min="12831" max="12831" width="53" style="110" customWidth="1"/>
    <col min="12832" max="12832" width="14.453125" style="110" customWidth="1"/>
    <col min="12833" max="12845" width="11" style="110" customWidth="1"/>
    <col min="12846" max="12846" width="12.81640625" style="110" customWidth="1"/>
    <col min="12847" max="12847" width="10" style="110" bestFit="1" customWidth="1"/>
    <col min="12848" max="13086" width="9.1796875" style="110"/>
    <col min="13087" max="13087" width="53" style="110" customWidth="1"/>
    <col min="13088" max="13088" width="14.453125" style="110" customWidth="1"/>
    <col min="13089" max="13101" width="11" style="110" customWidth="1"/>
    <col min="13102" max="13102" width="12.81640625" style="110" customWidth="1"/>
    <col min="13103" max="13103" width="10" style="110" bestFit="1" customWidth="1"/>
    <col min="13104" max="13342" width="9.1796875" style="110"/>
    <col min="13343" max="13343" width="53" style="110" customWidth="1"/>
    <col min="13344" max="13344" width="14.453125" style="110" customWidth="1"/>
    <col min="13345" max="13357" width="11" style="110" customWidth="1"/>
    <col min="13358" max="13358" width="12.81640625" style="110" customWidth="1"/>
    <col min="13359" max="13359" width="10" style="110" bestFit="1" customWidth="1"/>
    <col min="13360" max="13598" width="9.1796875" style="110"/>
    <col min="13599" max="13599" width="53" style="110" customWidth="1"/>
    <col min="13600" max="13600" width="14.453125" style="110" customWidth="1"/>
    <col min="13601" max="13613" width="11" style="110" customWidth="1"/>
    <col min="13614" max="13614" width="12.81640625" style="110" customWidth="1"/>
    <col min="13615" max="13615" width="10" style="110" bestFit="1" customWidth="1"/>
    <col min="13616" max="13854" width="9.1796875" style="110"/>
    <col min="13855" max="13855" width="53" style="110" customWidth="1"/>
    <col min="13856" max="13856" width="14.453125" style="110" customWidth="1"/>
    <col min="13857" max="13869" width="11" style="110" customWidth="1"/>
    <col min="13870" max="13870" width="12.81640625" style="110" customWidth="1"/>
    <col min="13871" max="13871" width="10" style="110" bestFit="1" customWidth="1"/>
    <col min="13872" max="14110" width="9.1796875" style="110"/>
    <col min="14111" max="14111" width="53" style="110" customWidth="1"/>
    <col min="14112" max="14112" width="14.453125" style="110" customWidth="1"/>
    <col min="14113" max="14125" width="11" style="110" customWidth="1"/>
    <col min="14126" max="14126" width="12.81640625" style="110" customWidth="1"/>
    <col min="14127" max="14127" width="10" style="110" bestFit="1" customWidth="1"/>
    <col min="14128" max="14366" width="9.1796875" style="110"/>
    <col min="14367" max="14367" width="53" style="110" customWidth="1"/>
    <col min="14368" max="14368" width="14.453125" style="110" customWidth="1"/>
    <col min="14369" max="14381" width="11" style="110" customWidth="1"/>
    <col min="14382" max="14382" width="12.81640625" style="110" customWidth="1"/>
    <col min="14383" max="14383" width="10" style="110" bestFit="1" customWidth="1"/>
    <col min="14384" max="14622" width="9.1796875" style="110"/>
    <col min="14623" max="14623" width="53" style="110" customWidth="1"/>
    <col min="14624" max="14624" width="14.453125" style="110" customWidth="1"/>
    <col min="14625" max="14637" width="11" style="110" customWidth="1"/>
    <col min="14638" max="14638" width="12.81640625" style="110" customWidth="1"/>
    <col min="14639" max="14639" width="10" style="110" bestFit="1" customWidth="1"/>
    <col min="14640" max="14878" width="9.1796875" style="110"/>
    <col min="14879" max="14879" width="53" style="110" customWidth="1"/>
    <col min="14880" max="14880" width="14.453125" style="110" customWidth="1"/>
    <col min="14881" max="14893" width="11" style="110" customWidth="1"/>
    <col min="14894" max="14894" width="12.81640625" style="110" customWidth="1"/>
    <col min="14895" max="14895" width="10" style="110" bestFit="1" customWidth="1"/>
    <col min="14896" max="15134" width="9.1796875" style="110"/>
    <col min="15135" max="15135" width="53" style="110" customWidth="1"/>
    <col min="15136" max="15136" width="14.453125" style="110" customWidth="1"/>
    <col min="15137" max="15149" width="11" style="110" customWidth="1"/>
    <col min="15150" max="15150" width="12.81640625" style="110" customWidth="1"/>
    <col min="15151" max="15151" width="10" style="110" bestFit="1" customWidth="1"/>
    <col min="15152" max="15390" width="9.1796875" style="110"/>
    <col min="15391" max="15391" width="53" style="110" customWidth="1"/>
    <col min="15392" max="15392" width="14.453125" style="110" customWidth="1"/>
    <col min="15393" max="15405" width="11" style="110" customWidth="1"/>
    <col min="15406" max="15406" width="12.81640625" style="110" customWidth="1"/>
    <col min="15407" max="15407" width="10" style="110" bestFit="1" customWidth="1"/>
    <col min="15408" max="15646" width="9.1796875" style="110"/>
    <col min="15647" max="15647" width="53" style="110" customWidth="1"/>
    <col min="15648" max="15648" width="14.453125" style="110" customWidth="1"/>
    <col min="15649" max="15661" width="11" style="110" customWidth="1"/>
    <col min="15662" max="15662" width="12.81640625" style="110" customWidth="1"/>
    <col min="15663" max="15663" width="10" style="110" bestFit="1" customWidth="1"/>
    <col min="15664" max="15902" width="9.1796875" style="110"/>
    <col min="15903" max="15903" width="53" style="110" customWidth="1"/>
    <col min="15904" max="15904" width="14.453125" style="110" customWidth="1"/>
    <col min="15905" max="15917" width="11" style="110" customWidth="1"/>
    <col min="15918" max="15918" width="12.81640625" style="110" customWidth="1"/>
    <col min="15919" max="15919" width="10" style="110" bestFit="1" customWidth="1"/>
    <col min="15920" max="16158" width="9.1796875" style="110"/>
    <col min="16159" max="16159" width="53" style="110" customWidth="1"/>
    <col min="16160" max="16160" width="14.453125" style="110" customWidth="1"/>
    <col min="16161" max="16173" width="11" style="110" customWidth="1"/>
    <col min="16174" max="16174" width="12.81640625" style="110" customWidth="1"/>
    <col min="16175" max="16175" width="10" style="110" bestFit="1" customWidth="1"/>
    <col min="16176" max="16384" width="9.1796875" style="110"/>
  </cols>
  <sheetData>
    <row r="1" spans="1:48" x14ac:dyDescent="0.5">
      <c r="A1" s="103"/>
      <c r="B1" s="104"/>
      <c r="C1" s="104"/>
      <c r="D1" s="105" t="str">
        <f>A93</f>
        <v>Строк окупності проекту з урахуванням інвестицій, міс.:</v>
      </c>
      <c r="E1" s="106">
        <f>B93</f>
        <v>5</v>
      </c>
      <c r="F1" s="104"/>
      <c r="G1" s="104"/>
      <c r="H1" s="104"/>
      <c r="I1" s="104"/>
      <c r="J1" s="104"/>
      <c r="K1" s="107"/>
      <c r="L1" s="107"/>
      <c r="M1" s="107"/>
      <c r="N1" s="107"/>
      <c r="O1" s="107"/>
      <c r="P1" s="108"/>
      <c r="Q1" s="108"/>
      <c r="R1" s="104"/>
      <c r="S1" s="109"/>
      <c r="T1" s="104"/>
      <c r="U1" s="104"/>
      <c r="V1" s="104"/>
      <c r="W1" s="104"/>
      <c r="X1" s="104"/>
      <c r="Y1" s="107"/>
      <c r="Z1" s="107"/>
      <c r="AA1" s="107"/>
      <c r="AB1" s="107"/>
      <c r="AC1" s="107"/>
      <c r="AD1" s="108"/>
      <c r="AE1" s="108"/>
      <c r="AF1" s="104"/>
      <c r="AG1" s="109"/>
      <c r="AH1" s="104"/>
      <c r="AI1" s="104"/>
      <c r="AJ1" s="104"/>
      <c r="AK1" s="104"/>
      <c r="AL1" s="104"/>
      <c r="AM1" s="107"/>
      <c r="AN1" s="107"/>
      <c r="AO1" s="107"/>
      <c r="AP1" s="107"/>
      <c r="AQ1" s="107"/>
      <c r="AR1" s="108"/>
      <c r="AS1" s="108"/>
      <c r="AT1" s="107"/>
      <c r="AV1" s="114"/>
    </row>
    <row r="2" spans="1:48" hidden="1" x14ac:dyDescent="0.5">
      <c r="A2" s="110" t="s">
        <v>53</v>
      </c>
      <c r="D2" s="111">
        <f>'Вхідні дані'!$R$1</f>
        <v>4</v>
      </c>
      <c r="E2" s="111">
        <f>IF(D2=12,1,D2+1)</f>
        <v>5</v>
      </c>
      <c r="F2" s="111">
        <f t="shared" ref="F2:AC2" si="0">IF(E2=12,1,E2+1)</f>
        <v>6</v>
      </c>
      <c r="G2" s="111">
        <f t="shared" si="0"/>
        <v>7</v>
      </c>
      <c r="H2" s="111">
        <f t="shared" si="0"/>
        <v>8</v>
      </c>
      <c r="I2" s="111">
        <f t="shared" si="0"/>
        <v>9</v>
      </c>
      <c r="J2" s="111">
        <f t="shared" si="0"/>
        <v>10</v>
      </c>
      <c r="K2" s="111">
        <f t="shared" si="0"/>
        <v>11</v>
      </c>
      <c r="L2" s="111">
        <f t="shared" si="0"/>
        <v>12</v>
      </c>
      <c r="M2" s="111">
        <f t="shared" si="0"/>
        <v>1</v>
      </c>
      <c r="N2" s="111">
        <f t="shared" si="0"/>
        <v>2</v>
      </c>
      <c r="O2" s="111">
        <f t="shared" si="0"/>
        <v>3</v>
      </c>
      <c r="P2" s="112"/>
      <c r="Q2" s="112"/>
      <c r="R2" s="111">
        <f>IF(O2=12,1,O2+1)</f>
        <v>4</v>
      </c>
      <c r="S2" s="111">
        <f t="shared" si="0"/>
        <v>5</v>
      </c>
      <c r="T2" s="111">
        <f t="shared" si="0"/>
        <v>6</v>
      </c>
      <c r="U2" s="111">
        <f t="shared" si="0"/>
        <v>7</v>
      </c>
      <c r="V2" s="111">
        <f t="shared" si="0"/>
        <v>8</v>
      </c>
      <c r="W2" s="111">
        <f t="shared" si="0"/>
        <v>9</v>
      </c>
      <c r="X2" s="111">
        <f t="shared" si="0"/>
        <v>10</v>
      </c>
      <c r="Y2" s="111">
        <f t="shared" si="0"/>
        <v>11</v>
      </c>
      <c r="Z2" s="111">
        <f t="shared" si="0"/>
        <v>12</v>
      </c>
      <c r="AA2" s="111">
        <f t="shared" si="0"/>
        <v>1</v>
      </c>
      <c r="AB2" s="111">
        <f t="shared" si="0"/>
        <v>2</v>
      </c>
      <c r="AC2" s="111">
        <f t="shared" si="0"/>
        <v>3</v>
      </c>
      <c r="AD2" s="112"/>
      <c r="AE2" s="112"/>
      <c r="AF2" s="111">
        <f>IF(AC2=12,1,AC2+1)</f>
        <v>4</v>
      </c>
      <c r="AG2" s="111">
        <f t="shared" ref="AG2:AQ2" si="1">IF(AF2=12,1,AF2+1)</f>
        <v>5</v>
      </c>
      <c r="AH2" s="111">
        <f t="shared" si="1"/>
        <v>6</v>
      </c>
      <c r="AI2" s="111">
        <f t="shared" si="1"/>
        <v>7</v>
      </c>
      <c r="AJ2" s="111">
        <f t="shared" si="1"/>
        <v>8</v>
      </c>
      <c r="AK2" s="111">
        <f t="shared" si="1"/>
        <v>9</v>
      </c>
      <c r="AL2" s="111">
        <f t="shared" si="1"/>
        <v>10</v>
      </c>
      <c r="AM2" s="111">
        <f t="shared" si="1"/>
        <v>11</v>
      </c>
      <c r="AN2" s="111">
        <f t="shared" si="1"/>
        <v>12</v>
      </c>
      <c r="AO2" s="111">
        <f t="shared" si="1"/>
        <v>1</v>
      </c>
      <c r="AP2" s="111">
        <f t="shared" si="1"/>
        <v>2</v>
      </c>
      <c r="AQ2" s="111">
        <f t="shared" si="1"/>
        <v>3</v>
      </c>
      <c r="AR2" s="112"/>
      <c r="AS2" s="112"/>
      <c r="AV2" s="114"/>
    </row>
    <row r="3" spans="1:48" hidden="1" x14ac:dyDescent="0.5">
      <c r="A3" s="110" t="s">
        <v>129</v>
      </c>
      <c r="D3" s="111">
        <f>CHOOSE(D2,31,28,31,30,31,30,31,31,30,31,30,31)</f>
        <v>30</v>
      </c>
      <c r="E3" s="111">
        <f t="shared" ref="E3:O3" si="2">CHOOSE(E2,31,28,31,30,31,30,31,31,30,31,30,31)</f>
        <v>31</v>
      </c>
      <c r="F3" s="111">
        <f t="shared" si="2"/>
        <v>30</v>
      </c>
      <c r="G3" s="111">
        <f t="shared" si="2"/>
        <v>31</v>
      </c>
      <c r="H3" s="111">
        <f t="shared" si="2"/>
        <v>31</v>
      </c>
      <c r="I3" s="111">
        <f t="shared" si="2"/>
        <v>30</v>
      </c>
      <c r="J3" s="111">
        <f t="shared" si="2"/>
        <v>31</v>
      </c>
      <c r="K3" s="111">
        <f t="shared" si="2"/>
        <v>30</v>
      </c>
      <c r="L3" s="111">
        <f t="shared" si="2"/>
        <v>31</v>
      </c>
      <c r="M3" s="111">
        <f t="shared" si="2"/>
        <v>31</v>
      </c>
      <c r="N3" s="111">
        <f t="shared" si="2"/>
        <v>28</v>
      </c>
      <c r="O3" s="111">
        <f t="shared" si="2"/>
        <v>31</v>
      </c>
      <c r="P3" s="112">
        <f>SUM(D3:O3)/12</f>
        <v>30.416666666666668</v>
      </c>
      <c r="Q3" s="112"/>
      <c r="R3" s="111">
        <f>CHOOSE(R2,31,28,31,30,31,30,31,31,30,31,30,31)</f>
        <v>30</v>
      </c>
      <c r="S3" s="111">
        <f t="shared" ref="S3" si="3">CHOOSE(S2,31,28,31,30,31,30,31,31,30,31,30,31)</f>
        <v>31</v>
      </c>
      <c r="T3" s="111">
        <f t="shared" ref="T3" si="4">CHOOSE(T2,31,28,31,30,31,30,31,31,30,31,30,31)</f>
        <v>30</v>
      </c>
      <c r="U3" s="111">
        <f t="shared" ref="U3" si="5">CHOOSE(U2,31,28,31,30,31,30,31,31,30,31,30,31)</f>
        <v>31</v>
      </c>
      <c r="V3" s="111">
        <f t="shared" ref="V3" si="6">CHOOSE(V2,31,28,31,30,31,30,31,31,30,31,30,31)</f>
        <v>31</v>
      </c>
      <c r="W3" s="111">
        <f t="shared" ref="W3" si="7">CHOOSE(W2,31,28,31,30,31,30,31,31,30,31,30,31)</f>
        <v>30</v>
      </c>
      <c r="X3" s="111">
        <f t="shared" ref="X3" si="8">CHOOSE(X2,31,28,31,30,31,30,31,31,30,31,30,31)</f>
        <v>31</v>
      </c>
      <c r="Y3" s="111">
        <f t="shared" ref="Y3" si="9">CHOOSE(Y2,31,28,31,30,31,30,31,31,30,31,30,31)</f>
        <v>30</v>
      </c>
      <c r="Z3" s="111">
        <f t="shared" ref="Z3" si="10">CHOOSE(Z2,31,28,31,30,31,30,31,31,30,31,30,31)</f>
        <v>31</v>
      </c>
      <c r="AA3" s="111">
        <f t="shared" ref="AA3" si="11">CHOOSE(AA2,31,28,31,30,31,30,31,31,30,31,30,31)</f>
        <v>31</v>
      </c>
      <c r="AB3" s="111">
        <f t="shared" ref="AB3" si="12">CHOOSE(AB2,31,28,31,30,31,30,31,31,30,31,30,31)</f>
        <v>28</v>
      </c>
      <c r="AC3" s="111">
        <f t="shared" ref="AC3" si="13">CHOOSE(AC2,31,28,31,30,31,30,31,31,30,31,30,31)</f>
        <v>31</v>
      </c>
      <c r="AD3" s="112"/>
      <c r="AE3" s="112"/>
      <c r="AF3" s="111">
        <f>CHOOSE(AF2,31,28,31,30,31,30,31,31,30,31,30,31)</f>
        <v>30</v>
      </c>
      <c r="AG3" s="111">
        <f t="shared" ref="AG3" si="14">CHOOSE(AG2,31,28,31,30,31,30,31,31,30,31,30,31)</f>
        <v>31</v>
      </c>
      <c r="AH3" s="111">
        <f t="shared" ref="AH3" si="15">CHOOSE(AH2,31,28,31,30,31,30,31,31,30,31,30,31)</f>
        <v>30</v>
      </c>
      <c r="AI3" s="111">
        <f t="shared" ref="AI3" si="16">CHOOSE(AI2,31,28,31,30,31,30,31,31,30,31,30,31)</f>
        <v>31</v>
      </c>
      <c r="AJ3" s="111">
        <f t="shared" ref="AJ3" si="17">CHOOSE(AJ2,31,28,31,30,31,30,31,31,30,31,30,31)</f>
        <v>31</v>
      </c>
      <c r="AK3" s="111">
        <f t="shared" ref="AK3" si="18">CHOOSE(AK2,31,28,31,30,31,30,31,31,30,31,30,31)</f>
        <v>30</v>
      </c>
      <c r="AL3" s="111">
        <f t="shared" ref="AL3" si="19">CHOOSE(AL2,31,28,31,30,31,30,31,31,30,31,30,31)</f>
        <v>31</v>
      </c>
      <c r="AM3" s="111">
        <f t="shared" ref="AM3" si="20">CHOOSE(AM2,31,28,31,30,31,30,31,31,30,31,30,31)</f>
        <v>30</v>
      </c>
      <c r="AN3" s="111">
        <f t="shared" ref="AN3" si="21">CHOOSE(AN2,31,28,31,30,31,30,31,31,30,31,30,31)</f>
        <v>31</v>
      </c>
      <c r="AO3" s="111">
        <f t="shared" ref="AO3" si="22">CHOOSE(AO2,31,28,31,30,31,30,31,31,30,31,30,31)</f>
        <v>31</v>
      </c>
      <c r="AP3" s="111">
        <f t="shared" ref="AP3" si="23">CHOOSE(AP2,31,28,31,30,31,30,31,31,30,31,30,31)</f>
        <v>28</v>
      </c>
      <c r="AQ3" s="111">
        <f t="shared" ref="AQ3" si="24">CHOOSE(AQ2,31,28,31,30,31,30,31,31,30,31,30,31)</f>
        <v>31</v>
      </c>
      <c r="AR3" s="112"/>
      <c r="AS3" s="112"/>
      <c r="AV3" s="114"/>
    </row>
    <row r="4" spans="1:48" x14ac:dyDescent="0.5">
      <c r="B4" s="113"/>
      <c r="C4" s="113"/>
      <c r="D4" s="524" t="str">
        <f>""&amp;'Узагальнений розрахунок'!A1&amp;", "&amp;'Узагальнений розрахунок'!H2&amp;" - "&amp;CHOOSE('Узагальнений розрахунок'!P1,'Узагальнений розрахунок'!Q1,'Узагальнений розрахунок'!Q2,'Узагальнений розрахунок'!Q3,'Узагальнений розрахунок'!Q4)&amp;", кількість самокатів - "&amp;'Узагальнений розрахунок'!I3&amp;""</f>
        <v>Фінансова модель франшизи AMPER, Формат співробітництва - Класична оренда, кількість самокатів - 20</v>
      </c>
      <c r="E4" s="525"/>
      <c r="F4" s="525"/>
      <c r="G4" s="525"/>
      <c r="H4" s="525"/>
      <c r="I4" s="525"/>
      <c r="J4" s="525"/>
      <c r="K4" s="525"/>
      <c r="L4" s="525"/>
      <c r="M4" s="525"/>
      <c r="N4" s="525"/>
      <c r="O4" s="525"/>
      <c r="P4" s="525"/>
      <c r="Q4" s="526"/>
      <c r="R4" s="527" t="str">
        <f>D4</f>
        <v>Фінансова модель франшизи AMPER, Формат співробітництва - Класична оренда, кількість самокатів - 20</v>
      </c>
      <c r="S4" s="528"/>
      <c r="T4" s="528"/>
      <c r="U4" s="528"/>
      <c r="V4" s="528"/>
      <c r="W4" s="528"/>
      <c r="X4" s="528"/>
      <c r="Y4" s="528"/>
      <c r="Z4" s="528"/>
      <c r="AA4" s="528"/>
      <c r="AB4" s="528"/>
      <c r="AC4" s="528"/>
      <c r="AD4" s="528"/>
      <c r="AE4" s="529"/>
      <c r="AF4" s="530" t="str">
        <f>R4</f>
        <v>Фінансова модель франшизи AMPER, Формат співробітництва - Класична оренда, кількість самокатів - 20</v>
      </c>
      <c r="AG4" s="530"/>
      <c r="AH4" s="530"/>
      <c r="AI4" s="530"/>
      <c r="AJ4" s="530"/>
      <c r="AK4" s="530"/>
      <c r="AL4" s="530"/>
      <c r="AM4" s="530"/>
      <c r="AN4" s="530"/>
      <c r="AO4" s="530"/>
      <c r="AP4" s="530"/>
      <c r="AQ4" s="530"/>
      <c r="AR4" s="530"/>
      <c r="AS4" s="530"/>
      <c r="AV4" s="114"/>
    </row>
    <row r="5" spans="1:48" ht="21.5" thickBot="1" x14ac:dyDescent="0.55000000000000004">
      <c r="B5" s="115"/>
      <c r="C5" s="115"/>
      <c r="D5" s="524" t="s">
        <v>59</v>
      </c>
      <c r="E5" s="525"/>
      <c r="F5" s="525"/>
      <c r="G5" s="525"/>
      <c r="H5" s="525"/>
      <c r="I5" s="525"/>
      <c r="J5" s="525"/>
      <c r="K5" s="525"/>
      <c r="L5" s="525"/>
      <c r="M5" s="525"/>
      <c r="N5" s="525"/>
      <c r="O5" s="525"/>
      <c r="P5" s="525"/>
      <c r="Q5" s="526"/>
      <c r="R5" s="527" t="s">
        <v>23</v>
      </c>
      <c r="S5" s="528"/>
      <c r="T5" s="528"/>
      <c r="U5" s="528"/>
      <c r="V5" s="528"/>
      <c r="W5" s="528"/>
      <c r="X5" s="528"/>
      <c r="Y5" s="528"/>
      <c r="Z5" s="528"/>
      <c r="AA5" s="528"/>
      <c r="AB5" s="528"/>
      <c r="AC5" s="528"/>
      <c r="AD5" s="528"/>
      <c r="AE5" s="529"/>
      <c r="AF5" s="530" t="s">
        <v>24</v>
      </c>
      <c r="AG5" s="530"/>
      <c r="AH5" s="530"/>
      <c r="AI5" s="530"/>
      <c r="AJ5" s="530"/>
      <c r="AK5" s="530"/>
      <c r="AL5" s="530"/>
      <c r="AM5" s="530"/>
      <c r="AN5" s="530"/>
      <c r="AO5" s="530"/>
      <c r="AP5" s="530"/>
      <c r="AQ5" s="530"/>
      <c r="AR5" s="530"/>
      <c r="AS5" s="530"/>
      <c r="AV5" s="114"/>
    </row>
    <row r="6" spans="1:48" ht="22" thickTop="1" thickBot="1" x14ac:dyDescent="0.55000000000000004">
      <c r="A6" s="116" t="s">
        <v>60</v>
      </c>
      <c r="B6" s="117"/>
      <c r="C6" s="118" t="s">
        <v>98</v>
      </c>
      <c r="D6" s="119" t="str">
        <f>CHOOSE(D2,'Вхідні дані'!$S$1,'Вхідні дані'!$S$2,'Вхідні дані'!$S$3,'Вхідні дані'!$S$4,'Вхідні дані'!$S$5,'Вхідні дані'!$S$6,'Вхідні дані'!$S$7,'Вхідні дані'!$S$8,'Вхідні дані'!$S$9,'Вхідні дані'!$S$10,'Вхідні дані'!$S$11,'Вхідні дані'!$S$12)</f>
        <v>квітень</v>
      </c>
      <c r="E6" s="119" t="str">
        <f>CHOOSE(E2,'Вхідні дані'!$S$1,'Вхідні дані'!$S$2,'Вхідні дані'!$S$3,'Вхідні дані'!$S$4,'Вхідні дані'!$S$5,'Вхідні дані'!$S$6,'Вхідні дані'!$S$7,'Вхідні дані'!$S$8,'Вхідні дані'!$S$9,'Вхідні дані'!$S$10,'Вхідні дані'!$S$11,'Вхідні дані'!$S$12)</f>
        <v>травень</v>
      </c>
      <c r="F6" s="119" t="str">
        <f>CHOOSE(F2,'Вхідні дані'!$S$1,'Вхідні дані'!$S$2,'Вхідні дані'!$S$3,'Вхідні дані'!$S$4,'Вхідні дані'!$S$5,'Вхідні дані'!$S$6,'Вхідні дані'!$S$7,'Вхідні дані'!$S$8,'Вхідні дані'!$S$9,'Вхідні дані'!$S$10,'Вхідні дані'!$S$11,'Вхідні дані'!$S$12)</f>
        <v>червень</v>
      </c>
      <c r="G6" s="119" t="str">
        <f>CHOOSE(G2,'Вхідні дані'!$S$1,'Вхідні дані'!$S$2,'Вхідні дані'!$S$3,'Вхідні дані'!$S$4,'Вхідні дані'!$S$5,'Вхідні дані'!$S$6,'Вхідні дані'!$S$7,'Вхідні дані'!$S$8,'Вхідні дані'!$S$9,'Вхідні дані'!$S$10,'Вхідні дані'!$S$11,'Вхідні дані'!$S$12)</f>
        <v>липень</v>
      </c>
      <c r="H6" s="119" t="str">
        <f>CHOOSE(H2,'Вхідні дані'!$S$1,'Вхідні дані'!$S$2,'Вхідні дані'!$S$3,'Вхідні дані'!$S$4,'Вхідні дані'!$S$5,'Вхідні дані'!$S$6,'Вхідні дані'!$S$7,'Вхідні дані'!$S$8,'Вхідні дані'!$S$9,'Вхідні дані'!$S$10,'Вхідні дані'!$S$11,'Вхідні дані'!$S$12)</f>
        <v>серпень</v>
      </c>
      <c r="I6" s="119" t="str">
        <f>CHOOSE(I2,'Вхідні дані'!$S$1,'Вхідні дані'!$S$2,'Вхідні дані'!$S$3,'Вхідні дані'!$S$4,'Вхідні дані'!$S$5,'Вхідні дані'!$S$6,'Вхідні дані'!$S$7,'Вхідні дані'!$S$8,'Вхідні дані'!$S$9,'Вхідні дані'!$S$10,'Вхідні дані'!$S$11,'Вхідні дані'!$S$12)</f>
        <v>вересень</v>
      </c>
      <c r="J6" s="119" t="str">
        <f>CHOOSE(J2,'Вхідні дані'!$S$1,'Вхідні дані'!$S$2,'Вхідні дані'!$S$3,'Вхідні дані'!$S$4,'Вхідні дані'!$S$5,'Вхідні дані'!$S$6,'Вхідні дані'!$S$7,'Вхідні дані'!$S$8,'Вхідні дані'!$S$9,'Вхідні дані'!$S$10,'Вхідні дані'!$S$11,'Вхідні дані'!$S$12)</f>
        <v>жовтень</v>
      </c>
      <c r="K6" s="119" t="str">
        <f>CHOOSE(K2,'Вхідні дані'!$S$1,'Вхідні дані'!$S$2,'Вхідні дані'!$S$3,'Вхідні дані'!$S$4,'Вхідні дані'!$S$5,'Вхідні дані'!$S$6,'Вхідні дані'!$S$7,'Вхідні дані'!$S$8,'Вхідні дані'!$S$9,'Вхідні дані'!$S$10,'Вхідні дані'!$S$11,'Вхідні дані'!$S$12)</f>
        <v>листопад</v>
      </c>
      <c r="L6" s="119" t="str">
        <f>CHOOSE(L2,'Вхідні дані'!$S$1,'Вхідні дані'!$S$2,'Вхідні дані'!$S$3,'Вхідні дані'!$S$4,'Вхідні дані'!$S$5,'Вхідні дані'!$S$6,'Вхідні дані'!$S$7,'Вхідні дані'!$S$8,'Вхідні дані'!$S$9,'Вхідні дані'!$S$10,'Вхідні дані'!$S$11,'Вхідні дані'!$S$12)</f>
        <v>грудень</v>
      </c>
      <c r="M6" s="119" t="str">
        <f>CHOOSE(M2,'Вхідні дані'!$S$1,'Вхідні дані'!$S$2,'Вхідні дані'!$S$3,'Вхідні дані'!$S$4,'Вхідні дані'!$S$5,'Вхідні дані'!$S$6,'Вхідні дані'!$S$7,'Вхідні дані'!$S$8,'Вхідні дані'!$S$9,'Вхідні дані'!$S$10,'Вхідні дані'!$S$11,'Вхідні дані'!$S$12)</f>
        <v>січень</v>
      </c>
      <c r="N6" s="119" t="str">
        <f>CHOOSE(N2,'Вхідні дані'!$S$1,'Вхідні дані'!$S$2,'Вхідні дані'!$S$3,'Вхідні дані'!$S$4,'Вхідні дані'!$S$5,'Вхідні дані'!$S$6,'Вхідні дані'!$S$7,'Вхідні дані'!$S$8,'Вхідні дані'!$S$9,'Вхідні дані'!$S$10,'Вхідні дані'!$S$11,'Вхідні дані'!$S$12)</f>
        <v>лютий</v>
      </c>
      <c r="O6" s="119" t="str">
        <f>CHOOSE(O2,'Вхідні дані'!$S$1,'Вхідні дані'!$S$2,'Вхідні дані'!$S$3,'Вхідні дані'!$S$4,'Вхідні дані'!$S$5,'Вхідні дані'!$S$6,'Вхідні дані'!$S$7,'Вхідні дані'!$S$8,'Вхідні дані'!$S$9,'Вхідні дані'!$S$10,'Вхідні дані'!$S$11,'Вхідні дані'!$S$12)</f>
        <v>березень</v>
      </c>
      <c r="P6" s="120"/>
      <c r="Q6" s="120"/>
      <c r="R6" s="119" t="str">
        <f>CHOOSE(R2,'Вхідні дані'!$S$1,'Вхідні дані'!$S$2,'Вхідні дані'!$S$3,'Вхідні дані'!$S$4,'Вхідні дані'!$S$5,'Вхідні дані'!$S$6,'Вхідні дані'!$S$7,'Вхідні дані'!$S$8,'Вхідні дані'!$S$9,'Вхідні дані'!$S$10,'Вхідні дані'!$S$11,'Вхідні дані'!$S$12)</f>
        <v>квітень</v>
      </c>
      <c r="S6" s="119" t="str">
        <f>CHOOSE(S2,'Вхідні дані'!$S$1,'Вхідні дані'!$S$2,'Вхідні дані'!$S$3,'Вхідні дані'!$S$4,'Вхідні дані'!$S$5,'Вхідні дані'!$S$6,'Вхідні дані'!$S$7,'Вхідні дані'!$S$8,'Вхідні дані'!$S$9,'Вхідні дані'!$S$10,'Вхідні дані'!$S$11,'Вхідні дані'!$S$12)</f>
        <v>травень</v>
      </c>
      <c r="T6" s="119" t="str">
        <f>CHOOSE(T2,'Вхідні дані'!$S$1,'Вхідні дані'!$S$2,'Вхідні дані'!$S$3,'Вхідні дані'!$S$4,'Вхідні дані'!$S$5,'Вхідні дані'!$S$6,'Вхідні дані'!$S$7,'Вхідні дані'!$S$8,'Вхідні дані'!$S$9,'Вхідні дані'!$S$10,'Вхідні дані'!$S$11,'Вхідні дані'!$S$12)</f>
        <v>червень</v>
      </c>
      <c r="U6" s="119" t="str">
        <f>CHOOSE(U2,'Вхідні дані'!$S$1,'Вхідні дані'!$S$2,'Вхідні дані'!$S$3,'Вхідні дані'!$S$4,'Вхідні дані'!$S$5,'Вхідні дані'!$S$6,'Вхідні дані'!$S$7,'Вхідні дані'!$S$8,'Вхідні дані'!$S$9,'Вхідні дані'!$S$10,'Вхідні дані'!$S$11,'Вхідні дані'!$S$12)</f>
        <v>липень</v>
      </c>
      <c r="V6" s="119" t="str">
        <f>CHOOSE(V2,'Вхідні дані'!$S$1,'Вхідні дані'!$S$2,'Вхідні дані'!$S$3,'Вхідні дані'!$S$4,'Вхідні дані'!$S$5,'Вхідні дані'!$S$6,'Вхідні дані'!$S$7,'Вхідні дані'!$S$8,'Вхідні дані'!$S$9,'Вхідні дані'!$S$10,'Вхідні дані'!$S$11,'Вхідні дані'!$S$12)</f>
        <v>серпень</v>
      </c>
      <c r="W6" s="119" t="str">
        <f>CHOOSE(W2,'Вхідні дані'!$S$1,'Вхідні дані'!$S$2,'Вхідні дані'!$S$3,'Вхідні дані'!$S$4,'Вхідні дані'!$S$5,'Вхідні дані'!$S$6,'Вхідні дані'!$S$7,'Вхідні дані'!$S$8,'Вхідні дані'!$S$9,'Вхідні дані'!$S$10,'Вхідні дані'!$S$11,'Вхідні дані'!$S$12)</f>
        <v>вересень</v>
      </c>
      <c r="X6" s="119" t="str">
        <f>CHOOSE(X2,'Вхідні дані'!$S$1,'Вхідні дані'!$S$2,'Вхідні дані'!$S$3,'Вхідні дані'!$S$4,'Вхідні дані'!$S$5,'Вхідні дані'!$S$6,'Вхідні дані'!$S$7,'Вхідні дані'!$S$8,'Вхідні дані'!$S$9,'Вхідні дані'!$S$10,'Вхідні дані'!$S$11,'Вхідні дані'!$S$12)</f>
        <v>жовтень</v>
      </c>
      <c r="Y6" s="119" t="str">
        <f>CHOOSE(Y2,'Вхідні дані'!$S$1,'Вхідні дані'!$S$2,'Вхідні дані'!$S$3,'Вхідні дані'!$S$4,'Вхідні дані'!$S$5,'Вхідні дані'!$S$6,'Вхідні дані'!$S$7,'Вхідні дані'!$S$8,'Вхідні дані'!$S$9,'Вхідні дані'!$S$10,'Вхідні дані'!$S$11,'Вхідні дані'!$S$12)</f>
        <v>листопад</v>
      </c>
      <c r="Z6" s="119" t="str">
        <f>CHOOSE(Z2,'Вхідні дані'!$S$1,'Вхідні дані'!$S$2,'Вхідні дані'!$S$3,'Вхідні дані'!$S$4,'Вхідні дані'!$S$5,'Вхідні дані'!$S$6,'Вхідні дані'!$S$7,'Вхідні дані'!$S$8,'Вхідні дані'!$S$9,'Вхідні дані'!$S$10,'Вхідні дані'!$S$11,'Вхідні дані'!$S$12)</f>
        <v>грудень</v>
      </c>
      <c r="AA6" s="119" t="str">
        <f>CHOOSE(AA2,'Вхідні дані'!$S$1,'Вхідні дані'!$S$2,'Вхідні дані'!$S$3,'Вхідні дані'!$S$4,'Вхідні дані'!$S$5,'Вхідні дані'!$S$6,'Вхідні дані'!$S$7,'Вхідні дані'!$S$8,'Вхідні дані'!$S$9,'Вхідні дані'!$S$10,'Вхідні дані'!$S$11,'Вхідні дані'!$S$12)</f>
        <v>січень</v>
      </c>
      <c r="AB6" s="119" t="str">
        <f>CHOOSE(AB2,'Вхідні дані'!$S$1,'Вхідні дані'!$S$2,'Вхідні дані'!$S$3,'Вхідні дані'!$S$4,'Вхідні дані'!$S$5,'Вхідні дані'!$S$6,'Вхідні дані'!$S$7,'Вхідні дані'!$S$8,'Вхідні дані'!$S$9,'Вхідні дані'!$S$10,'Вхідні дані'!$S$11,'Вхідні дані'!$S$12)</f>
        <v>лютий</v>
      </c>
      <c r="AC6" s="119" t="str">
        <f>CHOOSE(AC2,'Вхідні дані'!$S$1,'Вхідні дані'!$S$2,'Вхідні дані'!$S$3,'Вхідні дані'!$S$4,'Вхідні дані'!$S$5,'Вхідні дані'!$S$6,'Вхідні дані'!$S$7,'Вхідні дані'!$S$8,'Вхідні дані'!$S$9,'Вхідні дані'!$S$10,'Вхідні дані'!$S$11,'Вхідні дані'!$S$12)</f>
        <v>березень</v>
      </c>
      <c r="AD6" s="120"/>
      <c r="AE6" s="120"/>
      <c r="AF6" s="119" t="str">
        <f>CHOOSE(AF2,'Вхідні дані'!$S$1,'Вхідні дані'!$S$2,'Вхідні дані'!$S$3,'Вхідні дані'!$S$4,'Вхідні дані'!$S$5,'Вхідні дані'!$S$6,'Вхідні дані'!$S$7,'Вхідні дані'!$S$8,'Вхідні дані'!$S$9,'Вхідні дані'!$S$10,'Вхідні дані'!$S$11,'Вхідні дані'!$S$12)</f>
        <v>квітень</v>
      </c>
      <c r="AG6" s="119" t="str">
        <f>CHOOSE(AG2,'Вхідні дані'!$S$1,'Вхідні дані'!$S$2,'Вхідні дані'!$S$3,'Вхідні дані'!$S$4,'Вхідні дані'!$S$5,'Вхідні дані'!$S$6,'Вхідні дані'!$S$7,'Вхідні дані'!$S$8,'Вхідні дані'!$S$9,'Вхідні дані'!$S$10,'Вхідні дані'!$S$11,'Вхідні дані'!$S$12)</f>
        <v>травень</v>
      </c>
      <c r="AH6" s="119" t="str">
        <f>CHOOSE(AH2,'Вхідні дані'!$S$1,'Вхідні дані'!$S$2,'Вхідні дані'!$S$3,'Вхідні дані'!$S$4,'Вхідні дані'!$S$5,'Вхідні дані'!$S$6,'Вхідні дані'!$S$7,'Вхідні дані'!$S$8,'Вхідні дані'!$S$9,'Вхідні дані'!$S$10,'Вхідні дані'!$S$11,'Вхідні дані'!$S$12)</f>
        <v>червень</v>
      </c>
      <c r="AI6" s="119" t="str">
        <f>CHOOSE(AI2,'Вхідні дані'!$S$1,'Вхідні дані'!$S$2,'Вхідні дані'!$S$3,'Вхідні дані'!$S$4,'Вхідні дані'!$S$5,'Вхідні дані'!$S$6,'Вхідні дані'!$S$7,'Вхідні дані'!$S$8,'Вхідні дані'!$S$9,'Вхідні дані'!$S$10,'Вхідні дані'!$S$11,'Вхідні дані'!$S$12)</f>
        <v>липень</v>
      </c>
      <c r="AJ6" s="119" t="str">
        <f>CHOOSE(AJ2,'Вхідні дані'!$S$1,'Вхідні дані'!$S$2,'Вхідні дані'!$S$3,'Вхідні дані'!$S$4,'Вхідні дані'!$S$5,'Вхідні дані'!$S$6,'Вхідні дані'!$S$7,'Вхідні дані'!$S$8,'Вхідні дані'!$S$9,'Вхідні дані'!$S$10,'Вхідні дані'!$S$11,'Вхідні дані'!$S$12)</f>
        <v>серпень</v>
      </c>
      <c r="AK6" s="119" t="str">
        <f>CHOOSE(AK2,'Вхідні дані'!$S$1,'Вхідні дані'!$S$2,'Вхідні дані'!$S$3,'Вхідні дані'!$S$4,'Вхідні дані'!$S$5,'Вхідні дані'!$S$6,'Вхідні дані'!$S$7,'Вхідні дані'!$S$8,'Вхідні дані'!$S$9,'Вхідні дані'!$S$10,'Вхідні дані'!$S$11,'Вхідні дані'!$S$12)</f>
        <v>вересень</v>
      </c>
      <c r="AL6" s="119" t="str">
        <f>CHOOSE(AL2,'Вхідні дані'!$S$1,'Вхідні дані'!$S$2,'Вхідні дані'!$S$3,'Вхідні дані'!$S$4,'Вхідні дані'!$S$5,'Вхідні дані'!$S$6,'Вхідні дані'!$S$7,'Вхідні дані'!$S$8,'Вхідні дані'!$S$9,'Вхідні дані'!$S$10,'Вхідні дані'!$S$11,'Вхідні дані'!$S$12)</f>
        <v>жовтень</v>
      </c>
      <c r="AM6" s="119" t="str">
        <f>CHOOSE(AM2,'Вхідні дані'!$S$1,'Вхідні дані'!$S$2,'Вхідні дані'!$S$3,'Вхідні дані'!$S$4,'Вхідні дані'!$S$5,'Вхідні дані'!$S$6,'Вхідні дані'!$S$7,'Вхідні дані'!$S$8,'Вхідні дані'!$S$9,'Вхідні дані'!$S$10,'Вхідні дані'!$S$11,'Вхідні дані'!$S$12)</f>
        <v>листопад</v>
      </c>
      <c r="AN6" s="119" t="str">
        <f>CHOOSE(AN2,'Вхідні дані'!$S$1,'Вхідні дані'!$S$2,'Вхідні дані'!$S$3,'Вхідні дані'!$S$4,'Вхідні дані'!$S$5,'Вхідні дані'!$S$6,'Вхідні дані'!$S$7,'Вхідні дані'!$S$8,'Вхідні дані'!$S$9,'Вхідні дані'!$S$10,'Вхідні дані'!$S$11,'Вхідні дані'!$S$12)</f>
        <v>грудень</v>
      </c>
      <c r="AO6" s="119" t="str">
        <f>CHOOSE(AO2,'Вхідні дані'!$S$1,'Вхідні дані'!$S$2,'Вхідні дані'!$S$3,'Вхідні дані'!$S$4,'Вхідні дані'!$S$5,'Вхідні дані'!$S$6,'Вхідні дані'!$S$7,'Вхідні дані'!$S$8,'Вхідні дані'!$S$9,'Вхідні дані'!$S$10,'Вхідні дані'!$S$11,'Вхідні дані'!$S$12)</f>
        <v>січень</v>
      </c>
      <c r="AP6" s="119" t="str">
        <f>CHOOSE(AP2,'Вхідні дані'!$S$1,'Вхідні дані'!$S$2,'Вхідні дані'!$S$3,'Вхідні дані'!$S$4,'Вхідні дані'!$S$5,'Вхідні дані'!$S$6,'Вхідні дані'!$S$7,'Вхідні дані'!$S$8,'Вхідні дані'!$S$9,'Вхідні дані'!$S$10,'Вхідні дані'!$S$11,'Вхідні дані'!$S$12)</f>
        <v>лютий</v>
      </c>
      <c r="AQ6" s="119" t="str">
        <f>CHOOSE(AQ2,'Вхідні дані'!$S$1,'Вхідні дані'!$S$2,'Вхідні дані'!$S$3,'Вхідні дані'!$S$4,'Вхідні дані'!$S$5,'Вхідні дані'!$S$6,'Вхідні дані'!$S$7,'Вхідні дані'!$S$8,'Вхідні дані'!$S$9,'Вхідні дані'!$S$10,'Вхідні дані'!$S$11,'Вхідні дані'!$S$12)</f>
        <v>березень</v>
      </c>
      <c r="AR6" s="120"/>
      <c r="AS6" s="120"/>
      <c r="AT6" s="121"/>
      <c r="AV6" s="114"/>
    </row>
    <row r="7" spans="1:48" s="125" customFormat="1" ht="21.5" outlineLevel="1" thickTop="1" x14ac:dyDescent="0.5">
      <c r="A7" s="122" t="str">
        <f>'Вхідні дані'!C32</f>
        <v>Збільшення середнього чеку*, %</v>
      </c>
      <c r="B7" s="123"/>
      <c r="C7" s="123"/>
      <c r="D7" s="114">
        <v>1</v>
      </c>
      <c r="E7" s="114">
        <v>1</v>
      </c>
      <c r="F7" s="114">
        <v>1</v>
      </c>
      <c r="G7" s="114">
        <v>1</v>
      </c>
      <c r="H7" s="114">
        <v>1</v>
      </c>
      <c r="I7" s="114">
        <v>1</v>
      </c>
      <c r="J7" s="114">
        <v>1</v>
      </c>
      <c r="K7" s="114">
        <v>1</v>
      </c>
      <c r="L7" s="114">
        <v>1</v>
      </c>
      <c r="M7" s="114">
        <v>1</v>
      </c>
      <c r="N7" s="114">
        <v>1</v>
      </c>
      <c r="O7" s="114">
        <v>1</v>
      </c>
      <c r="P7" s="124"/>
      <c r="Q7" s="124"/>
      <c r="R7" s="114">
        <f>'Вхідні дані'!$C$33</f>
        <v>1.05</v>
      </c>
      <c r="S7" s="114">
        <f>'Вхідні дані'!$C$33</f>
        <v>1.05</v>
      </c>
      <c r="T7" s="114">
        <f>'Вхідні дані'!$C$33</f>
        <v>1.05</v>
      </c>
      <c r="U7" s="114">
        <f>'Вхідні дані'!$C$33</f>
        <v>1.05</v>
      </c>
      <c r="V7" s="114">
        <f>'Вхідні дані'!$C$33</f>
        <v>1.05</v>
      </c>
      <c r="W7" s="114">
        <f>'Вхідні дані'!$C$33</f>
        <v>1.05</v>
      </c>
      <c r="X7" s="114">
        <f>'Вхідні дані'!$C$33</f>
        <v>1.05</v>
      </c>
      <c r="Y7" s="114">
        <f>'Вхідні дані'!$C$33</f>
        <v>1.05</v>
      </c>
      <c r="Z7" s="114">
        <f>'Вхідні дані'!$C$33</f>
        <v>1.05</v>
      </c>
      <c r="AA7" s="114">
        <f>'Вхідні дані'!$C$33</f>
        <v>1.05</v>
      </c>
      <c r="AB7" s="114">
        <f>'Вхідні дані'!$C$33</f>
        <v>1.05</v>
      </c>
      <c r="AC7" s="114">
        <f>'Вхідні дані'!$C$33</f>
        <v>1.05</v>
      </c>
      <c r="AD7" s="124"/>
      <c r="AE7" s="124"/>
      <c r="AF7" s="114">
        <f>'Вхідні дані'!$C$34</f>
        <v>1.1000000000000001</v>
      </c>
      <c r="AG7" s="114">
        <f>'Вхідні дані'!$C$34</f>
        <v>1.1000000000000001</v>
      </c>
      <c r="AH7" s="114">
        <f>'Вхідні дані'!$C$34</f>
        <v>1.1000000000000001</v>
      </c>
      <c r="AI7" s="114">
        <f>'Вхідні дані'!$C$34</f>
        <v>1.1000000000000001</v>
      </c>
      <c r="AJ7" s="114">
        <f>'Вхідні дані'!$C$34</f>
        <v>1.1000000000000001</v>
      </c>
      <c r="AK7" s="114">
        <f>'Вхідні дані'!$C$34</f>
        <v>1.1000000000000001</v>
      </c>
      <c r="AL7" s="114">
        <f>'Вхідні дані'!$C$34</f>
        <v>1.1000000000000001</v>
      </c>
      <c r="AM7" s="114">
        <f>'Вхідні дані'!$C$34</f>
        <v>1.1000000000000001</v>
      </c>
      <c r="AN7" s="114">
        <f>'Вхідні дані'!$C$34</f>
        <v>1.1000000000000001</v>
      </c>
      <c r="AO7" s="114">
        <f>'Вхідні дані'!$C$34</f>
        <v>1.1000000000000001</v>
      </c>
      <c r="AP7" s="114">
        <f>'Вхідні дані'!$C$34</f>
        <v>1.1000000000000001</v>
      </c>
      <c r="AQ7" s="114">
        <f>'Вхідні дані'!$C$34</f>
        <v>1.1000000000000001</v>
      </c>
      <c r="AR7" s="124"/>
      <c r="AS7" s="124"/>
      <c r="AT7" s="114"/>
      <c r="AV7" s="114"/>
    </row>
    <row r="8" spans="1:48" s="125" customFormat="1" outlineLevel="1" x14ac:dyDescent="0.5">
      <c r="A8" s="122" t="s">
        <v>61</v>
      </c>
      <c r="B8" s="123"/>
      <c r="C8" s="123"/>
      <c r="D8" s="114">
        <f>CHOOSE('Узагальнений розрахунок'!$P$1,'Вхідні дані'!$C17,'Вхідні дані'!$E17)</f>
        <v>0.6</v>
      </c>
      <c r="E8" s="114">
        <f>CHOOSE('Узагальнений розрахунок'!$P$1,'Вхідні дані'!$C18,'Вхідні дані'!$E18)</f>
        <v>0.85</v>
      </c>
      <c r="F8" s="114">
        <f>CHOOSE('Узагальнений розрахунок'!$P$1,'Вхідні дані'!$C19,'Вхідні дані'!$E19)</f>
        <v>1</v>
      </c>
      <c r="G8" s="114">
        <f>CHOOSE('Узагальнений розрахунок'!$P$1,'Вхідні дані'!$C20,'Вхідні дані'!$E20)</f>
        <v>1</v>
      </c>
      <c r="H8" s="114">
        <f>CHOOSE('Узагальнений розрахунок'!$P$1,'Вхідні дані'!$C21,'Вхідні дані'!$E21)</f>
        <v>1</v>
      </c>
      <c r="I8" s="114">
        <f>CHOOSE('Узагальнений розрахунок'!$P$1,'Вхідні дані'!$C22,'Вхідні дані'!$E22)</f>
        <v>1</v>
      </c>
      <c r="J8" s="114">
        <f>CHOOSE('Узагальнений розрахунок'!$P$1,'Вхідні дані'!$C23,'Вхідні дані'!$E23)</f>
        <v>1</v>
      </c>
      <c r="K8" s="114">
        <f>CHOOSE('Узагальнений розрахунок'!$P$1,'Вхідні дані'!$C24,'Вхідні дані'!$E24)</f>
        <v>1</v>
      </c>
      <c r="L8" s="114">
        <f>CHOOSE('Узагальнений розрахунок'!$P$1,'Вхідні дані'!$C25,'Вхідні дані'!$E25)</f>
        <v>1</v>
      </c>
      <c r="M8" s="114">
        <f>CHOOSE('Узагальнений розрахунок'!$P$1,'Вхідні дані'!$C26,'Вхідні дані'!$E26)</f>
        <v>1</v>
      </c>
      <c r="N8" s="114">
        <f>CHOOSE('Узагальнений розрахунок'!$P$1,'Вхідні дані'!$C27,'Вхідні дані'!$E27)</f>
        <v>1</v>
      </c>
      <c r="O8" s="114">
        <f>CHOOSE('Узагальнений розрахунок'!$P$1,'Вхідні дані'!$C28,'Вхідні дані'!$E28)</f>
        <v>1</v>
      </c>
      <c r="P8" s="124"/>
      <c r="Q8" s="124"/>
      <c r="R8" s="114">
        <f>CHOOSE('Узагальнений розрахунок'!$P$1,'Вхідні дані'!$C29,'Вхідні дані'!$E29)</f>
        <v>1.1000000000000001</v>
      </c>
      <c r="S8" s="114">
        <f>CHOOSE('Узагальнений розрахунок'!$P$1,'Вхідні дані'!$C29,'Вхідні дані'!$E29)</f>
        <v>1.1000000000000001</v>
      </c>
      <c r="T8" s="114">
        <f>CHOOSE('Узагальнений розрахунок'!$P$1,'Вхідні дані'!$C29,'Вхідні дані'!$E29)</f>
        <v>1.1000000000000001</v>
      </c>
      <c r="U8" s="114">
        <f>CHOOSE('Узагальнений розрахунок'!$P$1,'Вхідні дані'!$C29,'Вхідні дані'!$E29)</f>
        <v>1.1000000000000001</v>
      </c>
      <c r="V8" s="114">
        <f>CHOOSE('Узагальнений розрахунок'!$P$1,'Вхідні дані'!$C29,'Вхідні дані'!$E29)</f>
        <v>1.1000000000000001</v>
      </c>
      <c r="W8" s="114">
        <f>CHOOSE('Узагальнений розрахунок'!$P$1,'Вхідні дані'!$C29,'Вхідні дані'!$E29)</f>
        <v>1.1000000000000001</v>
      </c>
      <c r="X8" s="114">
        <f>CHOOSE('Узагальнений розрахунок'!$P$1,'Вхідні дані'!$C29,'Вхідні дані'!$E29)</f>
        <v>1.1000000000000001</v>
      </c>
      <c r="Y8" s="114">
        <f>CHOOSE('Узагальнений розрахунок'!$P$1,'Вхідні дані'!$C29,'Вхідні дані'!$E29)</f>
        <v>1.1000000000000001</v>
      </c>
      <c r="Z8" s="114">
        <f>CHOOSE('Узагальнений розрахунок'!$P$1,'Вхідні дані'!$C29,'Вхідні дані'!$E29)</f>
        <v>1.1000000000000001</v>
      </c>
      <c r="AA8" s="114">
        <f>CHOOSE('Узагальнений розрахунок'!$P$1,'Вхідні дані'!$C29,'Вхідні дані'!$E29)</f>
        <v>1.1000000000000001</v>
      </c>
      <c r="AB8" s="114">
        <f>CHOOSE('Узагальнений розрахунок'!$P$1,'Вхідні дані'!$C29,'Вхідні дані'!$E29)</f>
        <v>1.1000000000000001</v>
      </c>
      <c r="AC8" s="114">
        <f>CHOOSE('Узагальнений розрахунок'!$P$1,'Вхідні дані'!$C29,'Вхідні дані'!$E29)</f>
        <v>1.1000000000000001</v>
      </c>
      <c r="AD8" s="124"/>
      <c r="AE8" s="124"/>
      <c r="AF8" s="114">
        <f>CHOOSE('Узагальнений розрахунок'!$P$1,'Вхідні дані'!$C30,'Вхідні дані'!$E30)</f>
        <v>1.2</v>
      </c>
      <c r="AG8" s="114">
        <f>CHOOSE('Узагальнений розрахунок'!$P$1,'Вхідні дані'!$C30,'Вхідні дані'!$E30)</f>
        <v>1.2</v>
      </c>
      <c r="AH8" s="114">
        <f>CHOOSE('Узагальнений розрахунок'!$P$1,'Вхідні дані'!$C30,'Вхідні дані'!$E30)</f>
        <v>1.2</v>
      </c>
      <c r="AI8" s="114">
        <f>CHOOSE('Узагальнений розрахунок'!$P$1,'Вхідні дані'!$C30,'Вхідні дані'!$E30)</f>
        <v>1.2</v>
      </c>
      <c r="AJ8" s="114">
        <f>CHOOSE('Узагальнений розрахунок'!$P$1,'Вхідні дані'!$C30,'Вхідні дані'!$E30)</f>
        <v>1.2</v>
      </c>
      <c r="AK8" s="114">
        <f>CHOOSE('Узагальнений розрахунок'!$P$1,'Вхідні дані'!$C30,'Вхідні дані'!$E30)</f>
        <v>1.2</v>
      </c>
      <c r="AL8" s="114">
        <f>CHOOSE('Узагальнений розрахунок'!$P$1,'Вхідні дані'!$C30,'Вхідні дані'!$E30)</f>
        <v>1.2</v>
      </c>
      <c r="AM8" s="114">
        <f>CHOOSE('Узагальнений розрахунок'!$P$1,'Вхідні дані'!$C30,'Вхідні дані'!$E30)</f>
        <v>1.2</v>
      </c>
      <c r="AN8" s="114">
        <f>CHOOSE('Узагальнений розрахунок'!$P$1,'Вхідні дані'!$C30,'Вхідні дані'!$E30)</f>
        <v>1.2</v>
      </c>
      <c r="AO8" s="114">
        <f>CHOOSE('Узагальнений розрахунок'!$P$1,'Вхідні дані'!$C30,'Вхідні дані'!$E30)</f>
        <v>1.2</v>
      </c>
      <c r="AP8" s="114">
        <f>CHOOSE('Узагальнений розрахунок'!$P$1,'Вхідні дані'!$C30,'Вхідні дані'!$E30)</f>
        <v>1.2</v>
      </c>
      <c r="AQ8" s="114">
        <f>CHOOSE('Узагальнений розрахунок'!$P$1,'Вхідні дані'!$C30,'Вхідні дані'!$E30)</f>
        <v>1.2</v>
      </c>
      <c r="AR8" s="124"/>
      <c r="AS8" s="124"/>
      <c r="AT8" s="114"/>
      <c r="AV8" s="114"/>
    </row>
    <row r="9" spans="1:48" s="125" customFormat="1" outlineLevel="1" x14ac:dyDescent="0.5">
      <c r="A9" s="122" t="s">
        <v>93</v>
      </c>
      <c r="B9" s="123"/>
      <c r="C9" s="123"/>
      <c r="D9" s="114">
        <f>CHOOSE('Узагальнений розрахунок'!$P$1,CHOOSE(D2,'Вхідні дані'!$L$17,'Вхідні дані'!$L$18,'Вхідні дані'!$L$19,'Вхідні дані'!$L$20,'Вхідні дані'!$L$21,'Вхідні дані'!$L$22,'Вхідні дані'!$L$23,'Вхідні дані'!$L$24,'Вхідні дані'!$L$25,'Вхідні дані'!$L$26,'Вхідні дані'!$L$27,'Вхідні дані'!$L$28),CHOOSE(D2,'Вхідні дані'!$M$17,'Вхідні дані'!$M$18,'Вхідні дані'!$M$19,'Вхідні дані'!$M$20,'Вхідні дані'!$M$21,'Вхідні дані'!$M$22,'Вхідні дані'!$M$23,'Вхідні дані'!$M$24,'Вхідні дані'!$M$25,'Вхідні дані'!$M$26,'Вхідні дані'!$M$27,'Вхідні дані'!$M$28))</f>
        <v>1.34</v>
      </c>
      <c r="E9" s="114">
        <f>CHOOSE('Узагальнений розрахунок'!$P$1,CHOOSE(E2,'Вхідні дані'!$L$17,'Вхідні дані'!$L$18,'Вхідні дані'!$L$19,'Вхідні дані'!$L$20,'Вхідні дані'!$L$21,'Вхідні дані'!$L$22,'Вхідні дані'!$L$23,'Вхідні дані'!$L$24,'Вхідні дані'!$L$25,'Вхідні дані'!$L$26,'Вхідні дані'!$L$27,'Вхідні дані'!$L$28),CHOOSE(E2,'Вхідні дані'!$M$17,'Вхідні дані'!$M$18,'Вхідні дані'!$M$19,'Вхідні дані'!$M$20,'Вхідні дані'!$M$21,'Вхідні дані'!$M$22,'Вхідні дані'!$M$23,'Вхідні дані'!$M$24,'Вхідні дані'!$M$25,'Вхідні дані'!$M$26,'Вхідні дані'!$M$27,'Вхідні дані'!$M$28))</f>
        <v>1.34</v>
      </c>
      <c r="F9" s="114">
        <f>CHOOSE('Узагальнений розрахунок'!$P$1,CHOOSE(F2,'Вхідні дані'!$L$17,'Вхідні дані'!$L$18,'Вхідні дані'!$L$19,'Вхідні дані'!$L$20,'Вхідні дані'!$L$21,'Вхідні дані'!$L$22,'Вхідні дані'!$L$23,'Вхідні дані'!$L$24,'Вхідні дані'!$L$25,'Вхідні дані'!$L$26,'Вхідні дані'!$L$27,'Вхідні дані'!$L$28),CHOOSE(F2,'Вхідні дані'!$M$17,'Вхідні дані'!$M$18,'Вхідні дані'!$M$19,'Вхідні дані'!$M$20,'Вхідні дані'!$M$21,'Вхідні дані'!$M$22,'Вхідні дані'!$M$23,'Вхідні дані'!$M$24,'Вхідні дані'!$M$25,'Вхідні дані'!$M$26,'Вхідні дані'!$M$27,'Вхідні дані'!$M$28))</f>
        <v>1.34</v>
      </c>
      <c r="G9" s="114">
        <f>CHOOSE('Узагальнений розрахунок'!$P$1,CHOOSE(G2,'Вхідні дані'!$L$17,'Вхідні дані'!$L$18,'Вхідні дані'!$L$19,'Вхідні дані'!$L$20,'Вхідні дані'!$L$21,'Вхідні дані'!$L$22,'Вхідні дані'!$L$23,'Вхідні дані'!$L$24,'Вхідні дані'!$L$25,'Вхідні дані'!$L$26,'Вхідні дані'!$L$27,'Вхідні дані'!$L$28),CHOOSE(G2,'Вхідні дані'!$M$17,'Вхідні дані'!$M$18,'Вхідні дані'!$M$19,'Вхідні дані'!$M$20,'Вхідні дані'!$M$21,'Вхідні дані'!$M$22,'Вхідні дані'!$M$23,'Вхідні дані'!$M$24,'Вхідні дані'!$M$25,'Вхідні дані'!$M$26,'Вхідні дані'!$M$27,'Вхідні дані'!$M$28))</f>
        <v>1.55</v>
      </c>
      <c r="H9" s="114">
        <f>CHOOSE('Узагальнений розрахунок'!$P$1,CHOOSE(H2,'Вхідні дані'!$L$17,'Вхідні дані'!$L$18,'Вхідні дані'!$L$19,'Вхідні дані'!$L$20,'Вхідні дані'!$L$21,'Вхідні дані'!$L$22,'Вхідні дані'!$L$23,'Вхідні дані'!$L$24,'Вхідні дані'!$L$25,'Вхідні дані'!$L$26,'Вхідні дані'!$L$27,'Вхідні дані'!$L$28),CHOOSE(H2,'Вхідні дані'!$M$17,'Вхідні дані'!$M$18,'Вхідні дані'!$M$19,'Вхідні дані'!$M$20,'Вхідні дані'!$M$21,'Вхідні дані'!$M$22,'Вхідні дані'!$M$23,'Вхідні дані'!$M$24,'Вхідні дані'!$M$25,'Вхідні дані'!$M$26,'Вхідні дані'!$M$27,'Вхідні дані'!$M$28))</f>
        <v>1.55</v>
      </c>
      <c r="I9" s="114">
        <f>CHOOSE('Узагальнений розрахунок'!$P$1,CHOOSE(I2,'Вхідні дані'!$L$17,'Вхідні дані'!$L$18,'Вхідні дані'!$L$19,'Вхідні дані'!$L$20,'Вхідні дані'!$L$21,'Вхідні дані'!$L$22,'Вхідні дані'!$L$23,'Вхідні дані'!$L$24,'Вхідні дані'!$L$25,'Вхідні дані'!$L$26,'Вхідні дані'!$L$27,'Вхідні дані'!$L$28),CHOOSE(I2,'Вхідні дані'!$M$17,'Вхідні дані'!$M$18,'Вхідні дані'!$M$19,'Вхідні дані'!$M$20,'Вхідні дані'!$M$21,'Вхідні дані'!$M$22,'Вхідні дані'!$M$23,'Вхідні дані'!$M$24,'Вхідні дані'!$M$25,'Вхідні дані'!$M$26,'Вхідні дані'!$M$27,'Вхідні дані'!$M$28))</f>
        <v>1.55</v>
      </c>
      <c r="J9" s="114">
        <f>CHOOSE('Узагальнений розрахунок'!$P$1,CHOOSE(J2,'Вхідні дані'!$L$17,'Вхідні дані'!$L$18,'Вхідні дані'!$L$19,'Вхідні дані'!$L$20,'Вхідні дані'!$L$21,'Вхідні дані'!$L$22,'Вхідні дані'!$L$23,'Вхідні дані'!$L$24,'Вхідні дані'!$L$25,'Вхідні дані'!$L$26,'Вхідні дані'!$L$27,'Вхідні дані'!$L$28),CHOOSE(J2,'Вхідні дані'!$M$17,'Вхідні дані'!$M$18,'Вхідні дані'!$M$19,'Вхідні дані'!$M$20,'Вхідні дані'!$M$21,'Вхідні дані'!$M$22,'Вхідні дані'!$M$23,'Вхідні дані'!$M$24,'Вхідні дані'!$M$25,'Вхідні дані'!$M$26,'Вхідні дані'!$M$27,'Вхідні дані'!$M$28))</f>
        <v>0.8</v>
      </c>
      <c r="K9" s="114">
        <f>CHOOSE('Узагальнений розрахунок'!$P$1,CHOOSE(K2,'Вхідні дані'!$L$17,'Вхідні дані'!$L$18,'Вхідні дані'!$L$19,'Вхідні дані'!$L$20,'Вхідні дані'!$L$21,'Вхідні дані'!$L$22,'Вхідні дані'!$L$23,'Вхідні дані'!$L$24,'Вхідні дані'!$L$25,'Вхідні дані'!$L$26,'Вхідні дані'!$L$27,'Вхідні дані'!$L$28),CHOOSE(K2,'Вхідні дані'!$M$17,'Вхідні дані'!$M$18,'Вхідні дані'!$M$19,'Вхідні дані'!$M$20,'Вхідні дані'!$M$21,'Вхідні дані'!$M$22,'Вхідні дані'!$M$23,'Вхідні дані'!$M$24,'Вхідні дані'!$M$25,'Вхідні дані'!$M$26,'Вхідні дані'!$M$27,'Вхідні дані'!$M$28))</f>
        <v>0.5</v>
      </c>
      <c r="L9" s="114">
        <f>CHOOSE('Узагальнений розрахунок'!$P$1,CHOOSE(L2,'Вхідні дані'!$L$17,'Вхідні дані'!$L$18,'Вхідні дані'!$L$19,'Вхідні дані'!$L$20,'Вхідні дані'!$L$21,'Вхідні дані'!$L$22,'Вхідні дані'!$L$23,'Вхідні дані'!$L$24,'Вхідні дані'!$L$25,'Вхідні дані'!$L$26,'Вхідні дані'!$L$27,'Вхідні дані'!$L$28),CHOOSE(L2,'Вхідні дані'!$M$17,'Вхідні дані'!$M$18,'Вхідні дані'!$M$19,'Вхідні дані'!$M$20,'Вхідні дані'!$M$21,'Вхідні дані'!$M$22,'Вхідні дані'!$M$23,'Вхідні дані'!$M$24,'Вхідні дані'!$M$25,'Вхідні дані'!$M$26,'Вхідні дані'!$M$27,'Вхідні дані'!$M$28))</f>
        <v>0.01</v>
      </c>
      <c r="M9" s="114">
        <f>CHOOSE('Узагальнений розрахунок'!$P$1,CHOOSE(M2,'Вхідні дані'!$L$17,'Вхідні дані'!$L$18,'Вхідні дані'!$L$19,'Вхідні дані'!$L$20,'Вхідні дані'!$L$21,'Вхідні дані'!$L$22,'Вхідні дані'!$L$23,'Вхідні дані'!$L$24,'Вхідні дані'!$L$25,'Вхідні дані'!$L$26,'Вхідні дані'!$L$27,'Вхідні дані'!$L$28),CHOOSE(M2,'Вхідні дані'!$M$17,'Вхідні дані'!$M$18,'Вхідні дані'!$M$19,'Вхідні дані'!$M$20,'Вхідні дані'!$M$21,'Вхідні дані'!$M$22,'Вхідні дані'!$M$23,'Вхідні дані'!$M$24,'Вхідні дані'!$M$25,'Вхідні дані'!$M$26,'Вхідні дані'!$M$27,'Вхідні дані'!$M$28))</f>
        <v>0.01</v>
      </c>
      <c r="N9" s="114">
        <f>CHOOSE('Узагальнений розрахунок'!$P$1,CHOOSE(N2,'Вхідні дані'!$L$17,'Вхідні дані'!$L$18,'Вхідні дані'!$L$19,'Вхідні дані'!$L$20,'Вхідні дані'!$L$21,'Вхідні дані'!$L$22,'Вхідні дані'!$L$23,'Вхідні дані'!$L$24,'Вхідні дані'!$L$25,'Вхідні дані'!$L$26,'Вхідні дані'!$L$27,'Вхідні дані'!$L$28),CHOOSE(N2,'Вхідні дані'!$M$17,'Вхідні дані'!$M$18,'Вхідні дані'!$M$19,'Вхідні дані'!$M$20,'Вхідні дані'!$M$21,'Вхідні дані'!$M$22,'Вхідні дані'!$M$23,'Вхідні дані'!$M$24,'Вхідні дані'!$M$25,'Вхідні дані'!$M$26,'Вхідні дані'!$M$27,'Вхідні дані'!$M$28))</f>
        <v>0.01</v>
      </c>
      <c r="O9" s="114">
        <f>CHOOSE('Узагальнений розрахунок'!$P$1,CHOOSE(O2,'Вхідні дані'!$L$17,'Вхідні дані'!$L$18,'Вхідні дані'!$L$19,'Вхідні дані'!$L$20,'Вхідні дані'!$L$21,'Вхідні дані'!$L$22,'Вхідні дані'!$L$23,'Вхідні дані'!$L$24,'Вхідні дані'!$L$25,'Вхідні дані'!$L$26,'Вхідні дані'!$L$27,'Вхідні дані'!$L$28),CHOOSE(O2,'Вхідні дані'!$M$17,'Вхідні дані'!$M$18,'Вхідні дані'!$M$19,'Вхідні дані'!$M$20,'Вхідні дані'!$M$21,'Вхідні дані'!$M$22,'Вхідні дані'!$M$23,'Вхідні дані'!$M$24,'Вхідні дані'!$M$25,'Вхідні дані'!$M$26,'Вхідні дані'!$M$27,'Вхідні дані'!$M$28))</f>
        <v>0.22</v>
      </c>
      <c r="P9" s="124"/>
      <c r="Q9" s="124"/>
      <c r="R9" s="114">
        <f>CHOOSE('Узагальнений розрахунок'!$P$1,CHOOSE(R2,'Вхідні дані'!$L$17,'Вхідні дані'!$L$18,'Вхідні дані'!$L$19,'Вхідні дані'!$L$20,'Вхідні дані'!$L$21,'Вхідні дані'!$L$22,'Вхідні дані'!$L$23,'Вхідні дані'!$L$24,'Вхідні дані'!$L$25,'Вхідні дані'!$L$26,'Вхідні дані'!$L$27,'Вхідні дані'!$L$28),CHOOSE(R2,'Вхідні дані'!$M$17,'Вхідні дані'!$M$18,'Вхідні дані'!$M$19,'Вхідні дані'!$M$20,'Вхідні дані'!$M$21,'Вхідні дані'!$M$22,'Вхідні дані'!$M$23,'Вхідні дані'!$M$24,'Вхідні дані'!$M$25,'Вхідні дані'!$M$26,'Вхідні дані'!$M$27,'Вхідні дані'!$M$28))</f>
        <v>1.34</v>
      </c>
      <c r="S9" s="114">
        <f>CHOOSE('Узагальнений розрахунок'!$P$1,CHOOSE(S2,'Вхідні дані'!$L$17,'Вхідні дані'!$L$18,'Вхідні дані'!$L$19,'Вхідні дані'!$L$20,'Вхідні дані'!$L$21,'Вхідні дані'!$L$22,'Вхідні дані'!$L$23,'Вхідні дані'!$L$24,'Вхідні дані'!$L$25,'Вхідні дані'!$L$26,'Вхідні дані'!$L$27,'Вхідні дані'!$L$28),CHOOSE(S2,'Вхідні дані'!$M$17,'Вхідні дані'!$M$18,'Вхідні дані'!$M$19,'Вхідні дані'!$M$20,'Вхідні дані'!$M$21,'Вхідні дані'!$M$22,'Вхідні дані'!$M$23,'Вхідні дані'!$M$24,'Вхідні дані'!$M$25,'Вхідні дані'!$M$26,'Вхідні дані'!$M$27,'Вхідні дані'!$M$28))</f>
        <v>1.34</v>
      </c>
      <c r="T9" s="114">
        <f>CHOOSE('Узагальнений розрахунок'!$P$1,CHOOSE(T2,'Вхідні дані'!$L$17,'Вхідні дані'!$L$18,'Вхідні дані'!$L$19,'Вхідні дані'!$L$20,'Вхідні дані'!$L$21,'Вхідні дані'!$L$22,'Вхідні дані'!$L$23,'Вхідні дані'!$L$24,'Вхідні дані'!$L$25,'Вхідні дані'!$L$26,'Вхідні дані'!$L$27,'Вхідні дані'!$L$28),CHOOSE(T2,'Вхідні дані'!$M$17,'Вхідні дані'!$M$18,'Вхідні дані'!$M$19,'Вхідні дані'!$M$20,'Вхідні дані'!$M$21,'Вхідні дані'!$M$22,'Вхідні дані'!$M$23,'Вхідні дані'!$M$24,'Вхідні дані'!$M$25,'Вхідні дані'!$M$26,'Вхідні дані'!$M$27,'Вхідні дані'!$M$28))</f>
        <v>1.34</v>
      </c>
      <c r="U9" s="114">
        <f>CHOOSE('Узагальнений розрахунок'!$P$1,CHOOSE(U2,'Вхідні дані'!$L$17,'Вхідні дані'!$L$18,'Вхідні дані'!$L$19,'Вхідні дані'!$L$20,'Вхідні дані'!$L$21,'Вхідні дані'!$L$22,'Вхідні дані'!$L$23,'Вхідні дані'!$L$24,'Вхідні дані'!$L$25,'Вхідні дані'!$L$26,'Вхідні дані'!$L$27,'Вхідні дані'!$L$28),CHOOSE(U2,'Вхідні дані'!$M$17,'Вхідні дані'!$M$18,'Вхідні дані'!$M$19,'Вхідні дані'!$M$20,'Вхідні дані'!$M$21,'Вхідні дані'!$M$22,'Вхідні дані'!$M$23,'Вхідні дані'!$M$24,'Вхідні дані'!$M$25,'Вхідні дані'!$M$26,'Вхідні дані'!$M$27,'Вхідні дані'!$M$28))</f>
        <v>1.55</v>
      </c>
      <c r="V9" s="114">
        <f>CHOOSE('Узагальнений розрахунок'!$P$1,CHOOSE(V2,'Вхідні дані'!$L$17,'Вхідні дані'!$L$18,'Вхідні дані'!$L$19,'Вхідні дані'!$L$20,'Вхідні дані'!$L$21,'Вхідні дані'!$L$22,'Вхідні дані'!$L$23,'Вхідні дані'!$L$24,'Вхідні дані'!$L$25,'Вхідні дані'!$L$26,'Вхідні дані'!$L$27,'Вхідні дані'!$L$28),CHOOSE(V2,'Вхідні дані'!$M$17,'Вхідні дані'!$M$18,'Вхідні дані'!$M$19,'Вхідні дані'!$M$20,'Вхідні дані'!$M$21,'Вхідні дані'!$M$22,'Вхідні дані'!$M$23,'Вхідні дані'!$M$24,'Вхідні дані'!$M$25,'Вхідні дані'!$M$26,'Вхідні дані'!$M$27,'Вхідні дані'!$M$28))</f>
        <v>1.55</v>
      </c>
      <c r="W9" s="114">
        <f>CHOOSE('Узагальнений розрахунок'!$P$1,CHOOSE(W2,'Вхідні дані'!$L$17,'Вхідні дані'!$L$18,'Вхідні дані'!$L$19,'Вхідні дані'!$L$20,'Вхідні дані'!$L$21,'Вхідні дані'!$L$22,'Вхідні дані'!$L$23,'Вхідні дані'!$L$24,'Вхідні дані'!$L$25,'Вхідні дані'!$L$26,'Вхідні дані'!$L$27,'Вхідні дані'!$L$28),CHOOSE(W2,'Вхідні дані'!$M$17,'Вхідні дані'!$M$18,'Вхідні дані'!$M$19,'Вхідні дані'!$M$20,'Вхідні дані'!$M$21,'Вхідні дані'!$M$22,'Вхідні дані'!$M$23,'Вхідні дані'!$M$24,'Вхідні дані'!$M$25,'Вхідні дані'!$M$26,'Вхідні дані'!$M$27,'Вхідні дані'!$M$28))</f>
        <v>1.55</v>
      </c>
      <c r="X9" s="114">
        <f>CHOOSE('Узагальнений розрахунок'!$P$1,CHOOSE(X2,'Вхідні дані'!$L$17,'Вхідні дані'!$L$18,'Вхідні дані'!$L$19,'Вхідні дані'!$L$20,'Вхідні дані'!$L$21,'Вхідні дані'!$L$22,'Вхідні дані'!$L$23,'Вхідні дані'!$L$24,'Вхідні дані'!$L$25,'Вхідні дані'!$L$26,'Вхідні дані'!$L$27,'Вхідні дані'!$L$28),CHOOSE(X2,'Вхідні дані'!$M$17,'Вхідні дані'!$M$18,'Вхідні дані'!$M$19,'Вхідні дані'!$M$20,'Вхідні дані'!$M$21,'Вхідні дані'!$M$22,'Вхідні дані'!$M$23,'Вхідні дані'!$M$24,'Вхідні дані'!$M$25,'Вхідні дані'!$M$26,'Вхідні дані'!$M$27,'Вхідні дані'!$M$28))</f>
        <v>0.8</v>
      </c>
      <c r="Y9" s="114">
        <f>CHOOSE('Узагальнений розрахунок'!$P$1,CHOOSE(Y2,'Вхідні дані'!$L$17,'Вхідні дані'!$L$18,'Вхідні дані'!$L$19,'Вхідні дані'!$L$20,'Вхідні дані'!$L$21,'Вхідні дані'!$L$22,'Вхідні дані'!$L$23,'Вхідні дані'!$L$24,'Вхідні дані'!$L$25,'Вхідні дані'!$L$26,'Вхідні дані'!$L$27,'Вхідні дані'!$L$28),CHOOSE(Y2,'Вхідні дані'!$M$17,'Вхідні дані'!$M$18,'Вхідні дані'!$M$19,'Вхідні дані'!$M$20,'Вхідні дані'!$M$21,'Вхідні дані'!$M$22,'Вхідні дані'!$M$23,'Вхідні дані'!$M$24,'Вхідні дані'!$M$25,'Вхідні дані'!$M$26,'Вхідні дані'!$M$27,'Вхідні дані'!$M$28))</f>
        <v>0.5</v>
      </c>
      <c r="Z9" s="114">
        <f>CHOOSE('Узагальнений розрахунок'!$P$1,CHOOSE(Z2,'Вхідні дані'!$L$17,'Вхідні дані'!$L$18,'Вхідні дані'!$L$19,'Вхідні дані'!$L$20,'Вхідні дані'!$L$21,'Вхідні дані'!$L$22,'Вхідні дані'!$L$23,'Вхідні дані'!$L$24,'Вхідні дані'!$L$25,'Вхідні дані'!$L$26,'Вхідні дані'!$L$27,'Вхідні дані'!$L$28),CHOOSE(Z2,'Вхідні дані'!$M$17,'Вхідні дані'!$M$18,'Вхідні дані'!$M$19,'Вхідні дані'!$M$20,'Вхідні дані'!$M$21,'Вхідні дані'!$M$22,'Вхідні дані'!$M$23,'Вхідні дані'!$M$24,'Вхідні дані'!$M$25,'Вхідні дані'!$M$26,'Вхідні дані'!$M$27,'Вхідні дані'!$M$28))</f>
        <v>0.01</v>
      </c>
      <c r="AA9" s="114">
        <f>CHOOSE('Узагальнений розрахунок'!$P$1,CHOOSE(AA2,'Вхідні дані'!$L$17,'Вхідні дані'!$L$18,'Вхідні дані'!$L$19,'Вхідні дані'!$L$20,'Вхідні дані'!$L$21,'Вхідні дані'!$L$22,'Вхідні дані'!$L$23,'Вхідні дані'!$L$24,'Вхідні дані'!$L$25,'Вхідні дані'!$L$26,'Вхідні дані'!$L$27,'Вхідні дані'!$L$28),CHOOSE(AA2,'Вхідні дані'!$M$17,'Вхідні дані'!$M$18,'Вхідні дані'!$M$19,'Вхідні дані'!$M$20,'Вхідні дані'!$M$21,'Вхідні дані'!$M$22,'Вхідні дані'!$M$23,'Вхідні дані'!$M$24,'Вхідні дані'!$M$25,'Вхідні дані'!$M$26,'Вхідні дані'!$M$27,'Вхідні дані'!$M$28))</f>
        <v>0.01</v>
      </c>
      <c r="AB9" s="114">
        <f>CHOOSE('Узагальнений розрахунок'!$P$1,CHOOSE(AB2,'Вхідні дані'!$L$17,'Вхідні дані'!$L$18,'Вхідні дані'!$L$19,'Вхідні дані'!$L$20,'Вхідні дані'!$L$21,'Вхідні дані'!$L$22,'Вхідні дані'!$L$23,'Вхідні дані'!$L$24,'Вхідні дані'!$L$25,'Вхідні дані'!$L$26,'Вхідні дані'!$L$27,'Вхідні дані'!$L$28),CHOOSE(AB2,'Вхідні дані'!$M$17,'Вхідні дані'!$M$18,'Вхідні дані'!$M$19,'Вхідні дані'!$M$20,'Вхідні дані'!$M$21,'Вхідні дані'!$M$22,'Вхідні дані'!$M$23,'Вхідні дані'!$M$24,'Вхідні дані'!$M$25,'Вхідні дані'!$M$26,'Вхідні дані'!$M$27,'Вхідні дані'!$M$28))</f>
        <v>0.01</v>
      </c>
      <c r="AC9" s="114">
        <f>CHOOSE('Узагальнений розрахунок'!$P$1,CHOOSE(AC2,'Вхідні дані'!$L$17,'Вхідні дані'!$L$18,'Вхідні дані'!$L$19,'Вхідні дані'!$L$20,'Вхідні дані'!$L$21,'Вхідні дані'!$L$22,'Вхідні дані'!$L$23,'Вхідні дані'!$L$24,'Вхідні дані'!$L$25,'Вхідні дані'!$L$26,'Вхідні дані'!$L$27,'Вхідні дані'!$L$28),CHOOSE(AC2,'Вхідні дані'!$M$17,'Вхідні дані'!$M$18,'Вхідні дані'!$M$19,'Вхідні дані'!$M$20,'Вхідні дані'!$M$21,'Вхідні дані'!$M$22,'Вхідні дані'!$M$23,'Вхідні дані'!$M$24,'Вхідні дані'!$M$25,'Вхідні дані'!$M$26,'Вхідні дані'!$M$27,'Вхідні дані'!$M$28))</f>
        <v>0.22</v>
      </c>
      <c r="AD9" s="124"/>
      <c r="AE9" s="124"/>
      <c r="AF9" s="114">
        <f>CHOOSE('Узагальнений розрахунок'!$P$1,CHOOSE(AF2,'Вхідні дані'!$L$17,'Вхідні дані'!$L$18,'Вхідні дані'!$L$19,'Вхідні дані'!$L$20,'Вхідні дані'!$L$21,'Вхідні дані'!$L$22,'Вхідні дані'!$L$23,'Вхідні дані'!$L$24,'Вхідні дані'!$L$25,'Вхідні дані'!$L$26,'Вхідні дані'!$L$27,'Вхідні дані'!$L$28),CHOOSE(AF2,'Вхідні дані'!$M$17,'Вхідні дані'!$M$18,'Вхідні дані'!$M$19,'Вхідні дані'!$M$20,'Вхідні дані'!$M$21,'Вхідні дані'!$M$22,'Вхідні дані'!$M$23,'Вхідні дані'!$M$24,'Вхідні дані'!$M$25,'Вхідні дані'!$M$26,'Вхідні дані'!$M$27,'Вхідні дані'!$M$28))</f>
        <v>1.34</v>
      </c>
      <c r="AG9" s="114">
        <f>CHOOSE('Узагальнений розрахунок'!$P$1,CHOOSE(AG2,'Вхідні дані'!$L$17,'Вхідні дані'!$L$18,'Вхідні дані'!$L$19,'Вхідні дані'!$L$20,'Вхідні дані'!$L$21,'Вхідні дані'!$L$22,'Вхідні дані'!$L$23,'Вхідні дані'!$L$24,'Вхідні дані'!$L$25,'Вхідні дані'!$L$26,'Вхідні дані'!$L$27,'Вхідні дані'!$L$28),CHOOSE(AG2,'Вхідні дані'!$M$17,'Вхідні дані'!$M$18,'Вхідні дані'!$M$19,'Вхідні дані'!$M$20,'Вхідні дані'!$M$21,'Вхідні дані'!$M$22,'Вхідні дані'!$M$23,'Вхідні дані'!$M$24,'Вхідні дані'!$M$25,'Вхідні дані'!$M$26,'Вхідні дані'!$M$27,'Вхідні дані'!$M$28))</f>
        <v>1.34</v>
      </c>
      <c r="AH9" s="114">
        <f>CHOOSE('Узагальнений розрахунок'!$P$1,CHOOSE(AH2,'Вхідні дані'!$L$17,'Вхідні дані'!$L$18,'Вхідні дані'!$L$19,'Вхідні дані'!$L$20,'Вхідні дані'!$L$21,'Вхідні дані'!$L$22,'Вхідні дані'!$L$23,'Вхідні дані'!$L$24,'Вхідні дані'!$L$25,'Вхідні дані'!$L$26,'Вхідні дані'!$L$27,'Вхідні дані'!$L$28),CHOOSE(AH2,'Вхідні дані'!$M$17,'Вхідні дані'!$M$18,'Вхідні дані'!$M$19,'Вхідні дані'!$M$20,'Вхідні дані'!$M$21,'Вхідні дані'!$M$22,'Вхідні дані'!$M$23,'Вхідні дані'!$M$24,'Вхідні дані'!$M$25,'Вхідні дані'!$M$26,'Вхідні дані'!$M$27,'Вхідні дані'!$M$28))</f>
        <v>1.34</v>
      </c>
      <c r="AI9" s="114">
        <f>CHOOSE('Узагальнений розрахунок'!$P$1,CHOOSE(AI2,'Вхідні дані'!$L$17,'Вхідні дані'!$L$18,'Вхідні дані'!$L$19,'Вхідні дані'!$L$20,'Вхідні дані'!$L$21,'Вхідні дані'!$L$22,'Вхідні дані'!$L$23,'Вхідні дані'!$L$24,'Вхідні дані'!$L$25,'Вхідні дані'!$L$26,'Вхідні дані'!$L$27,'Вхідні дані'!$L$28),CHOOSE(AI2,'Вхідні дані'!$M$17,'Вхідні дані'!$M$18,'Вхідні дані'!$M$19,'Вхідні дані'!$M$20,'Вхідні дані'!$M$21,'Вхідні дані'!$M$22,'Вхідні дані'!$M$23,'Вхідні дані'!$M$24,'Вхідні дані'!$M$25,'Вхідні дані'!$M$26,'Вхідні дані'!$M$27,'Вхідні дані'!$M$28))</f>
        <v>1.55</v>
      </c>
      <c r="AJ9" s="114">
        <f>CHOOSE('Узагальнений розрахунок'!$P$1,CHOOSE(AJ2,'Вхідні дані'!$L$17,'Вхідні дані'!$L$18,'Вхідні дані'!$L$19,'Вхідні дані'!$L$20,'Вхідні дані'!$L$21,'Вхідні дані'!$L$22,'Вхідні дані'!$L$23,'Вхідні дані'!$L$24,'Вхідні дані'!$L$25,'Вхідні дані'!$L$26,'Вхідні дані'!$L$27,'Вхідні дані'!$L$28),CHOOSE(AJ2,'Вхідні дані'!$M$17,'Вхідні дані'!$M$18,'Вхідні дані'!$M$19,'Вхідні дані'!$M$20,'Вхідні дані'!$M$21,'Вхідні дані'!$M$22,'Вхідні дані'!$M$23,'Вхідні дані'!$M$24,'Вхідні дані'!$M$25,'Вхідні дані'!$M$26,'Вхідні дані'!$M$27,'Вхідні дані'!$M$28))</f>
        <v>1.55</v>
      </c>
      <c r="AK9" s="114">
        <f>CHOOSE('Узагальнений розрахунок'!$P$1,CHOOSE(AK2,'Вхідні дані'!$L$17,'Вхідні дані'!$L$18,'Вхідні дані'!$L$19,'Вхідні дані'!$L$20,'Вхідні дані'!$L$21,'Вхідні дані'!$L$22,'Вхідні дані'!$L$23,'Вхідні дані'!$L$24,'Вхідні дані'!$L$25,'Вхідні дані'!$L$26,'Вхідні дані'!$L$27,'Вхідні дані'!$L$28),CHOOSE(AK2,'Вхідні дані'!$M$17,'Вхідні дані'!$M$18,'Вхідні дані'!$M$19,'Вхідні дані'!$M$20,'Вхідні дані'!$M$21,'Вхідні дані'!$M$22,'Вхідні дані'!$M$23,'Вхідні дані'!$M$24,'Вхідні дані'!$M$25,'Вхідні дані'!$M$26,'Вхідні дані'!$M$27,'Вхідні дані'!$M$28))</f>
        <v>1.55</v>
      </c>
      <c r="AL9" s="114">
        <f>CHOOSE('Узагальнений розрахунок'!$P$1,CHOOSE(AL2,'Вхідні дані'!$L$17,'Вхідні дані'!$L$18,'Вхідні дані'!$L$19,'Вхідні дані'!$L$20,'Вхідні дані'!$L$21,'Вхідні дані'!$L$22,'Вхідні дані'!$L$23,'Вхідні дані'!$L$24,'Вхідні дані'!$L$25,'Вхідні дані'!$L$26,'Вхідні дані'!$L$27,'Вхідні дані'!$L$28),CHOOSE(AL2,'Вхідні дані'!$M$17,'Вхідні дані'!$M$18,'Вхідні дані'!$M$19,'Вхідні дані'!$M$20,'Вхідні дані'!$M$21,'Вхідні дані'!$M$22,'Вхідні дані'!$M$23,'Вхідні дані'!$M$24,'Вхідні дані'!$M$25,'Вхідні дані'!$M$26,'Вхідні дані'!$M$27,'Вхідні дані'!$M$28))</f>
        <v>0.8</v>
      </c>
      <c r="AM9" s="114">
        <f>CHOOSE('Узагальнений розрахунок'!$P$1,CHOOSE(AM2,'Вхідні дані'!$L$17,'Вхідні дані'!$L$18,'Вхідні дані'!$L$19,'Вхідні дані'!$L$20,'Вхідні дані'!$L$21,'Вхідні дані'!$L$22,'Вхідні дані'!$L$23,'Вхідні дані'!$L$24,'Вхідні дані'!$L$25,'Вхідні дані'!$L$26,'Вхідні дані'!$L$27,'Вхідні дані'!$L$28),CHOOSE(AM2,'Вхідні дані'!$M$17,'Вхідні дані'!$M$18,'Вхідні дані'!$M$19,'Вхідні дані'!$M$20,'Вхідні дані'!$M$21,'Вхідні дані'!$M$22,'Вхідні дані'!$M$23,'Вхідні дані'!$M$24,'Вхідні дані'!$M$25,'Вхідні дані'!$M$26,'Вхідні дані'!$M$27,'Вхідні дані'!$M$28))</f>
        <v>0.5</v>
      </c>
      <c r="AN9" s="114">
        <f>CHOOSE('Узагальнений розрахунок'!$P$1,CHOOSE(AN2,'Вхідні дані'!$L$17,'Вхідні дані'!$L$18,'Вхідні дані'!$L$19,'Вхідні дані'!$L$20,'Вхідні дані'!$L$21,'Вхідні дані'!$L$22,'Вхідні дані'!$L$23,'Вхідні дані'!$L$24,'Вхідні дані'!$L$25,'Вхідні дані'!$L$26,'Вхідні дані'!$L$27,'Вхідні дані'!$L$28),CHOOSE(AN2,'Вхідні дані'!$M$17,'Вхідні дані'!$M$18,'Вхідні дані'!$M$19,'Вхідні дані'!$M$20,'Вхідні дані'!$M$21,'Вхідні дані'!$M$22,'Вхідні дані'!$M$23,'Вхідні дані'!$M$24,'Вхідні дані'!$M$25,'Вхідні дані'!$M$26,'Вхідні дані'!$M$27,'Вхідні дані'!$M$28))</f>
        <v>0.01</v>
      </c>
      <c r="AO9" s="114">
        <f>CHOOSE('Узагальнений розрахунок'!$P$1,CHOOSE(AO2,'Вхідні дані'!$L$17,'Вхідні дані'!$L$18,'Вхідні дані'!$L$19,'Вхідні дані'!$L$20,'Вхідні дані'!$L$21,'Вхідні дані'!$L$22,'Вхідні дані'!$L$23,'Вхідні дані'!$L$24,'Вхідні дані'!$L$25,'Вхідні дані'!$L$26,'Вхідні дані'!$L$27,'Вхідні дані'!$L$28),CHOOSE(AO2,'Вхідні дані'!$M$17,'Вхідні дані'!$M$18,'Вхідні дані'!$M$19,'Вхідні дані'!$M$20,'Вхідні дані'!$M$21,'Вхідні дані'!$M$22,'Вхідні дані'!$M$23,'Вхідні дані'!$M$24,'Вхідні дані'!$M$25,'Вхідні дані'!$M$26,'Вхідні дані'!$M$27,'Вхідні дані'!$M$28))</f>
        <v>0.01</v>
      </c>
      <c r="AP9" s="114">
        <f>CHOOSE('Узагальнений розрахунок'!$P$1,CHOOSE(AP2,'Вхідні дані'!$L$17,'Вхідні дані'!$L$18,'Вхідні дані'!$L$19,'Вхідні дані'!$L$20,'Вхідні дані'!$L$21,'Вхідні дані'!$L$22,'Вхідні дані'!$L$23,'Вхідні дані'!$L$24,'Вхідні дані'!$L$25,'Вхідні дані'!$L$26,'Вхідні дані'!$L$27,'Вхідні дані'!$L$28),CHOOSE(AP2,'Вхідні дані'!$M$17,'Вхідні дані'!$M$18,'Вхідні дані'!$M$19,'Вхідні дані'!$M$20,'Вхідні дані'!$M$21,'Вхідні дані'!$M$22,'Вхідні дані'!$M$23,'Вхідні дані'!$M$24,'Вхідні дані'!$M$25,'Вхідні дані'!$M$26,'Вхідні дані'!$M$27,'Вхідні дані'!$M$28))</f>
        <v>0.01</v>
      </c>
      <c r="AQ9" s="114">
        <f>CHOOSE('Узагальнений розрахунок'!$P$1,CHOOSE(AQ2,'Вхідні дані'!$L$17,'Вхідні дані'!$L$18,'Вхідні дані'!$L$19,'Вхідні дані'!$L$20,'Вхідні дані'!$L$21,'Вхідні дані'!$L$22,'Вхідні дані'!$L$23,'Вхідні дані'!$L$24,'Вхідні дані'!$L$25,'Вхідні дані'!$L$26,'Вхідні дані'!$L$27,'Вхідні дані'!$L$28),CHOOSE(AQ2,'Вхідні дані'!$M$17,'Вхідні дані'!$M$18,'Вхідні дані'!$M$19,'Вхідні дані'!$M$20,'Вхідні дані'!$M$21,'Вхідні дані'!$M$22,'Вхідні дані'!$M$23,'Вхідні дані'!$M$24,'Вхідні дані'!$M$25,'Вхідні дані'!$M$26,'Вхідні дані'!$M$27,'Вхідні дані'!$M$28))</f>
        <v>0.22</v>
      </c>
      <c r="AR9" s="124"/>
      <c r="AS9" s="124"/>
      <c r="AT9" s="114"/>
      <c r="AV9" s="114"/>
    </row>
    <row r="10" spans="1:48" s="125" customFormat="1" outlineLevel="1" x14ac:dyDescent="0.5">
      <c r="A10" s="122" t="str">
        <f>'Вхідні дані'!E32</f>
        <v>Збільшення заробітної плати (фіксованого окладу)**, %</v>
      </c>
      <c r="B10" s="123"/>
      <c r="C10" s="123"/>
      <c r="D10" s="114">
        <v>1</v>
      </c>
      <c r="E10" s="114">
        <v>1</v>
      </c>
      <c r="F10" s="114">
        <v>1</v>
      </c>
      <c r="G10" s="114">
        <v>1</v>
      </c>
      <c r="H10" s="114">
        <v>1</v>
      </c>
      <c r="I10" s="114">
        <v>1</v>
      </c>
      <c r="J10" s="114">
        <v>1</v>
      </c>
      <c r="K10" s="114">
        <v>1</v>
      </c>
      <c r="L10" s="114">
        <v>1</v>
      </c>
      <c r="M10" s="114">
        <v>1</v>
      </c>
      <c r="N10" s="114">
        <v>1</v>
      </c>
      <c r="O10" s="114">
        <v>1</v>
      </c>
      <c r="P10" s="124"/>
      <c r="Q10" s="124"/>
      <c r="R10" s="114">
        <f>'Вхідні дані'!$E$33</f>
        <v>1.05</v>
      </c>
      <c r="S10" s="114">
        <f>'Вхідні дані'!$E$33</f>
        <v>1.05</v>
      </c>
      <c r="T10" s="114">
        <f>'Вхідні дані'!$E$33</f>
        <v>1.05</v>
      </c>
      <c r="U10" s="114">
        <f>'Вхідні дані'!$E$33</f>
        <v>1.05</v>
      </c>
      <c r="V10" s="114">
        <f>'Вхідні дані'!$E$33</f>
        <v>1.05</v>
      </c>
      <c r="W10" s="114">
        <f>'Вхідні дані'!$E$33</f>
        <v>1.05</v>
      </c>
      <c r="X10" s="114">
        <f>'Вхідні дані'!$E$33</f>
        <v>1.05</v>
      </c>
      <c r="Y10" s="114">
        <f>'Вхідні дані'!$E$33</f>
        <v>1.05</v>
      </c>
      <c r="Z10" s="114">
        <f>'Вхідні дані'!$E$33</f>
        <v>1.05</v>
      </c>
      <c r="AA10" s="114">
        <f>'Вхідні дані'!$E$33</f>
        <v>1.05</v>
      </c>
      <c r="AB10" s="114">
        <f>'Вхідні дані'!$E$33</f>
        <v>1.05</v>
      </c>
      <c r="AC10" s="114">
        <f>'Вхідні дані'!$E$33</f>
        <v>1.05</v>
      </c>
      <c r="AD10" s="124"/>
      <c r="AE10" s="124"/>
      <c r="AF10" s="114">
        <f>'Вхідні дані'!$E$34</f>
        <v>1.1000000000000001</v>
      </c>
      <c r="AG10" s="114">
        <f>'Вхідні дані'!$E$34</f>
        <v>1.1000000000000001</v>
      </c>
      <c r="AH10" s="114">
        <f>'Вхідні дані'!$E$34</f>
        <v>1.1000000000000001</v>
      </c>
      <c r="AI10" s="114">
        <f>'Вхідні дані'!$E$34</f>
        <v>1.1000000000000001</v>
      </c>
      <c r="AJ10" s="114">
        <f>'Вхідні дані'!$E$34</f>
        <v>1.1000000000000001</v>
      </c>
      <c r="AK10" s="114">
        <f>'Вхідні дані'!$E$34</f>
        <v>1.1000000000000001</v>
      </c>
      <c r="AL10" s="114">
        <f>'Вхідні дані'!$E$34</f>
        <v>1.1000000000000001</v>
      </c>
      <c r="AM10" s="114">
        <f>'Вхідні дані'!$E$34</f>
        <v>1.1000000000000001</v>
      </c>
      <c r="AN10" s="114">
        <f>'Вхідні дані'!$E$34</f>
        <v>1.1000000000000001</v>
      </c>
      <c r="AO10" s="114">
        <f>'Вхідні дані'!$E$34</f>
        <v>1.1000000000000001</v>
      </c>
      <c r="AP10" s="114">
        <f>'Вхідні дані'!$E$34</f>
        <v>1.1000000000000001</v>
      </c>
      <c r="AQ10" s="114">
        <f>'Вхідні дані'!$E$34</f>
        <v>1.1000000000000001</v>
      </c>
      <c r="AR10" s="124"/>
      <c r="AS10" s="124"/>
      <c r="AT10" s="114"/>
      <c r="AV10" s="114"/>
    </row>
    <row r="11" spans="1:48" s="125" customFormat="1" outlineLevel="1" x14ac:dyDescent="0.5">
      <c r="A11" s="125" t="str">
        <f>'Вхідні дані'!H32</f>
        <v>Збільшення орендної плати**, %</v>
      </c>
      <c r="D11" s="114">
        <v>1</v>
      </c>
      <c r="E11" s="114">
        <v>1</v>
      </c>
      <c r="F11" s="114">
        <v>1</v>
      </c>
      <c r="G11" s="114">
        <v>1</v>
      </c>
      <c r="H11" s="114">
        <v>1</v>
      </c>
      <c r="I11" s="114">
        <v>1</v>
      </c>
      <c r="J11" s="114">
        <v>1</v>
      </c>
      <c r="K11" s="114">
        <v>1</v>
      </c>
      <c r="L11" s="114">
        <v>1</v>
      </c>
      <c r="M11" s="114">
        <v>1</v>
      </c>
      <c r="N11" s="114">
        <v>1</v>
      </c>
      <c r="O11" s="114">
        <v>1</v>
      </c>
      <c r="P11" s="124"/>
      <c r="Q11" s="124"/>
      <c r="R11" s="114">
        <f>'Вхідні дані'!$H$33</f>
        <v>1</v>
      </c>
      <c r="S11" s="114">
        <f>'Вхідні дані'!$H$33</f>
        <v>1</v>
      </c>
      <c r="T11" s="114">
        <f>'Вхідні дані'!$H$33</f>
        <v>1</v>
      </c>
      <c r="U11" s="114">
        <f>'Вхідні дані'!$H$33</f>
        <v>1</v>
      </c>
      <c r="V11" s="114">
        <f>'Вхідні дані'!$H$33</f>
        <v>1</v>
      </c>
      <c r="W11" s="114">
        <f>'Вхідні дані'!$H$33</f>
        <v>1</v>
      </c>
      <c r="X11" s="114">
        <f>'Вхідні дані'!$H$33</f>
        <v>1</v>
      </c>
      <c r="Y11" s="114">
        <f>'Вхідні дані'!$H$33</f>
        <v>1</v>
      </c>
      <c r="Z11" s="114">
        <f>'Вхідні дані'!$H$33</f>
        <v>1</v>
      </c>
      <c r="AA11" s="114">
        <f>'Вхідні дані'!$H$33</f>
        <v>1</v>
      </c>
      <c r="AB11" s="114">
        <f>'Вхідні дані'!$H$33</f>
        <v>1</v>
      </c>
      <c r="AC11" s="114">
        <f>'Вхідні дані'!$H$33</f>
        <v>1</v>
      </c>
      <c r="AD11" s="124"/>
      <c r="AE11" s="124"/>
      <c r="AF11" s="114">
        <f>'Вхідні дані'!$H$34</f>
        <v>1</v>
      </c>
      <c r="AG11" s="114">
        <f>'Вхідні дані'!$H$34</f>
        <v>1</v>
      </c>
      <c r="AH11" s="114">
        <f>'Вхідні дані'!$H$34</f>
        <v>1</v>
      </c>
      <c r="AI11" s="114">
        <f>'Вхідні дані'!$H$34</f>
        <v>1</v>
      </c>
      <c r="AJ11" s="114">
        <f>'Вхідні дані'!$H$34</f>
        <v>1</v>
      </c>
      <c r="AK11" s="114">
        <f>'Вхідні дані'!$H$34</f>
        <v>1</v>
      </c>
      <c r="AL11" s="114">
        <f>'Вхідні дані'!$H$34</f>
        <v>1</v>
      </c>
      <c r="AM11" s="114">
        <f>'Вхідні дані'!$H$34</f>
        <v>1</v>
      </c>
      <c r="AN11" s="114">
        <f>'Вхідні дані'!$H$34</f>
        <v>1</v>
      </c>
      <c r="AO11" s="114">
        <f>'Вхідні дані'!$H$34</f>
        <v>1</v>
      </c>
      <c r="AP11" s="114">
        <f>'Вхідні дані'!$H$34</f>
        <v>1</v>
      </c>
      <c r="AQ11" s="114">
        <f>'Вхідні дані'!$H$34</f>
        <v>1</v>
      </c>
      <c r="AR11" s="124"/>
      <c r="AS11" s="124"/>
      <c r="AV11" s="114"/>
    </row>
    <row r="12" spans="1:48" s="125" customFormat="1" outlineLevel="1" x14ac:dyDescent="0.5">
      <c r="A12" s="125" t="str">
        <f>'Вхідні дані'!J32</f>
        <v>Збільшення комунальних послуг**, %</v>
      </c>
      <c r="D12" s="114">
        <v>1</v>
      </c>
      <c r="E12" s="114">
        <v>1</v>
      </c>
      <c r="F12" s="114">
        <v>1</v>
      </c>
      <c r="G12" s="114">
        <v>1</v>
      </c>
      <c r="H12" s="114">
        <v>1</v>
      </c>
      <c r="I12" s="114">
        <v>1</v>
      </c>
      <c r="J12" s="114">
        <v>1</v>
      </c>
      <c r="K12" s="114">
        <v>1</v>
      </c>
      <c r="L12" s="114">
        <v>1</v>
      </c>
      <c r="M12" s="114">
        <v>1</v>
      </c>
      <c r="N12" s="114">
        <v>1</v>
      </c>
      <c r="O12" s="114">
        <v>1</v>
      </c>
      <c r="P12" s="124"/>
      <c r="Q12" s="124"/>
      <c r="R12" s="114">
        <f>'Вхідні дані'!$J$33</f>
        <v>1.05</v>
      </c>
      <c r="S12" s="114">
        <f>'Вхідні дані'!$J$33</f>
        <v>1.05</v>
      </c>
      <c r="T12" s="114">
        <f>'Вхідні дані'!$J$33</f>
        <v>1.05</v>
      </c>
      <c r="U12" s="114">
        <f>'Вхідні дані'!$J$33</f>
        <v>1.05</v>
      </c>
      <c r="V12" s="114">
        <f>'Вхідні дані'!$J$33</f>
        <v>1.05</v>
      </c>
      <c r="W12" s="114">
        <f>'Вхідні дані'!$J$33</f>
        <v>1.05</v>
      </c>
      <c r="X12" s="114">
        <f>'Вхідні дані'!$J$33</f>
        <v>1.05</v>
      </c>
      <c r="Y12" s="114">
        <f>'Вхідні дані'!$J$33</f>
        <v>1.05</v>
      </c>
      <c r="Z12" s="114">
        <f>'Вхідні дані'!$J$33</f>
        <v>1.05</v>
      </c>
      <c r="AA12" s="114">
        <f>'Вхідні дані'!$J$33</f>
        <v>1.05</v>
      </c>
      <c r="AB12" s="114">
        <f>'Вхідні дані'!$J$33</f>
        <v>1.05</v>
      </c>
      <c r="AC12" s="114">
        <f>'Вхідні дані'!$J$33</f>
        <v>1.05</v>
      </c>
      <c r="AD12" s="124"/>
      <c r="AE12" s="124"/>
      <c r="AF12" s="114">
        <f>'Вхідні дані'!$J$34</f>
        <v>1.1000000000000001</v>
      </c>
      <c r="AG12" s="114">
        <f>'Вхідні дані'!$J$34</f>
        <v>1.1000000000000001</v>
      </c>
      <c r="AH12" s="114">
        <f>'Вхідні дані'!$J$34</f>
        <v>1.1000000000000001</v>
      </c>
      <c r="AI12" s="114">
        <f>'Вхідні дані'!$J$34</f>
        <v>1.1000000000000001</v>
      </c>
      <c r="AJ12" s="114">
        <f>'Вхідні дані'!$J$34</f>
        <v>1.1000000000000001</v>
      </c>
      <c r="AK12" s="114">
        <f>'Вхідні дані'!$J$34</f>
        <v>1.1000000000000001</v>
      </c>
      <c r="AL12" s="114">
        <f>'Вхідні дані'!$J$34</f>
        <v>1.1000000000000001</v>
      </c>
      <c r="AM12" s="114">
        <f>'Вхідні дані'!$J$34</f>
        <v>1.1000000000000001</v>
      </c>
      <c r="AN12" s="114">
        <f>'Вхідні дані'!$J$34</f>
        <v>1.1000000000000001</v>
      </c>
      <c r="AO12" s="114">
        <f>'Вхідні дані'!$J$34</f>
        <v>1.1000000000000001</v>
      </c>
      <c r="AP12" s="114">
        <f>'Вхідні дані'!$J$34</f>
        <v>1.1000000000000001</v>
      </c>
      <c r="AQ12" s="114">
        <f>'Вхідні дані'!$J$34</f>
        <v>1.1000000000000001</v>
      </c>
      <c r="AR12" s="124"/>
      <c r="AS12" s="124"/>
      <c r="AV12" s="114"/>
    </row>
    <row r="13" spans="1:48" outlineLevel="1" x14ac:dyDescent="0.5">
      <c r="A13" s="110" t="s">
        <v>62</v>
      </c>
      <c r="AV13" s="114"/>
    </row>
    <row r="14" spans="1:48" ht="21.5" thickBot="1" x14ac:dyDescent="0.55000000000000004">
      <c r="A14" s="115"/>
      <c r="B14" s="115"/>
      <c r="C14" s="115"/>
      <c r="D14" s="527" t="str">
        <f>D5</f>
        <v>1-й рік роботи</v>
      </c>
      <c r="E14" s="528"/>
      <c r="F14" s="528"/>
      <c r="G14" s="528"/>
      <c r="H14" s="528"/>
      <c r="I14" s="528"/>
      <c r="J14" s="528"/>
      <c r="K14" s="528"/>
      <c r="L14" s="528"/>
      <c r="M14" s="528"/>
      <c r="N14" s="528"/>
      <c r="O14" s="528"/>
      <c r="P14" s="528"/>
      <c r="Q14" s="529"/>
      <c r="R14" s="527" t="str">
        <f>R5</f>
        <v>2-й рік роботи</v>
      </c>
      <c r="S14" s="528"/>
      <c r="T14" s="528"/>
      <c r="U14" s="528"/>
      <c r="V14" s="528"/>
      <c r="W14" s="528"/>
      <c r="X14" s="528"/>
      <c r="Y14" s="528"/>
      <c r="Z14" s="528"/>
      <c r="AA14" s="528"/>
      <c r="AB14" s="528"/>
      <c r="AC14" s="528"/>
      <c r="AD14" s="528"/>
      <c r="AE14" s="529"/>
      <c r="AF14" s="530" t="str">
        <f>AF5</f>
        <v>3-й рік роботи</v>
      </c>
      <c r="AG14" s="530"/>
      <c r="AH14" s="530"/>
      <c r="AI14" s="530"/>
      <c r="AJ14" s="530"/>
      <c r="AK14" s="530"/>
      <c r="AL14" s="530"/>
      <c r="AM14" s="530"/>
      <c r="AN14" s="530"/>
      <c r="AO14" s="530"/>
      <c r="AP14" s="530"/>
      <c r="AQ14" s="530"/>
      <c r="AR14" s="530"/>
      <c r="AS14" s="530"/>
      <c r="AT14" s="531" t="s">
        <v>86</v>
      </c>
      <c r="AV14" s="114"/>
    </row>
    <row r="15" spans="1:48" s="129" customFormat="1" ht="43" thickTop="1" thickBot="1" x14ac:dyDescent="0.55000000000000004">
      <c r="A15" s="127" t="s">
        <v>63</v>
      </c>
      <c r="B15" s="117"/>
      <c r="C15" s="118" t="str">
        <f t="shared" ref="C15:O15" si="25">C$6</f>
        <v>Нульовий період</v>
      </c>
      <c r="D15" s="118" t="str">
        <f t="shared" si="25"/>
        <v>квітень</v>
      </c>
      <c r="E15" s="118" t="str">
        <f t="shared" si="25"/>
        <v>травень</v>
      </c>
      <c r="F15" s="118" t="str">
        <f t="shared" si="25"/>
        <v>червень</v>
      </c>
      <c r="G15" s="118" t="str">
        <f t="shared" si="25"/>
        <v>липень</v>
      </c>
      <c r="H15" s="118" t="str">
        <f t="shared" si="25"/>
        <v>серпень</v>
      </c>
      <c r="I15" s="118" t="str">
        <f t="shared" si="25"/>
        <v>вересень</v>
      </c>
      <c r="J15" s="118" t="str">
        <f t="shared" si="25"/>
        <v>жовтень</v>
      </c>
      <c r="K15" s="118" t="str">
        <f t="shared" si="25"/>
        <v>листопад</v>
      </c>
      <c r="L15" s="118" t="str">
        <f t="shared" si="25"/>
        <v>грудень</v>
      </c>
      <c r="M15" s="118" t="str">
        <f t="shared" si="25"/>
        <v>січень</v>
      </c>
      <c r="N15" s="118" t="str">
        <f t="shared" si="25"/>
        <v>лютий</v>
      </c>
      <c r="O15" s="118" t="str">
        <f t="shared" si="25"/>
        <v>березень</v>
      </c>
      <c r="P15" s="128" t="s">
        <v>80</v>
      </c>
      <c r="Q15" s="128" t="s">
        <v>81</v>
      </c>
      <c r="R15" s="118" t="str">
        <f t="shared" ref="R15:AC15" si="26">R$6</f>
        <v>квітень</v>
      </c>
      <c r="S15" s="118" t="str">
        <f t="shared" si="26"/>
        <v>травень</v>
      </c>
      <c r="T15" s="118" t="str">
        <f t="shared" si="26"/>
        <v>червень</v>
      </c>
      <c r="U15" s="118" t="str">
        <f t="shared" si="26"/>
        <v>липень</v>
      </c>
      <c r="V15" s="118" t="str">
        <f t="shared" si="26"/>
        <v>серпень</v>
      </c>
      <c r="W15" s="118" t="str">
        <f t="shared" si="26"/>
        <v>вересень</v>
      </c>
      <c r="X15" s="118" t="str">
        <f t="shared" si="26"/>
        <v>жовтень</v>
      </c>
      <c r="Y15" s="118" t="str">
        <f t="shared" si="26"/>
        <v>листопад</v>
      </c>
      <c r="Z15" s="118" t="str">
        <f t="shared" si="26"/>
        <v>грудень</v>
      </c>
      <c r="AA15" s="118" t="str">
        <f t="shared" si="26"/>
        <v>січень</v>
      </c>
      <c r="AB15" s="118" t="str">
        <f t="shared" si="26"/>
        <v>лютий</v>
      </c>
      <c r="AC15" s="118" t="str">
        <f t="shared" si="26"/>
        <v>березень</v>
      </c>
      <c r="AD15" s="128" t="s">
        <v>82</v>
      </c>
      <c r="AE15" s="128" t="s">
        <v>83</v>
      </c>
      <c r="AF15" s="118" t="str">
        <f t="shared" ref="AF15:AQ15" si="27">AF$6</f>
        <v>квітень</v>
      </c>
      <c r="AG15" s="118" t="str">
        <f t="shared" si="27"/>
        <v>травень</v>
      </c>
      <c r="AH15" s="118" t="str">
        <f t="shared" si="27"/>
        <v>червень</v>
      </c>
      <c r="AI15" s="118" t="str">
        <f t="shared" si="27"/>
        <v>липень</v>
      </c>
      <c r="AJ15" s="118" t="str">
        <f t="shared" si="27"/>
        <v>серпень</v>
      </c>
      <c r="AK15" s="118" t="str">
        <f t="shared" si="27"/>
        <v>вересень</v>
      </c>
      <c r="AL15" s="118" t="str">
        <f t="shared" si="27"/>
        <v>жовтень</v>
      </c>
      <c r="AM15" s="118" t="str">
        <f t="shared" si="27"/>
        <v>листопад</v>
      </c>
      <c r="AN15" s="118" t="str">
        <f t="shared" si="27"/>
        <v>грудень</v>
      </c>
      <c r="AO15" s="118" t="str">
        <f t="shared" si="27"/>
        <v>січень</v>
      </c>
      <c r="AP15" s="118" t="str">
        <f t="shared" si="27"/>
        <v>лютий</v>
      </c>
      <c r="AQ15" s="118" t="str">
        <f t="shared" si="27"/>
        <v>березень</v>
      </c>
      <c r="AR15" s="128" t="s">
        <v>84</v>
      </c>
      <c r="AS15" s="128" t="s">
        <v>85</v>
      </c>
      <c r="AT15" s="532"/>
      <c r="AV15" s="114"/>
    </row>
    <row r="16" spans="1:48" s="136" customFormat="1" ht="21.5" thickTop="1" x14ac:dyDescent="0.5">
      <c r="A16" s="130" t="s">
        <v>87</v>
      </c>
      <c r="B16" s="131" t="str">
        <f>B20</f>
        <v>USD</v>
      </c>
      <c r="C16" s="131"/>
      <c r="D16" s="132">
        <f>'Узагальнений розрахунок'!$C$8*D7</f>
        <v>3.5714285714285716</v>
      </c>
      <c r="E16" s="132">
        <f>'Узагальнений розрахунок'!$C$8*E7</f>
        <v>3.5714285714285716</v>
      </c>
      <c r="F16" s="132">
        <f>'Узагальнений розрахунок'!$C$8*F7</f>
        <v>3.5714285714285716</v>
      </c>
      <c r="G16" s="132">
        <f>'Узагальнений розрахунок'!$C$8*G7</f>
        <v>3.5714285714285716</v>
      </c>
      <c r="H16" s="132">
        <f>'Узагальнений розрахунок'!$C$8*H7</f>
        <v>3.5714285714285716</v>
      </c>
      <c r="I16" s="132">
        <f>'Узагальнений розрахунок'!$C$8*I7</f>
        <v>3.5714285714285716</v>
      </c>
      <c r="J16" s="132">
        <f>'Узагальнений розрахунок'!$C$8*J7</f>
        <v>3.5714285714285716</v>
      </c>
      <c r="K16" s="132">
        <f>'Узагальнений розрахунок'!$C$8*K7</f>
        <v>3.5714285714285716</v>
      </c>
      <c r="L16" s="132">
        <f>'Узагальнений розрахунок'!$C$8*L7</f>
        <v>3.5714285714285716</v>
      </c>
      <c r="M16" s="132">
        <f>'Узагальнений розрахунок'!$C$8*M7</f>
        <v>3.5714285714285716</v>
      </c>
      <c r="N16" s="132">
        <f>'Узагальнений розрахунок'!$C$8*N7</f>
        <v>3.5714285714285716</v>
      </c>
      <c r="O16" s="132">
        <f>'Узагальнений розрахунок'!$C$8*O7</f>
        <v>3.5714285714285716</v>
      </c>
      <c r="P16" s="133">
        <f t="shared" ref="P16" si="28">SUM(D16:O16)</f>
        <v>42.857142857142854</v>
      </c>
      <c r="Q16" s="133">
        <f t="shared" ref="Q16" si="29">P16/12</f>
        <v>3.5714285714285712</v>
      </c>
      <c r="R16" s="132">
        <f>'Узагальнений розрахунок'!$C$8*R7</f>
        <v>3.7500000000000004</v>
      </c>
      <c r="S16" s="132">
        <f>'Узагальнений розрахунок'!$C$8*S7</f>
        <v>3.7500000000000004</v>
      </c>
      <c r="T16" s="132">
        <f>'Узагальнений розрахунок'!$C$8*T7</f>
        <v>3.7500000000000004</v>
      </c>
      <c r="U16" s="132">
        <f>'Узагальнений розрахунок'!$C$8*U7</f>
        <v>3.7500000000000004</v>
      </c>
      <c r="V16" s="132">
        <f>'Узагальнений розрахунок'!$C$8*V7</f>
        <v>3.7500000000000004</v>
      </c>
      <c r="W16" s="132">
        <f>'Узагальнений розрахунок'!$C$8*W7</f>
        <v>3.7500000000000004</v>
      </c>
      <c r="X16" s="132">
        <f>'Узагальнений розрахунок'!$C$8*X7</f>
        <v>3.7500000000000004</v>
      </c>
      <c r="Y16" s="132">
        <f>'Узагальнений розрахунок'!$C$8*Y7</f>
        <v>3.7500000000000004</v>
      </c>
      <c r="Z16" s="132">
        <f>'Узагальнений розрахунок'!$C$8*Z7</f>
        <v>3.7500000000000004</v>
      </c>
      <c r="AA16" s="132">
        <f>'Узагальнений розрахунок'!$C$8*AA7</f>
        <v>3.7500000000000004</v>
      </c>
      <c r="AB16" s="132">
        <f>'Узагальнений розрахунок'!$C$8*AB7</f>
        <v>3.7500000000000004</v>
      </c>
      <c r="AC16" s="132">
        <f>'Узагальнений розрахунок'!$C$8*AC7</f>
        <v>3.7500000000000004</v>
      </c>
      <c r="AD16" s="133">
        <f t="shared" ref="AD16" si="30">SUM(R16:AC16)</f>
        <v>45.000000000000007</v>
      </c>
      <c r="AE16" s="133">
        <f t="shared" ref="AE16" si="31">AD16/12</f>
        <v>3.7500000000000004</v>
      </c>
      <c r="AF16" s="132">
        <f>'Узагальнений розрахунок'!$C$8*AF7</f>
        <v>3.9285714285714293</v>
      </c>
      <c r="AG16" s="132">
        <f>'Узагальнений розрахунок'!$C$8*AG7</f>
        <v>3.9285714285714293</v>
      </c>
      <c r="AH16" s="132">
        <f>'Узагальнений розрахунок'!$C$8*AH7</f>
        <v>3.9285714285714293</v>
      </c>
      <c r="AI16" s="132">
        <f>'Узагальнений розрахунок'!$C$8*AI7</f>
        <v>3.9285714285714293</v>
      </c>
      <c r="AJ16" s="132">
        <f>'Узагальнений розрахунок'!$C$8*AJ7</f>
        <v>3.9285714285714293</v>
      </c>
      <c r="AK16" s="132">
        <f>'Узагальнений розрахунок'!$C$8*AK7</f>
        <v>3.9285714285714293</v>
      </c>
      <c r="AL16" s="132">
        <f>'Узагальнений розрахунок'!$C$8*AL7</f>
        <v>3.9285714285714293</v>
      </c>
      <c r="AM16" s="132">
        <f>'Узагальнений розрахунок'!$C$8*AM7</f>
        <v>3.9285714285714293</v>
      </c>
      <c r="AN16" s="132">
        <f>'Узагальнений розрахунок'!$C$8*AN7</f>
        <v>3.9285714285714293</v>
      </c>
      <c r="AO16" s="132">
        <f>'Узагальнений розрахунок'!$C$8*AO7</f>
        <v>3.9285714285714293</v>
      </c>
      <c r="AP16" s="132">
        <f>'Узагальнений розрахунок'!$C$8*AP7</f>
        <v>3.9285714285714293</v>
      </c>
      <c r="AQ16" s="132">
        <f>'Узагальнений розрахунок'!$C$8*AQ7</f>
        <v>3.9285714285714293</v>
      </c>
      <c r="AR16" s="133">
        <f t="shared" ref="AR16" si="32">SUM(AF16:AQ16)</f>
        <v>47.14285714285716</v>
      </c>
      <c r="AS16" s="133">
        <f t="shared" ref="AS16" si="33">AR16/12</f>
        <v>3.9285714285714302</v>
      </c>
      <c r="AT16" s="134">
        <f t="shared" ref="AT16" si="34">P16+AD16+AR16</f>
        <v>135.00000000000003</v>
      </c>
      <c r="AU16" s="135"/>
    </row>
    <row r="17" spans="1:49" s="142" customFormat="1" x14ac:dyDescent="0.5">
      <c r="A17" s="137"/>
      <c r="B17" s="138"/>
      <c r="C17" s="138"/>
      <c r="D17" s="139"/>
      <c r="E17" s="139"/>
      <c r="F17" s="139"/>
      <c r="G17" s="139"/>
      <c r="H17" s="139"/>
      <c r="I17" s="139"/>
      <c r="J17" s="139"/>
      <c r="K17" s="139"/>
      <c r="L17" s="139"/>
      <c r="M17" s="139"/>
      <c r="N17" s="139"/>
      <c r="O17" s="139"/>
      <c r="P17" s="140"/>
      <c r="Q17" s="140"/>
      <c r="R17" s="139"/>
      <c r="S17" s="139"/>
      <c r="T17" s="139"/>
      <c r="U17" s="139"/>
      <c r="V17" s="139"/>
      <c r="W17" s="139"/>
      <c r="X17" s="139"/>
      <c r="Y17" s="139"/>
      <c r="Z17" s="139"/>
      <c r="AA17" s="139"/>
      <c r="AB17" s="139"/>
      <c r="AC17" s="139"/>
      <c r="AD17" s="140"/>
      <c r="AE17" s="140"/>
      <c r="AF17" s="139"/>
      <c r="AG17" s="139"/>
      <c r="AH17" s="139"/>
      <c r="AI17" s="139"/>
      <c r="AJ17" s="139"/>
      <c r="AK17" s="139"/>
      <c r="AL17" s="139"/>
      <c r="AM17" s="139"/>
      <c r="AN17" s="139"/>
      <c r="AO17" s="139"/>
      <c r="AP17" s="139"/>
      <c r="AQ17" s="139"/>
      <c r="AR17" s="140"/>
      <c r="AS17" s="140"/>
      <c r="AT17" s="134"/>
      <c r="AU17" s="141"/>
    </row>
    <row r="18" spans="1:49" s="136" customFormat="1" x14ac:dyDescent="0.5">
      <c r="A18" s="130" t="s">
        <v>101</v>
      </c>
      <c r="B18" s="131" t="s">
        <v>102</v>
      </c>
      <c r="C18" s="131"/>
      <c r="D18" s="132">
        <f>ROUNDUP(D8*D9*CHOOSE('Узагальнений розрахунок'!$P$1,'Вхідні дані'!$J$11,'Вхідні дані'!$J$12)*D3,0)*'Узагальнений розрахунок'!$I$3</f>
        <v>820</v>
      </c>
      <c r="E18" s="132">
        <f>ROUNDUP(E8*E9*CHOOSE('Узагальнений розрахунок'!$P$1,'Вхідні дані'!$J$11,'Вхідні дані'!$J$12)*E3,0)*'Узагальнений розрахунок'!$I$3</f>
        <v>1180</v>
      </c>
      <c r="F18" s="132">
        <f>ROUNDUP(F8*F9*CHOOSE('Узагальнений розрахунок'!$P$1,'Вхідні дані'!$J$11,'Вхідні дані'!$J$12)*F3,0)*'Узагальнений розрахунок'!$I$3</f>
        <v>1340</v>
      </c>
      <c r="G18" s="132">
        <f>ROUNDUP(G8*G9*CHOOSE('Узагальнений розрахунок'!$P$1,'Вхідні дані'!$J$11,'Вхідні дані'!$J$12)*G3,0)*'Узагальнений розрахунок'!$I$3</f>
        <v>1620</v>
      </c>
      <c r="H18" s="132">
        <f>ROUNDUP(H8*H9*CHOOSE('Узагальнений розрахунок'!$P$1,'Вхідні дані'!$J$11,'Вхідні дані'!$J$12)*H3,0)*'Узагальнений розрахунок'!$I$3</f>
        <v>1620</v>
      </c>
      <c r="I18" s="132">
        <f>ROUNDUP(I8*I9*CHOOSE('Узагальнений розрахунок'!$P$1,'Вхідні дані'!$J$11,'Вхідні дані'!$J$12)*I3,0)*'Узагальнений розрахунок'!$I$3</f>
        <v>1560</v>
      </c>
      <c r="J18" s="132">
        <f>ROUNDUP(J8*J9*CHOOSE('Узагальнений розрахунок'!$P$1,'Вхідні дані'!$J$11,'Вхідні дані'!$J$12)*J3,0)*'Узагальнений розрахунок'!$I$3</f>
        <v>840</v>
      </c>
      <c r="K18" s="132">
        <f>ROUNDUP(K8*K9*CHOOSE('Узагальнений розрахунок'!$P$1,'Вхідні дані'!$J$11,'Вхідні дані'!$J$12)*K3,0)*'Узагальнений розрахунок'!$I$3</f>
        <v>500</v>
      </c>
      <c r="L18" s="132">
        <f>ROUNDUP(L8*L9*CHOOSE('Узагальнений розрахунок'!$P$1,'Вхідні дані'!$J$11,'Вхідні дані'!$J$12)*L3,0)*'Узагальнений розрахунок'!$I$3</f>
        <v>20</v>
      </c>
      <c r="M18" s="132">
        <f>ROUNDUP(M8*M9*CHOOSE('Узагальнений розрахунок'!$P$1,'Вхідні дані'!$J$11,'Вхідні дані'!$J$12)*M3,0)*'Узагальнений розрахунок'!$I$3</f>
        <v>20</v>
      </c>
      <c r="N18" s="132">
        <f>ROUNDUP(N8*N9*CHOOSE('Узагальнений розрахунок'!$P$1,'Вхідні дані'!$J$11,'Вхідні дані'!$J$12)*N3,0)*'Узагальнений розрахунок'!$I$3</f>
        <v>20</v>
      </c>
      <c r="O18" s="132">
        <f>ROUNDUP(O8*O9*CHOOSE('Узагальнений розрахунок'!$P$1,'Вхідні дані'!$J$11,'Вхідні дані'!$J$12)*O3,0)*'Узагальнений розрахунок'!$I$3</f>
        <v>240</v>
      </c>
      <c r="P18" s="133">
        <f t="shared" ref="P18" si="35">SUM(D18:O18)</f>
        <v>9780</v>
      </c>
      <c r="Q18" s="133">
        <f t="shared" ref="Q18" si="36">P18/12</f>
        <v>815</v>
      </c>
      <c r="R18" s="132">
        <f>ROUNDUP(R8*R9*CHOOSE('Узагальнений розрахунок'!$P$1,'Вхідні дані'!$J$11,'Вхідні дані'!$J$12)*R3,0)*'Узагальнений розрахунок'!$I$3</f>
        <v>1480</v>
      </c>
      <c r="S18" s="132">
        <f>ROUNDUP(S8*S9*CHOOSE('Узагальнений розрахунок'!$P$1,'Вхідні дані'!$J$11,'Вхідні дані'!$J$12)*S3,0)*'Узагальнений розрахунок'!$I$3</f>
        <v>1540</v>
      </c>
      <c r="T18" s="132">
        <f>ROUNDUP(T8*T9*CHOOSE('Узагальнений розрахунок'!$P$1,'Вхідні дані'!$J$11,'Вхідні дані'!$J$12)*T3,0)*'Узагальнений розрахунок'!$I$3</f>
        <v>1480</v>
      </c>
      <c r="U18" s="132">
        <f>ROUNDUP(U8*U9*CHOOSE('Узагальнений розрахунок'!$P$1,'Вхідні дані'!$J$11,'Вхідні дані'!$J$12)*U3,0)*'Узагальнений розрахунок'!$I$3</f>
        <v>1780</v>
      </c>
      <c r="V18" s="132">
        <f>ROUNDUP(V8*V9*CHOOSE('Узагальнений розрахунок'!$P$1,'Вхідні дані'!$J$11,'Вхідні дані'!$J$12)*V3,0)*'Узагальнений розрахунок'!$I$3</f>
        <v>1780</v>
      </c>
      <c r="W18" s="132">
        <f>ROUNDUP(W8*W9*CHOOSE('Узагальнений розрахунок'!$P$1,'Вхідні дані'!$J$11,'Вхідні дані'!$J$12)*W3,0)*'Узагальнений розрахунок'!$I$3</f>
        <v>1720</v>
      </c>
      <c r="X18" s="132">
        <f>ROUNDUP(X8*X9*CHOOSE('Узагальнений розрахунок'!$P$1,'Вхідні дані'!$J$11,'Вхідні дані'!$J$12)*X3,0)*'Узагальнений розрахунок'!$I$3</f>
        <v>920</v>
      </c>
      <c r="Y18" s="132">
        <f>ROUNDUP(Y8*Y9*CHOOSE('Узагальнений розрахунок'!$P$1,'Вхідні дані'!$J$11,'Вхідні дані'!$J$12)*Y3,0)*'Узагальнений розрахунок'!$I$3</f>
        <v>560</v>
      </c>
      <c r="Z18" s="132">
        <f>ROUNDUP(Z8*Z9*CHOOSE('Узагальнений розрахунок'!$P$1,'Вхідні дані'!$J$11,'Вхідні дані'!$J$12)*Z3,0)*'Узагальнений розрахунок'!$I$3</f>
        <v>20</v>
      </c>
      <c r="AA18" s="132">
        <f>ROUNDUP(AA8*AA9*CHOOSE('Узагальнений розрахунок'!$P$1,'Вхідні дані'!$J$11,'Вхідні дані'!$J$12)*AA3,0)*'Узагальнений розрахунок'!$I$3</f>
        <v>20</v>
      </c>
      <c r="AB18" s="132">
        <f>ROUNDUP(AB8*AB9*CHOOSE('Узагальнений розрахунок'!$P$1,'Вхідні дані'!$J$11,'Вхідні дані'!$J$12)*AB3,0)*'Узагальнений розрахунок'!$I$3</f>
        <v>20</v>
      </c>
      <c r="AC18" s="132">
        <f>ROUNDUP(AC8*AC9*CHOOSE('Узагальнений розрахунок'!$P$1,'Вхідні дані'!$J$11,'Вхідні дані'!$J$12)*AC3,0)*'Узагальнений розрахунок'!$I$3</f>
        <v>260</v>
      </c>
      <c r="AD18" s="133">
        <f t="shared" ref="AD18" si="37">SUM(R18:AC18)</f>
        <v>11580</v>
      </c>
      <c r="AE18" s="133">
        <f t="shared" ref="AE18" si="38">AD18/12</f>
        <v>965</v>
      </c>
      <c r="AF18" s="132">
        <f>ROUNDUP(AF8*AF9*CHOOSE('Узагальнений розрахунок'!$P$1,'Вхідні дані'!$J$11,'Вхідні дані'!$J$12)*AF3,0)*'Узагальнений розрахунок'!$I$3</f>
        <v>1620</v>
      </c>
      <c r="AG18" s="132">
        <f>ROUNDUP(AG8*AG9*CHOOSE('Узагальнений розрахунок'!$P$1,'Вхідні дані'!$J$11,'Вхідні дані'!$J$12)*AG3,0)*'Узагальнений розрахунок'!$I$3</f>
        <v>1680</v>
      </c>
      <c r="AH18" s="132">
        <f>ROUNDUP(AH8*AH9*CHOOSE('Узагальнений розрахунок'!$P$1,'Вхідні дані'!$J$11,'Вхідні дані'!$J$12)*AH3,0)*'Узагальнений розрахунок'!$I$3</f>
        <v>1620</v>
      </c>
      <c r="AI18" s="132">
        <f>ROUNDUP(AI8*AI9*CHOOSE('Узагальнений розрахунок'!$P$1,'Вхідні дані'!$J$11,'Вхідні дані'!$J$12)*AI3,0)*'Узагальнений розрахунок'!$I$3</f>
        <v>1940</v>
      </c>
      <c r="AJ18" s="132">
        <f>ROUNDUP(AJ8*AJ9*CHOOSE('Узагальнений розрахунок'!$P$1,'Вхідні дані'!$J$11,'Вхідні дані'!$J$12)*AJ3,0)*'Узагальнений розрахунок'!$I$3</f>
        <v>1940</v>
      </c>
      <c r="AK18" s="132">
        <f>ROUNDUP(AK8*AK9*CHOOSE('Узагальнений розрахунок'!$P$1,'Вхідні дані'!$J$11,'Вхідні дані'!$J$12)*AK3,0)*'Узагальнений розрахунок'!$I$3</f>
        <v>1860</v>
      </c>
      <c r="AL18" s="132">
        <f>ROUNDUP(AL8*AL9*CHOOSE('Узагальнений розрахунок'!$P$1,'Вхідні дані'!$J$11,'Вхідні дані'!$J$12)*AL3,0)*'Узагальнений розрахунок'!$I$3</f>
        <v>1000</v>
      </c>
      <c r="AM18" s="132">
        <f>ROUNDUP(AM8*AM9*CHOOSE('Узагальнений розрахунок'!$P$1,'Вхідні дані'!$J$11,'Вхідні дані'!$J$12)*AM3,0)*'Узагальнений розрахунок'!$I$3</f>
        <v>600</v>
      </c>
      <c r="AN18" s="132">
        <f>ROUNDUP(AN8*AN9*CHOOSE('Узагальнений розрахунок'!$P$1,'Вхідні дані'!$J$11,'Вхідні дані'!$J$12)*AN3,0)*'Узагальнений розрахунок'!$I$3</f>
        <v>20</v>
      </c>
      <c r="AO18" s="132">
        <f>ROUNDUP(AO8*AO9*CHOOSE('Узагальнений розрахунок'!$P$1,'Вхідні дані'!$J$11,'Вхідні дані'!$J$12)*AO3,0)*'Узагальнений розрахунок'!$I$3</f>
        <v>20</v>
      </c>
      <c r="AP18" s="132">
        <f>ROUNDUP(AP8*AP9*CHOOSE('Узагальнений розрахунок'!$P$1,'Вхідні дані'!$J$11,'Вхідні дані'!$J$12)*AP3,0)*'Узагальнений розрахунок'!$I$3</f>
        <v>20</v>
      </c>
      <c r="AQ18" s="132">
        <f>ROUNDUP(AQ8*AQ9*CHOOSE('Узагальнений розрахунок'!$P$1,'Вхідні дані'!$J$11,'Вхідні дані'!$J$12)*AQ3,0)*'Узагальнений розрахунок'!$I$3</f>
        <v>280</v>
      </c>
      <c r="AR18" s="133">
        <f t="shared" ref="AR18" si="39">SUM(AF18:AQ18)</f>
        <v>12600</v>
      </c>
      <c r="AS18" s="133">
        <f t="shared" ref="AS18" si="40">AR18/12</f>
        <v>1050</v>
      </c>
      <c r="AT18" s="134">
        <f t="shared" ref="AT18" si="41">P18+AD18+AR18</f>
        <v>33960</v>
      </c>
      <c r="AU18" s="135"/>
    </row>
    <row r="19" spans="1:49" s="142" customFormat="1" x14ac:dyDescent="0.5">
      <c r="A19" s="137"/>
      <c r="B19" s="138"/>
      <c r="C19" s="138"/>
      <c r="D19" s="139"/>
      <c r="E19" s="139"/>
      <c r="F19" s="139"/>
      <c r="G19" s="139"/>
      <c r="H19" s="139"/>
      <c r="I19" s="139"/>
      <c r="J19" s="139"/>
      <c r="K19" s="139"/>
      <c r="L19" s="139"/>
      <c r="M19" s="139"/>
      <c r="N19" s="139"/>
      <c r="O19" s="139"/>
      <c r="P19" s="140"/>
      <c r="Q19" s="140"/>
      <c r="R19" s="139"/>
      <c r="S19" s="139"/>
      <c r="T19" s="139"/>
      <c r="U19" s="139"/>
      <c r="V19" s="139"/>
      <c r="W19" s="139"/>
      <c r="X19" s="139"/>
      <c r="Y19" s="139"/>
      <c r="Z19" s="139"/>
      <c r="AA19" s="139"/>
      <c r="AB19" s="139"/>
      <c r="AC19" s="139"/>
      <c r="AD19" s="140"/>
      <c r="AE19" s="140"/>
      <c r="AF19" s="139"/>
      <c r="AG19" s="139"/>
      <c r="AH19" s="139"/>
      <c r="AI19" s="139"/>
      <c r="AJ19" s="139"/>
      <c r="AK19" s="139"/>
      <c r="AL19" s="139"/>
      <c r="AM19" s="139"/>
      <c r="AN19" s="139"/>
      <c r="AO19" s="139"/>
      <c r="AP19" s="139"/>
      <c r="AQ19" s="139"/>
      <c r="AR19" s="140"/>
      <c r="AS19" s="140"/>
      <c r="AT19" s="134"/>
      <c r="AU19" s="141"/>
    </row>
    <row r="20" spans="1:49" s="136" customFormat="1" x14ac:dyDescent="0.5">
      <c r="A20" s="130" t="s">
        <v>68</v>
      </c>
      <c r="B20" s="131" t="str">
        <f>CHOOSE('Вхідні дані'!$P$1,'Вхідні дані'!$Q$1,'Вхідні дані'!$Q$2,'Вхідні дані'!$Q$3,'Вхідні дані'!$Q$4)</f>
        <v>USD</v>
      </c>
      <c r="C20" s="131"/>
      <c r="D20" s="132">
        <f>D16*D18</f>
        <v>2928.5714285714289</v>
      </c>
      <c r="E20" s="132">
        <f t="shared" ref="E20:O20" si="42">E16*E18</f>
        <v>4214.2857142857147</v>
      </c>
      <c r="F20" s="132">
        <f t="shared" si="42"/>
        <v>4785.7142857142862</v>
      </c>
      <c r="G20" s="132">
        <f t="shared" si="42"/>
        <v>5785.7142857142862</v>
      </c>
      <c r="H20" s="132">
        <f t="shared" si="42"/>
        <v>5785.7142857142862</v>
      </c>
      <c r="I20" s="132">
        <f t="shared" si="42"/>
        <v>5571.4285714285716</v>
      </c>
      <c r="J20" s="132">
        <f t="shared" si="42"/>
        <v>3000</v>
      </c>
      <c r="K20" s="132">
        <f t="shared" si="42"/>
        <v>1785.7142857142858</v>
      </c>
      <c r="L20" s="132">
        <f t="shared" si="42"/>
        <v>71.428571428571431</v>
      </c>
      <c r="M20" s="132">
        <f t="shared" si="42"/>
        <v>71.428571428571431</v>
      </c>
      <c r="N20" s="132">
        <f t="shared" si="42"/>
        <v>71.428571428571431</v>
      </c>
      <c r="O20" s="132">
        <f t="shared" si="42"/>
        <v>857.14285714285722</v>
      </c>
      <c r="P20" s="133">
        <f t="shared" ref="P20" si="43">SUM(D20:O20)</f>
        <v>34928.571428571435</v>
      </c>
      <c r="Q20" s="133">
        <f t="shared" ref="Q20" si="44">P20/12</f>
        <v>2910.7142857142862</v>
      </c>
      <c r="R20" s="132">
        <f>R16*R18</f>
        <v>5550.0000000000009</v>
      </c>
      <c r="S20" s="132">
        <f t="shared" ref="S20:AC20" si="45">S16*S18</f>
        <v>5775.0000000000009</v>
      </c>
      <c r="T20" s="132">
        <f t="shared" si="45"/>
        <v>5550.0000000000009</v>
      </c>
      <c r="U20" s="132">
        <f t="shared" si="45"/>
        <v>6675.0000000000009</v>
      </c>
      <c r="V20" s="132">
        <f t="shared" si="45"/>
        <v>6675.0000000000009</v>
      </c>
      <c r="W20" s="132">
        <f t="shared" si="45"/>
        <v>6450.0000000000009</v>
      </c>
      <c r="X20" s="132">
        <f t="shared" si="45"/>
        <v>3450.0000000000005</v>
      </c>
      <c r="Y20" s="132">
        <f t="shared" si="45"/>
        <v>2100.0000000000005</v>
      </c>
      <c r="Z20" s="132">
        <f t="shared" si="45"/>
        <v>75.000000000000014</v>
      </c>
      <c r="AA20" s="132">
        <f t="shared" si="45"/>
        <v>75.000000000000014</v>
      </c>
      <c r="AB20" s="132">
        <f t="shared" si="45"/>
        <v>75.000000000000014</v>
      </c>
      <c r="AC20" s="132">
        <f t="shared" si="45"/>
        <v>975.00000000000011</v>
      </c>
      <c r="AD20" s="133">
        <f t="shared" ref="AD20" si="46">SUM(R20:AC20)</f>
        <v>43425.000000000007</v>
      </c>
      <c r="AE20" s="133">
        <f t="shared" ref="AE20" si="47">AD20/12</f>
        <v>3618.7500000000005</v>
      </c>
      <c r="AF20" s="132">
        <f>AF16*AF18</f>
        <v>6364.2857142857156</v>
      </c>
      <c r="AG20" s="132">
        <f t="shared" ref="AG20:AQ20" si="48">AG16*AG18</f>
        <v>6600.0000000000009</v>
      </c>
      <c r="AH20" s="132">
        <f t="shared" si="48"/>
        <v>6364.2857142857156</v>
      </c>
      <c r="AI20" s="132">
        <f t="shared" si="48"/>
        <v>7621.4285714285725</v>
      </c>
      <c r="AJ20" s="132">
        <f t="shared" si="48"/>
        <v>7621.4285714285725</v>
      </c>
      <c r="AK20" s="132">
        <f t="shared" si="48"/>
        <v>7307.1428571428587</v>
      </c>
      <c r="AL20" s="132">
        <f t="shared" si="48"/>
        <v>3928.5714285714294</v>
      </c>
      <c r="AM20" s="132">
        <f t="shared" si="48"/>
        <v>2357.1428571428573</v>
      </c>
      <c r="AN20" s="132">
        <f t="shared" si="48"/>
        <v>78.571428571428584</v>
      </c>
      <c r="AO20" s="132">
        <f t="shared" si="48"/>
        <v>78.571428571428584</v>
      </c>
      <c r="AP20" s="132">
        <f t="shared" si="48"/>
        <v>78.571428571428584</v>
      </c>
      <c r="AQ20" s="132">
        <f t="shared" si="48"/>
        <v>1100.0000000000002</v>
      </c>
      <c r="AR20" s="133">
        <f t="shared" ref="AR20" si="49">SUM(AF20:AQ20)</f>
        <v>49500</v>
      </c>
      <c r="AS20" s="133">
        <f t="shared" ref="AS20" si="50">AR20/12</f>
        <v>4125</v>
      </c>
      <c r="AT20" s="134">
        <f t="shared" ref="AT20" si="51">P20+AD20+AR20</f>
        <v>127853.57142857145</v>
      </c>
      <c r="AU20" s="135"/>
    </row>
    <row r="21" spans="1:49" s="147" customFormat="1" x14ac:dyDescent="0.5">
      <c r="A21" s="143" t="s">
        <v>22</v>
      </c>
      <c r="B21" s="144" t="str">
        <f>CHOOSE('Вхідні дані'!$P$1,'Вхідні дані'!$Q$1,'Вхідні дані'!$Q$2,'Вхідні дані'!$Q$3,'Вхідні дані'!$Q$4)</f>
        <v>USD</v>
      </c>
      <c r="C21" s="144"/>
      <c r="D21" s="145">
        <f t="shared" ref="D21:AT21" si="52">SUM(D20:D20)</f>
        <v>2928.5714285714289</v>
      </c>
      <c r="E21" s="145">
        <f t="shared" si="52"/>
        <v>4214.2857142857147</v>
      </c>
      <c r="F21" s="145">
        <f t="shared" si="52"/>
        <v>4785.7142857142862</v>
      </c>
      <c r="G21" s="145">
        <f t="shared" si="52"/>
        <v>5785.7142857142862</v>
      </c>
      <c r="H21" s="145">
        <f t="shared" si="52"/>
        <v>5785.7142857142862</v>
      </c>
      <c r="I21" s="145">
        <f t="shared" si="52"/>
        <v>5571.4285714285716</v>
      </c>
      <c r="J21" s="145">
        <f t="shared" si="52"/>
        <v>3000</v>
      </c>
      <c r="K21" s="145">
        <f t="shared" si="52"/>
        <v>1785.7142857142858</v>
      </c>
      <c r="L21" s="145">
        <f t="shared" si="52"/>
        <v>71.428571428571431</v>
      </c>
      <c r="M21" s="145">
        <f t="shared" si="52"/>
        <v>71.428571428571431</v>
      </c>
      <c r="N21" s="145">
        <f t="shared" si="52"/>
        <v>71.428571428571431</v>
      </c>
      <c r="O21" s="145">
        <f t="shared" si="52"/>
        <v>857.14285714285722</v>
      </c>
      <c r="P21" s="145">
        <f t="shared" si="52"/>
        <v>34928.571428571435</v>
      </c>
      <c r="Q21" s="145">
        <f t="shared" si="52"/>
        <v>2910.7142857142862</v>
      </c>
      <c r="R21" s="145">
        <f t="shared" si="52"/>
        <v>5550.0000000000009</v>
      </c>
      <c r="S21" s="145">
        <f t="shared" si="52"/>
        <v>5775.0000000000009</v>
      </c>
      <c r="T21" s="145">
        <f t="shared" si="52"/>
        <v>5550.0000000000009</v>
      </c>
      <c r="U21" s="145">
        <f t="shared" si="52"/>
        <v>6675.0000000000009</v>
      </c>
      <c r="V21" s="145">
        <f t="shared" si="52"/>
        <v>6675.0000000000009</v>
      </c>
      <c r="W21" s="145">
        <f t="shared" si="52"/>
        <v>6450.0000000000009</v>
      </c>
      <c r="X21" s="145">
        <f t="shared" si="52"/>
        <v>3450.0000000000005</v>
      </c>
      <c r="Y21" s="145">
        <f t="shared" si="52"/>
        <v>2100.0000000000005</v>
      </c>
      <c r="Z21" s="145">
        <f t="shared" si="52"/>
        <v>75.000000000000014</v>
      </c>
      <c r="AA21" s="145">
        <f t="shared" si="52"/>
        <v>75.000000000000014</v>
      </c>
      <c r="AB21" s="145">
        <f t="shared" si="52"/>
        <v>75.000000000000014</v>
      </c>
      <c r="AC21" s="145">
        <f t="shared" si="52"/>
        <v>975.00000000000011</v>
      </c>
      <c r="AD21" s="145">
        <f t="shared" si="52"/>
        <v>43425.000000000007</v>
      </c>
      <c r="AE21" s="145">
        <f t="shared" si="52"/>
        <v>3618.7500000000005</v>
      </c>
      <c r="AF21" s="145">
        <f t="shared" si="52"/>
        <v>6364.2857142857156</v>
      </c>
      <c r="AG21" s="145">
        <f t="shared" si="52"/>
        <v>6600.0000000000009</v>
      </c>
      <c r="AH21" s="145">
        <f t="shared" si="52"/>
        <v>6364.2857142857156</v>
      </c>
      <c r="AI21" s="145">
        <f t="shared" si="52"/>
        <v>7621.4285714285725</v>
      </c>
      <c r="AJ21" s="145">
        <f t="shared" si="52"/>
        <v>7621.4285714285725</v>
      </c>
      <c r="AK21" s="145">
        <f t="shared" si="52"/>
        <v>7307.1428571428587</v>
      </c>
      <c r="AL21" s="145">
        <f t="shared" si="52"/>
        <v>3928.5714285714294</v>
      </c>
      <c r="AM21" s="145">
        <f t="shared" si="52"/>
        <v>2357.1428571428573</v>
      </c>
      <c r="AN21" s="145">
        <f t="shared" si="52"/>
        <v>78.571428571428584</v>
      </c>
      <c r="AO21" s="145">
        <f t="shared" si="52"/>
        <v>78.571428571428584</v>
      </c>
      <c r="AP21" s="145">
        <f t="shared" si="52"/>
        <v>78.571428571428584</v>
      </c>
      <c r="AQ21" s="145">
        <f t="shared" si="52"/>
        <v>1100.0000000000002</v>
      </c>
      <c r="AR21" s="145">
        <f t="shared" si="52"/>
        <v>49500</v>
      </c>
      <c r="AS21" s="145">
        <f t="shared" si="52"/>
        <v>4125</v>
      </c>
      <c r="AT21" s="145">
        <f t="shared" si="52"/>
        <v>127853.57142857145</v>
      </c>
      <c r="AU21" s="146"/>
      <c r="AW21" s="136"/>
    </row>
    <row r="22" spans="1:49" s="147" customFormat="1" ht="21.5" hidden="1" thickBot="1" x14ac:dyDescent="0.55000000000000004">
      <c r="A22" s="148"/>
      <c r="B22" s="149"/>
      <c r="C22" s="149"/>
      <c r="D22" s="150"/>
      <c r="E22" s="150"/>
      <c r="F22" s="150"/>
      <c r="G22" s="151"/>
      <c r="H22" s="150"/>
      <c r="I22" s="150"/>
      <c r="J22" s="150"/>
      <c r="K22" s="150"/>
      <c r="L22" s="150"/>
      <c r="M22" s="150"/>
      <c r="N22" s="150"/>
      <c r="O22" s="150"/>
      <c r="P22" s="150"/>
      <c r="Q22" s="150"/>
      <c r="R22" s="150"/>
      <c r="S22" s="150"/>
      <c r="T22" s="150"/>
      <c r="U22" s="150"/>
      <c r="V22" s="150"/>
      <c r="W22" s="150"/>
      <c r="X22" s="150"/>
      <c r="Y22" s="150"/>
      <c r="Z22" s="150"/>
      <c r="AA22" s="150"/>
      <c r="AB22" s="150"/>
      <c r="AC22" s="150"/>
      <c r="AD22" s="150"/>
      <c r="AE22" s="150"/>
      <c r="AF22" s="150"/>
      <c r="AG22" s="150"/>
      <c r="AH22" s="150"/>
      <c r="AI22" s="150"/>
      <c r="AJ22" s="150"/>
      <c r="AK22" s="150"/>
      <c r="AL22" s="150"/>
      <c r="AM22" s="150"/>
      <c r="AN22" s="150"/>
      <c r="AO22" s="150"/>
      <c r="AP22" s="150"/>
      <c r="AQ22" s="150"/>
      <c r="AR22" s="150"/>
      <c r="AS22" s="150"/>
      <c r="AT22" s="150"/>
      <c r="AU22" s="146"/>
      <c r="AW22" s="136"/>
    </row>
    <row r="23" spans="1:49" s="226" customFormat="1" ht="43" hidden="1" thickTop="1" thickBot="1" x14ac:dyDescent="0.55000000000000004">
      <c r="A23" s="254" t="s">
        <v>64</v>
      </c>
      <c r="B23" s="255"/>
      <c r="C23" s="256" t="str">
        <f t="shared" ref="C23:O23" si="53">C$6</f>
        <v>Нульовий період</v>
      </c>
      <c r="D23" s="256" t="str">
        <f t="shared" si="53"/>
        <v>квітень</v>
      </c>
      <c r="E23" s="256" t="str">
        <f t="shared" si="53"/>
        <v>травень</v>
      </c>
      <c r="F23" s="256" t="str">
        <f t="shared" si="53"/>
        <v>червень</v>
      </c>
      <c r="G23" s="256" t="str">
        <f t="shared" si="53"/>
        <v>липень</v>
      </c>
      <c r="H23" s="256" t="str">
        <f t="shared" si="53"/>
        <v>серпень</v>
      </c>
      <c r="I23" s="256" t="str">
        <f t="shared" si="53"/>
        <v>вересень</v>
      </c>
      <c r="J23" s="256" t="str">
        <f t="shared" si="53"/>
        <v>жовтень</v>
      </c>
      <c r="K23" s="256" t="str">
        <f t="shared" si="53"/>
        <v>листопад</v>
      </c>
      <c r="L23" s="256" t="str">
        <f t="shared" si="53"/>
        <v>грудень</v>
      </c>
      <c r="M23" s="256" t="str">
        <f t="shared" si="53"/>
        <v>січень</v>
      </c>
      <c r="N23" s="256" t="str">
        <f t="shared" si="53"/>
        <v>лютий</v>
      </c>
      <c r="O23" s="256" t="str">
        <f t="shared" si="53"/>
        <v>березень</v>
      </c>
      <c r="P23" s="257" t="str">
        <f>P$15</f>
        <v>Разом за 1-й рік</v>
      </c>
      <c r="Q23" s="257" t="str">
        <f>Q$15</f>
        <v>Середньомісячно за 1-й рік</v>
      </c>
      <c r="R23" s="256" t="str">
        <f t="shared" ref="R23:AC23" si="54">R$6</f>
        <v>квітень</v>
      </c>
      <c r="S23" s="256" t="str">
        <f t="shared" si="54"/>
        <v>травень</v>
      </c>
      <c r="T23" s="256" t="str">
        <f t="shared" si="54"/>
        <v>червень</v>
      </c>
      <c r="U23" s="256" t="str">
        <f t="shared" si="54"/>
        <v>липень</v>
      </c>
      <c r="V23" s="256" t="str">
        <f t="shared" si="54"/>
        <v>серпень</v>
      </c>
      <c r="W23" s="256" t="str">
        <f t="shared" si="54"/>
        <v>вересень</v>
      </c>
      <c r="X23" s="256" t="str">
        <f t="shared" si="54"/>
        <v>жовтень</v>
      </c>
      <c r="Y23" s="256" t="str">
        <f t="shared" si="54"/>
        <v>листопад</v>
      </c>
      <c r="Z23" s="256" t="str">
        <f t="shared" si="54"/>
        <v>грудень</v>
      </c>
      <c r="AA23" s="256" t="str">
        <f t="shared" si="54"/>
        <v>січень</v>
      </c>
      <c r="AB23" s="256" t="str">
        <f t="shared" si="54"/>
        <v>лютий</v>
      </c>
      <c r="AC23" s="256" t="str">
        <f t="shared" si="54"/>
        <v>березень</v>
      </c>
      <c r="AD23" s="257" t="str">
        <f>AD$15</f>
        <v>Разом за 2-й рік</v>
      </c>
      <c r="AE23" s="257" t="str">
        <f>AE$15</f>
        <v>Середньомісячно за 2-й рік</v>
      </c>
      <c r="AF23" s="256" t="str">
        <f t="shared" ref="AF23:AQ23" si="55">AF$6</f>
        <v>квітень</v>
      </c>
      <c r="AG23" s="256" t="str">
        <f t="shared" si="55"/>
        <v>травень</v>
      </c>
      <c r="AH23" s="256" t="str">
        <f t="shared" si="55"/>
        <v>червень</v>
      </c>
      <c r="AI23" s="256" t="str">
        <f t="shared" si="55"/>
        <v>липень</v>
      </c>
      <c r="AJ23" s="256" t="str">
        <f t="shared" si="55"/>
        <v>серпень</v>
      </c>
      <c r="AK23" s="256" t="str">
        <f t="shared" si="55"/>
        <v>вересень</v>
      </c>
      <c r="AL23" s="256" t="str">
        <f t="shared" si="55"/>
        <v>жовтень</v>
      </c>
      <c r="AM23" s="256" t="str">
        <f t="shared" si="55"/>
        <v>листопад</v>
      </c>
      <c r="AN23" s="256" t="str">
        <f t="shared" si="55"/>
        <v>грудень</v>
      </c>
      <c r="AO23" s="256" t="str">
        <f t="shared" si="55"/>
        <v>січень</v>
      </c>
      <c r="AP23" s="256" t="str">
        <f t="shared" si="55"/>
        <v>лютий</v>
      </c>
      <c r="AQ23" s="256" t="str">
        <f t="shared" si="55"/>
        <v>березень</v>
      </c>
      <c r="AR23" s="257" t="str">
        <f>AR$15</f>
        <v>Разом за 3-й рік</v>
      </c>
      <c r="AS23" s="257" t="str">
        <f>AS$15</f>
        <v>Середньомісячно за 3-й рік</v>
      </c>
      <c r="AT23" s="258" t="str">
        <f>AT14</f>
        <v>Разом за три роки</v>
      </c>
      <c r="AV23" s="259"/>
    </row>
    <row r="24" spans="1:49" s="266" customFormat="1" ht="21.5" hidden="1" thickTop="1" x14ac:dyDescent="0.5">
      <c r="A24" s="260"/>
      <c r="B24" s="261" t="str">
        <f>CHOOSE('Вхідні дані'!$P$1,'Вхідні дані'!$Q$1,'Вхідні дані'!$Q$2,'Вхідні дані'!$Q$3,'Вхідні дані'!$Q$4)</f>
        <v>USD</v>
      </c>
      <c r="C24" s="261"/>
      <c r="D24" s="262"/>
      <c r="E24" s="262"/>
      <c r="F24" s="262"/>
      <c r="G24" s="262"/>
      <c r="H24" s="262"/>
      <c r="I24" s="262"/>
      <c r="J24" s="262"/>
      <c r="K24" s="262"/>
      <c r="L24" s="262"/>
      <c r="M24" s="262"/>
      <c r="N24" s="262"/>
      <c r="O24" s="262"/>
      <c r="P24" s="263">
        <f t="shared" ref="P24" si="56">SUM(D24:O24)</f>
        <v>0</v>
      </c>
      <c r="Q24" s="263">
        <f t="shared" ref="Q24" si="57">P24/12</f>
        <v>0</v>
      </c>
      <c r="R24" s="262"/>
      <c r="S24" s="262"/>
      <c r="T24" s="262"/>
      <c r="U24" s="262"/>
      <c r="V24" s="262"/>
      <c r="W24" s="262"/>
      <c r="X24" s="262"/>
      <c r="Y24" s="262"/>
      <c r="Z24" s="262"/>
      <c r="AA24" s="262"/>
      <c r="AB24" s="262"/>
      <c r="AC24" s="262"/>
      <c r="AD24" s="263">
        <f t="shared" ref="AD24" si="58">SUM(R24:AC24)</f>
        <v>0</v>
      </c>
      <c r="AE24" s="263">
        <f t="shared" ref="AE24" si="59">AD24/12</f>
        <v>0</v>
      </c>
      <c r="AF24" s="262"/>
      <c r="AG24" s="262"/>
      <c r="AH24" s="262"/>
      <c r="AI24" s="262"/>
      <c r="AJ24" s="262"/>
      <c r="AK24" s="262"/>
      <c r="AL24" s="262"/>
      <c r="AM24" s="262"/>
      <c r="AN24" s="262"/>
      <c r="AO24" s="262"/>
      <c r="AP24" s="262"/>
      <c r="AQ24" s="262"/>
      <c r="AR24" s="263">
        <f t="shared" ref="AR24" si="60">SUM(AF24:AQ24)</f>
        <v>0</v>
      </c>
      <c r="AS24" s="263">
        <f t="shared" ref="AS24" si="61">AR24/12</f>
        <v>0</v>
      </c>
      <c r="AT24" s="264">
        <f t="shared" ref="AT24" si="62">P24+AD24+AR24</f>
        <v>0</v>
      </c>
      <c r="AU24" s="265"/>
    </row>
    <row r="25" spans="1:49" s="271" customFormat="1" hidden="1" x14ac:dyDescent="0.5">
      <c r="A25" s="267" t="str">
        <f>A21</f>
        <v>Разом</v>
      </c>
      <c r="B25" s="268" t="str">
        <f>CHOOSE('Вхідні дані'!$P$1,'Вхідні дані'!$Q$1,'Вхідні дані'!$Q$2,'Вхідні дані'!$Q$3,'Вхідні дані'!$Q$4)</f>
        <v>USD</v>
      </c>
      <c r="C25" s="268"/>
      <c r="D25" s="269">
        <f t="shared" ref="D25:AT25" si="63">SUM(D24:D24)</f>
        <v>0</v>
      </c>
      <c r="E25" s="269">
        <f t="shared" si="63"/>
        <v>0</v>
      </c>
      <c r="F25" s="269">
        <f t="shared" si="63"/>
        <v>0</v>
      </c>
      <c r="G25" s="269">
        <f t="shared" si="63"/>
        <v>0</v>
      </c>
      <c r="H25" s="269">
        <f t="shared" si="63"/>
        <v>0</v>
      </c>
      <c r="I25" s="269">
        <f t="shared" si="63"/>
        <v>0</v>
      </c>
      <c r="J25" s="269">
        <f t="shared" si="63"/>
        <v>0</v>
      </c>
      <c r="K25" s="269">
        <f t="shared" si="63"/>
        <v>0</v>
      </c>
      <c r="L25" s="269">
        <f t="shared" si="63"/>
        <v>0</v>
      </c>
      <c r="M25" s="269">
        <f t="shared" si="63"/>
        <v>0</v>
      </c>
      <c r="N25" s="269">
        <f t="shared" si="63"/>
        <v>0</v>
      </c>
      <c r="O25" s="269">
        <f t="shared" si="63"/>
        <v>0</v>
      </c>
      <c r="P25" s="269">
        <f t="shared" si="63"/>
        <v>0</v>
      </c>
      <c r="Q25" s="269">
        <f t="shared" si="63"/>
        <v>0</v>
      </c>
      <c r="R25" s="269">
        <f t="shared" si="63"/>
        <v>0</v>
      </c>
      <c r="S25" s="269">
        <f t="shared" si="63"/>
        <v>0</v>
      </c>
      <c r="T25" s="269">
        <f t="shared" si="63"/>
        <v>0</v>
      </c>
      <c r="U25" s="269">
        <f t="shared" si="63"/>
        <v>0</v>
      </c>
      <c r="V25" s="269">
        <f t="shared" si="63"/>
        <v>0</v>
      </c>
      <c r="W25" s="269">
        <f t="shared" si="63"/>
        <v>0</v>
      </c>
      <c r="X25" s="269">
        <f t="shared" si="63"/>
        <v>0</v>
      </c>
      <c r="Y25" s="269">
        <f t="shared" si="63"/>
        <v>0</v>
      </c>
      <c r="Z25" s="269">
        <f t="shared" si="63"/>
        <v>0</v>
      </c>
      <c r="AA25" s="269">
        <f t="shared" si="63"/>
        <v>0</v>
      </c>
      <c r="AB25" s="269">
        <f t="shared" si="63"/>
        <v>0</v>
      </c>
      <c r="AC25" s="269">
        <f t="shared" si="63"/>
        <v>0</v>
      </c>
      <c r="AD25" s="269">
        <f t="shared" si="63"/>
        <v>0</v>
      </c>
      <c r="AE25" s="269">
        <f t="shared" si="63"/>
        <v>0</v>
      </c>
      <c r="AF25" s="269">
        <f t="shared" si="63"/>
        <v>0</v>
      </c>
      <c r="AG25" s="269">
        <f t="shared" si="63"/>
        <v>0</v>
      </c>
      <c r="AH25" s="269">
        <f t="shared" si="63"/>
        <v>0</v>
      </c>
      <c r="AI25" s="269">
        <f t="shared" si="63"/>
        <v>0</v>
      </c>
      <c r="AJ25" s="269">
        <f t="shared" si="63"/>
        <v>0</v>
      </c>
      <c r="AK25" s="269">
        <f t="shared" si="63"/>
        <v>0</v>
      </c>
      <c r="AL25" s="269">
        <f t="shared" si="63"/>
        <v>0</v>
      </c>
      <c r="AM25" s="269">
        <f t="shared" si="63"/>
        <v>0</v>
      </c>
      <c r="AN25" s="269">
        <f t="shared" si="63"/>
        <v>0</v>
      </c>
      <c r="AO25" s="269">
        <f t="shared" si="63"/>
        <v>0</v>
      </c>
      <c r="AP25" s="269">
        <f t="shared" si="63"/>
        <v>0</v>
      </c>
      <c r="AQ25" s="269">
        <f t="shared" si="63"/>
        <v>0</v>
      </c>
      <c r="AR25" s="269">
        <f t="shared" si="63"/>
        <v>0</v>
      </c>
      <c r="AS25" s="269">
        <f t="shared" si="63"/>
        <v>0</v>
      </c>
      <c r="AT25" s="269">
        <f t="shared" si="63"/>
        <v>0</v>
      </c>
      <c r="AU25" s="270"/>
      <c r="AW25" s="266"/>
    </row>
    <row r="26" spans="1:49" s="129" customFormat="1" ht="21.5" thickBot="1" x14ac:dyDescent="0.55000000000000004">
      <c r="A26" s="153"/>
      <c r="B26" s="154"/>
      <c r="C26" s="154"/>
      <c r="D26" s="155"/>
      <c r="E26" s="153"/>
      <c r="F26" s="153"/>
      <c r="G26" s="153"/>
      <c r="H26" s="153"/>
      <c r="I26" s="153"/>
      <c r="J26" s="153"/>
      <c r="K26" s="153"/>
      <c r="P26" s="156"/>
      <c r="Q26" s="156"/>
      <c r="R26" s="155"/>
      <c r="S26" s="153"/>
      <c r="T26" s="153"/>
      <c r="U26" s="153"/>
      <c r="V26" s="153"/>
      <c r="W26" s="153"/>
      <c r="X26" s="153"/>
      <c r="Y26" s="153"/>
      <c r="AD26" s="156"/>
      <c r="AE26" s="156"/>
      <c r="AF26" s="155"/>
      <c r="AG26" s="153"/>
      <c r="AH26" s="153"/>
      <c r="AI26" s="153"/>
      <c r="AJ26" s="153"/>
      <c r="AK26" s="153"/>
      <c r="AL26" s="153"/>
      <c r="AM26" s="153"/>
      <c r="AR26" s="156"/>
      <c r="AS26" s="156"/>
    </row>
    <row r="27" spans="1:49" ht="43" thickTop="1" thickBot="1" x14ac:dyDescent="0.55000000000000004">
      <c r="A27" s="116" t="s">
        <v>65</v>
      </c>
      <c r="B27" s="157"/>
      <c r="C27" s="117" t="str">
        <f t="shared" ref="C27:O27" si="64">C$6</f>
        <v>Нульовий період</v>
      </c>
      <c r="D27" s="117" t="str">
        <f t="shared" si="64"/>
        <v>квітень</v>
      </c>
      <c r="E27" s="117" t="str">
        <f t="shared" si="64"/>
        <v>травень</v>
      </c>
      <c r="F27" s="117" t="str">
        <f t="shared" si="64"/>
        <v>червень</v>
      </c>
      <c r="G27" s="117" t="str">
        <f t="shared" si="64"/>
        <v>липень</v>
      </c>
      <c r="H27" s="117" t="str">
        <f t="shared" si="64"/>
        <v>серпень</v>
      </c>
      <c r="I27" s="117" t="str">
        <f t="shared" si="64"/>
        <v>вересень</v>
      </c>
      <c r="J27" s="117" t="str">
        <f t="shared" si="64"/>
        <v>жовтень</v>
      </c>
      <c r="K27" s="117" t="str">
        <f t="shared" si="64"/>
        <v>листопад</v>
      </c>
      <c r="L27" s="117" t="str">
        <f t="shared" si="64"/>
        <v>грудень</v>
      </c>
      <c r="M27" s="117" t="str">
        <f t="shared" si="64"/>
        <v>січень</v>
      </c>
      <c r="N27" s="117" t="str">
        <f t="shared" si="64"/>
        <v>лютий</v>
      </c>
      <c r="O27" s="117" t="str">
        <f t="shared" si="64"/>
        <v>березень</v>
      </c>
      <c r="P27" s="158" t="str">
        <f>$P$15</f>
        <v>Разом за 1-й рік</v>
      </c>
      <c r="Q27" s="158" t="str">
        <f>$Q$15</f>
        <v>Середньомісячно за 1-й рік</v>
      </c>
      <c r="R27" s="117" t="str">
        <f t="shared" ref="R27:AC27" si="65">R$6</f>
        <v>квітень</v>
      </c>
      <c r="S27" s="117" t="str">
        <f t="shared" si="65"/>
        <v>травень</v>
      </c>
      <c r="T27" s="117" t="str">
        <f t="shared" si="65"/>
        <v>червень</v>
      </c>
      <c r="U27" s="117" t="str">
        <f t="shared" si="65"/>
        <v>липень</v>
      </c>
      <c r="V27" s="117" t="str">
        <f t="shared" si="65"/>
        <v>серпень</v>
      </c>
      <c r="W27" s="117" t="str">
        <f t="shared" si="65"/>
        <v>вересень</v>
      </c>
      <c r="X27" s="117" t="str">
        <f t="shared" si="65"/>
        <v>жовтень</v>
      </c>
      <c r="Y27" s="117" t="str">
        <f t="shared" si="65"/>
        <v>листопад</v>
      </c>
      <c r="Z27" s="117" t="str">
        <f t="shared" si="65"/>
        <v>грудень</v>
      </c>
      <c r="AA27" s="117" t="str">
        <f t="shared" si="65"/>
        <v>січень</v>
      </c>
      <c r="AB27" s="117" t="str">
        <f t="shared" si="65"/>
        <v>лютий</v>
      </c>
      <c r="AC27" s="117" t="str">
        <f t="shared" si="65"/>
        <v>березень</v>
      </c>
      <c r="AD27" s="158" t="str">
        <f>$AD$15</f>
        <v>Разом за 2-й рік</v>
      </c>
      <c r="AE27" s="158" t="str">
        <f>$AE$15</f>
        <v>Середньомісячно за 2-й рік</v>
      </c>
      <c r="AF27" s="117" t="str">
        <f t="shared" ref="AF27:AQ27" si="66">AF$6</f>
        <v>квітень</v>
      </c>
      <c r="AG27" s="117" t="str">
        <f t="shared" si="66"/>
        <v>травень</v>
      </c>
      <c r="AH27" s="117" t="str">
        <f t="shared" si="66"/>
        <v>червень</v>
      </c>
      <c r="AI27" s="117" t="str">
        <f t="shared" si="66"/>
        <v>липень</v>
      </c>
      <c r="AJ27" s="117" t="str">
        <f t="shared" si="66"/>
        <v>серпень</v>
      </c>
      <c r="AK27" s="117" t="str">
        <f t="shared" si="66"/>
        <v>вересень</v>
      </c>
      <c r="AL27" s="117" t="str">
        <f t="shared" si="66"/>
        <v>жовтень</v>
      </c>
      <c r="AM27" s="117" t="str">
        <f t="shared" si="66"/>
        <v>листопад</v>
      </c>
      <c r="AN27" s="117" t="str">
        <f t="shared" si="66"/>
        <v>грудень</v>
      </c>
      <c r="AO27" s="117" t="str">
        <f t="shared" si="66"/>
        <v>січень</v>
      </c>
      <c r="AP27" s="117" t="str">
        <f t="shared" si="66"/>
        <v>лютий</v>
      </c>
      <c r="AQ27" s="117" t="str">
        <f t="shared" si="66"/>
        <v>березень</v>
      </c>
      <c r="AR27" s="158" t="str">
        <f>AR15</f>
        <v>Разом за 3-й рік</v>
      </c>
      <c r="AS27" s="158" t="str">
        <f>AS15</f>
        <v>Середньомісячно за 3-й рік</v>
      </c>
      <c r="AT27" s="152" t="str">
        <f>AT14</f>
        <v>Разом за три роки</v>
      </c>
    </row>
    <row r="28" spans="1:49" s="162" customFormat="1" ht="21.5" thickTop="1" x14ac:dyDescent="0.5">
      <c r="A28" s="159" t="str">
        <f>'Узагальнений розрахунок'!B27</f>
        <v>Авансовий платіж по оренді</v>
      </c>
      <c r="B28" s="149" t="str">
        <f>CHOOSE('Вхідні дані'!$P$1,'Вхідні дані'!$Q$1,'Вхідні дані'!$Q$2,'Вхідні дані'!$Q$3,'Вхідні дані'!$Q$4)</f>
        <v>USD</v>
      </c>
      <c r="C28" s="160">
        <f>'Узагальнений розрахунок'!D27</f>
        <v>200</v>
      </c>
      <c r="D28" s="160"/>
      <c r="E28" s="160"/>
      <c r="F28" s="160"/>
      <c r="G28" s="160"/>
      <c r="H28" s="160"/>
      <c r="I28" s="160"/>
      <c r="J28" s="160"/>
      <c r="K28" s="160"/>
      <c r="L28" s="160"/>
      <c r="M28" s="160"/>
      <c r="N28" s="160"/>
      <c r="O28" s="160"/>
      <c r="P28" s="150">
        <f>SUM(C28:O28)</f>
        <v>200</v>
      </c>
      <c r="Q28" s="150"/>
      <c r="R28" s="160"/>
      <c r="S28" s="160"/>
      <c r="T28" s="160"/>
      <c r="U28" s="160"/>
      <c r="V28" s="160"/>
      <c r="W28" s="160"/>
      <c r="X28" s="160"/>
      <c r="Y28" s="160"/>
      <c r="Z28" s="160"/>
      <c r="AA28" s="160"/>
      <c r="AB28" s="160"/>
      <c r="AC28" s="160"/>
      <c r="AD28" s="150">
        <f t="shared" ref="AD28:AD37" si="67">SUM(R28:AC28)</f>
        <v>0</v>
      </c>
      <c r="AE28" s="150"/>
      <c r="AF28" s="160"/>
      <c r="AG28" s="160"/>
      <c r="AH28" s="160"/>
      <c r="AI28" s="160"/>
      <c r="AJ28" s="160"/>
      <c r="AK28" s="160"/>
      <c r="AL28" s="160"/>
      <c r="AM28" s="160"/>
      <c r="AN28" s="160"/>
      <c r="AO28" s="160"/>
      <c r="AP28" s="160"/>
      <c r="AQ28" s="160"/>
      <c r="AR28" s="150">
        <f t="shared" ref="AR28:AR37" si="68">SUM(AF28:AQ28)</f>
        <v>0</v>
      </c>
      <c r="AS28" s="150"/>
      <c r="AT28" s="134">
        <f t="shared" ref="AT28:AT38" si="69">P28+AD28+AR28</f>
        <v>200</v>
      </c>
      <c r="AU28" s="161"/>
    </row>
    <row r="29" spans="1:49" s="136" customFormat="1" x14ac:dyDescent="0.5">
      <c r="A29" s="130" t="str">
        <f>'Узагальнений розрахунок'!B28</f>
        <v>Ремонт приміщення</v>
      </c>
      <c r="B29" s="131" t="str">
        <f>CHOOSE('Вхідні дані'!$P$1,'Вхідні дані'!$Q$1,'Вхідні дані'!$Q$2,'Вхідні дані'!$Q$3,'Вхідні дані'!$Q$4)</f>
        <v>USD</v>
      </c>
      <c r="C29" s="132">
        <f>'Узагальнений розрахунок'!D28</f>
        <v>0</v>
      </c>
      <c r="D29" s="132"/>
      <c r="E29" s="132"/>
      <c r="F29" s="132"/>
      <c r="G29" s="132"/>
      <c r="H29" s="132"/>
      <c r="I29" s="132"/>
      <c r="J29" s="132"/>
      <c r="K29" s="132"/>
      <c r="L29" s="132"/>
      <c r="M29" s="132"/>
      <c r="N29" s="132"/>
      <c r="O29" s="132"/>
      <c r="P29" s="133">
        <f t="shared" ref="P29:P37" si="70">SUM(C29:O29)</f>
        <v>0</v>
      </c>
      <c r="Q29" s="133"/>
      <c r="R29" s="132"/>
      <c r="S29" s="132"/>
      <c r="T29" s="132"/>
      <c r="U29" s="132"/>
      <c r="V29" s="132"/>
      <c r="W29" s="132"/>
      <c r="X29" s="132"/>
      <c r="Y29" s="132"/>
      <c r="Z29" s="132"/>
      <c r="AA29" s="132"/>
      <c r="AB29" s="132"/>
      <c r="AC29" s="132"/>
      <c r="AD29" s="133">
        <f t="shared" ref="AD29" si="71">SUM(R29:AC29)</f>
        <v>0</v>
      </c>
      <c r="AE29" s="133"/>
      <c r="AF29" s="132"/>
      <c r="AG29" s="132"/>
      <c r="AH29" s="132"/>
      <c r="AI29" s="132"/>
      <c r="AJ29" s="132"/>
      <c r="AK29" s="132"/>
      <c r="AL29" s="132"/>
      <c r="AM29" s="132"/>
      <c r="AN29" s="132"/>
      <c r="AO29" s="132"/>
      <c r="AP29" s="132"/>
      <c r="AQ29" s="132"/>
      <c r="AR29" s="133">
        <f t="shared" ref="AR29" si="72">SUM(AF29:AQ29)</f>
        <v>0</v>
      </c>
      <c r="AS29" s="133"/>
      <c r="AT29" s="134">
        <f t="shared" ref="AT29" si="73">P29+AD29+AR29</f>
        <v>0</v>
      </c>
      <c r="AU29" s="135"/>
    </row>
    <row r="30" spans="1:49" s="162" customFormat="1" x14ac:dyDescent="0.5">
      <c r="A30" s="159" t="str">
        <f>'Узагальнений розрахунок'!B29</f>
        <v>Сигналізація (охоронна та пожежна)</v>
      </c>
      <c r="B30" s="149" t="str">
        <f>CHOOSE('Вхідні дані'!$P$1,'Вхідні дані'!$Q$1,'Вхідні дані'!$Q$2,'Вхідні дані'!$Q$3,'Вхідні дані'!$Q$4)</f>
        <v>USD</v>
      </c>
      <c r="C30" s="160">
        <f>'Узагальнений розрахунок'!D29</f>
        <v>300</v>
      </c>
      <c r="D30" s="160"/>
      <c r="E30" s="160"/>
      <c r="F30" s="160"/>
      <c r="G30" s="160"/>
      <c r="H30" s="160"/>
      <c r="I30" s="160"/>
      <c r="J30" s="160"/>
      <c r="K30" s="160"/>
      <c r="L30" s="160"/>
      <c r="M30" s="160"/>
      <c r="N30" s="160"/>
      <c r="O30" s="160"/>
      <c r="P30" s="150">
        <f t="shared" ref="P30:P32" si="74">SUM(C30:O30)</f>
        <v>300</v>
      </c>
      <c r="Q30" s="150"/>
      <c r="R30" s="160"/>
      <c r="S30" s="160"/>
      <c r="T30" s="160"/>
      <c r="U30" s="160"/>
      <c r="V30" s="160"/>
      <c r="W30" s="160"/>
      <c r="X30" s="160"/>
      <c r="Y30" s="160"/>
      <c r="Z30" s="160"/>
      <c r="AA30" s="160"/>
      <c r="AB30" s="160"/>
      <c r="AC30" s="160"/>
      <c r="AD30" s="150">
        <f t="shared" ref="AD30:AD32" si="75">SUM(R30:AC30)</f>
        <v>0</v>
      </c>
      <c r="AE30" s="150"/>
      <c r="AF30" s="160"/>
      <c r="AG30" s="160"/>
      <c r="AH30" s="160"/>
      <c r="AI30" s="160"/>
      <c r="AJ30" s="160"/>
      <c r="AK30" s="160"/>
      <c r="AL30" s="160"/>
      <c r="AM30" s="160"/>
      <c r="AN30" s="160"/>
      <c r="AO30" s="160"/>
      <c r="AP30" s="160"/>
      <c r="AQ30" s="160"/>
      <c r="AR30" s="150">
        <f t="shared" ref="AR30:AR32" si="76">SUM(AF30:AQ30)</f>
        <v>0</v>
      </c>
      <c r="AS30" s="150"/>
      <c r="AT30" s="134">
        <f t="shared" ref="AT30:AT32" si="77">P30+AD30+AR30</f>
        <v>300</v>
      </c>
      <c r="AU30" s="161"/>
    </row>
    <row r="31" spans="1:49" s="136" customFormat="1" x14ac:dyDescent="0.5">
      <c r="A31" s="130" t="str">
        <f>'Узагальнений розрахунок'!B30</f>
        <v>Відеоспостереження</v>
      </c>
      <c r="B31" s="131" t="str">
        <f>CHOOSE('Вхідні дані'!$P$1,'Вхідні дані'!$Q$1,'Вхідні дані'!$Q$2,'Вхідні дані'!$Q$3,'Вхідні дані'!$Q$4)</f>
        <v>USD</v>
      </c>
      <c r="C31" s="132">
        <f>'Узагальнений розрахунок'!D30</f>
        <v>300</v>
      </c>
      <c r="D31" s="132"/>
      <c r="E31" s="132"/>
      <c r="F31" s="132"/>
      <c r="G31" s="132"/>
      <c r="H31" s="132"/>
      <c r="I31" s="132"/>
      <c r="J31" s="132"/>
      <c r="K31" s="132"/>
      <c r="L31" s="132"/>
      <c r="M31" s="132"/>
      <c r="N31" s="132"/>
      <c r="O31" s="132"/>
      <c r="P31" s="133">
        <f t="shared" si="74"/>
        <v>300</v>
      </c>
      <c r="Q31" s="133"/>
      <c r="R31" s="132"/>
      <c r="S31" s="132"/>
      <c r="T31" s="132"/>
      <c r="U31" s="132"/>
      <c r="V31" s="132"/>
      <c r="W31" s="132"/>
      <c r="X31" s="132"/>
      <c r="Y31" s="132"/>
      <c r="Z31" s="132"/>
      <c r="AA31" s="132"/>
      <c r="AB31" s="132"/>
      <c r="AC31" s="132"/>
      <c r="AD31" s="133">
        <f t="shared" si="75"/>
        <v>0</v>
      </c>
      <c r="AE31" s="133"/>
      <c r="AF31" s="132"/>
      <c r="AG31" s="132"/>
      <c r="AH31" s="132"/>
      <c r="AI31" s="132"/>
      <c r="AJ31" s="132"/>
      <c r="AK31" s="132"/>
      <c r="AL31" s="132"/>
      <c r="AM31" s="132"/>
      <c r="AN31" s="132"/>
      <c r="AO31" s="132"/>
      <c r="AP31" s="132"/>
      <c r="AQ31" s="132"/>
      <c r="AR31" s="133">
        <f t="shared" si="76"/>
        <v>0</v>
      </c>
      <c r="AS31" s="133"/>
      <c r="AT31" s="134">
        <f t="shared" si="77"/>
        <v>300</v>
      </c>
      <c r="AU31" s="135"/>
    </row>
    <row r="32" spans="1:49" s="162" customFormat="1" x14ac:dyDescent="0.5">
      <c r="A32" s="159" t="str">
        <f>'Узагальнений розрахунок'!B31</f>
        <v>Меблі та комп'ютерна техніка</v>
      </c>
      <c r="B32" s="149" t="str">
        <f>CHOOSE('Вхідні дані'!$P$1,'Вхідні дані'!$Q$1,'Вхідні дані'!$Q$2,'Вхідні дані'!$Q$3,'Вхідні дані'!$Q$4)</f>
        <v>USD</v>
      </c>
      <c r="C32" s="160">
        <f>'Узагальнений розрахунок'!D31</f>
        <v>500</v>
      </c>
      <c r="D32" s="160"/>
      <c r="E32" s="160"/>
      <c r="F32" s="160"/>
      <c r="G32" s="160"/>
      <c r="H32" s="160"/>
      <c r="I32" s="160"/>
      <c r="J32" s="160"/>
      <c r="K32" s="160"/>
      <c r="L32" s="160"/>
      <c r="M32" s="160"/>
      <c r="N32" s="160"/>
      <c r="O32" s="160"/>
      <c r="P32" s="150">
        <f t="shared" si="74"/>
        <v>500</v>
      </c>
      <c r="Q32" s="150"/>
      <c r="R32" s="160"/>
      <c r="S32" s="160"/>
      <c r="T32" s="160"/>
      <c r="U32" s="160"/>
      <c r="V32" s="160"/>
      <c r="W32" s="160"/>
      <c r="X32" s="160"/>
      <c r="Y32" s="160"/>
      <c r="Z32" s="160"/>
      <c r="AA32" s="160"/>
      <c r="AB32" s="160"/>
      <c r="AC32" s="160"/>
      <c r="AD32" s="150">
        <f t="shared" si="75"/>
        <v>0</v>
      </c>
      <c r="AE32" s="150"/>
      <c r="AF32" s="160"/>
      <c r="AG32" s="160"/>
      <c r="AH32" s="160"/>
      <c r="AI32" s="160"/>
      <c r="AJ32" s="160"/>
      <c r="AK32" s="160"/>
      <c r="AL32" s="160"/>
      <c r="AM32" s="160"/>
      <c r="AN32" s="160"/>
      <c r="AO32" s="160"/>
      <c r="AP32" s="160"/>
      <c r="AQ32" s="160"/>
      <c r="AR32" s="150">
        <f t="shared" si="76"/>
        <v>0</v>
      </c>
      <c r="AS32" s="150"/>
      <c r="AT32" s="134">
        <f t="shared" si="77"/>
        <v>500</v>
      </c>
      <c r="AU32" s="161"/>
    </row>
    <row r="33" spans="1:47" s="136" customFormat="1" x14ac:dyDescent="0.5">
      <c r="A33" s="130" t="str">
        <f>'Узагальнений розрахунок'!B32</f>
        <v>Обладнання для паркування самокатів</v>
      </c>
      <c r="B33" s="131" t="str">
        <f>CHOOSE('Вхідні дані'!$P$1,'Вхідні дані'!$Q$1,'Вхідні дані'!$Q$2,'Вхідні дані'!$Q$3,'Вхідні дані'!$Q$4)</f>
        <v>USD</v>
      </c>
      <c r="C33" s="132">
        <f>'Узагальнений розрахунок'!D32</f>
        <v>0</v>
      </c>
      <c r="D33" s="132"/>
      <c r="E33" s="132"/>
      <c r="F33" s="132"/>
      <c r="G33" s="132"/>
      <c r="H33" s="132"/>
      <c r="I33" s="132"/>
      <c r="J33" s="132"/>
      <c r="K33" s="132"/>
      <c r="L33" s="132"/>
      <c r="M33" s="132"/>
      <c r="N33" s="132"/>
      <c r="O33" s="132"/>
      <c r="P33" s="133">
        <f t="shared" ref="P33" si="78">SUM(C33:O33)</f>
        <v>0</v>
      </c>
      <c r="Q33" s="133"/>
      <c r="R33" s="132"/>
      <c r="S33" s="132"/>
      <c r="T33" s="132"/>
      <c r="U33" s="132"/>
      <c r="V33" s="132"/>
      <c r="W33" s="132"/>
      <c r="X33" s="132"/>
      <c r="Y33" s="132"/>
      <c r="Z33" s="132"/>
      <c r="AA33" s="132"/>
      <c r="AB33" s="132"/>
      <c r="AC33" s="132"/>
      <c r="AD33" s="133">
        <f t="shared" ref="AD33" si="79">SUM(R33:AC33)</f>
        <v>0</v>
      </c>
      <c r="AE33" s="133"/>
      <c r="AF33" s="132"/>
      <c r="AG33" s="132"/>
      <c r="AH33" s="132"/>
      <c r="AI33" s="132"/>
      <c r="AJ33" s="132"/>
      <c r="AK33" s="132"/>
      <c r="AL33" s="132"/>
      <c r="AM33" s="132"/>
      <c r="AN33" s="132"/>
      <c r="AO33" s="132"/>
      <c r="AP33" s="132"/>
      <c r="AQ33" s="132"/>
      <c r="AR33" s="133">
        <f t="shared" ref="AR33" si="80">SUM(AF33:AQ33)</f>
        <v>0</v>
      </c>
      <c r="AS33" s="133"/>
      <c r="AT33" s="134">
        <f t="shared" ref="AT33" si="81">P33+AD33+AR33</f>
        <v>0</v>
      </c>
      <c r="AU33" s="135"/>
    </row>
    <row r="34" spans="1:47" s="162" customFormat="1" x14ac:dyDescent="0.5">
      <c r="A34" s="159" t="str">
        <f>'Узагальнений розрахунок'!B33</f>
        <v>Вартість самокатів</v>
      </c>
      <c r="B34" s="149" t="str">
        <f>CHOOSE('Вхідні дані'!$P$1,'Вхідні дані'!$Q$1,'Вхідні дані'!$Q$2,'Вхідні дані'!$Q$3,'Вхідні дані'!$Q$4)</f>
        <v>USD</v>
      </c>
      <c r="C34" s="160">
        <f>'Узагальнений розрахунок'!D33</f>
        <v>12000</v>
      </c>
      <c r="D34" s="160"/>
      <c r="E34" s="160"/>
      <c r="F34" s="160"/>
      <c r="G34" s="160"/>
      <c r="H34" s="160"/>
      <c r="I34" s="160"/>
      <c r="J34" s="160"/>
      <c r="K34" s="160"/>
      <c r="L34" s="160"/>
      <c r="M34" s="160"/>
      <c r="N34" s="160"/>
      <c r="O34" s="160"/>
      <c r="P34" s="150">
        <f t="shared" ref="P34" si="82">SUM(C34:O34)</f>
        <v>12000</v>
      </c>
      <c r="Q34" s="150"/>
      <c r="R34" s="160"/>
      <c r="S34" s="160"/>
      <c r="T34" s="160"/>
      <c r="U34" s="160"/>
      <c r="V34" s="160"/>
      <c r="W34" s="160"/>
      <c r="X34" s="160"/>
      <c r="Y34" s="160"/>
      <c r="Z34" s="160"/>
      <c r="AA34" s="160"/>
      <c r="AB34" s="160"/>
      <c r="AC34" s="160"/>
      <c r="AD34" s="150">
        <f t="shared" ref="AD34" si="83">SUM(R34:AC34)</f>
        <v>0</v>
      </c>
      <c r="AE34" s="150"/>
      <c r="AF34" s="160"/>
      <c r="AG34" s="160"/>
      <c r="AH34" s="160"/>
      <c r="AI34" s="160"/>
      <c r="AJ34" s="160"/>
      <c r="AK34" s="160"/>
      <c r="AL34" s="160"/>
      <c r="AM34" s="160"/>
      <c r="AN34" s="160"/>
      <c r="AO34" s="160"/>
      <c r="AP34" s="160"/>
      <c r="AQ34" s="160"/>
      <c r="AR34" s="150">
        <f t="shared" ref="AR34" si="84">SUM(AF34:AQ34)</f>
        <v>0</v>
      </c>
      <c r="AS34" s="150"/>
      <c r="AT34" s="134">
        <f t="shared" ref="AT34" si="85">P34+AD34+AR34</f>
        <v>12000</v>
      </c>
      <c r="AU34" s="161"/>
    </row>
    <row r="35" spans="1:47" s="136" customFormat="1" x14ac:dyDescent="0.5">
      <c r="A35" s="130" t="str">
        <f>'Узагальнений розрахунок'!B34</f>
        <v>Рекламна кампанія до відкриття</v>
      </c>
      <c r="B35" s="131" t="str">
        <f>CHOOSE('Вхідні дані'!$P$1,'Вхідні дані'!$Q$1,'Вхідні дані'!$Q$2,'Вхідні дані'!$Q$3,'Вхідні дані'!$Q$4)</f>
        <v>USD</v>
      </c>
      <c r="C35" s="132">
        <f>'Узагальнений розрахунок'!D34</f>
        <v>200</v>
      </c>
      <c r="D35" s="132"/>
      <c r="E35" s="132"/>
      <c r="F35" s="132"/>
      <c r="G35" s="132"/>
      <c r="H35" s="132"/>
      <c r="I35" s="132"/>
      <c r="J35" s="132"/>
      <c r="K35" s="132"/>
      <c r="L35" s="132"/>
      <c r="M35" s="132"/>
      <c r="N35" s="132"/>
      <c r="O35" s="132"/>
      <c r="P35" s="133">
        <f t="shared" si="70"/>
        <v>200</v>
      </c>
      <c r="Q35" s="133"/>
      <c r="R35" s="132"/>
      <c r="S35" s="132"/>
      <c r="T35" s="132"/>
      <c r="U35" s="132"/>
      <c r="V35" s="132"/>
      <c r="W35" s="132"/>
      <c r="X35" s="132"/>
      <c r="Y35" s="132"/>
      <c r="Z35" s="132"/>
      <c r="AA35" s="132"/>
      <c r="AB35" s="132"/>
      <c r="AC35" s="132"/>
      <c r="AD35" s="133">
        <f t="shared" si="67"/>
        <v>0</v>
      </c>
      <c r="AE35" s="133"/>
      <c r="AF35" s="132"/>
      <c r="AG35" s="132"/>
      <c r="AH35" s="132"/>
      <c r="AI35" s="132"/>
      <c r="AJ35" s="132"/>
      <c r="AK35" s="132"/>
      <c r="AL35" s="132"/>
      <c r="AM35" s="132"/>
      <c r="AN35" s="132"/>
      <c r="AO35" s="132"/>
      <c r="AP35" s="132"/>
      <c r="AQ35" s="132"/>
      <c r="AR35" s="133">
        <f t="shared" si="68"/>
        <v>0</v>
      </c>
      <c r="AS35" s="133"/>
      <c r="AT35" s="134">
        <f t="shared" si="69"/>
        <v>200</v>
      </c>
      <c r="AU35" s="135"/>
    </row>
    <row r="36" spans="1:47" s="162" customFormat="1" x14ac:dyDescent="0.5">
      <c r="A36" s="159" t="str">
        <f>'Узагальнений розрахунок'!B35</f>
        <v>Паушальний внесок</v>
      </c>
      <c r="B36" s="149" t="str">
        <f>CHOOSE('Вхідні дані'!$P$1,'Вхідні дані'!$Q$1,'Вхідні дані'!$Q$2,'Вхідні дані'!$Q$3,'Вхідні дані'!$Q$4)</f>
        <v>USD</v>
      </c>
      <c r="C36" s="160">
        <f>'Узагальнений розрахунок'!D35</f>
        <v>500</v>
      </c>
      <c r="D36" s="160"/>
      <c r="E36" s="160"/>
      <c r="F36" s="160"/>
      <c r="G36" s="160"/>
      <c r="H36" s="160"/>
      <c r="I36" s="160"/>
      <c r="J36" s="160"/>
      <c r="K36" s="160"/>
      <c r="L36" s="160"/>
      <c r="M36" s="160"/>
      <c r="N36" s="160"/>
      <c r="O36" s="160"/>
      <c r="P36" s="150">
        <f t="shared" si="70"/>
        <v>500</v>
      </c>
      <c r="Q36" s="150"/>
      <c r="R36" s="160"/>
      <c r="S36" s="160"/>
      <c r="T36" s="160"/>
      <c r="U36" s="160"/>
      <c r="V36" s="160"/>
      <c r="W36" s="160"/>
      <c r="X36" s="160"/>
      <c r="Y36" s="160"/>
      <c r="Z36" s="160"/>
      <c r="AA36" s="160"/>
      <c r="AB36" s="160"/>
      <c r="AC36" s="160"/>
      <c r="AD36" s="150">
        <f t="shared" si="67"/>
        <v>0</v>
      </c>
      <c r="AE36" s="150"/>
      <c r="AF36" s="160"/>
      <c r="AG36" s="160"/>
      <c r="AH36" s="160"/>
      <c r="AI36" s="160"/>
      <c r="AJ36" s="160"/>
      <c r="AK36" s="160"/>
      <c r="AL36" s="160"/>
      <c r="AM36" s="160"/>
      <c r="AN36" s="160"/>
      <c r="AO36" s="160"/>
      <c r="AP36" s="160"/>
      <c r="AQ36" s="160"/>
      <c r="AR36" s="150">
        <f t="shared" si="68"/>
        <v>0</v>
      </c>
      <c r="AS36" s="150"/>
      <c r="AT36" s="134">
        <f t="shared" si="69"/>
        <v>500</v>
      </c>
      <c r="AU36" s="161"/>
    </row>
    <row r="37" spans="1:47" s="136" customFormat="1" x14ac:dyDescent="0.5">
      <c r="A37" s="130" t="str">
        <f>'Узагальнений розрахунок'!B36</f>
        <v>Інше</v>
      </c>
      <c r="B37" s="131" t="str">
        <f>CHOOSE('Вхідні дані'!$P$1,'Вхідні дані'!$Q$1,'Вхідні дані'!$Q$2,'Вхідні дані'!$Q$3,'Вхідні дані'!$Q$4)</f>
        <v>USD</v>
      </c>
      <c r="C37" s="132">
        <f>'Узагальнений розрахунок'!D36</f>
        <v>200</v>
      </c>
      <c r="D37" s="132"/>
      <c r="E37" s="132"/>
      <c r="F37" s="132"/>
      <c r="G37" s="132"/>
      <c r="H37" s="132"/>
      <c r="I37" s="132"/>
      <c r="J37" s="132"/>
      <c r="K37" s="132"/>
      <c r="L37" s="132"/>
      <c r="M37" s="132"/>
      <c r="N37" s="132"/>
      <c r="O37" s="132"/>
      <c r="P37" s="133">
        <f t="shared" si="70"/>
        <v>200</v>
      </c>
      <c r="Q37" s="133"/>
      <c r="R37" s="132"/>
      <c r="S37" s="132"/>
      <c r="T37" s="132"/>
      <c r="U37" s="132"/>
      <c r="V37" s="132"/>
      <c r="W37" s="132"/>
      <c r="X37" s="132"/>
      <c r="Y37" s="132"/>
      <c r="Z37" s="132"/>
      <c r="AA37" s="132"/>
      <c r="AB37" s="132"/>
      <c r="AC37" s="132"/>
      <c r="AD37" s="133">
        <f t="shared" si="67"/>
        <v>0</v>
      </c>
      <c r="AE37" s="133"/>
      <c r="AF37" s="132"/>
      <c r="AG37" s="132"/>
      <c r="AH37" s="132"/>
      <c r="AI37" s="132"/>
      <c r="AJ37" s="132"/>
      <c r="AK37" s="132"/>
      <c r="AL37" s="132"/>
      <c r="AM37" s="132"/>
      <c r="AN37" s="132"/>
      <c r="AO37" s="132"/>
      <c r="AP37" s="132"/>
      <c r="AQ37" s="132"/>
      <c r="AR37" s="133">
        <f t="shared" si="68"/>
        <v>0</v>
      </c>
      <c r="AS37" s="133"/>
      <c r="AT37" s="134">
        <f t="shared" si="69"/>
        <v>200</v>
      </c>
      <c r="AU37" s="135"/>
    </row>
    <row r="38" spans="1:47" s="147" customFormat="1" x14ac:dyDescent="0.5">
      <c r="A38" s="143" t="str">
        <f>A25</f>
        <v>Разом</v>
      </c>
      <c r="B38" s="144" t="str">
        <f>CHOOSE('Вхідні дані'!$P$1,'Вхідні дані'!$Q$1,'Вхідні дані'!$Q$2,'Вхідні дані'!$Q$3,'Вхідні дані'!$Q$4)</f>
        <v>USD</v>
      </c>
      <c r="C38" s="145">
        <f t="shared" ref="C38:P38" si="86">SUM(C28:C37)</f>
        <v>14200</v>
      </c>
      <c r="D38" s="145">
        <f t="shared" si="86"/>
        <v>0</v>
      </c>
      <c r="E38" s="145">
        <f t="shared" si="86"/>
        <v>0</v>
      </c>
      <c r="F38" s="145">
        <f t="shared" si="86"/>
        <v>0</v>
      </c>
      <c r="G38" s="145">
        <f t="shared" si="86"/>
        <v>0</v>
      </c>
      <c r="H38" s="145">
        <f t="shared" si="86"/>
        <v>0</v>
      </c>
      <c r="I38" s="145">
        <f t="shared" si="86"/>
        <v>0</v>
      </c>
      <c r="J38" s="145">
        <f t="shared" si="86"/>
        <v>0</v>
      </c>
      <c r="K38" s="145">
        <f t="shared" si="86"/>
        <v>0</v>
      </c>
      <c r="L38" s="145">
        <f t="shared" si="86"/>
        <v>0</v>
      </c>
      <c r="M38" s="145">
        <f t="shared" si="86"/>
        <v>0</v>
      </c>
      <c r="N38" s="145">
        <f t="shared" si="86"/>
        <v>0</v>
      </c>
      <c r="O38" s="145">
        <f t="shared" si="86"/>
        <v>0</v>
      </c>
      <c r="P38" s="145">
        <f t="shared" si="86"/>
        <v>14200</v>
      </c>
      <c r="Q38" s="145"/>
      <c r="R38" s="145">
        <f t="shared" ref="R38:AD38" si="87">SUM(R28:R37)</f>
        <v>0</v>
      </c>
      <c r="S38" s="145">
        <f t="shared" si="87"/>
        <v>0</v>
      </c>
      <c r="T38" s="145">
        <f t="shared" si="87"/>
        <v>0</v>
      </c>
      <c r="U38" s="145">
        <f t="shared" si="87"/>
        <v>0</v>
      </c>
      <c r="V38" s="145">
        <f t="shared" si="87"/>
        <v>0</v>
      </c>
      <c r="W38" s="145">
        <f t="shared" si="87"/>
        <v>0</v>
      </c>
      <c r="X38" s="145">
        <f t="shared" si="87"/>
        <v>0</v>
      </c>
      <c r="Y38" s="145">
        <f t="shared" si="87"/>
        <v>0</v>
      </c>
      <c r="Z38" s="145">
        <f t="shared" si="87"/>
        <v>0</v>
      </c>
      <c r="AA38" s="145">
        <f t="shared" si="87"/>
        <v>0</v>
      </c>
      <c r="AB38" s="145">
        <f t="shared" si="87"/>
        <v>0</v>
      </c>
      <c r="AC38" s="145">
        <f t="shared" si="87"/>
        <v>0</v>
      </c>
      <c r="AD38" s="145">
        <f t="shared" si="87"/>
        <v>0</v>
      </c>
      <c r="AE38" s="145"/>
      <c r="AF38" s="145">
        <f t="shared" ref="AF38:AR38" si="88">SUM(AF28:AF37)</f>
        <v>0</v>
      </c>
      <c r="AG38" s="145">
        <f t="shared" si="88"/>
        <v>0</v>
      </c>
      <c r="AH38" s="145">
        <f t="shared" si="88"/>
        <v>0</v>
      </c>
      <c r="AI38" s="145">
        <f t="shared" si="88"/>
        <v>0</v>
      </c>
      <c r="AJ38" s="145">
        <f t="shared" si="88"/>
        <v>0</v>
      </c>
      <c r="AK38" s="145">
        <f t="shared" si="88"/>
        <v>0</v>
      </c>
      <c r="AL38" s="145">
        <f t="shared" si="88"/>
        <v>0</v>
      </c>
      <c r="AM38" s="145">
        <f t="shared" si="88"/>
        <v>0</v>
      </c>
      <c r="AN38" s="145">
        <f t="shared" si="88"/>
        <v>0</v>
      </c>
      <c r="AO38" s="145">
        <f t="shared" si="88"/>
        <v>0</v>
      </c>
      <c r="AP38" s="145">
        <f t="shared" si="88"/>
        <v>0</v>
      </c>
      <c r="AQ38" s="145">
        <f t="shared" si="88"/>
        <v>0</v>
      </c>
      <c r="AR38" s="145">
        <f t="shared" si="88"/>
        <v>0</v>
      </c>
      <c r="AS38" s="145"/>
      <c r="AT38" s="163">
        <f t="shared" si="69"/>
        <v>14200</v>
      </c>
      <c r="AU38" s="146"/>
    </row>
    <row r="39" spans="1:47" s="168" customFormat="1" ht="21.5" thickBot="1" x14ac:dyDescent="0.55000000000000004">
      <c r="A39" s="164"/>
      <c r="B39" s="165"/>
      <c r="C39" s="165"/>
      <c r="D39" s="166"/>
      <c r="E39" s="166"/>
      <c r="F39" s="166"/>
      <c r="G39" s="166"/>
      <c r="H39" s="166"/>
      <c r="I39" s="166"/>
      <c r="J39" s="166"/>
      <c r="K39" s="166"/>
      <c r="L39" s="166"/>
      <c r="M39" s="166"/>
      <c r="N39" s="166"/>
      <c r="O39" s="166"/>
      <c r="P39" s="166"/>
      <c r="Q39" s="166"/>
      <c r="R39" s="166"/>
      <c r="S39" s="166"/>
      <c r="T39" s="166"/>
      <c r="U39" s="166"/>
      <c r="V39" s="166"/>
      <c r="W39" s="166"/>
      <c r="X39" s="166"/>
      <c r="Y39" s="166"/>
      <c r="Z39" s="166"/>
      <c r="AA39" s="166"/>
      <c r="AB39" s="166"/>
      <c r="AC39" s="166"/>
      <c r="AD39" s="166"/>
      <c r="AE39" s="166"/>
      <c r="AF39" s="166"/>
      <c r="AG39" s="166"/>
      <c r="AH39" s="166"/>
      <c r="AI39" s="166"/>
      <c r="AJ39" s="166"/>
      <c r="AK39" s="166"/>
      <c r="AL39" s="166"/>
      <c r="AM39" s="166"/>
      <c r="AN39" s="166"/>
      <c r="AO39" s="166"/>
      <c r="AP39" s="166"/>
      <c r="AQ39" s="166"/>
      <c r="AR39" s="166"/>
      <c r="AS39" s="166"/>
      <c r="AT39" s="167"/>
    </row>
    <row r="40" spans="1:47" ht="43" thickTop="1" thickBot="1" x14ac:dyDescent="0.55000000000000004">
      <c r="A40" s="116" t="s">
        <v>66</v>
      </c>
      <c r="B40" s="157"/>
      <c r="C40" s="117" t="str">
        <f t="shared" ref="C40:O40" si="89">C$6</f>
        <v>Нульовий період</v>
      </c>
      <c r="D40" s="117" t="str">
        <f t="shared" si="89"/>
        <v>квітень</v>
      </c>
      <c r="E40" s="117" t="str">
        <f t="shared" si="89"/>
        <v>травень</v>
      </c>
      <c r="F40" s="117" t="str">
        <f t="shared" si="89"/>
        <v>червень</v>
      </c>
      <c r="G40" s="117" t="str">
        <f t="shared" si="89"/>
        <v>липень</v>
      </c>
      <c r="H40" s="117" t="str">
        <f t="shared" si="89"/>
        <v>серпень</v>
      </c>
      <c r="I40" s="117" t="str">
        <f t="shared" si="89"/>
        <v>вересень</v>
      </c>
      <c r="J40" s="117" t="str">
        <f t="shared" si="89"/>
        <v>жовтень</v>
      </c>
      <c r="K40" s="117" t="str">
        <f t="shared" si="89"/>
        <v>листопад</v>
      </c>
      <c r="L40" s="117" t="str">
        <f t="shared" si="89"/>
        <v>грудень</v>
      </c>
      <c r="M40" s="117" t="str">
        <f t="shared" si="89"/>
        <v>січень</v>
      </c>
      <c r="N40" s="117" t="str">
        <f t="shared" si="89"/>
        <v>лютий</v>
      </c>
      <c r="O40" s="117" t="str">
        <f t="shared" si="89"/>
        <v>березень</v>
      </c>
      <c r="P40" s="158" t="str">
        <f>$P$15</f>
        <v>Разом за 1-й рік</v>
      </c>
      <c r="Q40" s="158" t="str">
        <f>$Q$15</f>
        <v>Середньомісячно за 1-й рік</v>
      </c>
      <c r="R40" s="117" t="str">
        <f t="shared" ref="R40:AC40" si="90">R$6</f>
        <v>квітень</v>
      </c>
      <c r="S40" s="117" t="str">
        <f t="shared" si="90"/>
        <v>травень</v>
      </c>
      <c r="T40" s="117" t="str">
        <f t="shared" si="90"/>
        <v>червень</v>
      </c>
      <c r="U40" s="117" t="str">
        <f t="shared" si="90"/>
        <v>липень</v>
      </c>
      <c r="V40" s="117" t="str">
        <f t="shared" si="90"/>
        <v>серпень</v>
      </c>
      <c r="W40" s="117" t="str">
        <f t="shared" si="90"/>
        <v>вересень</v>
      </c>
      <c r="X40" s="117" t="str">
        <f t="shared" si="90"/>
        <v>жовтень</v>
      </c>
      <c r="Y40" s="117" t="str">
        <f t="shared" si="90"/>
        <v>листопад</v>
      </c>
      <c r="Z40" s="117" t="str">
        <f t="shared" si="90"/>
        <v>грудень</v>
      </c>
      <c r="AA40" s="117" t="str">
        <f t="shared" si="90"/>
        <v>січень</v>
      </c>
      <c r="AB40" s="117" t="str">
        <f t="shared" si="90"/>
        <v>лютий</v>
      </c>
      <c r="AC40" s="117" t="str">
        <f t="shared" si="90"/>
        <v>березень</v>
      </c>
      <c r="AD40" s="158" t="str">
        <f>AD27</f>
        <v>Разом за 2-й рік</v>
      </c>
      <c r="AE40" s="158" t="str">
        <f>AE27</f>
        <v>Середньомісячно за 2-й рік</v>
      </c>
      <c r="AF40" s="117" t="str">
        <f t="shared" ref="AF40:AQ40" si="91">AF$6</f>
        <v>квітень</v>
      </c>
      <c r="AG40" s="117" t="str">
        <f t="shared" si="91"/>
        <v>травень</v>
      </c>
      <c r="AH40" s="117" t="str">
        <f t="shared" si="91"/>
        <v>червень</v>
      </c>
      <c r="AI40" s="117" t="str">
        <f t="shared" si="91"/>
        <v>липень</v>
      </c>
      <c r="AJ40" s="117" t="str">
        <f t="shared" si="91"/>
        <v>серпень</v>
      </c>
      <c r="AK40" s="117" t="str">
        <f t="shared" si="91"/>
        <v>вересень</v>
      </c>
      <c r="AL40" s="117" t="str">
        <f t="shared" si="91"/>
        <v>жовтень</v>
      </c>
      <c r="AM40" s="117" t="str">
        <f t="shared" si="91"/>
        <v>листопад</v>
      </c>
      <c r="AN40" s="117" t="str">
        <f t="shared" si="91"/>
        <v>грудень</v>
      </c>
      <c r="AO40" s="117" t="str">
        <f t="shared" si="91"/>
        <v>січень</v>
      </c>
      <c r="AP40" s="117" t="str">
        <f t="shared" si="91"/>
        <v>лютий</v>
      </c>
      <c r="AQ40" s="117" t="str">
        <f t="shared" si="91"/>
        <v>березень</v>
      </c>
      <c r="AR40" s="158" t="str">
        <f>AR27</f>
        <v>Разом за 3-й рік</v>
      </c>
      <c r="AS40" s="158" t="str">
        <f>AS27</f>
        <v>Середньомісячно за 3-й рік</v>
      </c>
      <c r="AT40" s="152" t="str">
        <f>AT27</f>
        <v>Разом за три роки</v>
      </c>
    </row>
    <row r="41" spans="1:47" s="162" customFormat="1" ht="21.5" thickTop="1" x14ac:dyDescent="0.5">
      <c r="A41" s="159" t="str">
        <f>'Узагальнений розрахунок'!A41</f>
        <v>Адміністратор</v>
      </c>
      <c r="B41" s="149" t="str">
        <f>CHOOSE('Вхідні дані'!$P$1,'Вхідні дані'!$Q$1,'Вхідні дані'!$Q$2,'Вхідні дані'!$Q$3,'Вхідні дані'!$Q$4)</f>
        <v>USD</v>
      </c>
      <c r="C41" s="149"/>
      <c r="D41" s="160">
        <f>D$10*'Узагальнений розрахунок'!$E41*'Узагальнений розрахунок'!$D41+'Узагальнений розрахунок'!$G41*D$21</f>
        <v>692.85714285714289</v>
      </c>
      <c r="E41" s="160">
        <f>E$10*'Узагальнений розрахунок'!$E41*'Узагальнений розрахунок'!$D41+'Узагальнений розрахунок'!$G41*E$21</f>
        <v>821.42857142857156</v>
      </c>
      <c r="F41" s="160">
        <f>F$10*'Узагальнений розрахунок'!$E41*'Узагальнений розрахунок'!$D41+'Узагальнений розрахунок'!$G41*F$21</f>
        <v>878.57142857142867</v>
      </c>
      <c r="G41" s="160">
        <f>G$10*'Узагальнений розрахунок'!$E41*'Узагальнений розрахунок'!$D41+'Узагальнений розрахунок'!$G41*G$21</f>
        <v>978.57142857142867</v>
      </c>
      <c r="H41" s="160">
        <f>H$10*'Узагальнений розрахунок'!$E41*'Узагальнений розрахунок'!$D41+'Узагальнений розрахунок'!$G41*H$21</f>
        <v>978.57142857142867</v>
      </c>
      <c r="I41" s="160">
        <f>I$10*'Узагальнений розрахунок'!$E41*'Узагальнений розрахунок'!$D41+'Узагальнений розрахунок'!$G41*I$21</f>
        <v>957.14285714285722</v>
      </c>
      <c r="J41" s="160">
        <f>J$10*'Узагальнений розрахунок'!$E41*'Узагальнений розрахунок'!$D41+'Узагальнений розрахунок'!$G41*J$21</f>
        <v>700</v>
      </c>
      <c r="K41" s="160">
        <f>K$10*'Узагальнений розрахунок'!$E41*'Узагальнений розрахунок'!$D41+'Узагальнений розрахунок'!$G41*K$21</f>
        <v>578.57142857142856</v>
      </c>
      <c r="L41" s="160">
        <f>L$10*'Узагальнений розрахунок'!$E41*'Узагальнений розрахунок'!$D41+'Узагальнений розрахунок'!$G41*L$21</f>
        <v>407.14285714285717</v>
      </c>
      <c r="M41" s="160">
        <f>M$10*'Узагальнений розрахунок'!$E41*'Узагальнений розрахунок'!$D41+'Узагальнений розрахунок'!$G41*M$21</f>
        <v>407.14285714285717</v>
      </c>
      <c r="N41" s="160">
        <f>N$10*'Узагальнений розрахунок'!$E41*'Узагальнений розрахунок'!$D41+'Узагальнений розрахунок'!$G41*N$21</f>
        <v>407.14285714285717</v>
      </c>
      <c r="O41" s="160">
        <f>O$10*'Узагальнений розрахунок'!$E41*'Узагальнений розрахунок'!$D41+'Узагальнений розрахунок'!$G41*O$21</f>
        <v>485.71428571428572</v>
      </c>
      <c r="P41" s="150">
        <f t="shared" ref="P41" si="92">SUM(D41:O41)</f>
        <v>8292.8571428571413</v>
      </c>
      <c r="Q41" s="150">
        <f t="shared" ref="Q41:Q42" si="93">P41/12</f>
        <v>691.07142857142844</v>
      </c>
      <c r="R41" s="160">
        <f>R$10*'Узагальнений розрахунок'!$E41*'Узагальнений розрахунок'!$D41+'Узагальнений розрахунок'!$G41*R$21</f>
        <v>975.00000000000011</v>
      </c>
      <c r="S41" s="160">
        <f>S$10*'Узагальнений розрахунок'!$E41*'Узагальнений розрахунок'!$D41+'Узагальнений розрахунок'!$G41*S$21</f>
        <v>997.50000000000011</v>
      </c>
      <c r="T41" s="160">
        <f>T$10*'Узагальнений розрахунок'!$E41*'Узагальнений розрахунок'!$D41+'Узагальнений розрахунок'!$G41*T$21</f>
        <v>975.00000000000011</v>
      </c>
      <c r="U41" s="160">
        <f>U$10*'Узагальнений розрахунок'!$E41*'Узагальнений розрахунок'!$D41+'Узагальнений розрахунок'!$G41*U$21</f>
        <v>1087.5</v>
      </c>
      <c r="V41" s="160">
        <f>V$10*'Узагальнений розрахунок'!$E41*'Узагальнений розрахунок'!$D41+'Узагальнений розрахунок'!$G41*V$21</f>
        <v>1087.5</v>
      </c>
      <c r="W41" s="160">
        <f>W$10*'Узагальнений розрахунок'!$E41*'Узагальнений розрахунок'!$D41+'Узагальнений розрахунок'!$G41*W$21</f>
        <v>1065</v>
      </c>
      <c r="X41" s="160">
        <f>X$10*'Узагальнений розрахунок'!$E41*'Узагальнений розрахунок'!$D41+'Узагальнений розрахунок'!$G41*X$21</f>
        <v>765</v>
      </c>
      <c r="Y41" s="160">
        <f>Y$10*'Узагальнений розрахунок'!$E41*'Узагальнений розрахунок'!$D41+'Узагальнений розрахунок'!$G41*Y$21</f>
        <v>630</v>
      </c>
      <c r="Z41" s="160">
        <f>Z$10*'Узагальнений розрахунок'!$E41*'Узагальнений розрахунок'!$D41+'Узагальнений розрахунок'!$G41*Z$21</f>
        <v>427.5</v>
      </c>
      <c r="AA41" s="160">
        <f>AA$10*'Узагальнений розрахунок'!$E41*'Узагальнений розрахунок'!$D41+'Узагальнений розрахунок'!$G41*AA$21</f>
        <v>427.5</v>
      </c>
      <c r="AB41" s="160">
        <f>AB$10*'Узагальнений розрахунок'!$E41*'Узагальнений розрахунок'!$D41+'Узагальнений розрахунок'!$G41*AB$21</f>
        <v>427.5</v>
      </c>
      <c r="AC41" s="160">
        <f>AC$10*'Узагальнений розрахунок'!$E41*'Узагальнений розрахунок'!$D41+'Узагальнений розрахунок'!$G41*AC$21</f>
        <v>517.5</v>
      </c>
      <c r="AD41" s="150">
        <f t="shared" ref="AD41" si="94">SUM(R41:AC41)</f>
        <v>9382.5</v>
      </c>
      <c r="AE41" s="150">
        <f t="shared" ref="AE41:AE42" si="95">AD41/12</f>
        <v>781.875</v>
      </c>
      <c r="AF41" s="160">
        <f>AF$10*'Узагальнений розрахунок'!$E41*'Узагальнений розрахунок'!$D41+'Узагальнений розрахунок'!$G41*AF$21</f>
        <v>1076.4285714285716</v>
      </c>
      <c r="AG41" s="160">
        <f>AG$10*'Узагальнений розрахунок'!$E41*'Узагальнений розрахунок'!$D41+'Узагальнений розрахунок'!$G41*AG$21</f>
        <v>1100.0000000000002</v>
      </c>
      <c r="AH41" s="160">
        <f>AH$10*'Узагальнений розрахунок'!$E41*'Узагальнений розрахунок'!$D41+'Узагальнений розрахунок'!$G41*AH$21</f>
        <v>1076.4285714285716</v>
      </c>
      <c r="AI41" s="160">
        <f>AI$10*'Узагальнений розрахунок'!$E41*'Узагальнений розрахунок'!$D41+'Узагальнений розрахунок'!$G41*AI$21</f>
        <v>1202.1428571428573</v>
      </c>
      <c r="AJ41" s="160">
        <f>AJ$10*'Узагальнений розрахунок'!$E41*'Узагальнений розрахунок'!$D41+'Узагальнений розрахунок'!$G41*AJ$21</f>
        <v>1202.1428571428573</v>
      </c>
      <c r="AK41" s="160">
        <f>AK$10*'Узагальнений розрахунок'!$E41*'Узагальнений розрахунок'!$D41+'Узагальнений розрахунок'!$G41*AK$21</f>
        <v>1170.714285714286</v>
      </c>
      <c r="AL41" s="160">
        <f>AL$10*'Узагальнений розрахунок'!$E41*'Узагальнений розрахунок'!$D41+'Узагальнений розрахунок'!$G41*AL$21</f>
        <v>832.857142857143</v>
      </c>
      <c r="AM41" s="160">
        <f>AM$10*'Узагальнений розрахунок'!$E41*'Узагальнений розрахунок'!$D41+'Узагальнений розрахунок'!$G41*AM$21</f>
        <v>675.71428571428578</v>
      </c>
      <c r="AN41" s="160">
        <f>AN$10*'Узагальнений розрахунок'!$E41*'Узагальнений розрахунок'!$D41+'Узагальнений розрахунок'!$G41*AN$21</f>
        <v>447.85714285714289</v>
      </c>
      <c r="AO41" s="160">
        <f>AO$10*'Узагальнений розрахунок'!$E41*'Узагальнений розрахунок'!$D41+'Узагальнений розрахунок'!$G41*AO$21</f>
        <v>447.85714285714289</v>
      </c>
      <c r="AP41" s="160">
        <f>AP$10*'Узагальнений розрахунок'!$E41*'Узагальнений розрахунок'!$D41+'Узагальнений розрахунок'!$G41*AP$21</f>
        <v>447.85714285714289</v>
      </c>
      <c r="AQ41" s="160">
        <f>AQ$10*'Узагальнений розрахунок'!$E41*'Узагальнений розрахунок'!$D41+'Узагальнений розрахунок'!$G41*AQ$21</f>
        <v>550.00000000000011</v>
      </c>
      <c r="AR41" s="150">
        <f t="shared" ref="AR41" si="96">SUM(AF41:AQ41)</f>
        <v>10230.000000000002</v>
      </c>
      <c r="AS41" s="150">
        <f t="shared" ref="AS41:AS42" si="97">AR41/12</f>
        <v>852.50000000000011</v>
      </c>
      <c r="AT41" s="134">
        <f t="shared" ref="AT41:AT42" si="98">P41+AD41+AR41</f>
        <v>27905.357142857145</v>
      </c>
      <c r="AU41" s="161"/>
    </row>
    <row r="42" spans="1:47" s="136" customFormat="1" x14ac:dyDescent="0.5">
      <c r="A42" s="241">
        <f>'Узагальнений розрахунок'!A42</f>
        <v>0</v>
      </c>
      <c r="B42" s="131" t="str">
        <f>CHOOSE('Вхідні дані'!$P$1,'Вхідні дані'!$Q$1,'Вхідні дані'!$Q$2,'Вхідні дані'!$Q$3,'Вхідні дані'!$Q$4)</f>
        <v>USD</v>
      </c>
      <c r="C42" s="131"/>
      <c r="D42" s="132">
        <f>D$10*'Узагальнений розрахунок'!$E42*'Узагальнений розрахунок'!$D42+'Узагальнений розрахунок'!$G42*D$21</f>
        <v>0</v>
      </c>
      <c r="E42" s="132">
        <f>E$10*'Узагальнений розрахунок'!$E42*'Узагальнений розрахунок'!$D42+'Узагальнений розрахунок'!$G42*E$21</f>
        <v>0</v>
      </c>
      <c r="F42" s="132">
        <f>F$10*'Узагальнений розрахунок'!$E42*'Узагальнений розрахунок'!$D42+'Узагальнений розрахунок'!$G42*F$21</f>
        <v>0</v>
      </c>
      <c r="G42" s="132">
        <f>G$10*'Узагальнений розрахунок'!$E42*'Узагальнений розрахунок'!$D42+'Узагальнений розрахунок'!$G42*G$21</f>
        <v>0</v>
      </c>
      <c r="H42" s="132">
        <f>H$10*'Узагальнений розрахунок'!$E42*'Узагальнений розрахунок'!$D42+'Узагальнений розрахунок'!$G42*H$21</f>
        <v>0</v>
      </c>
      <c r="I42" s="132">
        <f>I$10*'Узагальнений розрахунок'!$E42*'Узагальнений розрахунок'!$D42+'Узагальнений розрахунок'!$G42*I$21</f>
        <v>0</v>
      </c>
      <c r="J42" s="132">
        <f>J$10*'Узагальнений розрахунок'!$E42*'Узагальнений розрахунок'!$D42+'Узагальнений розрахунок'!$G42*J$21</f>
        <v>0</v>
      </c>
      <c r="K42" s="132">
        <f>K$10*'Узагальнений розрахунок'!$E42*'Узагальнений розрахунок'!$D42+'Узагальнений розрахунок'!$G42*K$21</f>
        <v>0</v>
      </c>
      <c r="L42" s="132">
        <f>L$10*'Узагальнений розрахунок'!$E42*'Узагальнений розрахунок'!$D42+'Узагальнений розрахунок'!$G42*L$21</f>
        <v>0</v>
      </c>
      <c r="M42" s="132">
        <f>M$10*'Узагальнений розрахунок'!$E42*'Узагальнений розрахунок'!$D42+'Узагальнений розрахунок'!$G42*M$21</f>
        <v>0</v>
      </c>
      <c r="N42" s="132">
        <f>N$10*'Узагальнений розрахунок'!$E42*'Узагальнений розрахунок'!$D42+'Узагальнений розрахунок'!$G42*N$21</f>
        <v>0</v>
      </c>
      <c r="O42" s="132">
        <f>O$10*'Узагальнений розрахунок'!$E42*'Узагальнений розрахунок'!$D42+'Узагальнений розрахунок'!$G42*O$21</f>
        <v>0</v>
      </c>
      <c r="P42" s="133">
        <f t="shared" ref="P42" si="99">SUM(D42:O42)</f>
        <v>0</v>
      </c>
      <c r="Q42" s="133">
        <f t="shared" si="93"/>
        <v>0</v>
      </c>
      <c r="R42" s="132">
        <f>R$10*'Узагальнений розрахунок'!$E42*'Узагальнений розрахунок'!$D42+'Узагальнений розрахунок'!$G42*R$21</f>
        <v>0</v>
      </c>
      <c r="S42" s="132">
        <f>S$10*'Узагальнений розрахунок'!$E42*'Узагальнений розрахунок'!$D42+'Узагальнений розрахунок'!$G42*S$21</f>
        <v>0</v>
      </c>
      <c r="T42" s="132">
        <f>T$10*'Узагальнений розрахунок'!$E42*'Узагальнений розрахунок'!$D42+'Узагальнений розрахунок'!$G42*T$21</f>
        <v>0</v>
      </c>
      <c r="U42" s="132">
        <f>U$10*'Узагальнений розрахунок'!$E42*'Узагальнений розрахунок'!$D42+'Узагальнений розрахунок'!$G42*U$21</f>
        <v>0</v>
      </c>
      <c r="V42" s="132">
        <f>V$10*'Узагальнений розрахунок'!$E42*'Узагальнений розрахунок'!$D42+'Узагальнений розрахунок'!$G42*V$21</f>
        <v>0</v>
      </c>
      <c r="W42" s="132">
        <f>W$10*'Узагальнений розрахунок'!$E42*'Узагальнений розрахунок'!$D42+'Узагальнений розрахунок'!$G42*W$21</f>
        <v>0</v>
      </c>
      <c r="X42" s="132">
        <f>X$10*'Узагальнений розрахунок'!$E42*'Узагальнений розрахунок'!$D42+'Узагальнений розрахунок'!$G42*X$21</f>
        <v>0</v>
      </c>
      <c r="Y42" s="132">
        <f>Y$10*'Узагальнений розрахунок'!$E42*'Узагальнений розрахунок'!$D42+'Узагальнений розрахунок'!$G42*Y$21</f>
        <v>0</v>
      </c>
      <c r="Z42" s="132">
        <f>Z$10*'Узагальнений розрахунок'!$E42*'Узагальнений розрахунок'!$D42+'Узагальнений розрахунок'!$G42*Z$21</f>
        <v>0</v>
      </c>
      <c r="AA42" s="132">
        <f>AA$10*'Узагальнений розрахунок'!$E42*'Узагальнений розрахунок'!$D42+'Узагальнений розрахунок'!$G42*AA$21</f>
        <v>0</v>
      </c>
      <c r="AB42" s="132">
        <f>AB$10*'Узагальнений розрахунок'!$E42*'Узагальнений розрахунок'!$D42+'Узагальнений розрахунок'!$G42*AB$21</f>
        <v>0</v>
      </c>
      <c r="AC42" s="132">
        <f>AC$10*'Узагальнений розрахунок'!$E42*'Узагальнений розрахунок'!$D42+'Узагальнений розрахунок'!$G42*AC$21</f>
        <v>0</v>
      </c>
      <c r="AD42" s="133">
        <f t="shared" ref="AD42" si="100">SUM(R42:AC42)</f>
        <v>0</v>
      </c>
      <c r="AE42" s="133">
        <f t="shared" si="95"/>
        <v>0</v>
      </c>
      <c r="AF42" s="132">
        <f>AF$10*'Узагальнений розрахунок'!$E42*'Узагальнений розрахунок'!$D42+'Узагальнений розрахунок'!$G42*AF$21</f>
        <v>0</v>
      </c>
      <c r="AG42" s="132">
        <f>AG$10*'Узагальнений розрахунок'!$E42*'Узагальнений розрахунок'!$D42+'Узагальнений розрахунок'!$G42*AG$21</f>
        <v>0</v>
      </c>
      <c r="AH42" s="132">
        <f>AH$10*'Узагальнений розрахунок'!$E42*'Узагальнений розрахунок'!$D42+'Узагальнений розрахунок'!$G42*AH$21</f>
        <v>0</v>
      </c>
      <c r="AI42" s="132">
        <f>AI$10*'Узагальнений розрахунок'!$E42*'Узагальнений розрахунок'!$D42+'Узагальнений розрахунок'!$G42*AI$21</f>
        <v>0</v>
      </c>
      <c r="AJ42" s="132">
        <f>AJ$10*'Узагальнений розрахунок'!$E42*'Узагальнений розрахунок'!$D42+'Узагальнений розрахунок'!$G42*AJ$21</f>
        <v>0</v>
      </c>
      <c r="AK42" s="132">
        <f>AK$10*'Узагальнений розрахунок'!$E42*'Узагальнений розрахунок'!$D42+'Узагальнений розрахунок'!$G42*AK$21</f>
        <v>0</v>
      </c>
      <c r="AL42" s="132">
        <f>AL$10*'Узагальнений розрахунок'!$E42*'Узагальнений розрахунок'!$D42+'Узагальнений розрахунок'!$G42*AL$21</f>
        <v>0</v>
      </c>
      <c r="AM42" s="132">
        <f>AM$10*'Узагальнений розрахунок'!$E42*'Узагальнений розрахунок'!$D42+'Узагальнений розрахунок'!$G42*AM$21</f>
        <v>0</v>
      </c>
      <c r="AN42" s="132">
        <f>AN$10*'Узагальнений розрахунок'!$E42*'Узагальнений розрахунок'!$D42+'Узагальнений розрахунок'!$G42*AN$21</f>
        <v>0</v>
      </c>
      <c r="AO42" s="132">
        <f>AO$10*'Узагальнений розрахунок'!$E42*'Узагальнений розрахунок'!$D42+'Узагальнений розрахунок'!$G42*AO$21</f>
        <v>0</v>
      </c>
      <c r="AP42" s="132">
        <f>AP$10*'Узагальнений розрахунок'!$E42*'Узагальнений розрахунок'!$D42+'Узагальнений розрахунок'!$G42*AP$21</f>
        <v>0</v>
      </c>
      <c r="AQ42" s="132">
        <f>AQ$10*'Узагальнений розрахунок'!$E42*'Узагальнений розрахунок'!$D42+'Узагальнений розрахунок'!$G42*AQ$21</f>
        <v>0</v>
      </c>
      <c r="AR42" s="133">
        <f t="shared" ref="AR42" si="101">SUM(AF42:AQ42)</f>
        <v>0</v>
      </c>
      <c r="AS42" s="133">
        <f t="shared" si="97"/>
        <v>0</v>
      </c>
      <c r="AT42" s="134">
        <f t="shared" si="98"/>
        <v>0</v>
      </c>
      <c r="AU42" s="135"/>
    </row>
    <row r="43" spans="1:47" s="142" customFormat="1" x14ac:dyDescent="0.5">
      <c r="A43" s="137"/>
      <c r="B43" s="138"/>
      <c r="C43" s="138"/>
      <c r="D43" s="139"/>
      <c r="E43" s="139"/>
      <c r="F43" s="139"/>
      <c r="G43" s="139"/>
      <c r="H43" s="139"/>
      <c r="I43" s="139"/>
      <c r="J43" s="139"/>
      <c r="K43" s="139"/>
      <c r="L43" s="139"/>
      <c r="M43" s="139"/>
      <c r="N43" s="139"/>
      <c r="O43" s="139"/>
      <c r="P43" s="140"/>
      <c r="Q43" s="140"/>
      <c r="R43" s="139"/>
      <c r="S43" s="139"/>
      <c r="T43" s="139"/>
      <c r="U43" s="139"/>
      <c r="V43" s="139"/>
      <c r="W43" s="139"/>
      <c r="X43" s="139"/>
      <c r="Y43" s="139"/>
      <c r="Z43" s="139"/>
      <c r="AA43" s="139"/>
      <c r="AB43" s="139"/>
      <c r="AC43" s="139"/>
      <c r="AD43" s="140"/>
      <c r="AE43" s="140"/>
      <c r="AF43" s="139"/>
      <c r="AG43" s="139"/>
      <c r="AH43" s="139"/>
      <c r="AI43" s="139"/>
      <c r="AJ43" s="139"/>
      <c r="AK43" s="139"/>
      <c r="AL43" s="139"/>
      <c r="AM43" s="139"/>
      <c r="AN43" s="139"/>
      <c r="AO43" s="139"/>
      <c r="AP43" s="139"/>
      <c r="AQ43" s="139"/>
      <c r="AR43" s="140"/>
      <c r="AS43" s="140"/>
      <c r="AT43" s="134"/>
      <c r="AU43" s="141"/>
    </row>
    <row r="44" spans="1:47" s="245" customFormat="1" x14ac:dyDescent="0.5">
      <c r="A44" s="242" t="str">
        <f>'Узагальнений розрахунок'!B48</f>
        <v>Зарплата персоналу</v>
      </c>
      <c r="B44" s="243" t="str">
        <f>CHOOSE('Вхідні дані'!$P$1,'Вхідні дані'!$Q$1,'Вхідні дані'!$Q$2,'Вхідні дані'!$Q$3,'Вхідні дані'!$Q$4)</f>
        <v>USD</v>
      </c>
      <c r="C44" s="243"/>
      <c r="D44" s="150">
        <f>SUM(D41:D42)</f>
        <v>692.85714285714289</v>
      </c>
      <c r="E44" s="150">
        <f t="shared" ref="E44:O44" si="102">SUM(E41:E42)</f>
        <v>821.42857142857156</v>
      </c>
      <c r="F44" s="150">
        <f t="shared" si="102"/>
        <v>878.57142857142867</v>
      </c>
      <c r="G44" s="150">
        <f t="shared" si="102"/>
        <v>978.57142857142867</v>
      </c>
      <c r="H44" s="150">
        <f t="shared" si="102"/>
        <v>978.57142857142867</v>
      </c>
      <c r="I44" s="150">
        <f t="shared" si="102"/>
        <v>957.14285714285722</v>
      </c>
      <c r="J44" s="150">
        <f t="shared" si="102"/>
        <v>700</v>
      </c>
      <c r="K44" s="150">
        <f t="shared" si="102"/>
        <v>578.57142857142856</v>
      </c>
      <c r="L44" s="150">
        <f t="shared" si="102"/>
        <v>407.14285714285717</v>
      </c>
      <c r="M44" s="150">
        <f t="shared" si="102"/>
        <v>407.14285714285717</v>
      </c>
      <c r="N44" s="150">
        <f t="shared" si="102"/>
        <v>407.14285714285717</v>
      </c>
      <c r="O44" s="150">
        <f t="shared" si="102"/>
        <v>485.71428571428572</v>
      </c>
      <c r="P44" s="150">
        <f t="shared" ref="P44:P49" si="103">SUM(D44:O44)</f>
        <v>8292.8571428571413</v>
      </c>
      <c r="Q44" s="150">
        <f t="shared" ref="Q44:Q49" si="104">P44/12</f>
        <v>691.07142857142844</v>
      </c>
      <c r="R44" s="150">
        <f>SUM(R41:R42)</f>
        <v>975.00000000000011</v>
      </c>
      <c r="S44" s="150">
        <f t="shared" ref="S44:AC44" si="105">SUM(S41:S42)</f>
        <v>997.50000000000011</v>
      </c>
      <c r="T44" s="150">
        <f t="shared" si="105"/>
        <v>975.00000000000011</v>
      </c>
      <c r="U44" s="150">
        <f t="shared" si="105"/>
        <v>1087.5</v>
      </c>
      <c r="V44" s="150">
        <f t="shared" si="105"/>
        <v>1087.5</v>
      </c>
      <c r="W44" s="150">
        <f t="shared" si="105"/>
        <v>1065</v>
      </c>
      <c r="X44" s="150">
        <f t="shared" si="105"/>
        <v>765</v>
      </c>
      <c r="Y44" s="150">
        <f t="shared" si="105"/>
        <v>630</v>
      </c>
      <c r="Z44" s="150">
        <f t="shared" si="105"/>
        <v>427.5</v>
      </c>
      <c r="AA44" s="150">
        <f t="shared" si="105"/>
        <v>427.5</v>
      </c>
      <c r="AB44" s="150">
        <f t="shared" si="105"/>
        <v>427.5</v>
      </c>
      <c r="AC44" s="150">
        <f t="shared" si="105"/>
        <v>517.5</v>
      </c>
      <c r="AD44" s="150">
        <f t="shared" ref="AD44:AD49" si="106">SUM(R44:AC44)</f>
        <v>9382.5</v>
      </c>
      <c r="AE44" s="150">
        <f t="shared" ref="AE44:AE49" si="107">AD44/12</f>
        <v>781.875</v>
      </c>
      <c r="AF44" s="150">
        <f>SUM(AF41:AF42)</f>
        <v>1076.4285714285716</v>
      </c>
      <c r="AG44" s="150">
        <f t="shared" ref="AG44:AQ44" si="108">SUM(AG41:AG42)</f>
        <v>1100.0000000000002</v>
      </c>
      <c r="AH44" s="150">
        <f t="shared" si="108"/>
        <v>1076.4285714285716</v>
      </c>
      <c r="AI44" s="150">
        <f t="shared" si="108"/>
        <v>1202.1428571428573</v>
      </c>
      <c r="AJ44" s="150">
        <f t="shared" si="108"/>
        <v>1202.1428571428573</v>
      </c>
      <c r="AK44" s="150">
        <f t="shared" si="108"/>
        <v>1170.714285714286</v>
      </c>
      <c r="AL44" s="150">
        <f t="shared" si="108"/>
        <v>832.857142857143</v>
      </c>
      <c r="AM44" s="150">
        <f t="shared" si="108"/>
        <v>675.71428571428578</v>
      </c>
      <c r="AN44" s="150">
        <f t="shared" si="108"/>
        <v>447.85714285714289</v>
      </c>
      <c r="AO44" s="150">
        <f t="shared" si="108"/>
        <v>447.85714285714289</v>
      </c>
      <c r="AP44" s="150">
        <f t="shared" si="108"/>
        <v>447.85714285714289</v>
      </c>
      <c r="AQ44" s="150">
        <f t="shared" si="108"/>
        <v>550.00000000000011</v>
      </c>
      <c r="AR44" s="150">
        <f t="shared" ref="AR44:AR49" si="109">SUM(AF44:AQ44)</f>
        <v>10230.000000000002</v>
      </c>
      <c r="AS44" s="150">
        <f t="shared" ref="AS44:AS49" si="110">AR44/12</f>
        <v>852.50000000000011</v>
      </c>
      <c r="AT44" s="134">
        <f t="shared" ref="AT44:AT49" si="111">P44+AD44+AR44</f>
        <v>27905.357142857145</v>
      </c>
      <c r="AU44" s="244"/>
    </row>
    <row r="45" spans="1:47" s="136" customFormat="1" x14ac:dyDescent="0.5">
      <c r="A45" s="130" t="str">
        <f>'Узагальнений розрахунок'!B49</f>
        <v>Роялті</v>
      </c>
      <c r="B45" s="131" t="str">
        <f>CHOOSE('Вхідні дані'!$P$1,'Вхідні дані'!$Q$1,'Вхідні дані'!$Q$2,'Вхідні дані'!$Q$3,'Вхідні дані'!$Q$4)</f>
        <v>USD</v>
      </c>
      <c r="C45" s="131"/>
      <c r="D45" s="132">
        <f>CHOOSE('Узагальнений розрахунок'!$P$1,IF('Вхідні дані'!$R$76=1,D21*'Вхідні дані'!$E$76,'Вхідні дані'!$G$77*'Узагальнений розрахунок'!$I$3),IF('Вхідні дані'!$R$76=1,D21*'Вхідні дані'!$J$76,'Вхідні дані'!$L$77*'Узагальнений розрахунок'!$I$3))</f>
        <v>40</v>
      </c>
      <c r="E45" s="132">
        <f>CHOOSE('Узагальнений розрахунок'!$P$1,IF('Вхідні дані'!$R$76=1,E21*'Вхідні дані'!$E$76,'Вхідні дані'!$G$77*'Узагальнений розрахунок'!$I$3),IF('Вхідні дані'!$R$76=1,E21*'Вхідні дані'!$J$76,'Вхідні дані'!$L$77*'Узагальнений розрахунок'!$I$3))</f>
        <v>40</v>
      </c>
      <c r="F45" s="132">
        <f>CHOOSE('Узагальнений розрахунок'!$P$1,IF('Вхідні дані'!$R$76=1,F21*'Вхідні дані'!$E$76,'Вхідні дані'!$G$77*'Узагальнений розрахунок'!$I$3),IF('Вхідні дані'!$R$76=1,F21*'Вхідні дані'!$J$76,'Вхідні дані'!$L$77*'Узагальнений розрахунок'!$I$3))</f>
        <v>40</v>
      </c>
      <c r="G45" s="132">
        <f>CHOOSE('Узагальнений розрахунок'!$P$1,IF('Вхідні дані'!$R$76=1,G21*'Вхідні дані'!$E$76,'Вхідні дані'!$G$77*'Узагальнений розрахунок'!$I$3),IF('Вхідні дані'!$R$76=1,G21*'Вхідні дані'!$J$76,'Вхідні дані'!$L$77*'Узагальнений розрахунок'!$I$3))</f>
        <v>40</v>
      </c>
      <c r="H45" s="132">
        <f>CHOOSE('Узагальнений розрахунок'!$P$1,IF('Вхідні дані'!$R$76=1,H21*'Вхідні дані'!$E$76,'Вхідні дані'!$G$77*'Узагальнений розрахунок'!$I$3),IF('Вхідні дані'!$R$76=1,H21*'Вхідні дані'!$J$76,'Вхідні дані'!$L$77*'Узагальнений розрахунок'!$I$3))</f>
        <v>40</v>
      </c>
      <c r="I45" s="132">
        <f>CHOOSE('Узагальнений розрахунок'!$P$1,IF('Вхідні дані'!$R$76=1,I21*'Вхідні дані'!$E$76,'Вхідні дані'!$G$77*'Узагальнений розрахунок'!$I$3),IF('Вхідні дані'!$R$76=1,I21*'Вхідні дані'!$J$76,'Вхідні дані'!$L$77*'Узагальнений розрахунок'!$I$3))</f>
        <v>40</v>
      </c>
      <c r="J45" s="132">
        <f>CHOOSE('Узагальнений розрахунок'!$P$1,IF('Вхідні дані'!$R$76=1,J21*'Вхідні дані'!$E$76,'Вхідні дані'!$G$77*'Узагальнений розрахунок'!$I$3),IF('Вхідні дані'!$R$76=1,J21*'Вхідні дані'!$J$76,'Вхідні дані'!$L$77*'Узагальнений розрахунок'!$I$3))</f>
        <v>40</v>
      </c>
      <c r="K45" s="132">
        <f>CHOOSE('Узагальнений розрахунок'!$P$1,IF('Вхідні дані'!$R$76=1,K21*'Вхідні дані'!$E$76,'Вхідні дані'!$G$77*'Узагальнений розрахунок'!$I$3),IF('Вхідні дані'!$R$76=1,K21*'Вхідні дані'!$J$76,'Вхідні дані'!$L$77*'Узагальнений розрахунок'!$I$3))</f>
        <v>40</v>
      </c>
      <c r="L45" s="132">
        <f>CHOOSE('Узагальнений розрахунок'!$P$1,IF('Вхідні дані'!$R$76=1,L21*'Вхідні дані'!$E$76,'Вхідні дані'!$G$77*'Узагальнений розрахунок'!$I$3),IF('Вхідні дані'!$R$76=1,L21*'Вхідні дані'!$J$76,'Вхідні дані'!$L$77*'Узагальнений розрахунок'!$I$3))</f>
        <v>40</v>
      </c>
      <c r="M45" s="132">
        <f>CHOOSE('Узагальнений розрахунок'!$P$1,IF('Вхідні дані'!$R$76=1,M21*'Вхідні дані'!$E$76,'Вхідні дані'!$G$77*'Узагальнений розрахунок'!$I$3),IF('Вхідні дані'!$R$76=1,M21*'Вхідні дані'!$J$76,'Вхідні дані'!$L$77*'Узагальнений розрахунок'!$I$3))</f>
        <v>40</v>
      </c>
      <c r="N45" s="132">
        <f>CHOOSE('Узагальнений розрахунок'!$P$1,IF('Вхідні дані'!$R$76=1,N21*'Вхідні дані'!$E$76,'Вхідні дані'!$G$77*'Узагальнений розрахунок'!$I$3),IF('Вхідні дані'!$R$76=1,N21*'Вхідні дані'!$J$76,'Вхідні дані'!$L$77*'Узагальнений розрахунок'!$I$3))</f>
        <v>40</v>
      </c>
      <c r="O45" s="132">
        <f>CHOOSE('Узагальнений розрахунок'!$P$1,IF('Вхідні дані'!$R$76=1,O21*'Вхідні дані'!$E$76,'Вхідні дані'!$G$77*'Узагальнений розрахунок'!$I$3),IF('Вхідні дані'!$R$76=1,O21*'Вхідні дані'!$J$76,'Вхідні дані'!$L$77*'Узагальнений розрахунок'!$I$3))</f>
        <v>40</v>
      </c>
      <c r="P45" s="133">
        <f t="shared" si="103"/>
        <v>480</v>
      </c>
      <c r="Q45" s="133">
        <f t="shared" si="104"/>
        <v>40</v>
      </c>
      <c r="R45" s="132">
        <f>CHOOSE('Узагальнений розрахунок'!$P$1,IF('Вхідні дані'!$R$76=1,R21*'Вхідні дані'!$E$76,'Вхідні дані'!$G$77*'Узагальнений розрахунок'!$I$3),IF('Вхідні дані'!$R$76=1,R21*'Вхідні дані'!$J$76,'Вхідні дані'!$L$77*'Узагальнений розрахунок'!$I$3))</f>
        <v>40</v>
      </c>
      <c r="S45" s="132">
        <f>CHOOSE('Узагальнений розрахунок'!$P$1,IF('Вхідні дані'!$R$76=1,S21*'Вхідні дані'!$E$76,'Вхідні дані'!$G$77*'Узагальнений розрахунок'!$I$3),IF('Вхідні дані'!$R$76=1,S21*'Вхідні дані'!$J$76,'Вхідні дані'!$L$77*'Узагальнений розрахунок'!$I$3))</f>
        <v>40</v>
      </c>
      <c r="T45" s="132">
        <f>CHOOSE('Узагальнений розрахунок'!$P$1,IF('Вхідні дані'!$R$76=1,T21*'Вхідні дані'!$E$76,'Вхідні дані'!$G$77*'Узагальнений розрахунок'!$I$3),IF('Вхідні дані'!$R$76=1,T21*'Вхідні дані'!$J$76,'Вхідні дані'!$L$77*'Узагальнений розрахунок'!$I$3))</f>
        <v>40</v>
      </c>
      <c r="U45" s="132">
        <f>CHOOSE('Узагальнений розрахунок'!$P$1,IF('Вхідні дані'!$R$76=1,U21*'Вхідні дані'!$E$76,'Вхідні дані'!$G$77*'Узагальнений розрахунок'!$I$3),IF('Вхідні дані'!$R$76=1,U21*'Вхідні дані'!$J$76,'Вхідні дані'!$L$77*'Узагальнений розрахунок'!$I$3))</f>
        <v>40</v>
      </c>
      <c r="V45" s="132">
        <f>CHOOSE('Узагальнений розрахунок'!$P$1,IF('Вхідні дані'!$R$76=1,V21*'Вхідні дані'!$E$76,'Вхідні дані'!$G$77*'Узагальнений розрахунок'!$I$3),IF('Вхідні дані'!$R$76=1,V21*'Вхідні дані'!$J$76,'Вхідні дані'!$L$77*'Узагальнений розрахунок'!$I$3))</f>
        <v>40</v>
      </c>
      <c r="W45" s="132">
        <f>CHOOSE('Узагальнений розрахунок'!$P$1,IF('Вхідні дані'!$R$76=1,W21*'Вхідні дані'!$E$76,'Вхідні дані'!$G$77*'Узагальнений розрахунок'!$I$3),IF('Вхідні дані'!$R$76=1,W21*'Вхідні дані'!$J$76,'Вхідні дані'!$L$77*'Узагальнений розрахунок'!$I$3))</f>
        <v>40</v>
      </c>
      <c r="X45" s="132">
        <f>CHOOSE('Узагальнений розрахунок'!$P$1,IF('Вхідні дані'!$R$76=1,X21*'Вхідні дані'!$E$76,'Вхідні дані'!$G$77*'Узагальнений розрахунок'!$I$3),IF('Вхідні дані'!$R$76=1,X21*'Вхідні дані'!$J$76,'Вхідні дані'!$L$77*'Узагальнений розрахунок'!$I$3))</f>
        <v>40</v>
      </c>
      <c r="Y45" s="132">
        <f>CHOOSE('Узагальнений розрахунок'!$P$1,IF('Вхідні дані'!$R$76=1,Y21*'Вхідні дані'!$E$76,'Вхідні дані'!$G$77*'Узагальнений розрахунок'!$I$3),IF('Вхідні дані'!$R$76=1,Y21*'Вхідні дані'!$J$76,'Вхідні дані'!$L$77*'Узагальнений розрахунок'!$I$3))</f>
        <v>40</v>
      </c>
      <c r="Z45" s="132">
        <f>CHOOSE('Узагальнений розрахунок'!$P$1,IF('Вхідні дані'!$R$76=1,Z21*'Вхідні дані'!$E$76,'Вхідні дані'!$G$77*'Узагальнений розрахунок'!$I$3),IF('Вхідні дані'!$R$76=1,Z21*'Вхідні дані'!$J$76,'Вхідні дані'!$L$77*'Узагальнений розрахунок'!$I$3))</f>
        <v>40</v>
      </c>
      <c r="AA45" s="132">
        <f>CHOOSE('Узагальнений розрахунок'!$P$1,IF('Вхідні дані'!$R$76=1,AA21*'Вхідні дані'!$E$76,'Вхідні дані'!$G$77*'Узагальнений розрахунок'!$I$3),IF('Вхідні дані'!$R$76=1,AA21*'Вхідні дані'!$J$76,'Вхідні дані'!$L$77*'Узагальнений розрахунок'!$I$3))</f>
        <v>40</v>
      </c>
      <c r="AB45" s="132">
        <f>CHOOSE('Узагальнений розрахунок'!$P$1,IF('Вхідні дані'!$R$76=1,AB21*'Вхідні дані'!$E$76,'Вхідні дані'!$G$77*'Узагальнений розрахунок'!$I$3),IF('Вхідні дані'!$R$76=1,AB21*'Вхідні дані'!$J$76,'Вхідні дані'!$L$77*'Узагальнений розрахунок'!$I$3))</f>
        <v>40</v>
      </c>
      <c r="AC45" s="132">
        <f>CHOOSE('Узагальнений розрахунок'!$P$1,IF('Вхідні дані'!$R$76=1,AC21*'Вхідні дані'!$E$76,'Вхідні дані'!$G$77*'Узагальнений розрахунок'!$I$3),IF('Вхідні дані'!$R$76=1,AC21*'Вхідні дані'!$J$76,'Вхідні дані'!$L$77*'Узагальнений розрахунок'!$I$3))</f>
        <v>40</v>
      </c>
      <c r="AD45" s="133">
        <f t="shared" si="106"/>
        <v>480</v>
      </c>
      <c r="AE45" s="133">
        <f t="shared" si="107"/>
        <v>40</v>
      </c>
      <c r="AF45" s="132">
        <f>CHOOSE('Узагальнений розрахунок'!$P$1,IF('Вхідні дані'!$R$76=1,AF21*'Вхідні дані'!$E$76,'Вхідні дані'!$G$77*'Узагальнений розрахунок'!$I$3),IF('Вхідні дані'!$R$76=1,AF21*'Вхідні дані'!$J$76,'Вхідні дані'!$L$77*'Узагальнений розрахунок'!$I$3))</f>
        <v>40</v>
      </c>
      <c r="AG45" s="132">
        <f>CHOOSE('Узагальнений розрахунок'!$P$1,IF('Вхідні дані'!$R$76=1,AG21*'Вхідні дані'!$E$76,'Вхідні дані'!$G$77*'Узагальнений розрахунок'!$I$3),IF('Вхідні дані'!$R$76=1,AG21*'Вхідні дані'!$J$76,'Вхідні дані'!$L$77*'Узагальнений розрахунок'!$I$3))</f>
        <v>40</v>
      </c>
      <c r="AH45" s="132">
        <f>CHOOSE('Узагальнений розрахунок'!$P$1,IF('Вхідні дані'!$R$76=1,AH21*'Вхідні дані'!$E$76,'Вхідні дані'!$G$77*'Узагальнений розрахунок'!$I$3),IF('Вхідні дані'!$R$76=1,AH21*'Вхідні дані'!$J$76,'Вхідні дані'!$L$77*'Узагальнений розрахунок'!$I$3))</f>
        <v>40</v>
      </c>
      <c r="AI45" s="132">
        <f>CHOOSE('Узагальнений розрахунок'!$P$1,IF('Вхідні дані'!$R$76=1,AI21*'Вхідні дані'!$E$76,'Вхідні дані'!$G$77*'Узагальнений розрахунок'!$I$3),IF('Вхідні дані'!$R$76=1,AI21*'Вхідні дані'!$J$76,'Вхідні дані'!$L$77*'Узагальнений розрахунок'!$I$3))</f>
        <v>40</v>
      </c>
      <c r="AJ45" s="132">
        <f>CHOOSE('Узагальнений розрахунок'!$P$1,IF('Вхідні дані'!$R$76=1,AJ21*'Вхідні дані'!$E$76,'Вхідні дані'!$G$77*'Узагальнений розрахунок'!$I$3),IF('Вхідні дані'!$R$76=1,AJ21*'Вхідні дані'!$J$76,'Вхідні дані'!$L$77*'Узагальнений розрахунок'!$I$3))</f>
        <v>40</v>
      </c>
      <c r="AK45" s="132">
        <f>CHOOSE('Узагальнений розрахунок'!$P$1,IF('Вхідні дані'!$R$76=1,AK21*'Вхідні дані'!$E$76,'Вхідні дані'!$G$77*'Узагальнений розрахунок'!$I$3),IF('Вхідні дані'!$R$76=1,AK21*'Вхідні дані'!$J$76,'Вхідні дані'!$L$77*'Узагальнений розрахунок'!$I$3))</f>
        <v>40</v>
      </c>
      <c r="AL45" s="132">
        <f>CHOOSE('Узагальнений розрахунок'!$P$1,IF('Вхідні дані'!$R$76=1,AL21*'Вхідні дані'!$E$76,'Вхідні дані'!$G$77*'Узагальнений розрахунок'!$I$3),IF('Вхідні дані'!$R$76=1,AL21*'Вхідні дані'!$J$76,'Вхідні дані'!$L$77*'Узагальнений розрахунок'!$I$3))</f>
        <v>40</v>
      </c>
      <c r="AM45" s="132">
        <f>CHOOSE('Узагальнений розрахунок'!$P$1,IF('Вхідні дані'!$R$76=1,AM21*'Вхідні дані'!$E$76,'Вхідні дані'!$G$77*'Узагальнений розрахунок'!$I$3),IF('Вхідні дані'!$R$76=1,AM21*'Вхідні дані'!$J$76,'Вхідні дані'!$L$77*'Узагальнений розрахунок'!$I$3))</f>
        <v>40</v>
      </c>
      <c r="AN45" s="132">
        <f>CHOOSE('Узагальнений розрахунок'!$P$1,IF('Вхідні дані'!$R$76=1,AN21*'Вхідні дані'!$E$76,'Вхідні дані'!$G$77*'Узагальнений розрахунок'!$I$3),IF('Вхідні дані'!$R$76=1,AN21*'Вхідні дані'!$J$76,'Вхідні дані'!$L$77*'Узагальнений розрахунок'!$I$3))</f>
        <v>40</v>
      </c>
      <c r="AO45" s="132">
        <f>CHOOSE('Узагальнений розрахунок'!$P$1,IF('Вхідні дані'!$R$76=1,AO21*'Вхідні дані'!$E$76,'Вхідні дані'!$G$77*'Узагальнений розрахунок'!$I$3),IF('Вхідні дані'!$R$76=1,AO21*'Вхідні дані'!$J$76,'Вхідні дані'!$L$77*'Узагальнений розрахунок'!$I$3))</f>
        <v>40</v>
      </c>
      <c r="AP45" s="132">
        <f>CHOOSE('Узагальнений розрахунок'!$P$1,IF('Вхідні дані'!$R$76=1,AP21*'Вхідні дані'!$E$76,'Вхідні дані'!$G$77*'Узагальнений розрахунок'!$I$3),IF('Вхідні дані'!$R$76=1,AP21*'Вхідні дані'!$J$76,'Вхідні дані'!$L$77*'Узагальнений розрахунок'!$I$3))</f>
        <v>40</v>
      </c>
      <c r="AQ45" s="132">
        <f>CHOOSE('Узагальнений розрахунок'!$P$1,IF('Вхідні дані'!$R$76=1,AQ21*'Вхідні дані'!$E$76,'Вхідні дані'!$G$77*'Узагальнений розрахунок'!$I$3),IF('Вхідні дані'!$R$76=1,AQ21*'Вхідні дані'!$J$76,'Вхідні дані'!$L$77*'Узагальнений розрахунок'!$I$3))</f>
        <v>40</v>
      </c>
      <c r="AR45" s="133">
        <f t="shared" si="109"/>
        <v>480</v>
      </c>
      <c r="AS45" s="133">
        <f t="shared" si="110"/>
        <v>40</v>
      </c>
      <c r="AT45" s="134">
        <f t="shared" si="111"/>
        <v>1440</v>
      </c>
      <c r="AU45" s="135"/>
    </row>
    <row r="46" spans="1:47" s="162" customFormat="1" x14ac:dyDescent="0.5">
      <c r="A46" s="159" t="str">
        <f>'Узагальнений розрахунок'!B50</f>
        <v>Маркетингові відрахування</v>
      </c>
      <c r="B46" s="149" t="str">
        <f>CHOOSE('Вхідні дані'!$P$1,'Вхідні дані'!$Q$1,'Вхідні дані'!$Q$2,'Вхідні дані'!$Q$3,'Вхідні дані'!$Q$4)</f>
        <v>USD</v>
      </c>
      <c r="C46" s="149"/>
      <c r="D46" s="160">
        <f>CHOOSE('Узагальнений розрахунок'!$P$1,IF('Вхідні дані'!$R$77=1,D21*'Вхідні дані'!$E$78,'Вхідні дані'!$G$79*'Узагальнений розрахунок'!$I$3),IF('Вхідні дані'!$R$77=1,D21*'Вхідні дані'!$J$78,'Вхідні дані'!$L$79*'Узагальнений розрахунок'!$I$3))</f>
        <v>0</v>
      </c>
      <c r="E46" s="160">
        <f>CHOOSE('Узагальнений розрахунок'!$P$1,IF('Вхідні дані'!$R$77=1,E21*'Вхідні дані'!$E$78,'Вхідні дані'!$G$79*'Узагальнений розрахунок'!$I$3),IF('Вхідні дані'!$R$77=1,E21*'Вхідні дані'!$J$78,'Вхідні дані'!$L$79*'Узагальнений розрахунок'!$I$3))</f>
        <v>0</v>
      </c>
      <c r="F46" s="160">
        <f>CHOOSE('Узагальнений розрахунок'!$P$1,IF('Вхідні дані'!$R$77=1,F21*'Вхідні дані'!$E$78,'Вхідні дані'!$G$79*'Узагальнений розрахунок'!$I$3),IF('Вхідні дані'!$R$77=1,F21*'Вхідні дані'!$J$78,'Вхідні дані'!$L$79*'Узагальнений розрахунок'!$I$3))</f>
        <v>0</v>
      </c>
      <c r="G46" s="160">
        <f>CHOOSE('Узагальнений розрахунок'!$P$1,IF('Вхідні дані'!$R$77=1,G21*'Вхідні дані'!$E$78,'Вхідні дані'!$G$79*'Узагальнений розрахунок'!$I$3),IF('Вхідні дані'!$R$77=1,G21*'Вхідні дані'!$J$78,'Вхідні дані'!$L$79*'Узагальнений розрахунок'!$I$3))</f>
        <v>0</v>
      </c>
      <c r="H46" s="160">
        <f>CHOOSE('Узагальнений розрахунок'!$P$1,IF('Вхідні дані'!$R$77=1,H21*'Вхідні дані'!$E$78,'Вхідні дані'!$G$79*'Узагальнений розрахунок'!$I$3),IF('Вхідні дані'!$R$77=1,H21*'Вхідні дані'!$J$78,'Вхідні дані'!$L$79*'Узагальнений розрахунок'!$I$3))</f>
        <v>0</v>
      </c>
      <c r="I46" s="160">
        <f>CHOOSE('Узагальнений розрахунок'!$P$1,IF('Вхідні дані'!$R$77=1,I21*'Вхідні дані'!$E$78,'Вхідні дані'!$G$79*'Узагальнений розрахунок'!$I$3),IF('Вхідні дані'!$R$77=1,I21*'Вхідні дані'!$J$78,'Вхідні дані'!$L$79*'Узагальнений розрахунок'!$I$3))</f>
        <v>0</v>
      </c>
      <c r="J46" s="160">
        <f>CHOOSE('Узагальнений розрахунок'!$P$1,IF('Вхідні дані'!$R$77=1,J21*'Вхідні дані'!$E$78,'Вхідні дані'!$G$79*'Узагальнений розрахунок'!$I$3),IF('Вхідні дані'!$R$77=1,J21*'Вхідні дані'!$J$78,'Вхідні дані'!$L$79*'Узагальнений розрахунок'!$I$3))</f>
        <v>0</v>
      </c>
      <c r="K46" s="160">
        <f>CHOOSE('Узагальнений розрахунок'!$P$1,IF('Вхідні дані'!$R$77=1,K21*'Вхідні дані'!$E$78,'Вхідні дані'!$G$79*'Узагальнений розрахунок'!$I$3),IF('Вхідні дані'!$R$77=1,K21*'Вхідні дані'!$J$78,'Вхідні дані'!$L$79*'Узагальнений розрахунок'!$I$3))</f>
        <v>0</v>
      </c>
      <c r="L46" s="160">
        <f>CHOOSE('Узагальнений розрахунок'!$P$1,IF('Вхідні дані'!$R$77=1,L21*'Вхідні дані'!$E$78,'Вхідні дані'!$G$79*'Узагальнений розрахунок'!$I$3),IF('Вхідні дані'!$R$77=1,L21*'Вхідні дані'!$J$78,'Вхідні дані'!$L$79*'Узагальнений розрахунок'!$I$3))</f>
        <v>0</v>
      </c>
      <c r="M46" s="160">
        <f>CHOOSE('Узагальнений розрахунок'!$P$1,IF('Вхідні дані'!$R$77=1,M21*'Вхідні дані'!$E$78,'Вхідні дані'!$G$79*'Узагальнений розрахунок'!$I$3),IF('Вхідні дані'!$R$77=1,M21*'Вхідні дані'!$J$78,'Вхідні дані'!$L$79*'Узагальнений розрахунок'!$I$3))</f>
        <v>0</v>
      </c>
      <c r="N46" s="160">
        <f>CHOOSE('Узагальнений розрахунок'!$P$1,IF('Вхідні дані'!$R$77=1,N21*'Вхідні дані'!$E$78,'Вхідні дані'!$G$79*'Узагальнений розрахунок'!$I$3),IF('Вхідні дані'!$R$77=1,N21*'Вхідні дані'!$J$78,'Вхідні дані'!$L$79*'Узагальнений розрахунок'!$I$3))</f>
        <v>0</v>
      </c>
      <c r="O46" s="160">
        <f>CHOOSE('Узагальнений розрахунок'!$P$1,IF('Вхідні дані'!$R$77=1,O21*'Вхідні дані'!$E$78,'Вхідні дані'!$G$79*'Узагальнений розрахунок'!$I$3),IF('Вхідні дані'!$R$77=1,O21*'Вхідні дані'!$J$78,'Вхідні дані'!$L$79*'Узагальнений розрахунок'!$I$3))</f>
        <v>0</v>
      </c>
      <c r="P46" s="150">
        <f t="shared" ref="P46" si="112">SUM(D46:O46)</f>
        <v>0</v>
      </c>
      <c r="Q46" s="150">
        <f t="shared" ref="Q46" si="113">P46/12</f>
        <v>0</v>
      </c>
      <c r="R46" s="160">
        <f>CHOOSE('Узагальнений розрахунок'!$P$1,IF('Вхідні дані'!$R$77=1,R21*'Вхідні дані'!$E$78,'Вхідні дані'!$G$79*'Узагальнений розрахунок'!$I$3),IF('Вхідні дані'!$R$77=1,R21*'Вхідні дані'!$J$78,'Вхідні дані'!$L$79*'Узагальнений розрахунок'!$I$3))</f>
        <v>0</v>
      </c>
      <c r="S46" s="160">
        <f>CHOOSE('Узагальнений розрахунок'!$P$1,IF('Вхідні дані'!$R$77=1,S21*'Вхідні дані'!$E$78,'Вхідні дані'!$G$79*'Узагальнений розрахунок'!$I$3),IF('Вхідні дані'!$R$77=1,S21*'Вхідні дані'!$J$78,'Вхідні дані'!$L$79*'Узагальнений розрахунок'!$I$3))</f>
        <v>0</v>
      </c>
      <c r="T46" s="160">
        <f>CHOOSE('Узагальнений розрахунок'!$P$1,IF('Вхідні дані'!$R$77=1,T21*'Вхідні дані'!$E$78,'Вхідні дані'!$G$79*'Узагальнений розрахунок'!$I$3),IF('Вхідні дані'!$R$77=1,T21*'Вхідні дані'!$J$78,'Вхідні дані'!$L$79*'Узагальнений розрахунок'!$I$3))</f>
        <v>0</v>
      </c>
      <c r="U46" s="160">
        <f>CHOOSE('Узагальнений розрахунок'!$P$1,IF('Вхідні дані'!$R$77=1,U21*'Вхідні дані'!$E$78,'Вхідні дані'!$G$79*'Узагальнений розрахунок'!$I$3),IF('Вхідні дані'!$R$77=1,U21*'Вхідні дані'!$J$78,'Вхідні дані'!$L$79*'Узагальнений розрахунок'!$I$3))</f>
        <v>0</v>
      </c>
      <c r="V46" s="160">
        <f>CHOOSE('Узагальнений розрахунок'!$P$1,IF('Вхідні дані'!$R$77=1,V21*'Вхідні дані'!$E$78,'Вхідні дані'!$G$79*'Узагальнений розрахунок'!$I$3),IF('Вхідні дані'!$R$77=1,V21*'Вхідні дані'!$J$78,'Вхідні дані'!$L$79*'Узагальнений розрахунок'!$I$3))</f>
        <v>0</v>
      </c>
      <c r="W46" s="160">
        <f>CHOOSE('Узагальнений розрахунок'!$P$1,IF('Вхідні дані'!$R$77=1,W21*'Вхідні дані'!$E$78,'Вхідні дані'!$G$79*'Узагальнений розрахунок'!$I$3),IF('Вхідні дані'!$R$77=1,W21*'Вхідні дані'!$J$78,'Вхідні дані'!$L$79*'Узагальнений розрахунок'!$I$3))</f>
        <v>0</v>
      </c>
      <c r="X46" s="160">
        <f>CHOOSE('Узагальнений розрахунок'!$P$1,IF('Вхідні дані'!$R$77=1,X21*'Вхідні дані'!$E$78,'Вхідні дані'!$G$79*'Узагальнений розрахунок'!$I$3),IF('Вхідні дані'!$R$77=1,X21*'Вхідні дані'!$J$78,'Вхідні дані'!$L$79*'Узагальнений розрахунок'!$I$3))</f>
        <v>0</v>
      </c>
      <c r="Y46" s="160">
        <f>CHOOSE('Узагальнений розрахунок'!$P$1,IF('Вхідні дані'!$R$77=1,Y21*'Вхідні дані'!$E$78,'Вхідні дані'!$G$79*'Узагальнений розрахунок'!$I$3),IF('Вхідні дані'!$R$77=1,Y21*'Вхідні дані'!$J$78,'Вхідні дані'!$L$79*'Узагальнений розрахунок'!$I$3))</f>
        <v>0</v>
      </c>
      <c r="Z46" s="160">
        <f>CHOOSE('Узагальнений розрахунок'!$P$1,IF('Вхідні дані'!$R$77=1,Z21*'Вхідні дані'!$E$78,'Вхідні дані'!$G$79*'Узагальнений розрахунок'!$I$3),IF('Вхідні дані'!$R$77=1,Z21*'Вхідні дані'!$J$78,'Вхідні дані'!$L$79*'Узагальнений розрахунок'!$I$3))</f>
        <v>0</v>
      </c>
      <c r="AA46" s="160">
        <f>CHOOSE('Узагальнений розрахунок'!$P$1,IF('Вхідні дані'!$R$77=1,AA21*'Вхідні дані'!$E$78,'Вхідні дані'!$G$79*'Узагальнений розрахунок'!$I$3),IF('Вхідні дані'!$R$77=1,AA21*'Вхідні дані'!$J$78,'Вхідні дані'!$L$79*'Узагальнений розрахунок'!$I$3))</f>
        <v>0</v>
      </c>
      <c r="AB46" s="160">
        <f>CHOOSE('Узагальнений розрахунок'!$P$1,IF('Вхідні дані'!$R$77=1,AB21*'Вхідні дані'!$E$78,'Вхідні дані'!$G$79*'Узагальнений розрахунок'!$I$3),IF('Вхідні дані'!$R$77=1,AB21*'Вхідні дані'!$J$78,'Вхідні дані'!$L$79*'Узагальнений розрахунок'!$I$3))</f>
        <v>0</v>
      </c>
      <c r="AC46" s="160">
        <f>CHOOSE('Узагальнений розрахунок'!$P$1,IF('Вхідні дані'!$R$77=1,AC21*'Вхідні дані'!$E$78,'Вхідні дані'!$G$79*'Узагальнений розрахунок'!$I$3),IF('Вхідні дані'!$R$77=1,AC21*'Вхідні дані'!$J$78,'Вхідні дані'!$L$79*'Узагальнений розрахунок'!$I$3))</f>
        <v>0</v>
      </c>
      <c r="AD46" s="150">
        <f t="shared" ref="AD46" si="114">SUM(R46:AC46)</f>
        <v>0</v>
      </c>
      <c r="AE46" s="150">
        <f t="shared" ref="AE46" si="115">AD46/12</f>
        <v>0</v>
      </c>
      <c r="AF46" s="160">
        <f>CHOOSE('Узагальнений розрахунок'!$P$1,IF('Вхідні дані'!$R$77=1,AF21*'Вхідні дані'!$E$78,'Вхідні дані'!$G$79*'Узагальнений розрахунок'!$I$3),IF('Вхідні дані'!$R$77=1,AF21*'Вхідні дані'!$J$78,'Вхідні дані'!$L$79*'Узагальнений розрахунок'!$I$3))</f>
        <v>0</v>
      </c>
      <c r="AG46" s="160">
        <f>CHOOSE('Узагальнений розрахунок'!$P$1,IF('Вхідні дані'!$R$77=1,AG21*'Вхідні дані'!$E$78,'Вхідні дані'!$G$79*'Узагальнений розрахунок'!$I$3),IF('Вхідні дані'!$R$77=1,AG21*'Вхідні дані'!$J$78,'Вхідні дані'!$L$79*'Узагальнений розрахунок'!$I$3))</f>
        <v>0</v>
      </c>
      <c r="AH46" s="160">
        <f>CHOOSE('Узагальнений розрахунок'!$P$1,IF('Вхідні дані'!$R$77=1,AH21*'Вхідні дані'!$E$78,'Вхідні дані'!$G$79*'Узагальнений розрахунок'!$I$3),IF('Вхідні дані'!$R$77=1,AH21*'Вхідні дані'!$J$78,'Вхідні дані'!$L$79*'Узагальнений розрахунок'!$I$3))</f>
        <v>0</v>
      </c>
      <c r="AI46" s="160">
        <f>CHOOSE('Узагальнений розрахунок'!$P$1,IF('Вхідні дані'!$R$77=1,AI21*'Вхідні дані'!$E$78,'Вхідні дані'!$G$79*'Узагальнений розрахунок'!$I$3),IF('Вхідні дані'!$R$77=1,AI21*'Вхідні дані'!$J$78,'Вхідні дані'!$L$79*'Узагальнений розрахунок'!$I$3))</f>
        <v>0</v>
      </c>
      <c r="AJ46" s="160">
        <f>CHOOSE('Узагальнений розрахунок'!$P$1,IF('Вхідні дані'!$R$77=1,AJ21*'Вхідні дані'!$E$78,'Вхідні дані'!$G$79*'Узагальнений розрахунок'!$I$3),IF('Вхідні дані'!$R$77=1,AJ21*'Вхідні дані'!$J$78,'Вхідні дані'!$L$79*'Узагальнений розрахунок'!$I$3))</f>
        <v>0</v>
      </c>
      <c r="AK46" s="160">
        <f>CHOOSE('Узагальнений розрахунок'!$P$1,IF('Вхідні дані'!$R$77=1,AK21*'Вхідні дані'!$E$78,'Вхідні дані'!$G$79*'Узагальнений розрахунок'!$I$3),IF('Вхідні дані'!$R$77=1,AK21*'Вхідні дані'!$J$78,'Вхідні дані'!$L$79*'Узагальнений розрахунок'!$I$3))</f>
        <v>0</v>
      </c>
      <c r="AL46" s="160">
        <f>CHOOSE('Узагальнений розрахунок'!$P$1,IF('Вхідні дані'!$R$77=1,AL21*'Вхідні дані'!$E$78,'Вхідні дані'!$G$79*'Узагальнений розрахунок'!$I$3),IF('Вхідні дані'!$R$77=1,AL21*'Вхідні дані'!$J$78,'Вхідні дані'!$L$79*'Узагальнений розрахунок'!$I$3))</f>
        <v>0</v>
      </c>
      <c r="AM46" s="160">
        <f>CHOOSE('Узагальнений розрахунок'!$P$1,IF('Вхідні дані'!$R$77=1,AM21*'Вхідні дані'!$E$78,'Вхідні дані'!$G$79*'Узагальнений розрахунок'!$I$3),IF('Вхідні дані'!$R$77=1,AM21*'Вхідні дані'!$J$78,'Вхідні дані'!$L$79*'Узагальнений розрахунок'!$I$3))</f>
        <v>0</v>
      </c>
      <c r="AN46" s="160">
        <f>CHOOSE('Узагальнений розрахунок'!$P$1,IF('Вхідні дані'!$R$77=1,AN21*'Вхідні дані'!$E$78,'Вхідні дані'!$G$79*'Узагальнений розрахунок'!$I$3),IF('Вхідні дані'!$R$77=1,AN21*'Вхідні дані'!$J$78,'Вхідні дані'!$L$79*'Узагальнений розрахунок'!$I$3))</f>
        <v>0</v>
      </c>
      <c r="AO46" s="160">
        <f>CHOOSE('Узагальнений розрахунок'!$P$1,IF('Вхідні дані'!$R$77=1,AO21*'Вхідні дані'!$E$78,'Вхідні дані'!$G$79*'Узагальнений розрахунок'!$I$3),IF('Вхідні дані'!$R$77=1,AO21*'Вхідні дані'!$J$78,'Вхідні дані'!$L$79*'Узагальнений розрахунок'!$I$3))</f>
        <v>0</v>
      </c>
      <c r="AP46" s="160">
        <f>CHOOSE('Узагальнений розрахунок'!$P$1,IF('Вхідні дані'!$R$77=1,AP21*'Вхідні дані'!$E$78,'Вхідні дані'!$G$79*'Узагальнений розрахунок'!$I$3),IF('Вхідні дані'!$R$77=1,AP21*'Вхідні дані'!$J$78,'Вхідні дані'!$L$79*'Узагальнений розрахунок'!$I$3))</f>
        <v>0</v>
      </c>
      <c r="AQ46" s="160">
        <f>CHOOSE('Узагальнений розрахунок'!$P$1,IF('Вхідні дані'!$R$77=1,AQ21*'Вхідні дані'!$E$78,'Вхідні дані'!$G$79*'Узагальнений розрахунок'!$I$3),IF('Вхідні дані'!$R$77=1,AQ21*'Вхідні дані'!$J$78,'Вхідні дані'!$L$79*'Узагальнений розрахунок'!$I$3))</f>
        <v>0</v>
      </c>
      <c r="AR46" s="150">
        <f t="shared" ref="AR46" si="116">SUM(AF46:AQ46)</f>
        <v>0</v>
      </c>
      <c r="AS46" s="150">
        <f t="shared" ref="AS46" si="117">AR46/12</f>
        <v>0</v>
      </c>
      <c r="AT46" s="134">
        <f t="shared" ref="AT46" si="118">P46+AD46+AR46</f>
        <v>0</v>
      </c>
      <c r="AU46" s="161"/>
    </row>
    <row r="47" spans="1:47" s="136" customFormat="1" x14ac:dyDescent="0.5">
      <c r="A47" s="130" t="str">
        <f>'Узагальнений розрахунок'!B51</f>
        <v>Оренда</v>
      </c>
      <c r="B47" s="131" t="str">
        <f>CHOOSE('Вхідні дані'!$P$1,'Вхідні дані'!$Q$1,'Вхідні дані'!$Q$2,'Вхідні дані'!$Q$3,'Вхідні дані'!$Q$4)</f>
        <v>USD</v>
      </c>
      <c r="C47" s="131"/>
      <c r="D47" s="132">
        <f>CHOOSE('Узагальнений розрахунок'!$P$1,'Вхідні дані'!$G80,'Вхідні дані'!$L80)*D11</f>
        <v>100</v>
      </c>
      <c r="E47" s="132">
        <f>CHOOSE('Узагальнений розрахунок'!$P$1,'Вхідні дані'!$G80,'Вхідні дані'!$L80)*E11</f>
        <v>100</v>
      </c>
      <c r="F47" s="132">
        <f>CHOOSE('Узагальнений розрахунок'!$P$1,'Вхідні дані'!$G80,'Вхідні дані'!$L80)*F11</f>
        <v>100</v>
      </c>
      <c r="G47" s="132">
        <f>CHOOSE('Узагальнений розрахунок'!$P$1,'Вхідні дані'!$G80,'Вхідні дані'!$L80)*G11</f>
        <v>100</v>
      </c>
      <c r="H47" s="132">
        <f>CHOOSE('Узагальнений розрахунок'!$P$1,'Вхідні дані'!$G80,'Вхідні дані'!$L80)*H11</f>
        <v>100</v>
      </c>
      <c r="I47" s="132">
        <f>CHOOSE('Узагальнений розрахунок'!$P$1,'Вхідні дані'!$G80,'Вхідні дані'!$L80)*I11</f>
        <v>100</v>
      </c>
      <c r="J47" s="132">
        <f>CHOOSE('Узагальнений розрахунок'!$P$1,'Вхідні дані'!$G80,'Вхідні дані'!$L80)*J11</f>
        <v>100</v>
      </c>
      <c r="K47" s="132">
        <f>CHOOSE('Узагальнений розрахунок'!$P$1,'Вхідні дані'!$G80,'Вхідні дані'!$L80)*K11</f>
        <v>100</v>
      </c>
      <c r="L47" s="132">
        <f>CHOOSE('Узагальнений розрахунок'!$P$1,'Вхідні дані'!$G80,'Вхідні дані'!$L80)*L11</f>
        <v>100</v>
      </c>
      <c r="M47" s="132">
        <f>CHOOSE('Узагальнений розрахунок'!$P$1,'Вхідні дані'!$G80,'Вхідні дані'!$L80)*M11</f>
        <v>100</v>
      </c>
      <c r="N47" s="132">
        <f>CHOOSE('Узагальнений розрахунок'!$P$1,'Вхідні дані'!$G80,'Вхідні дані'!$L80)*N11</f>
        <v>100</v>
      </c>
      <c r="O47" s="132">
        <f>CHOOSE('Узагальнений розрахунок'!$P$1,'Вхідні дані'!$G80,'Вхідні дані'!$L80)*O11</f>
        <v>100</v>
      </c>
      <c r="P47" s="133">
        <f t="shared" si="103"/>
        <v>1200</v>
      </c>
      <c r="Q47" s="133">
        <f t="shared" si="104"/>
        <v>100</v>
      </c>
      <c r="R47" s="132">
        <f>CHOOSE('Узагальнений розрахунок'!$P$1,'Вхідні дані'!$G80,'Вхідні дані'!$L80)*R11</f>
        <v>100</v>
      </c>
      <c r="S47" s="132">
        <f>CHOOSE('Узагальнений розрахунок'!$P$1,'Вхідні дані'!$G80,'Вхідні дані'!$L80)*S11</f>
        <v>100</v>
      </c>
      <c r="T47" s="132">
        <f>CHOOSE('Узагальнений розрахунок'!$P$1,'Вхідні дані'!$G80,'Вхідні дані'!$L80)*T11</f>
        <v>100</v>
      </c>
      <c r="U47" s="132">
        <f>CHOOSE('Узагальнений розрахунок'!$P$1,'Вхідні дані'!$G80,'Вхідні дані'!$L80)*U11</f>
        <v>100</v>
      </c>
      <c r="V47" s="132">
        <f>CHOOSE('Узагальнений розрахунок'!$P$1,'Вхідні дані'!$G80,'Вхідні дані'!$L80)*V11</f>
        <v>100</v>
      </c>
      <c r="W47" s="132">
        <f>CHOOSE('Узагальнений розрахунок'!$P$1,'Вхідні дані'!$G80,'Вхідні дані'!$L80)*W11</f>
        <v>100</v>
      </c>
      <c r="X47" s="132">
        <f>CHOOSE('Узагальнений розрахунок'!$P$1,'Вхідні дані'!$G80,'Вхідні дані'!$L80)*X11</f>
        <v>100</v>
      </c>
      <c r="Y47" s="132">
        <f>CHOOSE('Узагальнений розрахунок'!$P$1,'Вхідні дані'!$G80,'Вхідні дані'!$L80)*Y11</f>
        <v>100</v>
      </c>
      <c r="Z47" s="132">
        <f>CHOOSE('Узагальнений розрахунок'!$P$1,'Вхідні дані'!$G80,'Вхідні дані'!$L80)*Z11</f>
        <v>100</v>
      </c>
      <c r="AA47" s="132">
        <f>CHOOSE('Узагальнений розрахунок'!$P$1,'Вхідні дані'!$G80,'Вхідні дані'!$L80)*AA11</f>
        <v>100</v>
      </c>
      <c r="AB47" s="132">
        <f>CHOOSE('Узагальнений розрахунок'!$P$1,'Вхідні дані'!$G80,'Вхідні дані'!$L80)*AB11</f>
        <v>100</v>
      </c>
      <c r="AC47" s="132">
        <f>CHOOSE('Узагальнений розрахунок'!$P$1,'Вхідні дані'!$G80,'Вхідні дані'!$L80)*AC11</f>
        <v>100</v>
      </c>
      <c r="AD47" s="133">
        <f t="shared" si="106"/>
        <v>1200</v>
      </c>
      <c r="AE47" s="133">
        <f t="shared" si="107"/>
        <v>100</v>
      </c>
      <c r="AF47" s="132">
        <f>CHOOSE('Узагальнений розрахунок'!$P$1,'Вхідні дані'!$G80,'Вхідні дані'!$L80)*AF11</f>
        <v>100</v>
      </c>
      <c r="AG47" s="132">
        <f>CHOOSE('Узагальнений розрахунок'!$P$1,'Вхідні дані'!$G80,'Вхідні дані'!$L80)*AG11</f>
        <v>100</v>
      </c>
      <c r="AH47" s="132">
        <f>CHOOSE('Узагальнений розрахунок'!$P$1,'Вхідні дані'!$G80,'Вхідні дані'!$L80)*AH11</f>
        <v>100</v>
      </c>
      <c r="AI47" s="132">
        <f>CHOOSE('Узагальнений розрахунок'!$P$1,'Вхідні дані'!$G80,'Вхідні дані'!$L80)*AI11</f>
        <v>100</v>
      </c>
      <c r="AJ47" s="132">
        <f>CHOOSE('Узагальнений розрахунок'!$P$1,'Вхідні дані'!$G80,'Вхідні дані'!$L80)*AJ11</f>
        <v>100</v>
      </c>
      <c r="AK47" s="132">
        <f>CHOOSE('Узагальнений розрахунок'!$P$1,'Вхідні дані'!$G80,'Вхідні дані'!$L80)*AK11</f>
        <v>100</v>
      </c>
      <c r="AL47" s="132">
        <f>CHOOSE('Узагальнений розрахунок'!$P$1,'Вхідні дані'!$G80,'Вхідні дані'!$L80)*AL11</f>
        <v>100</v>
      </c>
      <c r="AM47" s="132">
        <f>CHOOSE('Узагальнений розрахунок'!$P$1,'Вхідні дані'!$G80,'Вхідні дані'!$L80)*AM11</f>
        <v>100</v>
      </c>
      <c r="AN47" s="132">
        <f>CHOOSE('Узагальнений розрахунок'!$P$1,'Вхідні дані'!$G80,'Вхідні дані'!$L80)*AN11</f>
        <v>100</v>
      </c>
      <c r="AO47" s="132">
        <f>CHOOSE('Узагальнений розрахунок'!$P$1,'Вхідні дані'!$G80,'Вхідні дані'!$L80)*AO11</f>
        <v>100</v>
      </c>
      <c r="AP47" s="132">
        <f>CHOOSE('Узагальнений розрахунок'!$P$1,'Вхідні дані'!$G80,'Вхідні дані'!$L80)*AP11</f>
        <v>100</v>
      </c>
      <c r="AQ47" s="132">
        <f>CHOOSE('Узагальнений розрахунок'!$P$1,'Вхідні дані'!$G80,'Вхідні дані'!$L80)*AQ11</f>
        <v>100</v>
      </c>
      <c r="AR47" s="133">
        <f t="shared" si="109"/>
        <v>1200</v>
      </c>
      <c r="AS47" s="133">
        <f t="shared" si="110"/>
        <v>100</v>
      </c>
      <c r="AT47" s="134">
        <f t="shared" si="111"/>
        <v>3600</v>
      </c>
      <c r="AU47" s="135"/>
    </row>
    <row r="48" spans="1:47" s="162" customFormat="1" x14ac:dyDescent="0.5">
      <c r="A48" s="159" t="str">
        <f>'Узагальнений розрахунок'!B52</f>
        <v>Електрика</v>
      </c>
      <c r="B48" s="149" t="str">
        <f>CHOOSE('Вхідні дані'!$P$1,'Вхідні дані'!$Q$1,'Вхідні дані'!$Q$2,'Вхідні дані'!$Q$3,'Вхідні дані'!$Q$4)</f>
        <v>USD</v>
      </c>
      <c r="C48" s="149"/>
      <c r="D48" s="160">
        <f>CHOOSE('Узагальнений розрахунок'!$P$1,'Вхідні дані'!$G81,'Вхідні дані'!$L81)*D12*'Узагальнений розрахунок'!$I$3</f>
        <v>10</v>
      </c>
      <c r="E48" s="160">
        <f>CHOOSE('Узагальнений розрахунок'!$P$1,'Вхідні дані'!$G81,'Вхідні дані'!$L81)*E12*'Узагальнений розрахунок'!$I$3</f>
        <v>10</v>
      </c>
      <c r="F48" s="160">
        <f>CHOOSE('Узагальнений розрахунок'!$P$1,'Вхідні дані'!$G81,'Вхідні дані'!$L81)*F12*'Узагальнений розрахунок'!$I$3</f>
        <v>10</v>
      </c>
      <c r="G48" s="160">
        <f>CHOOSE('Узагальнений розрахунок'!$P$1,'Вхідні дані'!$G81,'Вхідні дані'!$L81)*G12*'Узагальнений розрахунок'!$I$3</f>
        <v>10</v>
      </c>
      <c r="H48" s="160">
        <f>CHOOSE('Узагальнений розрахунок'!$P$1,'Вхідні дані'!$G81,'Вхідні дані'!$L81)*H12*'Узагальнений розрахунок'!$I$3</f>
        <v>10</v>
      </c>
      <c r="I48" s="160">
        <f>CHOOSE('Узагальнений розрахунок'!$P$1,'Вхідні дані'!$G81,'Вхідні дані'!$L81)*I12*'Узагальнений розрахунок'!$I$3</f>
        <v>10</v>
      </c>
      <c r="J48" s="160">
        <f>CHOOSE('Узагальнений розрахунок'!$P$1,'Вхідні дані'!$G81,'Вхідні дані'!$L81)*J12*'Узагальнений розрахунок'!$I$3</f>
        <v>10</v>
      </c>
      <c r="K48" s="160">
        <f>CHOOSE('Узагальнений розрахунок'!$P$1,'Вхідні дані'!$G81,'Вхідні дані'!$L81)*K12*'Узагальнений розрахунок'!$I$3</f>
        <v>10</v>
      </c>
      <c r="L48" s="160">
        <f>CHOOSE('Узагальнений розрахунок'!$P$1,'Вхідні дані'!$G81,'Вхідні дані'!$L81)*L12*'Узагальнений розрахунок'!$I$3</f>
        <v>10</v>
      </c>
      <c r="M48" s="160">
        <f>CHOOSE('Узагальнений розрахунок'!$P$1,'Вхідні дані'!$G81,'Вхідні дані'!$L81)*M12*'Узагальнений розрахунок'!$I$3</f>
        <v>10</v>
      </c>
      <c r="N48" s="160">
        <f>CHOOSE('Узагальнений розрахунок'!$P$1,'Вхідні дані'!$G81,'Вхідні дані'!$L81)*N12*'Узагальнений розрахунок'!$I$3</f>
        <v>10</v>
      </c>
      <c r="O48" s="160">
        <f>CHOOSE('Узагальнений розрахунок'!$P$1,'Вхідні дані'!$G81,'Вхідні дані'!$L81)*O12*'Узагальнений розрахунок'!$I$3</f>
        <v>10</v>
      </c>
      <c r="P48" s="150">
        <f t="shared" si="103"/>
        <v>120</v>
      </c>
      <c r="Q48" s="150">
        <f t="shared" si="104"/>
        <v>10</v>
      </c>
      <c r="R48" s="160">
        <f>CHOOSE('Узагальнений розрахунок'!$P$1,'Вхідні дані'!$G81,'Вхідні дані'!$L81)*R12*'Узагальнений розрахунок'!$I$3</f>
        <v>10.5</v>
      </c>
      <c r="S48" s="160">
        <f>CHOOSE('Узагальнений розрахунок'!$P$1,'Вхідні дані'!$G81,'Вхідні дані'!$L81)*S12*'Узагальнений розрахунок'!$I$3</f>
        <v>10.5</v>
      </c>
      <c r="T48" s="160">
        <f>CHOOSE('Узагальнений розрахунок'!$P$1,'Вхідні дані'!$G81,'Вхідні дані'!$L81)*T12*'Узагальнений розрахунок'!$I$3</f>
        <v>10.5</v>
      </c>
      <c r="U48" s="160">
        <f>CHOOSE('Узагальнений розрахунок'!$P$1,'Вхідні дані'!$G81,'Вхідні дані'!$L81)*U12*'Узагальнений розрахунок'!$I$3</f>
        <v>10.5</v>
      </c>
      <c r="V48" s="160">
        <f>CHOOSE('Узагальнений розрахунок'!$P$1,'Вхідні дані'!$G81,'Вхідні дані'!$L81)*V12*'Узагальнений розрахунок'!$I$3</f>
        <v>10.5</v>
      </c>
      <c r="W48" s="160">
        <f>CHOOSE('Узагальнений розрахунок'!$P$1,'Вхідні дані'!$G81,'Вхідні дані'!$L81)*W12*'Узагальнений розрахунок'!$I$3</f>
        <v>10.5</v>
      </c>
      <c r="X48" s="160">
        <f>CHOOSE('Узагальнений розрахунок'!$P$1,'Вхідні дані'!$G81,'Вхідні дані'!$L81)*X12*'Узагальнений розрахунок'!$I$3</f>
        <v>10.5</v>
      </c>
      <c r="Y48" s="160">
        <f>CHOOSE('Узагальнений розрахунок'!$P$1,'Вхідні дані'!$G81,'Вхідні дані'!$L81)*Y12*'Узагальнений розрахунок'!$I$3</f>
        <v>10.5</v>
      </c>
      <c r="Z48" s="160">
        <f>CHOOSE('Узагальнений розрахунок'!$P$1,'Вхідні дані'!$G81,'Вхідні дані'!$L81)*Z12*'Узагальнений розрахунок'!$I$3</f>
        <v>10.5</v>
      </c>
      <c r="AA48" s="160">
        <f>CHOOSE('Узагальнений розрахунок'!$P$1,'Вхідні дані'!$G81,'Вхідні дані'!$L81)*AA12*'Узагальнений розрахунок'!$I$3</f>
        <v>10.5</v>
      </c>
      <c r="AB48" s="160">
        <f>CHOOSE('Узагальнений розрахунок'!$P$1,'Вхідні дані'!$G81,'Вхідні дані'!$L81)*AB12*'Узагальнений розрахунок'!$I$3</f>
        <v>10.5</v>
      </c>
      <c r="AC48" s="160">
        <f>CHOOSE('Узагальнений розрахунок'!$P$1,'Вхідні дані'!$G81,'Вхідні дані'!$L81)*AC12*'Узагальнений розрахунок'!$I$3</f>
        <v>10.5</v>
      </c>
      <c r="AD48" s="150">
        <f t="shared" si="106"/>
        <v>126</v>
      </c>
      <c r="AE48" s="150">
        <f t="shared" si="107"/>
        <v>10.5</v>
      </c>
      <c r="AF48" s="160">
        <f>CHOOSE('Узагальнений розрахунок'!$P$1,'Вхідні дані'!$G81,'Вхідні дані'!$L81)*AF12*'Узагальнений розрахунок'!$I$3</f>
        <v>11</v>
      </c>
      <c r="AG48" s="160">
        <f>CHOOSE('Узагальнений розрахунок'!$P$1,'Вхідні дані'!$G81,'Вхідні дані'!$L81)*AG12*'Узагальнений розрахунок'!$I$3</f>
        <v>11</v>
      </c>
      <c r="AH48" s="160">
        <f>CHOOSE('Узагальнений розрахунок'!$P$1,'Вхідні дані'!$G81,'Вхідні дані'!$L81)*AH12*'Узагальнений розрахунок'!$I$3</f>
        <v>11</v>
      </c>
      <c r="AI48" s="160">
        <f>CHOOSE('Узагальнений розрахунок'!$P$1,'Вхідні дані'!$G81,'Вхідні дані'!$L81)*AI12*'Узагальнений розрахунок'!$I$3</f>
        <v>11</v>
      </c>
      <c r="AJ48" s="160">
        <f>CHOOSE('Узагальнений розрахунок'!$P$1,'Вхідні дані'!$G81,'Вхідні дані'!$L81)*AJ12*'Узагальнений розрахунок'!$I$3</f>
        <v>11</v>
      </c>
      <c r="AK48" s="160">
        <f>CHOOSE('Узагальнений розрахунок'!$P$1,'Вхідні дані'!$G81,'Вхідні дані'!$L81)*AK12*'Узагальнений розрахунок'!$I$3</f>
        <v>11</v>
      </c>
      <c r="AL48" s="160">
        <f>CHOOSE('Узагальнений розрахунок'!$P$1,'Вхідні дані'!$G81,'Вхідні дані'!$L81)*AL12*'Узагальнений розрахунок'!$I$3</f>
        <v>11</v>
      </c>
      <c r="AM48" s="160">
        <f>CHOOSE('Узагальнений розрахунок'!$P$1,'Вхідні дані'!$G81,'Вхідні дані'!$L81)*AM12*'Узагальнений розрахунок'!$I$3</f>
        <v>11</v>
      </c>
      <c r="AN48" s="160">
        <f>CHOOSE('Узагальнений розрахунок'!$P$1,'Вхідні дані'!$G81,'Вхідні дані'!$L81)*AN12*'Узагальнений розрахунок'!$I$3</f>
        <v>11</v>
      </c>
      <c r="AO48" s="160">
        <f>CHOOSE('Узагальнений розрахунок'!$P$1,'Вхідні дані'!$G81,'Вхідні дані'!$L81)*AO12*'Узагальнений розрахунок'!$I$3</f>
        <v>11</v>
      </c>
      <c r="AP48" s="160">
        <f>CHOOSE('Узагальнений розрахунок'!$P$1,'Вхідні дані'!$G81,'Вхідні дані'!$L81)*AP12*'Узагальнений розрахунок'!$I$3</f>
        <v>11</v>
      </c>
      <c r="AQ48" s="160">
        <f>CHOOSE('Узагальнений розрахунок'!$P$1,'Вхідні дані'!$G81,'Вхідні дані'!$L81)*AQ12*'Узагальнений розрахунок'!$I$3</f>
        <v>11</v>
      </c>
      <c r="AR48" s="150">
        <f t="shared" si="109"/>
        <v>132</v>
      </c>
      <c r="AS48" s="150">
        <f t="shared" si="110"/>
        <v>11</v>
      </c>
      <c r="AT48" s="134">
        <f t="shared" si="111"/>
        <v>378</v>
      </c>
      <c r="AU48" s="161"/>
    </row>
    <row r="49" spans="1:47" s="136" customFormat="1" x14ac:dyDescent="0.5">
      <c r="A49" s="130" t="str">
        <f>'Узагальнений розрахунок'!B53</f>
        <v>Господарські потреби</v>
      </c>
      <c r="B49" s="131" t="str">
        <f>CHOOSE('Вхідні дані'!$P$1,'Вхідні дані'!$Q$1,'Вхідні дані'!$Q$2,'Вхідні дані'!$Q$3,'Вхідні дані'!$Q$4)</f>
        <v>USD</v>
      </c>
      <c r="C49" s="131"/>
      <c r="D49" s="132">
        <f>CHOOSE('Узагальнений розрахунок'!$P$1,'Вхідні дані'!$G82,'Вхідні дані'!$L82)*'Узагальнений розрахунок'!$I$3</f>
        <v>7</v>
      </c>
      <c r="E49" s="132">
        <f>CHOOSE('Узагальнений розрахунок'!$P$1,'Вхідні дані'!$G82,'Вхідні дані'!$L82)*'Узагальнений розрахунок'!$I$3</f>
        <v>7</v>
      </c>
      <c r="F49" s="132">
        <f>CHOOSE('Узагальнений розрахунок'!$P$1,'Вхідні дані'!$G82,'Вхідні дані'!$L82)*'Узагальнений розрахунок'!$I$3</f>
        <v>7</v>
      </c>
      <c r="G49" s="132">
        <f>CHOOSE('Узагальнений розрахунок'!$P$1,'Вхідні дані'!$G82,'Вхідні дані'!$L82)*'Узагальнений розрахунок'!$I$3</f>
        <v>7</v>
      </c>
      <c r="H49" s="132">
        <f>CHOOSE('Узагальнений розрахунок'!$P$1,'Вхідні дані'!$G82,'Вхідні дані'!$L82)*'Узагальнений розрахунок'!$I$3</f>
        <v>7</v>
      </c>
      <c r="I49" s="132">
        <f>CHOOSE('Узагальнений розрахунок'!$P$1,'Вхідні дані'!$G82,'Вхідні дані'!$L82)*'Узагальнений розрахунок'!$I$3</f>
        <v>7</v>
      </c>
      <c r="J49" s="132">
        <f>CHOOSE('Узагальнений розрахунок'!$P$1,'Вхідні дані'!$G82,'Вхідні дані'!$L82)*'Узагальнений розрахунок'!$I$3</f>
        <v>7</v>
      </c>
      <c r="K49" s="132">
        <f>CHOOSE('Узагальнений розрахунок'!$P$1,'Вхідні дані'!$G82,'Вхідні дані'!$L82)*'Узагальнений розрахунок'!$I$3</f>
        <v>7</v>
      </c>
      <c r="L49" s="132">
        <f>CHOOSE('Узагальнений розрахунок'!$P$1,'Вхідні дані'!$G82,'Вхідні дані'!$L82)*'Узагальнений розрахунок'!$I$3</f>
        <v>7</v>
      </c>
      <c r="M49" s="132">
        <f>CHOOSE('Узагальнений розрахунок'!$P$1,'Вхідні дані'!$G82,'Вхідні дані'!$L82)*'Узагальнений розрахунок'!$I$3</f>
        <v>7</v>
      </c>
      <c r="N49" s="132">
        <f>CHOOSE('Узагальнений розрахунок'!$P$1,'Вхідні дані'!$G82,'Вхідні дані'!$L82)*'Узагальнений розрахунок'!$I$3</f>
        <v>7</v>
      </c>
      <c r="O49" s="132">
        <f>CHOOSE('Узагальнений розрахунок'!$P$1,'Вхідні дані'!$G82,'Вхідні дані'!$L82)*'Узагальнений розрахунок'!$I$3</f>
        <v>7</v>
      </c>
      <c r="P49" s="133">
        <f t="shared" si="103"/>
        <v>84</v>
      </c>
      <c r="Q49" s="133">
        <f t="shared" si="104"/>
        <v>7</v>
      </c>
      <c r="R49" s="132">
        <f>CHOOSE('Узагальнений розрахунок'!$P$1,'Вхідні дані'!$G82,'Вхідні дані'!$L82)*'Узагальнений розрахунок'!$I$3</f>
        <v>7</v>
      </c>
      <c r="S49" s="132">
        <f>CHOOSE('Узагальнений розрахунок'!$P$1,'Вхідні дані'!$G82,'Вхідні дані'!$L82)*'Узагальнений розрахунок'!$I$3</f>
        <v>7</v>
      </c>
      <c r="T49" s="132">
        <f>CHOOSE('Узагальнений розрахунок'!$P$1,'Вхідні дані'!$G82,'Вхідні дані'!$L82)*'Узагальнений розрахунок'!$I$3</f>
        <v>7</v>
      </c>
      <c r="U49" s="132">
        <f>CHOOSE('Узагальнений розрахунок'!$P$1,'Вхідні дані'!$G82,'Вхідні дані'!$L82)*'Узагальнений розрахунок'!$I$3</f>
        <v>7</v>
      </c>
      <c r="V49" s="132">
        <f>CHOOSE('Узагальнений розрахунок'!$P$1,'Вхідні дані'!$G82,'Вхідні дані'!$L82)*'Узагальнений розрахунок'!$I$3</f>
        <v>7</v>
      </c>
      <c r="W49" s="132">
        <f>CHOOSE('Узагальнений розрахунок'!$P$1,'Вхідні дані'!$G82,'Вхідні дані'!$L82)*'Узагальнений розрахунок'!$I$3</f>
        <v>7</v>
      </c>
      <c r="X49" s="132">
        <f>CHOOSE('Узагальнений розрахунок'!$P$1,'Вхідні дані'!$G82,'Вхідні дані'!$L82)*'Узагальнений розрахунок'!$I$3</f>
        <v>7</v>
      </c>
      <c r="Y49" s="132">
        <f>CHOOSE('Узагальнений розрахунок'!$P$1,'Вхідні дані'!$G82,'Вхідні дані'!$L82)*'Узагальнений розрахунок'!$I$3</f>
        <v>7</v>
      </c>
      <c r="Z49" s="132">
        <f>CHOOSE('Узагальнений розрахунок'!$P$1,'Вхідні дані'!$G82,'Вхідні дані'!$L82)*'Узагальнений розрахунок'!$I$3</f>
        <v>7</v>
      </c>
      <c r="AA49" s="132">
        <f>CHOOSE('Узагальнений розрахунок'!$P$1,'Вхідні дані'!$G82,'Вхідні дані'!$L82)*'Узагальнений розрахунок'!$I$3</f>
        <v>7</v>
      </c>
      <c r="AB49" s="132">
        <f>CHOOSE('Узагальнений розрахунок'!$P$1,'Вхідні дані'!$G82,'Вхідні дані'!$L82)*'Узагальнений розрахунок'!$I$3</f>
        <v>7</v>
      </c>
      <c r="AC49" s="132">
        <f>CHOOSE('Узагальнений розрахунок'!$P$1,'Вхідні дані'!$G82,'Вхідні дані'!$L82)*'Узагальнений розрахунок'!$I$3</f>
        <v>7</v>
      </c>
      <c r="AD49" s="133">
        <f t="shared" si="106"/>
        <v>84</v>
      </c>
      <c r="AE49" s="133">
        <f t="shared" si="107"/>
        <v>7</v>
      </c>
      <c r="AF49" s="132">
        <f>CHOOSE('Узагальнений розрахунок'!$P$1,'Вхідні дані'!$G82,'Вхідні дані'!$L82)*'Узагальнений розрахунок'!$I$3</f>
        <v>7</v>
      </c>
      <c r="AG49" s="132">
        <f>CHOOSE('Узагальнений розрахунок'!$P$1,'Вхідні дані'!$G82,'Вхідні дані'!$L82)*'Узагальнений розрахунок'!$I$3</f>
        <v>7</v>
      </c>
      <c r="AH49" s="132">
        <f>CHOOSE('Узагальнений розрахунок'!$P$1,'Вхідні дані'!$G82,'Вхідні дані'!$L82)*'Узагальнений розрахунок'!$I$3</f>
        <v>7</v>
      </c>
      <c r="AI49" s="132">
        <f>CHOOSE('Узагальнений розрахунок'!$P$1,'Вхідні дані'!$G82,'Вхідні дані'!$L82)*'Узагальнений розрахунок'!$I$3</f>
        <v>7</v>
      </c>
      <c r="AJ49" s="132">
        <f>CHOOSE('Узагальнений розрахунок'!$P$1,'Вхідні дані'!$G82,'Вхідні дані'!$L82)*'Узагальнений розрахунок'!$I$3</f>
        <v>7</v>
      </c>
      <c r="AK49" s="132">
        <f>CHOOSE('Узагальнений розрахунок'!$P$1,'Вхідні дані'!$G82,'Вхідні дані'!$L82)*'Узагальнений розрахунок'!$I$3</f>
        <v>7</v>
      </c>
      <c r="AL49" s="132">
        <f>CHOOSE('Узагальнений розрахунок'!$P$1,'Вхідні дані'!$G82,'Вхідні дані'!$L82)*'Узагальнений розрахунок'!$I$3</f>
        <v>7</v>
      </c>
      <c r="AM49" s="132">
        <f>CHOOSE('Узагальнений розрахунок'!$P$1,'Вхідні дані'!$G82,'Вхідні дані'!$L82)*'Узагальнений розрахунок'!$I$3</f>
        <v>7</v>
      </c>
      <c r="AN49" s="132">
        <f>CHOOSE('Узагальнений розрахунок'!$P$1,'Вхідні дані'!$G82,'Вхідні дані'!$L82)*'Узагальнений розрахунок'!$I$3</f>
        <v>7</v>
      </c>
      <c r="AO49" s="132">
        <f>CHOOSE('Узагальнений розрахунок'!$P$1,'Вхідні дані'!$G82,'Вхідні дані'!$L82)*'Узагальнений розрахунок'!$I$3</f>
        <v>7</v>
      </c>
      <c r="AP49" s="132">
        <f>CHOOSE('Узагальнений розрахунок'!$P$1,'Вхідні дані'!$G82,'Вхідні дані'!$L82)*'Узагальнений розрахунок'!$I$3</f>
        <v>7</v>
      </c>
      <c r="AQ49" s="132">
        <f>CHOOSE('Узагальнений розрахунок'!$P$1,'Вхідні дані'!$G82,'Вхідні дані'!$L82)*'Узагальнений розрахунок'!$I$3</f>
        <v>7</v>
      </c>
      <c r="AR49" s="133">
        <f t="shared" si="109"/>
        <v>84</v>
      </c>
      <c r="AS49" s="133">
        <f t="shared" si="110"/>
        <v>7</v>
      </c>
      <c r="AT49" s="134">
        <f t="shared" si="111"/>
        <v>252</v>
      </c>
      <c r="AU49" s="135"/>
    </row>
    <row r="50" spans="1:47" s="162" customFormat="1" x14ac:dyDescent="0.5">
      <c r="A50" s="159" t="str">
        <f>'Узагальнений розрахунок'!B54</f>
        <v>Поточний ремонт</v>
      </c>
      <c r="B50" s="149" t="str">
        <f>CHOOSE('Вхідні дані'!$P$1,'Вхідні дані'!$Q$1,'Вхідні дані'!$Q$2,'Вхідні дані'!$Q$3,'Вхідні дані'!$Q$4)</f>
        <v>USD</v>
      </c>
      <c r="C50" s="149"/>
      <c r="D50" s="160">
        <f>CHOOSE('Узагальнений розрахунок'!$P$1,'Вхідні дані'!$G83,'Вхідні дані'!$L83)*'Узагальнений розрахунок'!$I$3</f>
        <v>200</v>
      </c>
      <c r="E50" s="160">
        <f>CHOOSE('Узагальнений розрахунок'!$P$1,'Вхідні дані'!$G83,'Вхідні дані'!$L83)*'Узагальнений розрахунок'!$I$3</f>
        <v>200</v>
      </c>
      <c r="F50" s="160">
        <f>CHOOSE('Узагальнений розрахунок'!$P$1,'Вхідні дані'!$G83,'Вхідні дані'!$L83)*'Узагальнений розрахунок'!$I$3</f>
        <v>200</v>
      </c>
      <c r="G50" s="160">
        <f>CHOOSE('Узагальнений розрахунок'!$P$1,'Вхідні дані'!$G83,'Вхідні дані'!$L83)*'Узагальнений розрахунок'!$I$3</f>
        <v>200</v>
      </c>
      <c r="H50" s="160">
        <f>CHOOSE('Узагальнений розрахунок'!$P$1,'Вхідні дані'!$G83,'Вхідні дані'!$L83)*'Узагальнений розрахунок'!$I$3</f>
        <v>200</v>
      </c>
      <c r="I50" s="160">
        <f>CHOOSE('Узагальнений розрахунок'!$P$1,'Вхідні дані'!$G83,'Вхідні дані'!$L83)*'Узагальнений розрахунок'!$I$3</f>
        <v>200</v>
      </c>
      <c r="J50" s="160">
        <f>CHOOSE('Узагальнений розрахунок'!$P$1,'Вхідні дані'!$G83,'Вхідні дані'!$L83)*'Узагальнений розрахунок'!$I$3</f>
        <v>200</v>
      </c>
      <c r="K50" s="160">
        <f>CHOOSE('Узагальнений розрахунок'!$P$1,'Вхідні дані'!$G83,'Вхідні дані'!$L83)*'Узагальнений розрахунок'!$I$3</f>
        <v>200</v>
      </c>
      <c r="L50" s="160">
        <f>CHOOSE('Узагальнений розрахунок'!$P$1,'Вхідні дані'!$G83,'Вхідні дані'!$L83)*'Узагальнений розрахунок'!$I$3</f>
        <v>200</v>
      </c>
      <c r="M50" s="160">
        <f>CHOOSE('Узагальнений розрахунок'!$P$1,'Вхідні дані'!$G83,'Вхідні дані'!$L83)*'Узагальнений розрахунок'!$I$3</f>
        <v>200</v>
      </c>
      <c r="N50" s="160">
        <f>CHOOSE('Узагальнений розрахунок'!$P$1,'Вхідні дані'!$G83,'Вхідні дані'!$L83)*'Узагальнений розрахунок'!$I$3</f>
        <v>200</v>
      </c>
      <c r="O50" s="160">
        <f>CHOOSE('Узагальнений розрахунок'!$P$1,'Вхідні дані'!$G83,'Вхідні дані'!$L83)*'Узагальнений розрахунок'!$I$3</f>
        <v>200</v>
      </c>
      <c r="P50" s="150">
        <f>SUM(D50:O50)</f>
        <v>2400</v>
      </c>
      <c r="Q50" s="150">
        <f t="shared" ref="Q50" si="119">P50/12</f>
        <v>200</v>
      </c>
      <c r="R50" s="160">
        <f>CHOOSE('Узагальнений розрахунок'!$P$1,'Вхідні дані'!$G83,'Вхідні дані'!$L83)*'Узагальнений розрахунок'!$I$3</f>
        <v>200</v>
      </c>
      <c r="S50" s="160">
        <f>CHOOSE('Узагальнений розрахунок'!$P$1,'Вхідні дані'!$G83,'Вхідні дані'!$L83)*'Узагальнений розрахунок'!$I$3</f>
        <v>200</v>
      </c>
      <c r="T50" s="160">
        <f>CHOOSE('Узагальнений розрахунок'!$P$1,'Вхідні дані'!$G83,'Вхідні дані'!$L83)*'Узагальнений розрахунок'!$I$3</f>
        <v>200</v>
      </c>
      <c r="U50" s="160">
        <f>CHOOSE('Узагальнений розрахунок'!$P$1,'Вхідні дані'!$G83,'Вхідні дані'!$L83)*'Узагальнений розрахунок'!$I$3</f>
        <v>200</v>
      </c>
      <c r="V50" s="160">
        <f>CHOOSE('Узагальнений розрахунок'!$P$1,'Вхідні дані'!$G83,'Вхідні дані'!$L83)*'Узагальнений розрахунок'!$I$3</f>
        <v>200</v>
      </c>
      <c r="W50" s="160">
        <f>CHOOSE('Узагальнений розрахунок'!$P$1,'Вхідні дані'!$G83,'Вхідні дані'!$L83)*'Узагальнений розрахунок'!$I$3</f>
        <v>200</v>
      </c>
      <c r="X50" s="160">
        <f>CHOOSE('Узагальнений розрахунок'!$P$1,'Вхідні дані'!$G83,'Вхідні дані'!$L83)*'Узагальнений розрахунок'!$I$3</f>
        <v>200</v>
      </c>
      <c r="Y50" s="160">
        <f>CHOOSE('Узагальнений розрахунок'!$P$1,'Вхідні дані'!$G83,'Вхідні дані'!$L83)*'Узагальнений розрахунок'!$I$3</f>
        <v>200</v>
      </c>
      <c r="Z50" s="160">
        <f>CHOOSE('Узагальнений розрахунок'!$P$1,'Вхідні дані'!$G83,'Вхідні дані'!$L83)*'Узагальнений розрахунок'!$I$3</f>
        <v>200</v>
      </c>
      <c r="AA50" s="160">
        <f>CHOOSE('Узагальнений розрахунок'!$P$1,'Вхідні дані'!$G83,'Вхідні дані'!$L83)*'Узагальнений розрахунок'!$I$3</f>
        <v>200</v>
      </c>
      <c r="AB50" s="160">
        <f>CHOOSE('Узагальнений розрахунок'!$P$1,'Вхідні дані'!$G83,'Вхідні дані'!$L83)*'Узагальнений розрахунок'!$I$3</f>
        <v>200</v>
      </c>
      <c r="AC50" s="160">
        <f>CHOOSE('Узагальнений розрахунок'!$P$1,'Вхідні дані'!$G83,'Вхідні дані'!$L83)*'Узагальнений розрахунок'!$I$3</f>
        <v>200</v>
      </c>
      <c r="AD50" s="150">
        <f>SUM(R50:AC50)</f>
        <v>2400</v>
      </c>
      <c r="AE50" s="150">
        <f t="shared" ref="AE50" si="120">AD50/12</f>
        <v>200</v>
      </c>
      <c r="AF50" s="160">
        <f>CHOOSE('Узагальнений розрахунок'!$P$1,'Вхідні дані'!$G83,'Вхідні дані'!$L83)*'Узагальнений розрахунок'!$I$3</f>
        <v>200</v>
      </c>
      <c r="AG50" s="160">
        <f>CHOOSE('Узагальнений розрахунок'!$P$1,'Вхідні дані'!$G83,'Вхідні дані'!$L83)*'Узагальнений розрахунок'!$I$3</f>
        <v>200</v>
      </c>
      <c r="AH50" s="160">
        <f>CHOOSE('Узагальнений розрахунок'!$P$1,'Вхідні дані'!$G83,'Вхідні дані'!$L83)*'Узагальнений розрахунок'!$I$3</f>
        <v>200</v>
      </c>
      <c r="AI50" s="160">
        <f>CHOOSE('Узагальнений розрахунок'!$P$1,'Вхідні дані'!$G83,'Вхідні дані'!$L83)*'Узагальнений розрахунок'!$I$3</f>
        <v>200</v>
      </c>
      <c r="AJ50" s="160">
        <f>CHOOSE('Узагальнений розрахунок'!$P$1,'Вхідні дані'!$G83,'Вхідні дані'!$L83)*'Узагальнений розрахунок'!$I$3</f>
        <v>200</v>
      </c>
      <c r="AK50" s="160">
        <f>CHOOSE('Узагальнений розрахунок'!$P$1,'Вхідні дані'!$G83,'Вхідні дані'!$L83)*'Узагальнений розрахунок'!$I$3</f>
        <v>200</v>
      </c>
      <c r="AL50" s="160">
        <f>CHOOSE('Узагальнений розрахунок'!$P$1,'Вхідні дані'!$G83,'Вхідні дані'!$L83)*'Узагальнений розрахунок'!$I$3</f>
        <v>200</v>
      </c>
      <c r="AM50" s="160">
        <f>CHOOSE('Узагальнений розрахунок'!$P$1,'Вхідні дані'!$G83,'Вхідні дані'!$L83)*'Узагальнений розрахунок'!$I$3</f>
        <v>200</v>
      </c>
      <c r="AN50" s="160">
        <f>CHOOSE('Узагальнений розрахунок'!$P$1,'Вхідні дані'!$G83,'Вхідні дані'!$L83)*'Узагальнений розрахунок'!$I$3</f>
        <v>200</v>
      </c>
      <c r="AO50" s="160">
        <f>CHOOSE('Узагальнений розрахунок'!$P$1,'Вхідні дані'!$G83,'Вхідні дані'!$L83)*'Узагальнений розрахунок'!$I$3</f>
        <v>200</v>
      </c>
      <c r="AP50" s="160">
        <f>CHOOSE('Узагальнений розрахунок'!$P$1,'Вхідні дані'!$G83,'Вхідні дані'!$L83)*'Узагальнений розрахунок'!$I$3</f>
        <v>200</v>
      </c>
      <c r="AQ50" s="160">
        <f>CHOOSE('Узагальнений розрахунок'!$P$1,'Вхідні дані'!$G83,'Вхідні дані'!$L83)*'Узагальнений розрахунок'!$I$3</f>
        <v>200</v>
      </c>
      <c r="AR50" s="150">
        <f>SUM(AF50:AQ50)</f>
        <v>2400</v>
      </c>
      <c r="AS50" s="150">
        <f t="shared" ref="AS50" si="121">AR50/12</f>
        <v>200</v>
      </c>
      <c r="AT50" s="134">
        <f t="shared" ref="AT50" si="122">P50+AD50+AR50</f>
        <v>7200</v>
      </c>
      <c r="AU50" s="161"/>
    </row>
    <row r="51" spans="1:47" s="136" customFormat="1" x14ac:dyDescent="0.5">
      <c r="A51" s="130" t="str">
        <f>'Узагальнений розрахунок'!B55</f>
        <v>Послуги зв'язку та інтернет</v>
      </c>
      <c r="B51" s="131" t="str">
        <f>CHOOSE('Вхідні дані'!$P$1,'Вхідні дані'!$Q$1,'Вхідні дані'!$Q$2,'Вхідні дані'!$Q$3,'Вхідні дані'!$Q$4)</f>
        <v>USD</v>
      </c>
      <c r="C51" s="131"/>
      <c r="D51" s="132">
        <f>CHOOSE('Узагальнений розрахунок'!$P$1,'Вхідні дані'!$G84,'Вхідні дані'!$L84)*'Узагальнений розрахунок'!$I$3</f>
        <v>70</v>
      </c>
      <c r="E51" s="132">
        <f>CHOOSE('Узагальнений розрахунок'!$P$1,'Вхідні дані'!$G84,'Вхідні дані'!$L84)*'Узагальнений розрахунок'!$I$3</f>
        <v>70</v>
      </c>
      <c r="F51" s="132">
        <f>CHOOSE('Узагальнений розрахунок'!$P$1,'Вхідні дані'!$G84,'Вхідні дані'!$L84)*'Узагальнений розрахунок'!$I$3</f>
        <v>70</v>
      </c>
      <c r="G51" s="132">
        <f>CHOOSE('Узагальнений розрахунок'!$P$1,'Вхідні дані'!$G84,'Вхідні дані'!$L84)*'Узагальнений розрахунок'!$I$3</f>
        <v>70</v>
      </c>
      <c r="H51" s="132">
        <f>CHOOSE('Узагальнений розрахунок'!$P$1,'Вхідні дані'!$G84,'Вхідні дані'!$L84)*'Узагальнений розрахунок'!$I$3</f>
        <v>70</v>
      </c>
      <c r="I51" s="132">
        <f>CHOOSE('Узагальнений розрахунок'!$P$1,'Вхідні дані'!$G84,'Вхідні дані'!$L84)*'Узагальнений розрахунок'!$I$3</f>
        <v>70</v>
      </c>
      <c r="J51" s="132">
        <f>CHOOSE('Узагальнений розрахунок'!$P$1,'Вхідні дані'!$G84,'Вхідні дані'!$L84)*'Узагальнений розрахунок'!$I$3</f>
        <v>70</v>
      </c>
      <c r="K51" s="132">
        <f>CHOOSE('Узагальнений розрахунок'!$P$1,'Вхідні дані'!$G84,'Вхідні дані'!$L84)*'Узагальнений розрахунок'!$I$3</f>
        <v>70</v>
      </c>
      <c r="L51" s="132">
        <f>CHOOSE('Узагальнений розрахунок'!$P$1,'Вхідні дані'!$G84,'Вхідні дані'!$L84)*'Узагальнений розрахунок'!$I$3</f>
        <v>70</v>
      </c>
      <c r="M51" s="132">
        <f>CHOOSE('Узагальнений розрахунок'!$P$1,'Вхідні дані'!$G84,'Вхідні дані'!$L84)*'Узагальнений розрахунок'!$I$3</f>
        <v>70</v>
      </c>
      <c r="N51" s="132">
        <f>CHOOSE('Узагальнений розрахунок'!$P$1,'Вхідні дані'!$G84,'Вхідні дані'!$L84)*'Узагальнений розрахунок'!$I$3</f>
        <v>70</v>
      </c>
      <c r="O51" s="132">
        <f>CHOOSE('Узагальнений розрахунок'!$P$1,'Вхідні дані'!$G84,'Вхідні дані'!$L84)*'Узагальнений розрахунок'!$I$3</f>
        <v>70</v>
      </c>
      <c r="P51" s="133">
        <f>SUM(D51:O51)</f>
        <v>840</v>
      </c>
      <c r="Q51" s="133">
        <f>P51/12</f>
        <v>70</v>
      </c>
      <c r="R51" s="132">
        <f>CHOOSE('Узагальнений розрахунок'!$P$1,'Вхідні дані'!$G84,'Вхідні дані'!$L84)*'Узагальнений розрахунок'!$I$3</f>
        <v>70</v>
      </c>
      <c r="S51" s="132">
        <f>CHOOSE('Узагальнений розрахунок'!$P$1,'Вхідні дані'!$G84,'Вхідні дані'!$L84)*'Узагальнений розрахунок'!$I$3</f>
        <v>70</v>
      </c>
      <c r="T51" s="132">
        <f>CHOOSE('Узагальнений розрахунок'!$P$1,'Вхідні дані'!$G84,'Вхідні дані'!$L84)*'Узагальнений розрахунок'!$I$3</f>
        <v>70</v>
      </c>
      <c r="U51" s="132">
        <f>CHOOSE('Узагальнений розрахунок'!$P$1,'Вхідні дані'!$G84,'Вхідні дані'!$L84)*'Узагальнений розрахунок'!$I$3</f>
        <v>70</v>
      </c>
      <c r="V51" s="132">
        <f>CHOOSE('Узагальнений розрахунок'!$P$1,'Вхідні дані'!$G84,'Вхідні дані'!$L84)*'Узагальнений розрахунок'!$I$3</f>
        <v>70</v>
      </c>
      <c r="W51" s="132">
        <f>CHOOSE('Узагальнений розрахунок'!$P$1,'Вхідні дані'!$G84,'Вхідні дані'!$L84)*'Узагальнений розрахунок'!$I$3</f>
        <v>70</v>
      </c>
      <c r="X51" s="132">
        <f>CHOOSE('Узагальнений розрахунок'!$P$1,'Вхідні дані'!$G84,'Вхідні дані'!$L84)*'Узагальнений розрахунок'!$I$3</f>
        <v>70</v>
      </c>
      <c r="Y51" s="132">
        <f>CHOOSE('Узагальнений розрахунок'!$P$1,'Вхідні дані'!$G84,'Вхідні дані'!$L84)*'Узагальнений розрахунок'!$I$3</f>
        <v>70</v>
      </c>
      <c r="Z51" s="132">
        <f>CHOOSE('Узагальнений розрахунок'!$P$1,'Вхідні дані'!$G84,'Вхідні дані'!$L84)*'Узагальнений розрахунок'!$I$3</f>
        <v>70</v>
      </c>
      <c r="AA51" s="132">
        <f>CHOOSE('Узагальнений розрахунок'!$P$1,'Вхідні дані'!$G84,'Вхідні дані'!$L84)*'Узагальнений розрахунок'!$I$3</f>
        <v>70</v>
      </c>
      <c r="AB51" s="132">
        <f>CHOOSE('Узагальнений розрахунок'!$P$1,'Вхідні дані'!$G84,'Вхідні дані'!$L84)*'Узагальнений розрахунок'!$I$3</f>
        <v>70</v>
      </c>
      <c r="AC51" s="132">
        <f>CHOOSE('Узагальнений розрахунок'!$P$1,'Вхідні дані'!$G84,'Вхідні дані'!$L84)*'Узагальнений розрахунок'!$I$3</f>
        <v>70</v>
      </c>
      <c r="AD51" s="133">
        <f>SUM(R51:AC51)</f>
        <v>840</v>
      </c>
      <c r="AE51" s="133">
        <f>AD51/12</f>
        <v>70</v>
      </c>
      <c r="AF51" s="132">
        <f>CHOOSE('Узагальнений розрахунок'!$P$1,'Вхідні дані'!$G84,'Вхідні дані'!$L84)*'Узагальнений розрахунок'!$I$3</f>
        <v>70</v>
      </c>
      <c r="AG51" s="132">
        <f>CHOOSE('Узагальнений розрахунок'!$P$1,'Вхідні дані'!$G84,'Вхідні дані'!$L84)*'Узагальнений розрахунок'!$I$3</f>
        <v>70</v>
      </c>
      <c r="AH51" s="132">
        <f>CHOOSE('Узагальнений розрахунок'!$P$1,'Вхідні дані'!$G84,'Вхідні дані'!$L84)*'Узагальнений розрахунок'!$I$3</f>
        <v>70</v>
      </c>
      <c r="AI51" s="132">
        <f>CHOOSE('Узагальнений розрахунок'!$P$1,'Вхідні дані'!$G84,'Вхідні дані'!$L84)*'Узагальнений розрахунок'!$I$3</f>
        <v>70</v>
      </c>
      <c r="AJ51" s="132">
        <f>CHOOSE('Узагальнений розрахунок'!$P$1,'Вхідні дані'!$G84,'Вхідні дані'!$L84)*'Узагальнений розрахунок'!$I$3</f>
        <v>70</v>
      </c>
      <c r="AK51" s="132">
        <f>CHOOSE('Узагальнений розрахунок'!$P$1,'Вхідні дані'!$G84,'Вхідні дані'!$L84)*'Узагальнений розрахунок'!$I$3</f>
        <v>70</v>
      </c>
      <c r="AL51" s="132">
        <f>CHOOSE('Узагальнений розрахунок'!$P$1,'Вхідні дані'!$G84,'Вхідні дані'!$L84)*'Узагальнений розрахунок'!$I$3</f>
        <v>70</v>
      </c>
      <c r="AM51" s="132">
        <f>CHOOSE('Узагальнений розрахунок'!$P$1,'Вхідні дані'!$G84,'Вхідні дані'!$L84)*'Узагальнений розрахунок'!$I$3</f>
        <v>70</v>
      </c>
      <c r="AN51" s="132">
        <f>CHOOSE('Узагальнений розрахунок'!$P$1,'Вхідні дані'!$G84,'Вхідні дані'!$L84)*'Узагальнений розрахунок'!$I$3</f>
        <v>70</v>
      </c>
      <c r="AO51" s="132">
        <f>CHOOSE('Узагальнений розрахунок'!$P$1,'Вхідні дані'!$G84,'Вхідні дані'!$L84)*'Узагальнений розрахунок'!$I$3</f>
        <v>70</v>
      </c>
      <c r="AP51" s="132">
        <f>CHOOSE('Узагальнений розрахунок'!$P$1,'Вхідні дані'!$G84,'Вхідні дані'!$L84)*'Узагальнений розрахунок'!$I$3</f>
        <v>70</v>
      </c>
      <c r="AQ51" s="132">
        <f>CHOOSE('Узагальнений розрахунок'!$P$1,'Вхідні дані'!$G84,'Вхідні дані'!$L84)*'Узагальнений розрахунок'!$I$3</f>
        <v>70</v>
      </c>
      <c r="AR51" s="133">
        <f>SUM(AF51:AQ51)</f>
        <v>840</v>
      </c>
      <c r="AS51" s="133">
        <f>AR51/12</f>
        <v>70</v>
      </c>
      <c r="AT51" s="134">
        <f>P51+AD51+AR51</f>
        <v>2520</v>
      </c>
      <c r="AU51" s="135"/>
    </row>
    <row r="52" spans="1:47" s="162" customFormat="1" x14ac:dyDescent="0.5">
      <c r="A52" s="159" t="str">
        <f>'Узагальнений розрахунок'!B56</f>
        <v>Уніформа персоналу</v>
      </c>
      <c r="B52" s="149" t="str">
        <f>CHOOSE('Вхідні дані'!$P$1,'Вхідні дані'!$Q$1,'Вхідні дані'!$Q$2,'Вхідні дані'!$Q$3,'Вхідні дані'!$Q$4)</f>
        <v>USD</v>
      </c>
      <c r="C52" s="149"/>
      <c r="D52" s="160">
        <f>CHOOSE('Узагальнений розрахунок'!$P$1,'Вхідні дані'!$G85,'Вхідні дані'!$L85)</f>
        <v>20</v>
      </c>
      <c r="E52" s="160">
        <f>CHOOSE('Узагальнений розрахунок'!$P$1,'Вхідні дані'!$G85,'Вхідні дані'!$L85)</f>
        <v>20</v>
      </c>
      <c r="F52" s="160">
        <f>CHOOSE('Узагальнений розрахунок'!$P$1,'Вхідні дані'!$G85,'Вхідні дані'!$L85)</f>
        <v>20</v>
      </c>
      <c r="G52" s="160">
        <f>CHOOSE('Узагальнений розрахунок'!$P$1,'Вхідні дані'!$G85,'Вхідні дані'!$L85)</f>
        <v>20</v>
      </c>
      <c r="H52" s="160">
        <f>CHOOSE('Узагальнений розрахунок'!$P$1,'Вхідні дані'!$G85,'Вхідні дані'!$L85)</f>
        <v>20</v>
      </c>
      <c r="I52" s="160">
        <f>CHOOSE('Узагальнений розрахунок'!$P$1,'Вхідні дані'!$G85,'Вхідні дані'!$L85)</f>
        <v>20</v>
      </c>
      <c r="J52" s="160">
        <f>CHOOSE('Узагальнений розрахунок'!$P$1,'Вхідні дані'!$G85,'Вхідні дані'!$L85)</f>
        <v>20</v>
      </c>
      <c r="K52" s="160">
        <f>CHOOSE('Узагальнений розрахунок'!$P$1,'Вхідні дані'!$G85,'Вхідні дані'!$L85)</f>
        <v>20</v>
      </c>
      <c r="L52" s="160">
        <f>CHOOSE('Узагальнений розрахунок'!$P$1,'Вхідні дані'!$G85,'Вхідні дані'!$L85)</f>
        <v>20</v>
      </c>
      <c r="M52" s="160">
        <f>CHOOSE('Узагальнений розрахунок'!$P$1,'Вхідні дані'!$G85,'Вхідні дані'!$L85)</f>
        <v>20</v>
      </c>
      <c r="N52" s="160">
        <f>CHOOSE('Узагальнений розрахунок'!$P$1,'Вхідні дані'!$G85,'Вхідні дані'!$L85)</f>
        <v>20</v>
      </c>
      <c r="O52" s="160">
        <f>CHOOSE('Узагальнений розрахунок'!$P$1,'Вхідні дані'!$G85,'Вхідні дані'!$L85)</f>
        <v>20</v>
      </c>
      <c r="P52" s="150">
        <f t="shared" ref="P52" si="123">SUM(D52:O52)</f>
        <v>240</v>
      </c>
      <c r="Q52" s="150">
        <f t="shared" ref="Q52" si="124">P52/12</f>
        <v>20</v>
      </c>
      <c r="R52" s="160">
        <f>CHOOSE('Узагальнений розрахунок'!$P$1,'Вхідні дані'!$G85,'Вхідні дані'!$L85)</f>
        <v>20</v>
      </c>
      <c r="S52" s="160">
        <f>CHOOSE('Узагальнений розрахунок'!$P$1,'Вхідні дані'!$G85,'Вхідні дані'!$L85)</f>
        <v>20</v>
      </c>
      <c r="T52" s="160">
        <f>CHOOSE('Узагальнений розрахунок'!$P$1,'Вхідні дані'!$G85,'Вхідні дані'!$L85)</f>
        <v>20</v>
      </c>
      <c r="U52" s="160">
        <f>CHOOSE('Узагальнений розрахунок'!$P$1,'Вхідні дані'!$G85,'Вхідні дані'!$L85)</f>
        <v>20</v>
      </c>
      <c r="V52" s="160">
        <f>CHOOSE('Узагальнений розрахунок'!$P$1,'Вхідні дані'!$G85,'Вхідні дані'!$L85)</f>
        <v>20</v>
      </c>
      <c r="W52" s="160">
        <f>CHOOSE('Узагальнений розрахунок'!$P$1,'Вхідні дані'!$G85,'Вхідні дані'!$L85)</f>
        <v>20</v>
      </c>
      <c r="X52" s="160">
        <f>CHOOSE('Узагальнений розрахунок'!$P$1,'Вхідні дані'!$G85,'Вхідні дані'!$L85)</f>
        <v>20</v>
      </c>
      <c r="Y52" s="160">
        <f>CHOOSE('Узагальнений розрахунок'!$P$1,'Вхідні дані'!$G85,'Вхідні дані'!$L85)</f>
        <v>20</v>
      </c>
      <c r="Z52" s="160">
        <f>CHOOSE('Узагальнений розрахунок'!$P$1,'Вхідні дані'!$G85,'Вхідні дані'!$L85)</f>
        <v>20</v>
      </c>
      <c r="AA52" s="160">
        <f>CHOOSE('Узагальнений розрахунок'!$P$1,'Вхідні дані'!$G85,'Вхідні дані'!$L85)</f>
        <v>20</v>
      </c>
      <c r="AB52" s="160">
        <f>CHOOSE('Узагальнений розрахунок'!$P$1,'Вхідні дані'!$G85,'Вхідні дані'!$L85)</f>
        <v>20</v>
      </c>
      <c r="AC52" s="160">
        <f>CHOOSE('Узагальнений розрахунок'!$P$1,'Вхідні дані'!$G85,'Вхідні дані'!$L85)</f>
        <v>20</v>
      </c>
      <c r="AD52" s="150">
        <f t="shared" ref="AD52" si="125">SUM(R52:AC52)</f>
        <v>240</v>
      </c>
      <c r="AE52" s="150">
        <f t="shared" ref="AE52" si="126">AD52/12</f>
        <v>20</v>
      </c>
      <c r="AF52" s="160">
        <f>CHOOSE('Узагальнений розрахунок'!$P$1,'Вхідні дані'!$G85,'Вхідні дані'!$L85)</f>
        <v>20</v>
      </c>
      <c r="AG52" s="160">
        <f>CHOOSE('Узагальнений розрахунок'!$P$1,'Вхідні дані'!$G85,'Вхідні дані'!$L85)</f>
        <v>20</v>
      </c>
      <c r="AH52" s="160">
        <f>CHOOSE('Узагальнений розрахунок'!$P$1,'Вхідні дані'!$G85,'Вхідні дані'!$L85)</f>
        <v>20</v>
      </c>
      <c r="AI52" s="160">
        <f>CHOOSE('Узагальнений розрахунок'!$P$1,'Вхідні дані'!$G85,'Вхідні дані'!$L85)</f>
        <v>20</v>
      </c>
      <c r="AJ52" s="160">
        <f>CHOOSE('Узагальнений розрахунок'!$P$1,'Вхідні дані'!$G85,'Вхідні дані'!$L85)</f>
        <v>20</v>
      </c>
      <c r="AK52" s="160">
        <f>CHOOSE('Узагальнений розрахунок'!$P$1,'Вхідні дані'!$G85,'Вхідні дані'!$L85)</f>
        <v>20</v>
      </c>
      <c r="AL52" s="160">
        <f>CHOOSE('Узагальнений розрахунок'!$P$1,'Вхідні дані'!$G85,'Вхідні дані'!$L85)</f>
        <v>20</v>
      </c>
      <c r="AM52" s="160">
        <f>CHOOSE('Узагальнений розрахунок'!$P$1,'Вхідні дані'!$G85,'Вхідні дані'!$L85)</f>
        <v>20</v>
      </c>
      <c r="AN52" s="160">
        <f>CHOOSE('Узагальнений розрахунок'!$P$1,'Вхідні дані'!$G85,'Вхідні дані'!$L85)</f>
        <v>20</v>
      </c>
      <c r="AO52" s="160">
        <f>CHOOSE('Узагальнений розрахунок'!$P$1,'Вхідні дані'!$G85,'Вхідні дані'!$L85)</f>
        <v>20</v>
      </c>
      <c r="AP52" s="160">
        <f>CHOOSE('Узагальнений розрахунок'!$P$1,'Вхідні дані'!$G85,'Вхідні дані'!$L85)</f>
        <v>20</v>
      </c>
      <c r="AQ52" s="160">
        <f>CHOOSE('Узагальнений розрахунок'!$P$1,'Вхідні дані'!$G85,'Вхідні дані'!$L85)</f>
        <v>20</v>
      </c>
      <c r="AR52" s="150">
        <f t="shared" ref="AR52" si="127">SUM(AF52:AQ52)</f>
        <v>240</v>
      </c>
      <c r="AS52" s="150">
        <f t="shared" ref="AS52" si="128">AR52/12</f>
        <v>20</v>
      </c>
      <c r="AT52" s="134">
        <f t="shared" ref="AT52" si="129">P52+AD52+AR52</f>
        <v>720</v>
      </c>
      <c r="AU52" s="161"/>
    </row>
    <row r="53" spans="1:47" s="136" customFormat="1" x14ac:dyDescent="0.5">
      <c r="A53" s="130" t="str">
        <f>'Узагальнений розрахунок'!B57</f>
        <v>Офісні витрати</v>
      </c>
      <c r="B53" s="131" t="str">
        <f>CHOOSE('Вхідні дані'!$P$1,'Вхідні дані'!$Q$1,'Вхідні дані'!$Q$2,'Вхідні дані'!$Q$3,'Вхідні дані'!$Q$4)</f>
        <v>USD</v>
      </c>
      <c r="C53" s="131"/>
      <c r="D53" s="132">
        <f>CHOOSE('Узагальнений розрахунок'!$P$1,'Вхідні дані'!$G86,'Вхідні дані'!$L86)</f>
        <v>20</v>
      </c>
      <c r="E53" s="132">
        <f>CHOOSE('Узагальнений розрахунок'!$P$1,'Вхідні дані'!$G86,'Вхідні дані'!$L86)</f>
        <v>20</v>
      </c>
      <c r="F53" s="132">
        <f>CHOOSE('Узагальнений розрахунок'!$P$1,'Вхідні дані'!$G86,'Вхідні дані'!$L86)</f>
        <v>20</v>
      </c>
      <c r="G53" s="132">
        <f>CHOOSE('Узагальнений розрахунок'!$P$1,'Вхідні дані'!$G86,'Вхідні дані'!$L86)</f>
        <v>20</v>
      </c>
      <c r="H53" s="132">
        <f>CHOOSE('Узагальнений розрахунок'!$P$1,'Вхідні дані'!$G86,'Вхідні дані'!$L86)</f>
        <v>20</v>
      </c>
      <c r="I53" s="132">
        <f>CHOOSE('Узагальнений розрахунок'!$P$1,'Вхідні дані'!$G86,'Вхідні дані'!$L86)</f>
        <v>20</v>
      </c>
      <c r="J53" s="132">
        <f>CHOOSE('Узагальнений розрахунок'!$P$1,'Вхідні дані'!$G86,'Вхідні дані'!$L86)</f>
        <v>20</v>
      </c>
      <c r="K53" s="132">
        <f>CHOOSE('Узагальнений розрахунок'!$P$1,'Вхідні дані'!$G86,'Вхідні дані'!$L86)</f>
        <v>20</v>
      </c>
      <c r="L53" s="132">
        <f>CHOOSE('Узагальнений розрахунок'!$P$1,'Вхідні дані'!$G86,'Вхідні дані'!$L86)</f>
        <v>20</v>
      </c>
      <c r="M53" s="132">
        <f>CHOOSE('Узагальнений розрахунок'!$P$1,'Вхідні дані'!$G86,'Вхідні дані'!$L86)</f>
        <v>20</v>
      </c>
      <c r="N53" s="132">
        <f>CHOOSE('Узагальнений розрахунок'!$P$1,'Вхідні дані'!$G86,'Вхідні дані'!$L86)</f>
        <v>20</v>
      </c>
      <c r="O53" s="132">
        <f>CHOOSE('Узагальнений розрахунок'!$P$1,'Вхідні дані'!$G86,'Вхідні дані'!$L86)</f>
        <v>20</v>
      </c>
      <c r="P53" s="133">
        <f t="shared" ref="P53" si="130">SUM(D53:O53)</f>
        <v>240</v>
      </c>
      <c r="Q53" s="133">
        <f t="shared" ref="Q53" si="131">P53/12</f>
        <v>20</v>
      </c>
      <c r="R53" s="132">
        <f>CHOOSE('Узагальнений розрахунок'!$P$1,'Вхідні дані'!$G86,'Вхідні дані'!$L86)</f>
        <v>20</v>
      </c>
      <c r="S53" s="132">
        <f>CHOOSE('Узагальнений розрахунок'!$P$1,'Вхідні дані'!$G86,'Вхідні дані'!$L86)</f>
        <v>20</v>
      </c>
      <c r="T53" s="132">
        <f>CHOOSE('Узагальнений розрахунок'!$P$1,'Вхідні дані'!$G86,'Вхідні дані'!$L86)</f>
        <v>20</v>
      </c>
      <c r="U53" s="132">
        <f>CHOOSE('Узагальнений розрахунок'!$P$1,'Вхідні дані'!$G86,'Вхідні дані'!$L86)</f>
        <v>20</v>
      </c>
      <c r="V53" s="132">
        <f>CHOOSE('Узагальнений розрахунок'!$P$1,'Вхідні дані'!$G86,'Вхідні дані'!$L86)</f>
        <v>20</v>
      </c>
      <c r="W53" s="132">
        <f>CHOOSE('Узагальнений розрахунок'!$P$1,'Вхідні дані'!$G86,'Вхідні дані'!$L86)</f>
        <v>20</v>
      </c>
      <c r="X53" s="132">
        <f>CHOOSE('Узагальнений розрахунок'!$P$1,'Вхідні дані'!$G86,'Вхідні дані'!$L86)</f>
        <v>20</v>
      </c>
      <c r="Y53" s="132">
        <f>CHOOSE('Узагальнений розрахунок'!$P$1,'Вхідні дані'!$G86,'Вхідні дані'!$L86)</f>
        <v>20</v>
      </c>
      <c r="Z53" s="132">
        <f>CHOOSE('Узагальнений розрахунок'!$P$1,'Вхідні дані'!$G86,'Вхідні дані'!$L86)</f>
        <v>20</v>
      </c>
      <c r="AA53" s="132">
        <f>CHOOSE('Узагальнений розрахунок'!$P$1,'Вхідні дані'!$G86,'Вхідні дані'!$L86)</f>
        <v>20</v>
      </c>
      <c r="AB53" s="132">
        <f>CHOOSE('Узагальнений розрахунок'!$P$1,'Вхідні дані'!$G86,'Вхідні дані'!$L86)</f>
        <v>20</v>
      </c>
      <c r="AC53" s="132">
        <f>CHOOSE('Узагальнений розрахунок'!$P$1,'Вхідні дані'!$G86,'Вхідні дані'!$L86)</f>
        <v>20</v>
      </c>
      <c r="AD53" s="133">
        <f t="shared" ref="AD53" si="132">SUM(R53:AC53)</f>
        <v>240</v>
      </c>
      <c r="AE53" s="133">
        <f t="shared" ref="AE53" si="133">AD53/12</f>
        <v>20</v>
      </c>
      <c r="AF53" s="132">
        <f>CHOOSE('Узагальнений розрахунок'!$P$1,'Вхідні дані'!$G86,'Вхідні дані'!$L86)</f>
        <v>20</v>
      </c>
      <c r="AG53" s="132">
        <f>CHOOSE('Узагальнений розрахунок'!$P$1,'Вхідні дані'!$G86,'Вхідні дані'!$L86)</f>
        <v>20</v>
      </c>
      <c r="AH53" s="132">
        <f>CHOOSE('Узагальнений розрахунок'!$P$1,'Вхідні дані'!$G86,'Вхідні дані'!$L86)</f>
        <v>20</v>
      </c>
      <c r="AI53" s="132">
        <f>CHOOSE('Узагальнений розрахунок'!$P$1,'Вхідні дані'!$G86,'Вхідні дані'!$L86)</f>
        <v>20</v>
      </c>
      <c r="AJ53" s="132">
        <f>CHOOSE('Узагальнений розрахунок'!$P$1,'Вхідні дані'!$G86,'Вхідні дані'!$L86)</f>
        <v>20</v>
      </c>
      <c r="AK53" s="132">
        <f>CHOOSE('Узагальнений розрахунок'!$P$1,'Вхідні дані'!$G86,'Вхідні дані'!$L86)</f>
        <v>20</v>
      </c>
      <c r="AL53" s="132">
        <f>CHOOSE('Узагальнений розрахунок'!$P$1,'Вхідні дані'!$G86,'Вхідні дані'!$L86)</f>
        <v>20</v>
      </c>
      <c r="AM53" s="132">
        <f>CHOOSE('Узагальнений розрахунок'!$P$1,'Вхідні дані'!$G86,'Вхідні дані'!$L86)</f>
        <v>20</v>
      </c>
      <c r="AN53" s="132">
        <f>CHOOSE('Узагальнений розрахунок'!$P$1,'Вхідні дані'!$G86,'Вхідні дані'!$L86)</f>
        <v>20</v>
      </c>
      <c r="AO53" s="132">
        <f>CHOOSE('Узагальнений розрахунок'!$P$1,'Вхідні дані'!$G86,'Вхідні дані'!$L86)</f>
        <v>20</v>
      </c>
      <c r="AP53" s="132">
        <f>CHOOSE('Узагальнений розрахунок'!$P$1,'Вхідні дані'!$G86,'Вхідні дані'!$L86)</f>
        <v>20</v>
      </c>
      <c r="AQ53" s="132">
        <f>CHOOSE('Узагальнений розрахунок'!$P$1,'Вхідні дані'!$G86,'Вхідні дані'!$L86)</f>
        <v>20</v>
      </c>
      <c r="AR53" s="133">
        <f t="shared" ref="AR53" si="134">SUM(AF53:AQ53)</f>
        <v>240</v>
      </c>
      <c r="AS53" s="133">
        <f t="shared" ref="AS53" si="135">AR53/12</f>
        <v>20</v>
      </c>
      <c r="AT53" s="134">
        <f t="shared" ref="AT53" si="136">P53+AD53+AR53</f>
        <v>720</v>
      </c>
      <c r="AU53" s="135"/>
    </row>
    <row r="54" spans="1:47" s="162" customFormat="1" x14ac:dyDescent="0.5">
      <c r="A54" s="159" t="str">
        <f>'Узагальнений розрахунок'!B58</f>
        <v>Охорона</v>
      </c>
      <c r="B54" s="149" t="str">
        <f>CHOOSE('Вхідні дані'!$P$1,'Вхідні дані'!$Q$1,'Вхідні дані'!$Q$2,'Вхідні дані'!$Q$3,'Вхідні дані'!$Q$4)</f>
        <v>USD</v>
      </c>
      <c r="C54" s="149"/>
      <c r="D54" s="160">
        <f>CHOOSE('Узагальнений розрахунок'!$P$1,'Вхідні дані'!$G87,'Вхідні дані'!$L87)</f>
        <v>25</v>
      </c>
      <c r="E54" s="160">
        <f>CHOOSE('Узагальнений розрахунок'!$P$1,'Вхідні дані'!$G87,'Вхідні дані'!$L87)</f>
        <v>25</v>
      </c>
      <c r="F54" s="160">
        <f>CHOOSE('Узагальнений розрахунок'!$P$1,'Вхідні дані'!$G87,'Вхідні дані'!$L87)</f>
        <v>25</v>
      </c>
      <c r="G54" s="160">
        <f>CHOOSE('Узагальнений розрахунок'!$P$1,'Вхідні дані'!$G87,'Вхідні дані'!$L87)</f>
        <v>25</v>
      </c>
      <c r="H54" s="160">
        <f>CHOOSE('Узагальнений розрахунок'!$P$1,'Вхідні дані'!$G87,'Вхідні дані'!$L87)</f>
        <v>25</v>
      </c>
      <c r="I54" s="160">
        <f>CHOOSE('Узагальнений розрахунок'!$P$1,'Вхідні дані'!$G87,'Вхідні дані'!$L87)</f>
        <v>25</v>
      </c>
      <c r="J54" s="160">
        <f>CHOOSE('Узагальнений розрахунок'!$P$1,'Вхідні дані'!$G87,'Вхідні дані'!$L87)</f>
        <v>25</v>
      </c>
      <c r="K54" s="160">
        <f>CHOOSE('Узагальнений розрахунок'!$P$1,'Вхідні дані'!$G87,'Вхідні дані'!$L87)</f>
        <v>25</v>
      </c>
      <c r="L54" s="160">
        <f>CHOOSE('Узагальнений розрахунок'!$P$1,'Вхідні дані'!$G87,'Вхідні дані'!$L87)</f>
        <v>25</v>
      </c>
      <c r="M54" s="160">
        <f>CHOOSE('Узагальнений розрахунок'!$P$1,'Вхідні дані'!$G87,'Вхідні дані'!$L87)</f>
        <v>25</v>
      </c>
      <c r="N54" s="160">
        <f>CHOOSE('Узагальнений розрахунок'!$P$1,'Вхідні дані'!$G87,'Вхідні дані'!$L87)</f>
        <v>25</v>
      </c>
      <c r="O54" s="160">
        <f>CHOOSE('Узагальнений розрахунок'!$P$1,'Вхідні дані'!$G87,'Вхідні дані'!$L87)</f>
        <v>25</v>
      </c>
      <c r="P54" s="150">
        <f>SUM(D54:O54)</f>
        <v>300</v>
      </c>
      <c r="Q54" s="150">
        <f>P54/12</f>
        <v>25</v>
      </c>
      <c r="R54" s="160">
        <f>CHOOSE('Узагальнений розрахунок'!$P$1,'Вхідні дані'!$G87,'Вхідні дані'!$L87)</f>
        <v>25</v>
      </c>
      <c r="S54" s="160">
        <f>CHOOSE('Узагальнений розрахунок'!$P$1,'Вхідні дані'!$G87,'Вхідні дані'!$L87)</f>
        <v>25</v>
      </c>
      <c r="T54" s="160">
        <f>CHOOSE('Узагальнений розрахунок'!$P$1,'Вхідні дані'!$G87,'Вхідні дані'!$L87)</f>
        <v>25</v>
      </c>
      <c r="U54" s="160">
        <f>CHOOSE('Узагальнений розрахунок'!$P$1,'Вхідні дані'!$G87,'Вхідні дані'!$L87)</f>
        <v>25</v>
      </c>
      <c r="V54" s="160">
        <f>CHOOSE('Узагальнений розрахунок'!$P$1,'Вхідні дані'!$G87,'Вхідні дані'!$L87)</f>
        <v>25</v>
      </c>
      <c r="W54" s="160">
        <f>CHOOSE('Узагальнений розрахунок'!$P$1,'Вхідні дані'!$G87,'Вхідні дані'!$L87)</f>
        <v>25</v>
      </c>
      <c r="X54" s="160">
        <f>CHOOSE('Узагальнений розрахунок'!$P$1,'Вхідні дані'!$G87,'Вхідні дані'!$L87)</f>
        <v>25</v>
      </c>
      <c r="Y54" s="160">
        <f>CHOOSE('Узагальнений розрахунок'!$P$1,'Вхідні дані'!$G87,'Вхідні дані'!$L87)</f>
        <v>25</v>
      </c>
      <c r="Z54" s="160">
        <f>CHOOSE('Узагальнений розрахунок'!$P$1,'Вхідні дані'!$G87,'Вхідні дані'!$L87)</f>
        <v>25</v>
      </c>
      <c r="AA54" s="160">
        <f>CHOOSE('Узагальнений розрахунок'!$P$1,'Вхідні дані'!$G87,'Вхідні дані'!$L87)</f>
        <v>25</v>
      </c>
      <c r="AB54" s="160">
        <f>CHOOSE('Узагальнений розрахунок'!$P$1,'Вхідні дані'!$G87,'Вхідні дані'!$L87)</f>
        <v>25</v>
      </c>
      <c r="AC54" s="160">
        <f>CHOOSE('Узагальнений розрахунок'!$P$1,'Вхідні дані'!$G87,'Вхідні дані'!$L87)</f>
        <v>25</v>
      </c>
      <c r="AD54" s="150">
        <f>SUM(R54:AC54)</f>
        <v>300</v>
      </c>
      <c r="AE54" s="150">
        <f>AD54/12</f>
        <v>25</v>
      </c>
      <c r="AF54" s="160">
        <f>CHOOSE('Узагальнений розрахунок'!$P$1,'Вхідні дані'!$G87,'Вхідні дані'!$L87)</f>
        <v>25</v>
      </c>
      <c r="AG54" s="160">
        <f>CHOOSE('Узагальнений розрахунок'!$P$1,'Вхідні дані'!$G87,'Вхідні дані'!$L87)</f>
        <v>25</v>
      </c>
      <c r="AH54" s="160">
        <f>CHOOSE('Узагальнений розрахунок'!$P$1,'Вхідні дані'!$G87,'Вхідні дані'!$L87)</f>
        <v>25</v>
      </c>
      <c r="AI54" s="160">
        <f>CHOOSE('Узагальнений розрахунок'!$P$1,'Вхідні дані'!$G87,'Вхідні дані'!$L87)</f>
        <v>25</v>
      </c>
      <c r="AJ54" s="160">
        <f>CHOOSE('Узагальнений розрахунок'!$P$1,'Вхідні дані'!$G87,'Вхідні дані'!$L87)</f>
        <v>25</v>
      </c>
      <c r="AK54" s="160">
        <f>CHOOSE('Узагальнений розрахунок'!$P$1,'Вхідні дані'!$G87,'Вхідні дані'!$L87)</f>
        <v>25</v>
      </c>
      <c r="AL54" s="160">
        <f>CHOOSE('Узагальнений розрахунок'!$P$1,'Вхідні дані'!$G87,'Вхідні дані'!$L87)</f>
        <v>25</v>
      </c>
      <c r="AM54" s="160">
        <f>CHOOSE('Узагальнений розрахунок'!$P$1,'Вхідні дані'!$G87,'Вхідні дані'!$L87)</f>
        <v>25</v>
      </c>
      <c r="AN54" s="160">
        <f>CHOOSE('Узагальнений розрахунок'!$P$1,'Вхідні дані'!$G87,'Вхідні дані'!$L87)</f>
        <v>25</v>
      </c>
      <c r="AO54" s="160">
        <f>CHOOSE('Узагальнений розрахунок'!$P$1,'Вхідні дані'!$G87,'Вхідні дані'!$L87)</f>
        <v>25</v>
      </c>
      <c r="AP54" s="160">
        <f>CHOOSE('Узагальнений розрахунок'!$P$1,'Вхідні дані'!$G87,'Вхідні дані'!$L87)</f>
        <v>25</v>
      </c>
      <c r="AQ54" s="160">
        <f>CHOOSE('Узагальнений розрахунок'!$P$1,'Вхідні дані'!$G87,'Вхідні дані'!$L87)</f>
        <v>25</v>
      </c>
      <c r="AR54" s="150">
        <f>SUM(AF54:AQ54)</f>
        <v>300</v>
      </c>
      <c r="AS54" s="150">
        <f>AR54/12</f>
        <v>25</v>
      </c>
      <c r="AT54" s="134">
        <f>P54+AD54+AR54</f>
        <v>900</v>
      </c>
      <c r="AU54" s="161"/>
    </row>
    <row r="55" spans="1:47" s="136" customFormat="1" x14ac:dyDescent="0.5">
      <c r="A55" s="130" t="str">
        <f>'Узагальнений розрахунок'!B59</f>
        <v>Власний маркетинг</v>
      </c>
      <c r="B55" s="131" t="str">
        <f>CHOOSE('Вхідні дані'!$P$1,'Вхідні дані'!$Q$1,'Вхідні дані'!$Q$2,'Вхідні дані'!$Q$3,'Вхідні дані'!$Q$4)</f>
        <v>USD</v>
      </c>
      <c r="C55" s="131"/>
      <c r="D55" s="132">
        <f>CHOOSE('Узагальнений розрахунок'!$P$1,'Вхідні дані'!$G88,'Вхідні дані'!$L88)</f>
        <v>0</v>
      </c>
      <c r="E55" s="132">
        <f>CHOOSE('Узагальнений розрахунок'!$P$1,'Вхідні дані'!$G88,'Вхідні дані'!$L88)</f>
        <v>0</v>
      </c>
      <c r="F55" s="132">
        <f>CHOOSE('Узагальнений розрахунок'!$P$1,'Вхідні дані'!$G88,'Вхідні дані'!$L88)</f>
        <v>0</v>
      </c>
      <c r="G55" s="132">
        <f>CHOOSE('Узагальнений розрахунок'!$P$1,'Вхідні дані'!$G88,'Вхідні дані'!$L88)</f>
        <v>0</v>
      </c>
      <c r="H55" s="132">
        <f>CHOOSE('Узагальнений розрахунок'!$P$1,'Вхідні дані'!$G88,'Вхідні дані'!$L88)</f>
        <v>0</v>
      </c>
      <c r="I55" s="132">
        <f>CHOOSE('Узагальнений розрахунок'!$P$1,'Вхідні дані'!$G88,'Вхідні дані'!$L88)</f>
        <v>0</v>
      </c>
      <c r="J55" s="132">
        <f>CHOOSE('Узагальнений розрахунок'!$P$1,'Вхідні дані'!$G88,'Вхідні дані'!$L88)</f>
        <v>0</v>
      </c>
      <c r="K55" s="132">
        <f>CHOOSE('Узагальнений розрахунок'!$P$1,'Вхідні дані'!$G88,'Вхідні дані'!$L88)</f>
        <v>0</v>
      </c>
      <c r="L55" s="132">
        <f>CHOOSE('Узагальнений розрахунок'!$P$1,'Вхідні дані'!$G88,'Вхідні дані'!$L88)</f>
        <v>0</v>
      </c>
      <c r="M55" s="132">
        <f>CHOOSE('Узагальнений розрахунок'!$P$1,'Вхідні дані'!$G88,'Вхідні дані'!$L88)</f>
        <v>0</v>
      </c>
      <c r="N55" s="132">
        <f>CHOOSE('Узагальнений розрахунок'!$P$1,'Вхідні дані'!$G88,'Вхідні дані'!$L88)</f>
        <v>0</v>
      </c>
      <c r="O55" s="132">
        <f>CHOOSE('Узагальнений розрахунок'!$P$1,'Вхідні дані'!$G88,'Вхідні дані'!$L88)</f>
        <v>0</v>
      </c>
      <c r="P55" s="133">
        <f t="shared" ref="P55" si="137">SUM(D55:O55)</f>
        <v>0</v>
      </c>
      <c r="Q55" s="133">
        <f t="shared" ref="Q55" si="138">P55/12</f>
        <v>0</v>
      </c>
      <c r="R55" s="132">
        <f>CHOOSE('Узагальнений розрахунок'!$P$1,'Вхідні дані'!$G88,'Вхідні дані'!$L88)</f>
        <v>0</v>
      </c>
      <c r="S55" s="132">
        <f>CHOOSE('Узагальнений розрахунок'!$P$1,'Вхідні дані'!$G88,'Вхідні дані'!$L88)</f>
        <v>0</v>
      </c>
      <c r="T55" s="132">
        <f>CHOOSE('Узагальнений розрахунок'!$P$1,'Вхідні дані'!$G88,'Вхідні дані'!$L88)</f>
        <v>0</v>
      </c>
      <c r="U55" s="132">
        <f>CHOOSE('Узагальнений розрахунок'!$P$1,'Вхідні дані'!$G88,'Вхідні дані'!$L88)</f>
        <v>0</v>
      </c>
      <c r="V55" s="132">
        <f>CHOOSE('Узагальнений розрахунок'!$P$1,'Вхідні дані'!$G88,'Вхідні дані'!$L88)</f>
        <v>0</v>
      </c>
      <c r="W55" s="132">
        <f>CHOOSE('Узагальнений розрахунок'!$P$1,'Вхідні дані'!$G88,'Вхідні дані'!$L88)</f>
        <v>0</v>
      </c>
      <c r="X55" s="132">
        <f>CHOOSE('Узагальнений розрахунок'!$P$1,'Вхідні дані'!$G88,'Вхідні дані'!$L88)</f>
        <v>0</v>
      </c>
      <c r="Y55" s="132">
        <f>CHOOSE('Узагальнений розрахунок'!$P$1,'Вхідні дані'!$G88,'Вхідні дані'!$L88)</f>
        <v>0</v>
      </c>
      <c r="Z55" s="132">
        <f>CHOOSE('Узагальнений розрахунок'!$P$1,'Вхідні дані'!$G88,'Вхідні дані'!$L88)</f>
        <v>0</v>
      </c>
      <c r="AA55" s="132">
        <f>CHOOSE('Узагальнений розрахунок'!$P$1,'Вхідні дані'!$G88,'Вхідні дані'!$L88)</f>
        <v>0</v>
      </c>
      <c r="AB55" s="132">
        <f>CHOOSE('Узагальнений розрахунок'!$P$1,'Вхідні дані'!$G88,'Вхідні дані'!$L88)</f>
        <v>0</v>
      </c>
      <c r="AC55" s="132">
        <f>CHOOSE('Узагальнений розрахунок'!$P$1,'Вхідні дані'!$G88,'Вхідні дані'!$L88)</f>
        <v>0</v>
      </c>
      <c r="AD55" s="133">
        <f t="shared" ref="AD55" si="139">SUM(R55:AC55)</f>
        <v>0</v>
      </c>
      <c r="AE55" s="133">
        <f t="shared" ref="AE55" si="140">AD55/12</f>
        <v>0</v>
      </c>
      <c r="AF55" s="132">
        <f>CHOOSE('Узагальнений розрахунок'!$P$1,'Вхідні дані'!$G88,'Вхідні дані'!$L88)</f>
        <v>0</v>
      </c>
      <c r="AG55" s="132">
        <f>CHOOSE('Узагальнений розрахунок'!$P$1,'Вхідні дані'!$G88,'Вхідні дані'!$L88)</f>
        <v>0</v>
      </c>
      <c r="AH55" s="132">
        <f>CHOOSE('Узагальнений розрахунок'!$P$1,'Вхідні дані'!$G88,'Вхідні дані'!$L88)</f>
        <v>0</v>
      </c>
      <c r="AI55" s="132">
        <f>CHOOSE('Узагальнений розрахунок'!$P$1,'Вхідні дані'!$G88,'Вхідні дані'!$L88)</f>
        <v>0</v>
      </c>
      <c r="AJ55" s="132">
        <f>CHOOSE('Узагальнений розрахунок'!$P$1,'Вхідні дані'!$G88,'Вхідні дані'!$L88)</f>
        <v>0</v>
      </c>
      <c r="AK55" s="132">
        <f>CHOOSE('Узагальнений розрахунок'!$P$1,'Вхідні дані'!$G88,'Вхідні дані'!$L88)</f>
        <v>0</v>
      </c>
      <c r="AL55" s="132">
        <f>CHOOSE('Узагальнений розрахунок'!$P$1,'Вхідні дані'!$G88,'Вхідні дані'!$L88)</f>
        <v>0</v>
      </c>
      <c r="AM55" s="132">
        <f>CHOOSE('Узагальнений розрахунок'!$P$1,'Вхідні дані'!$G88,'Вхідні дані'!$L88)</f>
        <v>0</v>
      </c>
      <c r="AN55" s="132">
        <f>CHOOSE('Узагальнений розрахунок'!$P$1,'Вхідні дані'!$G88,'Вхідні дані'!$L88)</f>
        <v>0</v>
      </c>
      <c r="AO55" s="132">
        <f>CHOOSE('Узагальнений розрахунок'!$P$1,'Вхідні дані'!$G88,'Вхідні дані'!$L88)</f>
        <v>0</v>
      </c>
      <c r="AP55" s="132">
        <f>CHOOSE('Узагальнений розрахунок'!$P$1,'Вхідні дані'!$G88,'Вхідні дані'!$L88)</f>
        <v>0</v>
      </c>
      <c r="AQ55" s="132">
        <f>CHOOSE('Узагальнений розрахунок'!$P$1,'Вхідні дані'!$G88,'Вхідні дані'!$L88)</f>
        <v>0</v>
      </c>
      <c r="AR55" s="133">
        <f t="shared" ref="AR55" si="141">SUM(AF55:AQ55)</f>
        <v>0</v>
      </c>
      <c r="AS55" s="133">
        <f t="shared" ref="AS55" si="142">AR55/12</f>
        <v>0</v>
      </c>
      <c r="AT55" s="134">
        <f t="shared" ref="AT55" si="143">P55+AD55+AR55</f>
        <v>0</v>
      </c>
      <c r="AU55" s="135"/>
    </row>
    <row r="56" spans="1:47" s="162" customFormat="1" x14ac:dyDescent="0.5">
      <c r="A56" s="159" t="str">
        <f>'Узагальнений розрахунок'!B60</f>
        <v>Ведення бухгалтерського обліку</v>
      </c>
      <c r="B56" s="149" t="str">
        <f>CHOOSE('Вхідні дані'!$P$1,'Вхідні дані'!$Q$1,'Вхідні дані'!$Q$2,'Вхідні дані'!$Q$3,'Вхідні дані'!$Q$4)</f>
        <v>USD</v>
      </c>
      <c r="C56" s="149"/>
      <c r="D56" s="160">
        <f>CHOOSE('Узагальнений розрахунок'!$P$1,'Вхідні дані'!$G89,'Вхідні дані'!$L89)</f>
        <v>0</v>
      </c>
      <c r="E56" s="160">
        <f>CHOOSE('Узагальнений розрахунок'!$P$1,'Вхідні дані'!$G89,'Вхідні дані'!$L89)</f>
        <v>0</v>
      </c>
      <c r="F56" s="160">
        <f>CHOOSE('Узагальнений розрахунок'!$P$1,'Вхідні дані'!$G89,'Вхідні дані'!$L89)</f>
        <v>0</v>
      </c>
      <c r="G56" s="160">
        <f>CHOOSE('Узагальнений розрахунок'!$P$1,'Вхідні дані'!$G89,'Вхідні дані'!$L89)</f>
        <v>0</v>
      </c>
      <c r="H56" s="160">
        <f>CHOOSE('Узагальнений розрахунок'!$P$1,'Вхідні дані'!$G89,'Вхідні дані'!$L89)</f>
        <v>0</v>
      </c>
      <c r="I56" s="160">
        <f>CHOOSE('Узагальнений розрахунок'!$P$1,'Вхідні дані'!$G89,'Вхідні дані'!$L89)</f>
        <v>0</v>
      </c>
      <c r="J56" s="160">
        <f>CHOOSE('Узагальнений розрахунок'!$P$1,'Вхідні дані'!$G89,'Вхідні дані'!$L89)</f>
        <v>0</v>
      </c>
      <c r="K56" s="160">
        <f>CHOOSE('Узагальнений розрахунок'!$P$1,'Вхідні дані'!$G89,'Вхідні дані'!$L89)</f>
        <v>0</v>
      </c>
      <c r="L56" s="160">
        <f>CHOOSE('Узагальнений розрахунок'!$P$1,'Вхідні дані'!$G89,'Вхідні дані'!$L89)</f>
        <v>0</v>
      </c>
      <c r="M56" s="160">
        <f>CHOOSE('Узагальнений розрахунок'!$P$1,'Вхідні дані'!$G89,'Вхідні дані'!$L89)</f>
        <v>0</v>
      </c>
      <c r="N56" s="160">
        <f>CHOOSE('Узагальнений розрахунок'!$P$1,'Вхідні дані'!$G89,'Вхідні дані'!$L89)</f>
        <v>0</v>
      </c>
      <c r="O56" s="160">
        <f>CHOOSE('Узагальнений розрахунок'!$P$1,'Вхідні дані'!$G89,'Вхідні дані'!$L89)</f>
        <v>0</v>
      </c>
      <c r="P56" s="150">
        <f t="shared" ref="P56" si="144">SUM(D56:O56)</f>
        <v>0</v>
      </c>
      <c r="Q56" s="150">
        <f t="shared" ref="Q56" si="145">P56/12</f>
        <v>0</v>
      </c>
      <c r="R56" s="160">
        <f>CHOOSE('Узагальнений розрахунок'!$P$1,'Вхідні дані'!$G89,'Вхідні дані'!$L89)</f>
        <v>0</v>
      </c>
      <c r="S56" s="160">
        <f>CHOOSE('Узагальнений розрахунок'!$P$1,'Вхідні дані'!$G89,'Вхідні дані'!$L89)</f>
        <v>0</v>
      </c>
      <c r="T56" s="160">
        <f>CHOOSE('Узагальнений розрахунок'!$P$1,'Вхідні дані'!$G89,'Вхідні дані'!$L89)</f>
        <v>0</v>
      </c>
      <c r="U56" s="160">
        <f>CHOOSE('Узагальнений розрахунок'!$P$1,'Вхідні дані'!$G89,'Вхідні дані'!$L89)</f>
        <v>0</v>
      </c>
      <c r="V56" s="160">
        <f>CHOOSE('Узагальнений розрахунок'!$P$1,'Вхідні дані'!$G89,'Вхідні дані'!$L89)</f>
        <v>0</v>
      </c>
      <c r="W56" s="160">
        <f>CHOOSE('Узагальнений розрахунок'!$P$1,'Вхідні дані'!$G89,'Вхідні дані'!$L89)</f>
        <v>0</v>
      </c>
      <c r="X56" s="160">
        <f>CHOOSE('Узагальнений розрахунок'!$P$1,'Вхідні дані'!$G89,'Вхідні дані'!$L89)</f>
        <v>0</v>
      </c>
      <c r="Y56" s="160">
        <f>CHOOSE('Узагальнений розрахунок'!$P$1,'Вхідні дані'!$G89,'Вхідні дані'!$L89)</f>
        <v>0</v>
      </c>
      <c r="Z56" s="160">
        <f>CHOOSE('Узагальнений розрахунок'!$P$1,'Вхідні дані'!$G89,'Вхідні дані'!$L89)</f>
        <v>0</v>
      </c>
      <c r="AA56" s="160">
        <f>CHOOSE('Узагальнений розрахунок'!$P$1,'Вхідні дані'!$G89,'Вхідні дані'!$L89)</f>
        <v>0</v>
      </c>
      <c r="AB56" s="160">
        <f>CHOOSE('Узагальнений розрахунок'!$P$1,'Вхідні дані'!$G89,'Вхідні дані'!$L89)</f>
        <v>0</v>
      </c>
      <c r="AC56" s="160">
        <f>CHOOSE('Узагальнений розрахунок'!$P$1,'Вхідні дані'!$G89,'Вхідні дані'!$L89)</f>
        <v>0</v>
      </c>
      <c r="AD56" s="150">
        <f t="shared" ref="AD56" si="146">SUM(R56:AC56)</f>
        <v>0</v>
      </c>
      <c r="AE56" s="150">
        <f t="shared" ref="AE56" si="147">AD56/12</f>
        <v>0</v>
      </c>
      <c r="AF56" s="160">
        <f>CHOOSE('Узагальнений розрахунок'!$P$1,'Вхідні дані'!$G89,'Вхідні дані'!$L89)</f>
        <v>0</v>
      </c>
      <c r="AG56" s="160">
        <f>CHOOSE('Узагальнений розрахунок'!$P$1,'Вхідні дані'!$G89,'Вхідні дані'!$L89)</f>
        <v>0</v>
      </c>
      <c r="AH56" s="160">
        <f>CHOOSE('Узагальнений розрахунок'!$P$1,'Вхідні дані'!$G89,'Вхідні дані'!$L89)</f>
        <v>0</v>
      </c>
      <c r="AI56" s="160">
        <f>CHOOSE('Узагальнений розрахунок'!$P$1,'Вхідні дані'!$G89,'Вхідні дані'!$L89)</f>
        <v>0</v>
      </c>
      <c r="AJ56" s="160">
        <f>CHOOSE('Узагальнений розрахунок'!$P$1,'Вхідні дані'!$G89,'Вхідні дані'!$L89)</f>
        <v>0</v>
      </c>
      <c r="AK56" s="160">
        <f>CHOOSE('Узагальнений розрахунок'!$P$1,'Вхідні дані'!$G89,'Вхідні дані'!$L89)</f>
        <v>0</v>
      </c>
      <c r="AL56" s="160">
        <f>CHOOSE('Узагальнений розрахунок'!$P$1,'Вхідні дані'!$G89,'Вхідні дані'!$L89)</f>
        <v>0</v>
      </c>
      <c r="AM56" s="160">
        <f>CHOOSE('Узагальнений розрахунок'!$P$1,'Вхідні дані'!$G89,'Вхідні дані'!$L89)</f>
        <v>0</v>
      </c>
      <c r="AN56" s="160">
        <f>CHOOSE('Узагальнений розрахунок'!$P$1,'Вхідні дані'!$G89,'Вхідні дані'!$L89)</f>
        <v>0</v>
      </c>
      <c r="AO56" s="160">
        <f>CHOOSE('Узагальнений розрахунок'!$P$1,'Вхідні дані'!$G89,'Вхідні дані'!$L89)</f>
        <v>0</v>
      </c>
      <c r="AP56" s="160">
        <f>CHOOSE('Узагальнений розрахунок'!$P$1,'Вхідні дані'!$G89,'Вхідні дані'!$L89)</f>
        <v>0</v>
      </c>
      <c r="AQ56" s="160">
        <f>CHOOSE('Узагальнений розрахунок'!$P$1,'Вхідні дані'!$G89,'Вхідні дані'!$L89)</f>
        <v>0</v>
      </c>
      <c r="AR56" s="150">
        <f t="shared" ref="AR56" si="148">SUM(AF56:AQ56)</f>
        <v>0</v>
      </c>
      <c r="AS56" s="150">
        <f t="shared" ref="AS56" si="149">AR56/12</f>
        <v>0</v>
      </c>
      <c r="AT56" s="134">
        <f t="shared" ref="AT56" si="150">P56+AD56+AR56</f>
        <v>0</v>
      </c>
      <c r="AU56" s="161"/>
    </row>
    <row r="57" spans="1:47" s="136" customFormat="1" x14ac:dyDescent="0.5">
      <c r="A57" s="130" t="str">
        <f>'Узагальнений розрахунок'!B61</f>
        <v>Інше</v>
      </c>
      <c r="B57" s="131" t="str">
        <f>CHOOSE('Вхідні дані'!$P$1,'Вхідні дані'!$Q$1,'Вхідні дані'!$Q$2,'Вхідні дані'!$Q$3,'Вхідні дані'!$Q$4)</f>
        <v>USD</v>
      </c>
      <c r="C57" s="131"/>
      <c r="D57" s="132">
        <f>CHOOSE('Узагальнений розрахунок'!$P$1,'Вхідні дані'!$G90,'Вхідні дані'!$L90)</f>
        <v>0</v>
      </c>
      <c r="E57" s="132">
        <f>CHOOSE('Узагальнений розрахунок'!$P$1,'Вхідні дані'!$G90,'Вхідні дані'!$L90)</f>
        <v>0</v>
      </c>
      <c r="F57" s="132">
        <f>CHOOSE('Узагальнений розрахунок'!$P$1,'Вхідні дані'!$G90,'Вхідні дані'!$L90)</f>
        <v>0</v>
      </c>
      <c r="G57" s="132">
        <f>CHOOSE('Узагальнений розрахунок'!$P$1,'Вхідні дані'!$G90,'Вхідні дані'!$L90)</f>
        <v>0</v>
      </c>
      <c r="H57" s="132">
        <f>CHOOSE('Узагальнений розрахунок'!$P$1,'Вхідні дані'!$G90,'Вхідні дані'!$L90)</f>
        <v>0</v>
      </c>
      <c r="I57" s="132">
        <f>CHOOSE('Узагальнений розрахунок'!$P$1,'Вхідні дані'!$G90,'Вхідні дані'!$L90)</f>
        <v>0</v>
      </c>
      <c r="J57" s="132">
        <f>CHOOSE('Узагальнений розрахунок'!$P$1,'Вхідні дані'!$G90,'Вхідні дані'!$L90)</f>
        <v>0</v>
      </c>
      <c r="K57" s="132">
        <f>CHOOSE('Узагальнений розрахунок'!$P$1,'Вхідні дані'!$G90,'Вхідні дані'!$L90)</f>
        <v>0</v>
      </c>
      <c r="L57" s="132">
        <f>CHOOSE('Узагальнений розрахунок'!$P$1,'Вхідні дані'!$G90,'Вхідні дані'!$L90)</f>
        <v>0</v>
      </c>
      <c r="M57" s="132">
        <f>CHOOSE('Узагальнений розрахунок'!$P$1,'Вхідні дані'!$G90,'Вхідні дані'!$L90)</f>
        <v>0</v>
      </c>
      <c r="N57" s="132">
        <f>CHOOSE('Узагальнений розрахунок'!$P$1,'Вхідні дані'!$G90,'Вхідні дані'!$L90)</f>
        <v>0</v>
      </c>
      <c r="O57" s="132">
        <f>CHOOSE('Узагальнений розрахунок'!$P$1,'Вхідні дані'!$G90,'Вхідні дані'!$L90)</f>
        <v>0</v>
      </c>
      <c r="P57" s="133">
        <f t="shared" ref="P57" si="151">SUM(D57:O57)</f>
        <v>0</v>
      </c>
      <c r="Q57" s="133">
        <f t="shared" ref="Q57" si="152">P57/12</f>
        <v>0</v>
      </c>
      <c r="R57" s="132">
        <f>CHOOSE('Узагальнений розрахунок'!$P$1,'Вхідні дані'!$G90,'Вхідні дані'!$L90)</f>
        <v>0</v>
      </c>
      <c r="S57" s="132">
        <f>CHOOSE('Узагальнений розрахунок'!$P$1,'Вхідні дані'!$G90,'Вхідні дані'!$L90)</f>
        <v>0</v>
      </c>
      <c r="T57" s="132">
        <f>CHOOSE('Узагальнений розрахунок'!$P$1,'Вхідні дані'!$G90,'Вхідні дані'!$L90)</f>
        <v>0</v>
      </c>
      <c r="U57" s="132">
        <f>CHOOSE('Узагальнений розрахунок'!$P$1,'Вхідні дані'!$G90,'Вхідні дані'!$L90)</f>
        <v>0</v>
      </c>
      <c r="V57" s="132">
        <f>CHOOSE('Узагальнений розрахунок'!$P$1,'Вхідні дані'!$G90,'Вхідні дані'!$L90)</f>
        <v>0</v>
      </c>
      <c r="W57" s="132">
        <f>CHOOSE('Узагальнений розрахунок'!$P$1,'Вхідні дані'!$G90,'Вхідні дані'!$L90)</f>
        <v>0</v>
      </c>
      <c r="X57" s="132">
        <f>CHOOSE('Узагальнений розрахунок'!$P$1,'Вхідні дані'!$G90,'Вхідні дані'!$L90)</f>
        <v>0</v>
      </c>
      <c r="Y57" s="132">
        <f>CHOOSE('Узагальнений розрахунок'!$P$1,'Вхідні дані'!$G90,'Вхідні дані'!$L90)</f>
        <v>0</v>
      </c>
      <c r="Z57" s="132">
        <f>CHOOSE('Узагальнений розрахунок'!$P$1,'Вхідні дані'!$G90,'Вхідні дані'!$L90)</f>
        <v>0</v>
      </c>
      <c r="AA57" s="132">
        <f>CHOOSE('Узагальнений розрахунок'!$P$1,'Вхідні дані'!$G90,'Вхідні дані'!$L90)</f>
        <v>0</v>
      </c>
      <c r="AB57" s="132">
        <f>CHOOSE('Узагальнений розрахунок'!$P$1,'Вхідні дані'!$G90,'Вхідні дані'!$L90)</f>
        <v>0</v>
      </c>
      <c r="AC57" s="132">
        <f>CHOOSE('Узагальнений розрахунок'!$P$1,'Вхідні дані'!$G90,'Вхідні дані'!$L90)</f>
        <v>0</v>
      </c>
      <c r="AD57" s="133">
        <f t="shared" ref="AD57" si="153">SUM(R57:AC57)</f>
        <v>0</v>
      </c>
      <c r="AE57" s="133">
        <f t="shared" ref="AE57" si="154">AD57/12</f>
        <v>0</v>
      </c>
      <c r="AF57" s="132">
        <f>CHOOSE('Узагальнений розрахунок'!$P$1,'Вхідні дані'!$G90,'Вхідні дані'!$L90)</f>
        <v>0</v>
      </c>
      <c r="AG57" s="132">
        <f>CHOOSE('Узагальнений розрахунок'!$P$1,'Вхідні дані'!$G90,'Вхідні дані'!$L90)</f>
        <v>0</v>
      </c>
      <c r="AH57" s="132">
        <f>CHOOSE('Узагальнений розрахунок'!$P$1,'Вхідні дані'!$G90,'Вхідні дані'!$L90)</f>
        <v>0</v>
      </c>
      <c r="AI57" s="132">
        <f>CHOOSE('Узагальнений розрахунок'!$P$1,'Вхідні дані'!$G90,'Вхідні дані'!$L90)</f>
        <v>0</v>
      </c>
      <c r="AJ57" s="132">
        <f>CHOOSE('Узагальнений розрахунок'!$P$1,'Вхідні дані'!$G90,'Вхідні дані'!$L90)</f>
        <v>0</v>
      </c>
      <c r="AK57" s="132">
        <f>CHOOSE('Узагальнений розрахунок'!$P$1,'Вхідні дані'!$G90,'Вхідні дані'!$L90)</f>
        <v>0</v>
      </c>
      <c r="AL57" s="132">
        <f>CHOOSE('Узагальнений розрахунок'!$P$1,'Вхідні дані'!$G90,'Вхідні дані'!$L90)</f>
        <v>0</v>
      </c>
      <c r="AM57" s="132">
        <f>CHOOSE('Узагальнений розрахунок'!$P$1,'Вхідні дані'!$G90,'Вхідні дані'!$L90)</f>
        <v>0</v>
      </c>
      <c r="AN57" s="132">
        <f>CHOOSE('Узагальнений розрахунок'!$P$1,'Вхідні дані'!$G90,'Вхідні дані'!$L90)</f>
        <v>0</v>
      </c>
      <c r="AO57" s="132">
        <f>CHOOSE('Узагальнений розрахунок'!$P$1,'Вхідні дані'!$G90,'Вхідні дані'!$L90)</f>
        <v>0</v>
      </c>
      <c r="AP57" s="132">
        <f>CHOOSE('Узагальнений розрахунок'!$P$1,'Вхідні дані'!$G90,'Вхідні дані'!$L90)</f>
        <v>0</v>
      </c>
      <c r="AQ57" s="132">
        <f>CHOOSE('Узагальнений розрахунок'!$P$1,'Вхідні дані'!$G90,'Вхідні дані'!$L90)</f>
        <v>0</v>
      </c>
      <c r="AR57" s="133">
        <f t="shared" ref="AR57" si="155">SUM(AF57:AQ57)</f>
        <v>0</v>
      </c>
      <c r="AS57" s="133">
        <f t="shared" ref="AS57" si="156">AR57/12</f>
        <v>0</v>
      </c>
      <c r="AT57" s="134">
        <f t="shared" ref="AT57" si="157">P57+AD57+AR57</f>
        <v>0</v>
      </c>
      <c r="AU57" s="135"/>
    </row>
    <row r="58" spans="1:47" s="162" customFormat="1" x14ac:dyDescent="0.5">
      <c r="A58" s="159" t="str">
        <f>'Узагальнений розрахунок'!B62</f>
        <v>Банковське обслуговування</v>
      </c>
      <c r="B58" s="149" t="str">
        <f>CHOOSE('Вхідні дані'!$P$1,'Вхідні дані'!$Q$1,'Вхідні дані'!$Q$2,'Вхідні дані'!$Q$3,'Вхідні дані'!$Q$4)</f>
        <v>USD</v>
      </c>
      <c r="C58" s="149"/>
      <c r="D58" s="160">
        <f>CHOOSE('Узагальнений розрахунок'!$P$1,'Вхідні дані'!$G$91+'Вхідні дані'!$E$92*'Вхідні дані'!$E$93*D21,'Вхідні дані'!$L$91+'Вхідні дані'!$J$92*'Вхідні дані'!$J$93*D21)</f>
        <v>14.642857142857144</v>
      </c>
      <c r="E58" s="160">
        <f>CHOOSE('Узагальнений розрахунок'!$P$1,'Вхідні дані'!$G$91+'Вхідні дані'!$E$92*'Вхідні дані'!$E$93*E21,'Вхідні дані'!$L$91+'Вхідні дані'!$J$92*'Вхідні дані'!$J$93*E21)</f>
        <v>21.071428571428573</v>
      </c>
      <c r="F58" s="160">
        <f>CHOOSE('Узагальнений розрахунок'!$P$1,'Вхідні дані'!$G$91+'Вхідні дані'!$E$92*'Вхідні дані'!$E$93*F21,'Вхідні дані'!$L$91+'Вхідні дані'!$J$92*'Вхідні дані'!$J$93*F21)</f>
        <v>23.928571428571431</v>
      </c>
      <c r="G58" s="160">
        <f>CHOOSE('Узагальнений розрахунок'!$P$1,'Вхідні дані'!$G$91+'Вхідні дані'!$E$92*'Вхідні дані'!$E$93*G21,'Вхідні дані'!$L$91+'Вхідні дані'!$J$92*'Вхідні дані'!$J$93*G21)</f>
        <v>28.928571428571431</v>
      </c>
      <c r="H58" s="160">
        <f>CHOOSE('Узагальнений розрахунок'!$P$1,'Вхідні дані'!$G$91+'Вхідні дані'!$E$92*'Вхідні дані'!$E$93*H21,'Вхідні дані'!$L$91+'Вхідні дані'!$J$92*'Вхідні дані'!$J$93*H21)</f>
        <v>28.928571428571431</v>
      </c>
      <c r="I58" s="160">
        <f>CHOOSE('Узагальнений розрахунок'!$P$1,'Вхідні дані'!$G$91+'Вхідні дані'!$E$92*'Вхідні дані'!$E$93*I21,'Вхідні дані'!$L$91+'Вхідні дані'!$J$92*'Вхідні дані'!$J$93*I21)</f>
        <v>27.857142857142858</v>
      </c>
      <c r="J58" s="160">
        <f>CHOOSE('Узагальнений розрахунок'!$P$1,'Вхідні дані'!$G$91+'Вхідні дані'!$E$92*'Вхідні дані'!$E$93*J21,'Вхідні дані'!$L$91+'Вхідні дані'!$J$92*'Вхідні дані'!$J$93*J21)</f>
        <v>15</v>
      </c>
      <c r="K58" s="160">
        <f>CHOOSE('Узагальнений розрахунок'!$P$1,'Вхідні дані'!$G$91+'Вхідні дані'!$E$92*'Вхідні дані'!$E$93*K21,'Вхідні дані'!$L$91+'Вхідні дані'!$J$92*'Вхідні дані'!$J$93*K21)</f>
        <v>8.9285714285714288</v>
      </c>
      <c r="L58" s="160">
        <f>CHOOSE('Узагальнений розрахунок'!$P$1,'Вхідні дані'!$G$91+'Вхідні дані'!$E$92*'Вхідні дані'!$E$93*L21,'Вхідні дані'!$L$91+'Вхідні дані'!$J$92*'Вхідні дані'!$J$93*L21)</f>
        <v>0.35714285714285715</v>
      </c>
      <c r="M58" s="160">
        <f>CHOOSE('Узагальнений розрахунок'!$P$1,'Вхідні дані'!$G$91+'Вхідні дані'!$E$92*'Вхідні дані'!$E$93*M21,'Вхідні дані'!$L$91+'Вхідні дані'!$J$92*'Вхідні дані'!$J$93*M21)</f>
        <v>0.35714285714285715</v>
      </c>
      <c r="N58" s="160">
        <f>CHOOSE('Узагальнений розрахунок'!$P$1,'Вхідні дані'!$G$91+'Вхідні дані'!$E$92*'Вхідні дані'!$E$93*N21,'Вхідні дані'!$L$91+'Вхідні дані'!$J$92*'Вхідні дані'!$J$93*N21)</f>
        <v>0.35714285714285715</v>
      </c>
      <c r="O58" s="160">
        <f>CHOOSE('Узагальнений розрахунок'!$P$1,'Вхідні дані'!$G$91+'Вхідні дані'!$E$92*'Вхідні дані'!$E$93*O21,'Вхідні дані'!$L$91+'Вхідні дані'!$J$92*'Вхідні дані'!$J$93*O21)</f>
        <v>4.2857142857142865</v>
      </c>
      <c r="P58" s="150">
        <f>SUM(D58:O58)</f>
        <v>174.64285714285714</v>
      </c>
      <c r="Q58" s="150">
        <f t="shared" ref="Q58:Q60" si="158">P58/12</f>
        <v>14.553571428571429</v>
      </c>
      <c r="R58" s="160">
        <f>CHOOSE('Узагальнений розрахунок'!$P$1,'Вхідні дані'!$G$91+'Вхідні дані'!$E$92*'Вхідні дані'!$E$93*R21,'Вхідні дані'!$L$91+'Вхідні дані'!$J$92*'Вхідні дані'!$J$93*R21)</f>
        <v>27.750000000000004</v>
      </c>
      <c r="S58" s="160">
        <f>CHOOSE('Узагальнений розрахунок'!$P$1,'Вхідні дані'!$G$91+'Вхідні дані'!$E$92*'Вхідні дані'!$E$93*S21,'Вхідні дані'!$L$91+'Вхідні дані'!$J$92*'Вхідні дані'!$J$93*S21)</f>
        <v>28.875000000000004</v>
      </c>
      <c r="T58" s="160">
        <f>CHOOSE('Узагальнений розрахунок'!$P$1,'Вхідні дані'!$G$91+'Вхідні дані'!$E$92*'Вхідні дані'!$E$93*T21,'Вхідні дані'!$L$91+'Вхідні дані'!$J$92*'Вхідні дані'!$J$93*T21)</f>
        <v>27.750000000000004</v>
      </c>
      <c r="U58" s="160">
        <f>CHOOSE('Узагальнений розрахунок'!$P$1,'Вхідні дані'!$G$91+'Вхідні дані'!$E$92*'Вхідні дані'!$E$93*U21,'Вхідні дані'!$L$91+'Вхідні дані'!$J$92*'Вхідні дані'!$J$93*U21)</f>
        <v>33.375000000000007</v>
      </c>
      <c r="V58" s="160">
        <f>CHOOSE('Узагальнений розрахунок'!$P$1,'Вхідні дані'!$G$91+'Вхідні дані'!$E$92*'Вхідні дані'!$E$93*V21,'Вхідні дані'!$L$91+'Вхідні дані'!$J$92*'Вхідні дані'!$J$93*V21)</f>
        <v>33.375000000000007</v>
      </c>
      <c r="W58" s="160">
        <f>CHOOSE('Узагальнений розрахунок'!$P$1,'Вхідні дані'!$G$91+'Вхідні дані'!$E$92*'Вхідні дані'!$E$93*W21,'Вхідні дані'!$L$91+'Вхідні дані'!$J$92*'Вхідні дані'!$J$93*W21)</f>
        <v>32.250000000000007</v>
      </c>
      <c r="X58" s="160">
        <f>CHOOSE('Узагальнений розрахунок'!$P$1,'Вхідні дані'!$G$91+'Вхідні дані'!$E$92*'Вхідні дані'!$E$93*X21,'Вхідні дані'!$L$91+'Вхідні дані'!$J$92*'Вхідні дані'!$J$93*X21)</f>
        <v>17.250000000000004</v>
      </c>
      <c r="Y58" s="160">
        <f>CHOOSE('Узагальнений розрахунок'!$P$1,'Вхідні дані'!$G$91+'Вхідні дані'!$E$92*'Вхідні дані'!$E$93*Y21,'Вхідні дані'!$L$91+'Вхідні дані'!$J$92*'Вхідні дані'!$J$93*Y21)</f>
        <v>10.500000000000002</v>
      </c>
      <c r="Z58" s="160">
        <f>CHOOSE('Узагальнений розрахунок'!$P$1,'Вхідні дані'!$G$91+'Вхідні дані'!$E$92*'Вхідні дані'!$E$93*Z21,'Вхідні дані'!$L$91+'Вхідні дані'!$J$92*'Вхідні дані'!$J$93*Z21)</f>
        <v>0.37500000000000006</v>
      </c>
      <c r="AA58" s="160">
        <f>CHOOSE('Узагальнений розрахунок'!$P$1,'Вхідні дані'!$G$91+'Вхідні дані'!$E$92*'Вхідні дані'!$E$93*AA21,'Вхідні дані'!$L$91+'Вхідні дані'!$J$92*'Вхідні дані'!$J$93*AA21)</f>
        <v>0.37500000000000006</v>
      </c>
      <c r="AB58" s="160">
        <f>CHOOSE('Узагальнений розрахунок'!$P$1,'Вхідні дані'!$G$91+'Вхідні дані'!$E$92*'Вхідні дані'!$E$93*AB21,'Вхідні дані'!$L$91+'Вхідні дані'!$J$92*'Вхідні дані'!$J$93*AB21)</f>
        <v>0.37500000000000006</v>
      </c>
      <c r="AC58" s="160">
        <f>CHOOSE('Узагальнений розрахунок'!$P$1,'Вхідні дані'!$G$91+'Вхідні дані'!$E$92*'Вхідні дані'!$E$93*AC21,'Вхідні дані'!$L$91+'Вхідні дані'!$J$92*'Вхідні дані'!$J$93*AC21)</f>
        <v>4.8750000000000009</v>
      </c>
      <c r="AD58" s="150">
        <f t="shared" ref="AD58:AD60" si="159">SUM(R58:AC58)</f>
        <v>217.12500000000003</v>
      </c>
      <c r="AE58" s="150">
        <f t="shared" ref="AE58:AE60" si="160">AD58/12</f>
        <v>18.093750000000004</v>
      </c>
      <c r="AF58" s="160">
        <f>CHOOSE('Узагальнений розрахунок'!$P$1,'Вхідні дані'!$G$91+'Вхідні дані'!$E$92*'Вхідні дані'!$E$93*AF21,'Вхідні дані'!$L$91+'Вхідні дані'!$J$92*'Вхідні дані'!$J$93*AF21)</f>
        <v>31.82142857142858</v>
      </c>
      <c r="AG58" s="160">
        <f>CHOOSE('Узагальнений розрахунок'!$P$1,'Вхідні дані'!$G$91+'Вхідні дані'!$E$92*'Вхідні дані'!$E$93*AG21,'Вхідні дані'!$L$91+'Вхідні дані'!$J$92*'Вхідні дані'!$J$93*AG21)</f>
        <v>33.000000000000007</v>
      </c>
      <c r="AH58" s="160">
        <f>CHOOSE('Узагальнений розрахунок'!$P$1,'Вхідні дані'!$G$91+'Вхідні дані'!$E$92*'Вхідні дані'!$E$93*AH21,'Вхідні дані'!$L$91+'Вхідні дані'!$J$92*'Вхідні дані'!$J$93*AH21)</f>
        <v>31.82142857142858</v>
      </c>
      <c r="AI58" s="160">
        <f>CHOOSE('Узагальнений розрахунок'!$P$1,'Вхідні дані'!$G$91+'Вхідні дані'!$E$92*'Вхідні дані'!$E$93*AI21,'Вхідні дані'!$L$91+'Вхідні дані'!$J$92*'Вхідні дані'!$J$93*AI21)</f>
        <v>38.107142857142861</v>
      </c>
      <c r="AJ58" s="160">
        <f>CHOOSE('Узагальнений розрахунок'!$P$1,'Вхідні дані'!$G$91+'Вхідні дані'!$E$92*'Вхідні дані'!$E$93*AJ21,'Вхідні дані'!$L$91+'Вхідні дані'!$J$92*'Вхідні дані'!$J$93*AJ21)</f>
        <v>38.107142857142861</v>
      </c>
      <c r="AK58" s="160">
        <f>CHOOSE('Узагальнений розрахунок'!$P$1,'Вхідні дані'!$G$91+'Вхідні дані'!$E$92*'Вхідні дані'!$E$93*AK21,'Вхідні дані'!$L$91+'Вхідні дані'!$J$92*'Вхідні дані'!$J$93*AK21)</f>
        <v>36.535714285714292</v>
      </c>
      <c r="AL58" s="160">
        <f>CHOOSE('Узагальнений розрахунок'!$P$1,'Вхідні дані'!$G$91+'Вхідні дані'!$E$92*'Вхідні дані'!$E$93*AL21,'Вхідні дані'!$L$91+'Вхідні дані'!$J$92*'Вхідні дані'!$J$93*AL21)</f>
        <v>19.642857142857146</v>
      </c>
      <c r="AM58" s="160">
        <f>CHOOSE('Узагальнений розрахунок'!$P$1,'Вхідні дані'!$G$91+'Вхідні дані'!$E$92*'Вхідні дані'!$E$93*AM21,'Вхідні дані'!$L$91+'Вхідні дані'!$J$92*'Вхідні дані'!$J$93*AM21)</f>
        <v>11.785714285714286</v>
      </c>
      <c r="AN58" s="160">
        <f>CHOOSE('Узагальнений розрахунок'!$P$1,'Вхідні дані'!$G$91+'Вхідні дані'!$E$92*'Вхідні дані'!$E$93*AN21,'Вхідні дані'!$L$91+'Вхідні дані'!$J$92*'Вхідні дані'!$J$93*AN21)</f>
        <v>0.3928571428571429</v>
      </c>
      <c r="AO58" s="160">
        <f>CHOOSE('Узагальнений розрахунок'!$P$1,'Вхідні дані'!$G$91+'Вхідні дані'!$E$92*'Вхідні дані'!$E$93*AO21,'Вхідні дані'!$L$91+'Вхідні дані'!$J$92*'Вхідні дані'!$J$93*AO21)</f>
        <v>0.3928571428571429</v>
      </c>
      <c r="AP58" s="160">
        <f>CHOOSE('Узагальнений розрахунок'!$P$1,'Вхідні дані'!$G$91+'Вхідні дані'!$E$92*'Вхідні дані'!$E$93*AP21,'Вхідні дані'!$L$91+'Вхідні дані'!$J$92*'Вхідні дані'!$J$93*AP21)</f>
        <v>0.3928571428571429</v>
      </c>
      <c r="AQ58" s="160">
        <f>CHOOSE('Узагальнений розрахунок'!$P$1,'Вхідні дані'!$G$91+'Вхідні дані'!$E$92*'Вхідні дані'!$E$93*AQ21,'Вхідні дані'!$L$91+'Вхідні дані'!$J$92*'Вхідні дані'!$J$93*AQ21)</f>
        <v>5.5000000000000009</v>
      </c>
      <c r="AR58" s="150">
        <f t="shared" ref="AR58:AR60" si="161">SUM(AF58:AQ58)</f>
        <v>247.5</v>
      </c>
      <c r="AS58" s="150">
        <f t="shared" ref="AS58:AS60" si="162">AR58/12</f>
        <v>20.625</v>
      </c>
      <c r="AT58" s="134">
        <f t="shared" ref="AT58:AT60" si="163">P58+AD58+AR58</f>
        <v>639.26785714285711</v>
      </c>
      <c r="AU58" s="161"/>
    </row>
    <row r="59" spans="1:47" s="136" customFormat="1" x14ac:dyDescent="0.5">
      <c r="A59" s="130" t="str">
        <f>'Узагальнений розрахунок'!B63</f>
        <v>Податки на зарплату</v>
      </c>
      <c r="B59" s="131" t="str">
        <f>CHOOSE('Вхідні дані'!$P$1,'Вхідні дані'!$Q$1,'Вхідні дані'!$Q$2,'Вхідні дані'!$Q$3,'Вхідні дані'!$Q$4)</f>
        <v>USD</v>
      </c>
      <c r="C59" s="131"/>
      <c r="D59" s="132">
        <f>CHOOSE('Узагальнений розрахунок'!$R$1,'Детальний розрахунок'!D44*CHOOSE('Узагальнений розрахунок'!$P$1,'Вхідні дані'!$E$95,'Вхідні дані'!$J$95),CHOOSE('Узагальнений розрахунок'!$P$1,'Вхідні дані'!$F$63*'Вхідні дані'!$G$94,'Вхідні дані'!$F$70*'Вхідні дані'!$L$94))</f>
        <v>139.28571428571428</v>
      </c>
      <c r="E59" s="132">
        <f>CHOOSE('Узагальнений розрахунок'!$R$1,'Детальний розрахунок'!E44*CHOOSE('Узагальнений розрахунок'!$P$1,'Вхідні дані'!$E$95,'Вхідні дані'!$J$95),CHOOSE('Узагальнений розрахунок'!$P$1,'Вхідні дані'!$F$63*'Вхідні дані'!$G$94,'Вхідні дані'!$F$70*'Вхідні дані'!$L$94))</f>
        <v>139.28571428571428</v>
      </c>
      <c r="F59" s="132">
        <f>CHOOSE('Узагальнений розрахунок'!$R$1,'Детальний розрахунок'!F44*CHOOSE('Узагальнений розрахунок'!$P$1,'Вхідні дані'!$E$95,'Вхідні дані'!$J$95),CHOOSE('Узагальнений розрахунок'!$P$1,'Вхідні дані'!$F$63*'Вхідні дані'!$G$94,'Вхідні дані'!$F$70*'Вхідні дані'!$L$94))</f>
        <v>139.28571428571428</v>
      </c>
      <c r="G59" s="132">
        <f>CHOOSE('Узагальнений розрахунок'!$R$1,'Детальний розрахунок'!G44*CHOOSE('Узагальнений розрахунок'!$P$1,'Вхідні дані'!$E$95,'Вхідні дані'!$J$95),CHOOSE('Узагальнений розрахунок'!$P$1,'Вхідні дані'!$F$63*'Вхідні дані'!$G$94,'Вхідні дані'!$F$70*'Вхідні дані'!$L$94))</f>
        <v>139.28571428571428</v>
      </c>
      <c r="H59" s="132">
        <f>CHOOSE('Узагальнений розрахунок'!$R$1,'Детальний розрахунок'!H44*CHOOSE('Узагальнений розрахунок'!$P$1,'Вхідні дані'!$E$95,'Вхідні дані'!$J$95),CHOOSE('Узагальнений розрахунок'!$P$1,'Вхідні дані'!$F$63*'Вхідні дані'!$G$94,'Вхідні дані'!$F$70*'Вхідні дані'!$L$94))</f>
        <v>139.28571428571428</v>
      </c>
      <c r="I59" s="132">
        <f>CHOOSE('Узагальнений розрахунок'!$R$1,'Детальний розрахунок'!I44*CHOOSE('Узагальнений розрахунок'!$P$1,'Вхідні дані'!$E$95,'Вхідні дані'!$J$95),CHOOSE('Узагальнений розрахунок'!$P$1,'Вхідні дані'!$F$63*'Вхідні дані'!$G$94,'Вхідні дані'!$F$70*'Вхідні дані'!$L$94))</f>
        <v>139.28571428571428</v>
      </c>
      <c r="J59" s="132">
        <f>CHOOSE('Узагальнений розрахунок'!$R$1,'Детальний розрахунок'!J44*CHOOSE('Узагальнений розрахунок'!$P$1,'Вхідні дані'!$E$95,'Вхідні дані'!$J$95),CHOOSE('Узагальнений розрахунок'!$P$1,'Вхідні дані'!$F$63*'Вхідні дані'!$G$94,'Вхідні дані'!$F$70*'Вхідні дані'!$L$94))</f>
        <v>139.28571428571428</v>
      </c>
      <c r="K59" s="132">
        <f>CHOOSE('Узагальнений розрахунок'!$R$1,'Детальний розрахунок'!K44*CHOOSE('Узагальнений розрахунок'!$P$1,'Вхідні дані'!$E$95,'Вхідні дані'!$J$95),CHOOSE('Узагальнений розрахунок'!$P$1,'Вхідні дані'!$F$63*'Вхідні дані'!$G$94,'Вхідні дані'!$F$70*'Вхідні дані'!$L$94))</f>
        <v>139.28571428571428</v>
      </c>
      <c r="L59" s="132">
        <f>CHOOSE('Узагальнений розрахунок'!$R$1,'Детальний розрахунок'!L44*CHOOSE('Узагальнений розрахунок'!$P$1,'Вхідні дані'!$E$95,'Вхідні дані'!$J$95),CHOOSE('Узагальнений розрахунок'!$P$1,'Вхідні дані'!$F$63*'Вхідні дані'!$G$94,'Вхідні дані'!$F$70*'Вхідні дані'!$L$94))</f>
        <v>139.28571428571428</v>
      </c>
      <c r="M59" s="132">
        <f>CHOOSE('Узагальнений розрахунок'!$R$1,'Детальний розрахунок'!M44*CHOOSE('Узагальнений розрахунок'!$P$1,'Вхідні дані'!$E$95,'Вхідні дані'!$J$95),CHOOSE('Узагальнений розрахунок'!$P$1,'Вхідні дані'!$F$63*'Вхідні дані'!$G$94,'Вхідні дані'!$F$70*'Вхідні дані'!$L$94))</f>
        <v>139.28571428571428</v>
      </c>
      <c r="N59" s="132">
        <f>CHOOSE('Узагальнений розрахунок'!$R$1,'Детальний розрахунок'!N44*CHOOSE('Узагальнений розрахунок'!$P$1,'Вхідні дані'!$E$95,'Вхідні дані'!$J$95),CHOOSE('Узагальнений розрахунок'!$P$1,'Вхідні дані'!$F$63*'Вхідні дані'!$G$94,'Вхідні дані'!$F$70*'Вхідні дані'!$L$94))</f>
        <v>139.28571428571428</v>
      </c>
      <c r="O59" s="132">
        <f>CHOOSE('Узагальнений розрахунок'!$R$1,'Детальний розрахунок'!O44*CHOOSE('Узагальнений розрахунок'!$P$1,'Вхідні дані'!$E$95,'Вхідні дані'!$J$95),CHOOSE('Узагальнений розрахунок'!$P$1,'Вхідні дані'!$F$63*'Вхідні дані'!$G$94,'Вхідні дані'!$F$70*'Вхідні дані'!$L$94))</f>
        <v>139.28571428571428</v>
      </c>
      <c r="P59" s="133">
        <f t="shared" ref="P59" si="164">SUM(D59:O59)</f>
        <v>1671.4285714285709</v>
      </c>
      <c r="Q59" s="133">
        <f t="shared" ref="Q59" si="165">P59/12</f>
        <v>139.28571428571425</v>
      </c>
      <c r="R59" s="132">
        <f>CHOOSE('Узагальнений розрахунок'!$R$1,'Детальний розрахунок'!R44*CHOOSE('Узагальнений розрахунок'!$P$1,'Вхідні дані'!$E$95,'Вхідні дані'!$J$95),CHOOSE('Узагальнений розрахунок'!$P$1,'Вхідні дані'!$F$63*'Вхідні дані'!$G$94,'Вхідні дані'!$F$70*'Вхідні дані'!$L$94))</f>
        <v>139.28571428571428</v>
      </c>
      <c r="S59" s="132">
        <f>CHOOSE('Узагальнений розрахунок'!$R$1,'Детальний розрахунок'!S44*CHOOSE('Узагальнений розрахунок'!$P$1,'Вхідні дані'!$E$95,'Вхідні дані'!$J$95),CHOOSE('Узагальнений розрахунок'!$P$1,'Вхідні дані'!$F$63*'Вхідні дані'!$G$94,'Вхідні дані'!$F$70*'Вхідні дані'!$L$94))</f>
        <v>139.28571428571428</v>
      </c>
      <c r="T59" s="132">
        <f>CHOOSE('Узагальнений розрахунок'!$R$1,'Детальний розрахунок'!T44*CHOOSE('Узагальнений розрахунок'!$P$1,'Вхідні дані'!$E$95,'Вхідні дані'!$J$95),CHOOSE('Узагальнений розрахунок'!$P$1,'Вхідні дані'!$F$63*'Вхідні дані'!$G$94,'Вхідні дані'!$F$70*'Вхідні дані'!$L$94))</f>
        <v>139.28571428571428</v>
      </c>
      <c r="U59" s="132">
        <f>CHOOSE('Узагальнений розрахунок'!$R$1,'Детальний розрахунок'!U44*CHOOSE('Узагальнений розрахунок'!$P$1,'Вхідні дані'!$E$95,'Вхідні дані'!$J$95),CHOOSE('Узагальнений розрахунок'!$P$1,'Вхідні дані'!$F$63*'Вхідні дані'!$G$94,'Вхідні дані'!$F$70*'Вхідні дані'!$L$94))</f>
        <v>139.28571428571428</v>
      </c>
      <c r="V59" s="132">
        <f>CHOOSE('Узагальнений розрахунок'!$R$1,'Детальний розрахунок'!V44*CHOOSE('Узагальнений розрахунок'!$P$1,'Вхідні дані'!$E$95,'Вхідні дані'!$J$95),CHOOSE('Узагальнений розрахунок'!$P$1,'Вхідні дані'!$F$63*'Вхідні дані'!$G$94,'Вхідні дані'!$F$70*'Вхідні дані'!$L$94))</f>
        <v>139.28571428571428</v>
      </c>
      <c r="W59" s="132">
        <f>CHOOSE('Узагальнений розрахунок'!$R$1,'Детальний розрахунок'!W44*CHOOSE('Узагальнений розрахунок'!$P$1,'Вхідні дані'!$E$95,'Вхідні дані'!$J$95),CHOOSE('Узагальнений розрахунок'!$P$1,'Вхідні дані'!$F$63*'Вхідні дані'!$G$94,'Вхідні дані'!$F$70*'Вхідні дані'!$L$94))</f>
        <v>139.28571428571428</v>
      </c>
      <c r="X59" s="132">
        <f>CHOOSE('Узагальнений розрахунок'!$R$1,'Детальний розрахунок'!X44*CHOOSE('Узагальнений розрахунок'!$P$1,'Вхідні дані'!$E$95,'Вхідні дані'!$J$95),CHOOSE('Узагальнений розрахунок'!$P$1,'Вхідні дані'!$F$63*'Вхідні дані'!$G$94,'Вхідні дані'!$F$70*'Вхідні дані'!$L$94))</f>
        <v>139.28571428571428</v>
      </c>
      <c r="Y59" s="132">
        <f>CHOOSE('Узагальнений розрахунок'!$R$1,'Детальний розрахунок'!Y44*CHOOSE('Узагальнений розрахунок'!$P$1,'Вхідні дані'!$E$95,'Вхідні дані'!$J$95),CHOOSE('Узагальнений розрахунок'!$P$1,'Вхідні дані'!$F$63*'Вхідні дані'!$G$94,'Вхідні дані'!$F$70*'Вхідні дані'!$L$94))</f>
        <v>139.28571428571428</v>
      </c>
      <c r="Z59" s="132">
        <f>CHOOSE('Узагальнений розрахунок'!$R$1,'Детальний розрахунок'!Z44*CHOOSE('Узагальнений розрахунок'!$P$1,'Вхідні дані'!$E$95,'Вхідні дані'!$J$95),CHOOSE('Узагальнений розрахунок'!$P$1,'Вхідні дані'!$F$63*'Вхідні дані'!$G$94,'Вхідні дані'!$F$70*'Вхідні дані'!$L$94))</f>
        <v>139.28571428571428</v>
      </c>
      <c r="AA59" s="132">
        <f>CHOOSE('Узагальнений розрахунок'!$R$1,'Детальний розрахунок'!AA44*CHOOSE('Узагальнений розрахунок'!$P$1,'Вхідні дані'!$E$95,'Вхідні дані'!$J$95),CHOOSE('Узагальнений розрахунок'!$P$1,'Вхідні дані'!$F$63*'Вхідні дані'!$G$94,'Вхідні дані'!$F$70*'Вхідні дані'!$L$94))</f>
        <v>139.28571428571428</v>
      </c>
      <c r="AB59" s="132">
        <f>CHOOSE('Узагальнений розрахунок'!$R$1,'Детальний розрахунок'!AB44*CHOOSE('Узагальнений розрахунок'!$P$1,'Вхідні дані'!$E$95,'Вхідні дані'!$J$95),CHOOSE('Узагальнений розрахунок'!$P$1,'Вхідні дані'!$F$63*'Вхідні дані'!$G$94,'Вхідні дані'!$F$70*'Вхідні дані'!$L$94))</f>
        <v>139.28571428571428</v>
      </c>
      <c r="AC59" s="132">
        <f>CHOOSE('Узагальнений розрахунок'!$R$1,'Детальний розрахунок'!AC44*CHOOSE('Узагальнений розрахунок'!$P$1,'Вхідні дані'!$E$95,'Вхідні дані'!$J$95),CHOOSE('Узагальнений розрахунок'!$P$1,'Вхідні дані'!$F$63*'Вхідні дані'!$G$94,'Вхідні дані'!$F$70*'Вхідні дані'!$L$94))</f>
        <v>139.28571428571428</v>
      </c>
      <c r="AD59" s="133">
        <f t="shared" ref="AD59" si="166">SUM(R59:AC59)</f>
        <v>1671.4285714285709</v>
      </c>
      <c r="AE59" s="133">
        <f t="shared" ref="AE59" si="167">AD59/12</f>
        <v>139.28571428571425</v>
      </c>
      <c r="AF59" s="132">
        <f>CHOOSE('Узагальнений розрахунок'!$R$1,'Детальний розрахунок'!AF44*CHOOSE('Узагальнений розрахунок'!$P$1,'Вхідні дані'!$E$95,'Вхідні дані'!$J$95),CHOOSE('Узагальнений розрахунок'!$P$1,'Вхідні дані'!$F$63*'Вхідні дані'!$G$94,'Вхідні дані'!$F$70*'Вхідні дані'!$L$94))</f>
        <v>139.28571428571428</v>
      </c>
      <c r="AG59" s="132">
        <f>CHOOSE('Узагальнений розрахунок'!$R$1,'Детальний розрахунок'!AG44*CHOOSE('Узагальнений розрахунок'!$P$1,'Вхідні дані'!$E$95,'Вхідні дані'!$J$95),CHOOSE('Узагальнений розрахунок'!$P$1,'Вхідні дані'!$F$63*'Вхідні дані'!$G$94,'Вхідні дані'!$F$70*'Вхідні дані'!$L$94))</f>
        <v>139.28571428571428</v>
      </c>
      <c r="AH59" s="132">
        <f>CHOOSE('Узагальнений розрахунок'!$R$1,'Детальний розрахунок'!AH44*CHOOSE('Узагальнений розрахунок'!$P$1,'Вхідні дані'!$E$95,'Вхідні дані'!$J$95),CHOOSE('Узагальнений розрахунок'!$P$1,'Вхідні дані'!$F$63*'Вхідні дані'!$G$94,'Вхідні дані'!$F$70*'Вхідні дані'!$L$94))</f>
        <v>139.28571428571428</v>
      </c>
      <c r="AI59" s="132">
        <f>CHOOSE('Узагальнений розрахунок'!$R$1,'Детальний розрахунок'!AI44*CHOOSE('Узагальнений розрахунок'!$P$1,'Вхідні дані'!$E$95,'Вхідні дані'!$J$95),CHOOSE('Узагальнений розрахунок'!$P$1,'Вхідні дані'!$F$63*'Вхідні дані'!$G$94,'Вхідні дані'!$F$70*'Вхідні дані'!$L$94))</f>
        <v>139.28571428571428</v>
      </c>
      <c r="AJ59" s="132">
        <f>CHOOSE('Узагальнений розрахунок'!$R$1,'Детальний розрахунок'!AJ44*CHOOSE('Узагальнений розрахунок'!$P$1,'Вхідні дані'!$E$95,'Вхідні дані'!$J$95),CHOOSE('Узагальнений розрахунок'!$P$1,'Вхідні дані'!$F$63*'Вхідні дані'!$G$94,'Вхідні дані'!$F$70*'Вхідні дані'!$L$94))</f>
        <v>139.28571428571428</v>
      </c>
      <c r="AK59" s="132">
        <f>CHOOSE('Узагальнений розрахунок'!$R$1,'Детальний розрахунок'!AK44*CHOOSE('Узагальнений розрахунок'!$P$1,'Вхідні дані'!$E$95,'Вхідні дані'!$J$95),CHOOSE('Узагальнений розрахунок'!$P$1,'Вхідні дані'!$F$63*'Вхідні дані'!$G$94,'Вхідні дані'!$F$70*'Вхідні дані'!$L$94))</f>
        <v>139.28571428571428</v>
      </c>
      <c r="AL59" s="132">
        <f>CHOOSE('Узагальнений розрахунок'!$R$1,'Детальний розрахунок'!AL44*CHOOSE('Узагальнений розрахунок'!$P$1,'Вхідні дані'!$E$95,'Вхідні дані'!$J$95),CHOOSE('Узагальнений розрахунок'!$P$1,'Вхідні дані'!$F$63*'Вхідні дані'!$G$94,'Вхідні дані'!$F$70*'Вхідні дані'!$L$94))</f>
        <v>139.28571428571428</v>
      </c>
      <c r="AM59" s="132">
        <f>CHOOSE('Узагальнений розрахунок'!$R$1,'Детальний розрахунок'!AM44*CHOOSE('Узагальнений розрахунок'!$P$1,'Вхідні дані'!$E$95,'Вхідні дані'!$J$95),CHOOSE('Узагальнений розрахунок'!$P$1,'Вхідні дані'!$F$63*'Вхідні дані'!$G$94,'Вхідні дані'!$F$70*'Вхідні дані'!$L$94))</f>
        <v>139.28571428571428</v>
      </c>
      <c r="AN59" s="132">
        <f>CHOOSE('Узагальнений розрахунок'!$R$1,'Детальний розрахунок'!AN44*CHOOSE('Узагальнений розрахунок'!$P$1,'Вхідні дані'!$E$95,'Вхідні дані'!$J$95),CHOOSE('Узагальнений розрахунок'!$P$1,'Вхідні дані'!$F$63*'Вхідні дані'!$G$94,'Вхідні дані'!$F$70*'Вхідні дані'!$L$94))</f>
        <v>139.28571428571428</v>
      </c>
      <c r="AO59" s="132">
        <f>CHOOSE('Узагальнений розрахунок'!$R$1,'Детальний розрахунок'!AO44*CHOOSE('Узагальнений розрахунок'!$P$1,'Вхідні дані'!$E$95,'Вхідні дані'!$J$95),CHOOSE('Узагальнений розрахунок'!$P$1,'Вхідні дані'!$F$63*'Вхідні дані'!$G$94,'Вхідні дані'!$F$70*'Вхідні дані'!$L$94))</f>
        <v>139.28571428571428</v>
      </c>
      <c r="AP59" s="132">
        <f>CHOOSE('Узагальнений розрахунок'!$R$1,'Детальний розрахунок'!AP44*CHOOSE('Узагальнений розрахунок'!$P$1,'Вхідні дані'!$E$95,'Вхідні дані'!$J$95),CHOOSE('Узагальнений розрахунок'!$P$1,'Вхідні дані'!$F$63*'Вхідні дані'!$G$94,'Вхідні дані'!$F$70*'Вхідні дані'!$L$94))</f>
        <v>139.28571428571428</v>
      </c>
      <c r="AQ59" s="132">
        <f>CHOOSE('Узагальнений розрахунок'!$R$1,'Детальний розрахунок'!AQ44*CHOOSE('Узагальнений розрахунок'!$P$1,'Вхідні дані'!$E$95,'Вхідні дані'!$J$95),CHOOSE('Узагальнений розрахунок'!$P$1,'Вхідні дані'!$F$63*'Вхідні дані'!$G$94,'Вхідні дані'!$F$70*'Вхідні дані'!$L$94))</f>
        <v>139.28571428571428</v>
      </c>
      <c r="AR59" s="133">
        <f t="shared" ref="AR59" si="168">SUM(AF59:AQ59)</f>
        <v>1671.4285714285709</v>
      </c>
      <c r="AS59" s="133">
        <f t="shared" ref="AS59" si="169">AR59/12</f>
        <v>139.28571428571425</v>
      </c>
      <c r="AT59" s="134">
        <f t="shared" ref="AT59" si="170">P59+AD59+AR59</f>
        <v>5014.2857142857129</v>
      </c>
      <c r="AU59" s="135"/>
    </row>
    <row r="60" spans="1:47" s="162" customFormat="1" x14ac:dyDescent="0.5">
      <c r="A60" s="159" t="str">
        <f>'Узагальнений розрахунок'!B64</f>
        <v>Податки</v>
      </c>
      <c r="B60" s="149" t="str">
        <f>CHOOSE('Вхідні дані'!$P$1,'Вхідні дані'!$Q$1,'Вхідні дані'!$Q$2,'Вхідні дані'!$Q$3,'Вхідні дані'!$Q$4)</f>
        <v>USD</v>
      </c>
      <c r="C60" s="149"/>
      <c r="D60" s="160">
        <f>CHOOSE('Узагальнений розрахунок'!$P$1,CHOOSE('Узагальнений розрахунок'!$N$1,'Вхідні дані'!$E$97*D21,'Вхідні дані'!$G$98),CHOOSE('Узагальнений розрахунок'!$N$1,'Вхідні дані'!$J$97*D21,'Вхідні дані'!$L$98))</f>
        <v>71.428571428571431</v>
      </c>
      <c r="E60" s="160">
        <f>CHOOSE('Узагальнений розрахунок'!$P$1,CHOOSE('Узагальнений розрахунок'!$N$1,'Вхідні дані'!$E$97*E21,'Вхідні дані'!$G$98),CHOOSE('Узагальнений розрахунок'!$N$1,'Вхідні дані'!$J$97*E21,'Вхідні дані'!$L$98))</f>
        <v>71.428571428571431</v>
      </c>
      <c r="F60" s="160">
        <f>CHOOSE('Узагальнений розрахунок'!$P$1,CHOOSE('Узагальнений розрахунок'!$N$1,'Вхідні дані'!$E$97*F21,'Вхідні дані'!$G$98),CHOOSE('Узагальнений розрахунок'!$N$1,'Вхідні дані'!$J$97*F21,'Вхідні дані'!$L$98))</f>
        <v>71.428571428571431</v>
      </c>
      <c r="G60" s="160">
        <f>CHOOSE('Узагальнений розрахунок'!$P$1,CHOOSE('Узагальнений розрахунок'!$N$1,'Вхідні дані'!$E$97*G21,'Вхідні дані'!$G$98),CHOOSE('Узагальнений розрахунок'!$N$1,'Вхідні дані'!$J$97*G21,'Вхідні дані'!$L$98))</f>
        <v>71.428571428571431</v>
      </c>
      <c r="H60" s="160">
        <f>CHOOSE('Узагальнений розрахунок'!$P$1,CHOOSE('Узагальнений розрахунок'!$N$1,'Вхідні дані'!$E$97*H21,'Вхідні дані'!$G$98),CHOOSE('Узагальнений розрахунок'!$N$1,'Вхідні дані'!$J$97*H21,'Вхідні дані'!$L$98))</f>
        <v>71.428571428571431</v>
      </c>
      <c r="I60" s="160">
        <f>CHOOSE('Узагальнений розрахунок'!$P$1,CHOOSE('Узагальнений розрахунок'!$N$1,'Вхідні дані'!$E$97*I21,'Вхідні дані'!$G$98),CHOOSE('Узагальнений розрахунок'!$N$1,'Вхідні дані'!$J$97*I21,'Вхідні дані'!$L$98))</f>
        <v>71.428571428571431</v>
      </c>
      <c r="J60" s="160">
        <f>CHOOSE('Узагальнений розрахунок'!$P$1,CHOOSE('Узагальнений розрахунок'!$N$1,'Вхідні дані'!$E$97*J21,'Вхідні дані'!$G$98),CHOOSE('Узагальнений розрахунок'!$N$1,'Вхідні дані'!$J$97*J21,'Вхідні дані'!$L$98))</f>
        <v>71.428571428571431</v>
      </c>
      <c r="K60" s="160">
        <f>CHOOSE('Узагальнений розрахунок'!$P$1,CHOOSE('Узагальнений розрахунок'!$N$1,'Вхідні дані'!$E$97*K21,'Вхідні дані'!$G$98),CHOOSE('Узагальнений розрахунок'!$N$1,'Вхідні дані'!$J$97*K21,'Вхідні дані'!$L$98))</f>
        <v>71.428571428571431</v>
      </c>
      <c r="L60" s="160">
        <f>CHOOSE('Узагальнений розрахунок'!$P$1,CHOOSE('Узагальнений розрахунок'!$N$1,'Вхідні дані'!$E$97*L21,'Вхідні дані'!$G$98),CHOOSE('Узагальнений розрахунок'!$N$1,'Вхідні дані'!$J$97*L21,'Вхідні дані'!$L$98))</f>
        <v>71.428571428571431</v>
      </c>
      <c r="M60" s="160">
        <f>CHOOSE('Узагальнений розрахунок'!$P$1,CHOOSE('Узагальнений розрахунок'!$N$1,'Вхідні дані'!$E$97*M21,'Вхідні дані'!$G$98),CHOOSE('Узагальнений розрахунок'!$N$1,'Вхідні дані'!$J$97*M21,'Вхідні дані'!$L$98))</f>
        <v>71.428571428571431</v>
      </c>
      <c r="N60" s="160">
        <f>CHOOSE('Узагальнений розрахунок'!$P$1,CHOOSE('Узагальнений розрахунок'!$N$1,'Вхідні дані'!$E$97*N21,'Вхідні дані'!$G$98),CHOOSE('Узагальнений розрахунок'!$N$1,'Вхідні дані'!$J$97*N21,'Вхідні дані'!$L$98))</f>
        <v>71.428571428571431</v>
      </c>
      <c r="O60" s="160">
        <f>CHOOSE('Узагальнений розрахунок'!$P$1,CHOOSE('Узагальнений розрахунок'!$N$1,'Вхідні дані'!$E$97*O21,'Вхідні дані'!$G$98),CHOOSE('Узагальнений розрахунок'!$N$1,'Вхідні дані'!$J$97*O21,'Вхідні дані'!$L$98))</f>
        <v>71.428571428571431</v>
      </c>
      <c r="P60" s="150">
        <f t="shared" ref="P60" si="171">SUM(D60:O60)</f>
        <v>857.14285714285722</v>
      </c>
      <c r="Q60" s="150">
        <f t="shared" si="158"/>
        <v>71.428571428571431</v>
      </c>
      <c r="R60" s="160">
        <f>CHOOSE('Узагальнений розрахунок'!$P$1,CHOOSE('Узагальнений розрахунок'!$N$1,'Вхідні дані'!$E$97*R21,'Вхідні дані'!$G$98),CHOOSE('Узагальнений розрахунок'!$N$1,'Вхідні дані'!$J$97*R21,'Вхідні дані'!$L$98))</f>
        <v>71.428571428571431</v>
      </c>
      <c r="S60" s="160">
        <f>CHOOSE('Узагальнений розрахунок'!$P$1,CHOOSE('Узагальнений розрахунок'!$N$1,'Вхідні дані'!$E$97*S21,'Вхідні дані'!$G$98),CHOOSE('Узагальнений розрахунок'!$N$1,'Вхідні дані'!$J$97*S21,'Вхідні дані'!$L$98))</f>
        <v>71.428571428571431</v>
      </c>
      <c r="T60" s="160">
        <f>CHOOSE('Узагальнений розрахунок'!$P$1,CHOOSE('Узагальнений розрахунок'!$N$1,'Вхідні дані'!$E$97*T21,'Вхідні дані'!$G$98),CHOOSE('Узагальнений розрахунок'!$N$1,'Вхідні дані'!$J$97*T21,'Вхідні дані'!$L$98))</f>
        <v>71.428571428571431</v>
      </c>
      <c r="U60" s="160">
        <f>CHOOSE('Узагальнений розрахунок'!$P$1,CHOOSE('Узагальнений розрахунок'!$N$1,'Вхідні дані'!$E$97*U21,'Вхідні дані'!$G$98),CHOOSE('Узагальнений розрахунок'!$N$1,'Вхідні дані'!$J$97*U21,'Вхідні дані'!$L$98))</f>
        <v>71.428571428571431</v>
      </c>
      <c r="V60" s="160">
        <f>CHOOSE('Узагальнений розрахунок'!$P$1,CHOOSE('Узагальнений розрахунок'!$N$1,'Вхідні дані'!$E$97*V21,'Вхідні дані'!$G$98),CHOOSE('Узагальнений розрахунок'!$N$1,'Вхідні дані'!$J$97*V21,'Вхідні дані'!$L$98))</f>
        <v>71.428571428571431</v>
      </c>
      <c r="W60" s="160">
        <f>CHOOSE('Узагальнений розрахунок'!$P$1,CHOOSE('Узагальнений розрахунок'!$N$1,'Вхідні дані'!$E$97*W21,'Вхідні дані'!$G$98),CHOOSE('Узагальнений розрахунок'!$N$1,'Вхідні дані'!$J$97*W21,'Вхідні дані'!$L$98))</f>
        <v>71.428571428571431</v>
      </c>
      <c r="X60" s="160">
        <f>CHOOSE('Узагальнений розрахунок'!$P$1,CHOOSE('Узагальнений розрахунок'!$N$1,'Вхідні дані'!$E$97*X21,'Вхідні дані'!$G$98),CHOOSE('Узагальнений розрахунок'!$N$1,'Вхідні дані'!$J$97*X21,'Вхідні дані'!$L$98))</f>
        <v>71.428571428571431</v>
      </c>
      <c r="Y60" s="160">
        <f>CHOOSE('Узагальнений розрахунок'!$P$1,CHOOSE('Узагальнений розрахунок'!$N$1,'Вхідні дані'!$E$97*Y21,'Вхідні дані'!$G$98),CHOOSE('Узагальнений розрахунок'!$N$1,'Вхідні дані'!$J$97*Y21,'Вхідні дані'!$L$98))</f>
        <v>71.428571428571431</v>
      </c>
      <c r="Z60" s="160">
        <f>CHOOSE('Узагальнений розрахунок'!$P$1,CHOOSE('Узагальнений розрахунок'!$N$1,'Вхідні дані'!$E$97*Z21,'Вхідні дані'!$G$98),CHOOSE('Узагальнений розрахунок'!$N$1,'Вхідні дані'!$J$97*Z21,'Вхідні дані'!$L$98))</f>
        <v>71.428571428571431</v>
      </c>
      <c r="AA60" s="160">
        <f>CHOOSE('Узагальнений розрахунок'!$P$1,CHOOSE('Узагальнений розрахунок'!$N$1,'Вхідні дані'!$E$97*AA21,'Вхідні дані'!$G$98),CHOOSE('Узагальнений розрахунок'!$N$1,'Вхідні дані'!$J$97*AA21,'Вхідні дані'!$L$98))</f>
        <v>71.428571428571431</v>
      </c>
      <c r="AB60" s="160">
        <f>CHOOSE('Узагальнений розрахунок'!$P$1,CHOOSE('Узагальнений розрахунок'!$N$1,'Вхідні дані'!$E$97*AB21,'Вхідні дані'!$G$98),CHOOSE('Узагальнений розрахунок'!$N$1,'Вхідні дані'!$J$97*AB21,'Вхідні дані'!$L$98))</f>
        <v>71.428571428571431</v>
      </c>
      <c r="AC60" s="160">
        <f>CHOOSE('Узагальнений розрахунок'!$P$1,CHOOSE('Узагальнений розрахунок'!$N$1,'Вхідні дані'!$E$97*AC21,'Вхідні дані'!$G$98),CHOOSE('Узагальнений розрахунок'!$N$1,'Вхідні дані'!$J$97*AC21,'Вхідні дані'!$L$98))</f>
        <v>71.428571428571431</v>
      </c>
      <c r="AD60" s="150">
        <f t="shared" si="159"/>
        <v>857.14285714285722</v>
      </c>
      <c r="AE60" s="150">
        <f t="shared" si="160"/>
        <v>71.428571428571431</v>
      </c>
      <c r="AF60" s="160">
        <f>CHOOSE('Узагальнений розрахунок'!$P$1,CHOOSE('Узагальнений розрахунок'!$N$1,'Вхідні дані'!$E$97*AF21,'Вхідні дані'!$G$98),CHOOSE('Узагальнений розрахунок'!$N$1,'Вхідні дані'!$J$97*AF21,'Вхідні дані'!$L$98))</f>
        <v>71.428571428571431</v>
      </c>
      <c r="AG60" s="160">
        <f>CHOOSE('Узагальнений розрахунок'!$P$1,CHOOSE('Узагальнений розрахунок'!$N$1,'Вхідні дані'!$E$97*AG21,'Вхідні дані'!$G$98),CHOOSE('Узагальнений розрахунок'!$N$1,'Вхідні дані'!$J$97*AG21,'Вхідні дані'!$L$98))</f>
        <v>71.428571428571431</v>
      </c>
      <c r="AH60" s="160">
        <f>CHOOSE('Узагальнений розрахунок'!$P$1,CHOOSE('Узагальнений розрахунок'!$N$1,'Вхідні дані'!$E$97*AH21,'Вхідні дані'!$G$98),CHOOSE('Узагальнений розрахунок'!$N$1,'Вхідні дані'!$J$97*AH21,'Вхідні дані'!$L$98))</f>
        <v>71.428571428571431</v>
      </c>
      <c r="AI60" s="160">
        <f>CHOOSE('Узагальнений розрахунок'!$P$1,CHOOSE('Узагальнений розрахунок'!$N$1,'Вхідні дані'!$E$97*AI21,'Вхідні дані'!$G$98),CHOOSE('Узагальнений розрахунок'!$N$1,'Вхідні дані'!$J$97*AI21,'Вхідні дані'!$L$98))</f>
        <v>71.428571428571431</v>
      </c>
      <c r="AJ60" s="160">
        <f>CHOOSE('Узагальнений розрахунок'!$P$1,CHOOSE('Узагальнений розрахунок'!$N$1,'Вхідні дані'!$E$97*AJ21,'Вхідні дані'!$G$98),CHOOSE('Узагальнений розрахунок'!$N$1,'Вхідні дані'!$J$97*AJ21,'Вхідні дані'!$L$98))</f>
        <v>71.428571428571431</v>
      </c>
      <c r="AK60" s="160">
        <f>CHOOSE('Узагальнений розрахунок'!$P$1,CHOOSE('Узагальнений розрахунок'!$N$1,'Вхідні дані'!$E$97*AK21,'Вхідні дані'!$G$98),CHOOSE('Узагальнений розрахунок'!$N$1,'Вхідні дані'!$J$97*AK21,'Вхідні дані'!$L$98))</f>
        <v>71.428571428571431</v>
      </c>
      <c r="AL60" s="160">
        <f>CHOOSE('Узагальнений розрахунок'!$P$1,CHOOSE('Узагальнений розрахунок'!$N$1,'Вхідні дані'!$E$97*AL21,'Вхідні дані'!$G$98),CHOOSE('Узагальнений розрахунок'!$N$1,'Вхідні дані'!$J$97*AL21,'Вхідні дані'!$L$98))</f>
        <v>71.428571428571431</v>
      </c>
      <c r="AM60" s="160">
        <f>CHOOSE('Узагальнений розрахунок'!$P$1,CHOOSE('Узагальнений розрахунок'!$N$1,'Вхідні дані'!$E$97*AM21,'Вхідні дані'!$G$98),CHOOSE('Узагальнений розрахунок'!$N$1,'Вхідні дані'!$J$97*AM21,'Вхідні дані'!$L$98))</f>
        <v>71.428571428571431</v>
      </c>
      <c r="AN60" s="160">
        <f>CHOOSE('Узагальнений розрахунок'!$P$1,CHOOSE('Узагальнений розрахунок'!$N$1,'Вхідні дані'!$E$97*AN21,'Вхідні дані'!$G$98),CHOOSE('Узагальнений розрахунок'!$N$1,'Вхідні дані'!$J$97*AN21,'Вхідні дані'!$L$98))</f>
        <v>71.428571428571431</v>
      </c>
      <c r="AO60" s="160">
        <f>CHOOSE('Узагальнений розрахунок'!$P$1,CHOOSE('Узагальнений розрахунок'!$N$1,'Вхідні дані'!$E$97*AO21,'Вхідні дані'!$G$98),CHOOSE('Узагальнений розрахунок'!$N$1,'Вхідні дані'!$J$97*AO21,'Вхідні дані'!$L$98))</f>
        <v>71.428571428571431</v>
      </c>
      <c r="AP60" s="160">
        <f>CHOOSE('Узагальнений розрахунок'!$P$1,CHOOSE('Узагальнений розрахунок'!$N$1,'Вхідні дані'!$E$97*AP21,'Вхідні дані'!$G$98),CHOOSE('Узагальнений розрахунок'!$N$1,'Вхідні дані'!$J$97*AP21,'Вхідні дані'!$L$98))</f>
        <v>71.428571428571431</v>
      </c>
      <c r="AQ60" s="160">
        <f>CHOOSE('Узагальнений розрахунок'!$P$1,CHOOSE('Узагальнений розрахунок'!$N$1,'Вхідні дані'!$E$97*AQ21,'Вхідні дані'!$G$98),CHOOSE('Узагальнений розрахунок'!$N$1,'Вхідні дані'!$J$97*AQ21,'Вхідні дані'!$L$98))</f>
        <v>71.428571428571431</v>
      </c>
      <c r="AR60" s="150">
        <f t="shared" si="161"/>
        <v>857.14285714285722</v>
      </c>
      <c r="AS60" s="150">
        <f t="shared" si="162"/>
        <v>71.428571428571431</v>
      </c>
      <c r="AT60" s="134">
        <f t="shared" si="163"/>
        <v>2571.4285714285716</v>
      </c>
      <c r="AU60" s="161"/>
    </row>
    <row r="61" spans="1:47" s="125" customFormat="1" x14ac:dyDescent="0.5">
      <c r="A61" s="169" t="str">
        <f>A38</f>
        <v>Разом</v>
      </c>
      <c r="B61" s="170" t="str">
        <f>CHOOSE('Вхідні дані'!$P$1,'Вхідні дані'!$Q$1,'Вхідні дані'!$Q$2,'Вхідні дані'!$Q$3,'Вхідні дані'!$Q$4)</f>
        <v>USD</v>
      </c>
      <c r="C61" s="170"/>
      <c r="D61" s="171">
        <f t="shared" ref="D61:AT61" si="172">SUM(D44:D60)</f>
        <v>1410.2142857142856</v>
      </c>
      <c r="E61" s="171">
        <f t="shared" si="172"/>
        <v>1545.2142857142858</v>
      </c>
      <c r="F61" s="171">
        <f t="shared" si="172"/>
        <v>1605.2142857142856</v>
      </c>
      <c r="G61" s="171">
        <f t="shared" si="172"/>
        <v>1710.2142857142856</v>
      </c>
      <c r="H61" s="171">
        <f t="shared" si="172"/>
        <v>1710.2142857142856</v>
      </c>
      <c r="I61" s="171">
        <f t="shared" si="172"/>
        <v>1687.7142857142858</v>
      </c>
      <c r="J61" s="171">
        <f t="shared" si="172"/>
        <v>1417.7142857142856</v>
      </c>
      <c r="K61" s="171">
        <f t="shared" si="172"/>
        <v>1290.2142857142853</v>
      </c>
      <c r="L61" s="171">
        <f t="shared" si="172"/>
        <v>1110.2142857142856</v>
      </c>
      <c r="M61" s="171">
        <f t="shared" si="172"/>
        <v>1110.2142857142856</v>
      </c>
      <c r="N61" s="171">
        <f t="shared" si="172"/>
        <v>1110.2142857142856</v>
      </c>
      <c r="O61" s="171">
        <f t="shared" si="172"/>
        <v>1192.7142857142858</v>
      </c>
      <c r="P61" s="171">
        <f t="shared" si="172"/>
        <v>16900.071428571428</v>
      </c>
      <c r="Q61" s="171">
        <f t="shared" si="172"/>
        <v>1408.3392857142853</v>
      </c>
      <c r="R61" s="171">
        <f t="shared" si="172"/>
        <v>1705.9642857142856</v>
      </c>
      <c r="S61" s="171">
        <f t="shared" si="172"/>
        <v>1729.5892857142856</v>
      </c>
      <c r="T61" s="171">
        <f t="shared" si="172"/>
        <v>1705.9642857142856</v>
      </c>
      <c r="U61" s="171">
        <f t="shared" si="172"/>
        <v>1824.0892857142856</v>
      </c>
      <c r="V61" s="171">
        <f t="shared" si="172"/>
        <v>1824.0892857142856</v>
      </c>
      <c r="W61" s="171">
        <f t="shared" si="172"/>
        <v>1800.4642857142856</v>
      </c>
      <c r="X61" s="171">
        <f t="shared" si="172"/>
        <v>1485.4642857142856</v>
      </c>
      <c r="Y61" s="171">
        <f t="shared" si="172"/>
        <v>1343.7142857142856</v>
      </c>
      <c r="Z61" s="171">
        <f t="shared" si="172"/>
        <v>1131.0892857142856</v>
      </c>
      <c r="AA61" s="171">
        <f t="shared" si="172"/>
        <v>1131.0892857142856</v>
      </c>
      <c r="AB61" s="171">
        <f t="shared" si="172"/>
        <v>1131.0892857142856</v>
      </c>
      <c r="AC61" s="171">
        <f t="shared" si="172"/>
        <v>1225.5892857142856</v>
      </c>
      <c r="AD61" s="171">
        <f t="shared" si="172"/>
        <v>18038.196428571431</v>
      </c>
      <c r="AE61" s="171">
        <f t="shared" si="172"/>
        <v>1503.1830357142856</v>
      </c>
      <c r="AF61" s="171">
        <f t="shared" si="172"/>
        <v>1811.9642857142858</v>
      </c>
      <c r="AG61" s="171">
        <f t="shared" si="172"/>
        <v>1836.7142857142858</v>
      </c>
      <c r="AH61" s="171">
        <f t="shared" si="172"/>
        <v>1811.9642857142858</v>
      </c>
      <c r="AI61" s="171">
        <f t="shared" si="172"/>
        <v>1943.9642857142858</v>
      </c>
      <c r="AJ61" s="171">
        <f t="shared" si="172"/>
        <v>1943.9642857142858</v>
      </c>
      <c r="AK61" s="171">
        <f t="shared" si="172"/>
        <v>1910.9642857142858</v>
      </c>
      <c r="AL61" s="171">
        <f t="shared" si="172"/>
        <v>1556.2142857142858</v>
      </c>
      <c r="AM61" s="171">
        <f t="shared" si="172"/>
        <v>1391.2142857142856</v>
      </c>
      <c r="AN61" s="171">
        <f t="shared" si="172"/>
        <v>1151.9642857142856</v>
      </c>
      <c r="AO61" s="171">
        <f t="shared" si="172"/>
        <v>1151.9642857142856</v>
      </c>
      <c r="AP61" s="171">
        <f t="shared" si="172"/>
        <v>1151.9642857142856</v>
      </c>
      <c r="AQ61" s="171">
        <f t="shared" si="172"/>
        <v>1259.2142857142856</v>
      </c>
      <c r="AR61" s="171">
        <f t="shared" si="172"/>
        <v>18922.071428571431</v>
      </c>
      <c r="AS61" s="171">
        <f t="shared" si="172"/>
        <v>1576.8392857142856</v>
      </c>
      <c r="AT61" s="171">
        <f t="shared" si="172"/>
        <v>53860.339285714283</v>
      </c>
    </row>
    <row r="62" spans="1:47" ht="21.5" thickBot="1" x14ac:dyDescent="0.55000000000000004">
      <c r="A62" s="172"/>
      <c r="B62" s="173"/>
      <c r="C62" s="173"/>
      <c r="D62" s="174"/>
      <c r="E62" s="174"/>
      <c r="F62" s="174"/>
      <c r="G62" s="174"/>
      <c r="H62" s="174"/>
      <c r="I62" s="174"/>
      <c r="J62" s="172"/>
      <c r="K62" s="172"/>
      <c r="L62" s="172"/>
      <c r="M62" s="172"/>
      <c r="N62" s="172"/>
      <c r="O62" s="172"/>
      <c r="P62" s="175"/>
      <c r="Q62" s="175"/>
      <c r="R62" s="174"/>
      <c r="S62" s="174"/>
      <c r="T62" s="174"/>
      <c r="U62" s="174"/>
      <c r="V62" s="174"/>
      <c r="W62" s="174"/>
      <c r="X62" s="172"/>
      <c r="Y62" s="172"/>
      <c r="Z62" s="172"/>
      <c r="AA62" s="172"/>
      <c r="AB62" s="172"/>
      <c r="AC62" s="172"/>
      <c r="AD62" s="175"/>
      <c r="AE62" s="175"/>
      <c r="AF62" s="174"/>
      <c r="AG62" s="174"/>
      <c r="AH62" s="174"/>
      <c r="AI62" s="174"/>
      <c r="AJ62" s="174"/>
      <c r="AK62" s="174"/>
      <c r="AL62" s="172"/>
      <c r="AM62" s="172"/>
      <c r="AN62" s="172"/>
      <c r="AO62" s="172"/>
      <c r="AP62" s="172"/>
      <c r="AQ62" s="172"/>
      <c r="AR62" s="175"/>
      <c r="AS62" s="175"/>
      <c r="AT62" s="172"/>
    </row>
    <row r="63" spans="1:47" s="129" customFormat="1" ht="43" thickTop="1" thickBot="1" x14ac:dyDescent="0.55000000000000004">
      <c r="A63" s="127" t="s">
        <v>67</v>
      </c>
      <c r="B63" s="117"/>
      <c r="C63" s="117" t="str">
        <f t="shared" ref="C63:O63" si="173">C$6</f>
        <v>Нульовий період</v>
      </c>
      <c r="D63" s="117" t="str">
        <f t="shared" si="173"/>
        <v>квітень</v>
      </c>
      <c r="E63" s="117" t="str">
        <f t="shared" si="173"/>
        <v>травень</v>
      </c>
      <c r="F63" s="117" t="str">
        <f t="shared" si="173"/>
        <v>червень</v>
      </c>
      <c r="G63" s="117" t="str">
        <f t="shared" si="173"/>
        <v>липень</v>
      </c>
      <c r="H63" s="117" t="str">
        <f t="shared" si="173"/>
        <v>серпень</v>
      </c>
      <c r="I63" s="117" t="str">
        <f t="shared" si="173"/>
        <v>вересень</v>
      </c>
      <c r="J63" s="117" t="str">
        <f t="shared" si="173"/>
        <v>жовтень</v>
      </c>
      <c r="K63" s="117" t="str">
        <f t="shared" si="173"/>
        <v>листопад</v>
      </c>
      <c r="L63" s="117" t="str">
        <f t="shared" si="173"/>
        <v>грудень</v>
      </c>
      <c r="M63" s="117" t="str">
        <f t="shared" si="173"/>
        <v>січень</v>
      </c>
      <c r="N63" s="117" t="str">
        <f t="shared" si="173"/>
        <v>лютий</v>
      </c>
      <c r="O63" s="117" t="str">
        <f t="shared" si="173"/>
        <v>березень</v>
      </c>
      <c r="P63" s="158" t="str">
        <f>$P$15</f>
        <v>Разом за 1-й рік</v>
      </c>
      <c r="Q63" s="158" t="str">
        <f>$Q$15</f>
        <v>Середньомісячно за 1-й рік</v>
      </c>
      <c r="R63" s="117" t="str">
        <f t="shared" ref="R63:AC63" si="174">R$6</f>
        <v>квітень</v>
      </c>
      <c r="S63" s="117" t="str">
        <f t="shared" si="174"/>
        <v>травень</v>
      </c>
      <c r="T63" s="117" t="str">
        <f t="shared" si="174"/>
        <v>червень</v>
      </c>
      <c r="U63" s="117" t="str">
        <f t="shared" si="174"/>
        <v>липень</v>
      </c>
      <c r="V63" s="117" t="str">
        <f t="shared" si="174"/>
        <v>серпень</v>
      </c>
      <c r="W63" s="117" t="str">
        <f t="shared" si="174"/>
        <v>вересень</v>
      </c>
      <c r="X63" s="117" t="str">
        <f t="shared" si="174"/>
        <v>жовтень</v>
      </c>
      <c r="Y63" s="117" t="str">
        <f t="shared" si="174"/>
        <v>листопад</v>
      </c>
      <c r="Z63" s="117" t="str">
        <f t="shared" si="174"/>
        <v>грудень</v>
      </c>
      <c r="AA63" s="117" t="str">
        <f t="shared" si="174"/>
        <v>січень</v>
      </c>
      <c r="AB63" s="117" t="str">
        <f t="shared" si="174"/>
        <v>лютий</v>
      </c>
      <c r="AC63" s="117" t="str">
        <f t="shared" si="174"/>
        <v>березень</v>
      </c>
      <c r="AD63" s="158" t="str">
        <f>AD40</f>
        <v>Разом за 2-й рік</v>
      </c>
      <c r="AE63" s="158" t="str">
        <f>AE40</f>
        <v>Середньомісячно за 2-й рік</v>
      </c>
      <c r="AF63" s="117" t="str">
        <f t="shared" ref="AF63:AQ63" si="175">AF$6</f>
        <v>квітень</v>
      </c>
      <c r="AG63" s="117" t="str">
        <f t="shared" si="175"/>
        <v>травень</v>
      </c>
      <c r="AH63" s="117" t="str">
        <f t="shared" si="175"/>
        <v>червень</v>
      </c>
      <c r="AI63" s="117" t="str">
        <f t="shared" si="175"/>
        <v>липень</v>
      </c>
      <c r="AJ63" s="117" t="str">
        <f t="shared" si="175"/>
        <v>серпень</v>
      </c>
      <c r="AK63" s="117" t="str">
        <f t="shared" si="175"/>
        <v>вересень</v>
      </c>
      <c r="AL63" s="117" t="str">
        <f t="shared" si="175"/>
        <v>жовтень</v>
      </c>
      <c r="AM63" s="117" t="str">
        <f t="shared" si="175"/>
        <v>листопад</v>
      </c>
      <c r="AN63" s="117" t="str">
        <f t="shared" si="175"/>
        <v>грудень</v>
      </c>
      <c r="AO63" s="117" t="str">
        <f t="shared" si="175"/>
        <v>січень</v>
      </c>
      <c r="AP63" s="117" t="str">
        <f t="shared" si="175"/>
        <v>лютий</v>
      </c>
      <c r="AQ63" s="117" t="str">
        <f t="shared" si="175"/>
        <v>березень</v>
      </c>
      <c r="AR63" s="158" t="str">
        <f>AR40</f>
        <v>Разом за 3-й рік</v>
      </c>
      <c r="AS63" s="158" t="str">
        <f>AS40</f>
        <v>Середньомісячно за 3-й рік</v>
      </c>
      <c r="AT63" s="176" t="str">
        <f>AT40</f>
        <v>Разом за три роки</v>
      </c>
    </row>
    <row r="64" spans="1:47" s="129" customFormat="1" ht="21.5" thickTop="1" x14ac:dyDescent="0.5">
      <c r="A64" s="177" t="s">
        <v>68</v>
      </c>
      <c r="B64" s="149" t="str">
        <f>CHOOSE('Вхідні дані'!$P$1,'Вхідні дані'!$Q$1,'Вхідні дані'!$Q$2,'Вхідні дані'!$Q$3,'Вхідні дані'!$Q$4)</f>
        <v>USD</v>
      </c>
      <c r="C64" s="178">
        <f t="shared" ref="C64:O64" si="176">C21</f>
        <v>0</v>
      </c>
      <c r="D64" s="178">
        <f t="shared" si="176"/>
        <v>2928.5714285714289</v>
      </c>
      <c r="E64" s="178">
        <f t="shared" si="176"/>
        <v>4214.2857142857147</v>
      </c>
      <c r="F64" s="178">
        <f t="shared" si="176"/>
        <v>4785.7142857142862</v>
      </c>
      <c r="G64" s="178">
        <f t="shared" si="176"/>
        <v>5785.7142857142862</v>
      </c>
      <c r="H64" s="178">
        <f t="shared" si="176"/>
        <v>5785.7142857142862</v>
      </c>
      <c r="I64" s="178">
        <f t="shared" si="176"/>
        <v>5571.4285714285716</v>
      </c>
      <c r="J64" s="178">
        <f t="shared" si="176"/>
        <v>3000</v>
      </c>
      <c r="K64" s="178">
        <f t="shared" si="176"/>
        <v>1785.7142857142858</v>
      </c>
      <c r="L64" s="178">
        <f t="shared" si="176"/>
        <v>71.428571428571431</v>
      </c>
      <c r="M64" s="178">
        <f t="shared" si="176"/>
        <v>71.428571428571431</v>
      </c>
      <c r="N64" s="178">
        <f t="shared" si="176"/>
        <v>71.428571428571431</v>
      </c>
      <c r="O64" s="178">
        <f t="shared" si="176"/>
        <v>857.14285714285722</v>
      </c>
      <c r="P64" s="179">
        <f>SUM(C64:O64)</f>
        <v>34928.571428571435</v>
      </c>
      <c r="Q64" s="179">
        <f t="shared" ref="Q64:Q70" si="177">P64/12</f>
        <v>2910.7142857142862</v>
      </c>
      <c r="R64" s="178">
        <f t="shared" ref="R64:AC64" si="178">R21</f>
        <v>5550.0000000000009</v>
      </c>
      <c r="S64" s="178">
        <f t="shared" si="178"/>
        <v>5775.0000000000009</v>
      </c>
      <c r="T64" s="178">
        <f t="shared" si="178"/>
        <v>5550.0000000000009</v>
      </c>
      <c r="U64" s="178">
        <f t="shared" si="178"/>
        <v>6675.0000000000009</v>
      </c>
      <c r="V64" s="178">
        <f t="shared" si="178"/>
        <v>6675.0000000000009</v>
      </c>
      <c r="W64" s="178">
        <f t="shared" si="178"/>
        <v>6450.0000000000009</v>
      </c>
      <c r="X64" s="178">
        <f t="shared" si="178"/>
        <v>3450.0000000000005</v>
      </c>
      <c r="Y64" s="178">
        <f t="shared" si="178"/>
        <v>2100.0000000000005</v>
      </c>
      <c r="Z64" s="178">
        <f t="shared" si="178"/>
        <v>75.000000000000014</v>
      </c>
      <c r="AA64" s="178">
        <f t="shared" si="178"/>
        <v>75.000000000000014</v>
      </c>
      <c r="AB64" s="178">
        <f t="shared" si="178"/>
        <v>75.000000000000014</v>
      </c>
      <c r="AC64" s="178">
        <f t="shared" si="178"/>
        <v>975.00000000000011</v>
      </c>
      <c r="AD64" s="179">
        <f t="shared" ref="AD64:AD70" si="179">SUM(R64:AC64)</f>
        <v>43425.000000000007</v>
      </c>
      <c r="AE64" s="179">
        <f t="shared" ref="AE64:AE70" si="180">AD64/12</f>
        <v>3618.7500000000005</v>
      </c>
      <c r="AF64" s="178">
        <f t="shared" ref="AF64:AQ64" si="181">AF21</f>
        <v>6364.2857142857156</v>
      </c>
      <c r="AG64" s="178">
        <f t="shared" si="181"/>
        <v>6600.0000000000009</v>
      </c>
      <c r="AH64" s="178">
        <f t="shared" si="181"/>
        <v>6364.2857142857156</v>
      </c>
      <c r="AI64" s="178">
        <f t="shared" si="181"/>
        <v>7621.4285714285725</v>
      </c>
      <c r="AJ64" s="178">
        <f t="shared" si="181"/>
        <v>7621.4285714285725</v>
      </c>
      <c r="AK64" s="178">
        <f t="shared" si="181"/>
        <v>7307.1428571428587</v>
      </c>
      <c r="AL64" s="178">
        <f t="shared" si="181"/>
        <v>3928.5714285714294</v>
      </c>
      <c r="AM64" s="178">
        <f t="shared" si="181"/>
        <v>2357.1428571428573</v>
      </c>
      <c r="AN64" s="178">
        <f t="shared" si="181"/>
        <v>78.571428571428584</v>
      </c>
      <c r="AO64" s="178">
        <f t="shared" si="181"/>
        <v>78.571428571428584</v>
      </c>
      <c r="AP64" s="178">
        <f t="shared" si="181"/>
        <v>78.571428571428584</v>
      </c>
      <c r="AQ64" s="178">
        <f t="shared" si="181"/>
        <v>1100.0000000000002</v>
      </c>
      <c r="AR64" s="179">
        <f t="shared" ref="AR64:AR70" si="182">SUM(AF64:AQ64)</f>
        <v>49500</v>
      </c>
      <c r="AS64" s="179">
        <f t="shared" ref="AS64:AS70" si="183">AR64/12</f>
        <v>4125</v>
      </c>
      <c r="AT64" s="180">
        <f t="shared" ref="AT64:AT69" si="184">P64+AD64+AR64</f>
        <v>127853.57142857145</v>
      </c>
    </row>
    <row r="65" spans="1:46" s="129" customFormat="1" x14ac:dyDescent="0.5">
      <c r="A65" s="181" t="str">
        <f>"- Собівартість"</f>
        <v>- Собівартість</v>
      </c>
      <c r="B65" s="149" t="str">
        <f>CHOOSE('Вхідні дані'!$P$1,'Вхідні дані'!$Q$1,'Вхідні дані'!$Q$2,'Вхідні дані'!$Q$3,'Вхідні дані'!$Q$4)</f>
        <v>USD</v>
      </c>
      <c r="C65" s="178">
        <f t="shared" ref="C65:O65" si="185">C25</f>
        <v>0</v>
      </c>
      <c r="D65" s="178">
        <f t="shared" si="185"/>
        <v>0</v>
      </c>
      <c r="E65" s="178">
        <f t="shared" si="185"/>
        <v>0</v>
      </c>
      <c r="F65" s="178">
        <f t="shared" si="185"/>
        <v>0</v>
      </c>
      <c r="G65" s="178">
        <f t="shared" si="185"/>
        <v>0</v>
      </c>
      <c r="H65" s="178">
        <f t="shared" si="185"/>
        <v>0</v>
      </c>
      <c r="I65" s="178">
        <f t="shared" si="185"/>
        <v>0</v>
      </c>
      <c r="J65" s="178">
        <f t="shared" si="185"/>
        <v>0</v>
      </c>
      <c r="K65" s="178">
        <f t="shared" si="185"/>
        <v>0</v>
      </c>
      <c r="L65" s="178">
        <f t="shared" si="185"/>
        <v>0</v>
      </c>
      <c r="M65" s="178">
        <f t="shared" si="185"/>
        <v>0</v>
      </c>
      <c r="N65" s="178">
        <f t="shared" si="185"/>
        <v>0</v>
      </c>
      <c r="O65" s="178">
        <f t="shared" si="185"/>
        <v>0</v>
      </c>
      <c r="P65" s="179">
        <f t="shared" ref="P65:P70" si="186">SUM(C65:O65)</f>
        <v>0</v>
      </c>
      <c r="Q65" s="179">
        <f t="shared" si="177"/>
        <v>0</v>
      </c>
      <c r="R65" s="178">
        <f t="shared" ref="R65:AC65" si="187">R25</f>
        <v>0</v>
      </c>
      <c r="S65" s="178">
        <f t="shared" si="187"/>
        <v>0</v>
      </c>
      <c r="T65" s="178">
        <f t="shared" si="187"/>
        <v>0</v>
      </c>
      <c r="U65" s="178">
        <f t="shared" si="187"/>
        <v>0</v>
      </c>
      <c r="V65" s="178">
        <f t="shared" si="187"/>
        <v>0</v>
      </c>
      <c r="W65" s="178">
        <f t="shared" si="187"/>
        <v>0</v>
      </c>
      <c r="X65" s="178">
        <f t="shared" si="187"/>
        <v>0</v>
      </c>
      <c r="Y65" s="178">
        <f t="shared" si="187"/>
        <v>0</v>
      </c>
      <c r="Z65" s="178">
        <f t="shared" si="187"/>
        <v>0</v>
      </c>
      <c r="AA65" s="178">
        <f t="shared" si="187"/>
        <v>0</v>
      </c>
      <c r="AB65" s="178">
        <f t="shared" si="187"/>
        <v>0</v>
      </c>
      <c r="AC65" s="178">
        <f t="shared" si="187"/>
        <v>0</v>
      </c>
      <c r="AD65" s="179">
        <f t="shared" si="179"/>
        <v>0</v>
      </c>
      <c r="AE65" s="179">
        <f t="shared" si="180"/>
        <v>0</v>
      </c>
      <c r="AF65" s="178">
        <f t="shared" ref="AF65:AQ65" si="188">AF25</f>
        <v>0</v>
      </c>
      <c r="AG65" s="178">
        <f t="shared" si="188"/>
        <v>0</v>
      </c>
      <c r="AH65" s="178">
        <f t="shared" si="188"/>
        <v>0</v>
      </c>
      <c r="AI65" s="178">
        <f t="shared" si="188"/>
        <v>0</v>
      </c>
      <c r="AJ65" s="178">
        <f t="shared" si="188"/>
        <v>0</v>
      </c>
      <c r="AK65" s="178">
        <f t="shared" si="188"/>
        <v>0</v>
      </c>
      <c r="AL65" s="178">
        <f t="shared" si="188"/>
        <v>0</v>
      </c>
      <c r="AM65" s="178">
        <f t="shared" si="188"/>
        <v>0</v>
      </c>
      <c r="AN65" s="178">
        <f t="shared" si="188"/>
        <v>0</v>
      </c>
      <c r="AO65" s="178">
        <f t="shared" si="188"/>
        <v>0</v>
      </c>
      <c r="AP65" s="178">
        <f t="shared" si="188"/>
        <v>0</v>
      </c>
      <c r="AQ65" s="178">
        <f t="shared" si="188"/>
        <v>0</v>
      </c>
      <c r="AR65" s="179">
        <f t="shared" si="182"/>
        <v>0</v>
      </c>
      <c r="AS65" s="179">
        <f t="shared" si="183"/>
        <v>0</v>
      </c>
      <c r="AT65" s="180">
        <f t="shared" si="184"/>
        <v>0</v>
      </c>
    </row>
    <row r="66" spans="1:46" s="129" customFormat="1" x14ac:dyDescent="0.5">
      <c r="A66" s="177" t="s">
        <v>69</v>
      </c>
      <c r="B66" s="149" t="str">
        <f>CHOOSE('Вхідні дані'!$P$1,'Вхідні дані'!$Q$1,'Вхідні дані'!$Q$2,'Вхідні дані'!$Q$3,'Вхідні дані'!$Q$4)</f>
        <v>USD</v>
      </c>
      <c r="C66" s="178">
        <f>C64-C65</f>
        <v>0</v>
      </c>
      <c r="D66" s="178">
        <f>D64-D65</f>
        <v>2928.5714285714289</v>
      </c>
      <c r="E66" s="178">
        <f t="shared" ref="E66:O66" si="189">E64-E65</f>
        <v>4214.2857142857147</v>
      </c>
      <c r="F66" s="178">
        <f t="shared" si="189"/>
        <v>4785.7142857142862</v>
      </c>
      <c r="G66" s="178">
        <f t="shared" si="189"/>
        <v>5785.7142857142862</v>
      </c>
      <c r="H66" s="178">
        <f t="shared" si="189"/>
        <v>5785.7142857142862</v>
      </c>
      <c r="I66" s="178">
        <f t="shared" si="189"/>
        <v>5571.4285714285716</v>
      </c>
      <c r="J66" s="178">
        <f t="shared" si="189"/>
        <v>3000</v>
      </c>
      <c r="K66" s="178">
        <f t="shared" si="189"/>
        <v>1785.7142857142858</v>
      </c>
      <c r="L66" s="178">
        <f t="shared" si="189"/>
        <v>71.428571428571431</v>
      </c>
      <c r="M66" s="178">
        <f t="shared" si="189"/>
        <v>71.428571428571431</v>
      </c>
      <c r="N66" s="178">
        <f t="shared" si="189"/>
        <v>71.428571428571431</v>
      </c>
      <c r="O66" s="178">
        <f t="shared" si="189"/>
        <v>857.14285714285722</v>
      </c>
      <c r="P66" s="179">
        <f t="shared" si="186"/>
        <v>34928.571428571435</v>
      </c>
      <c r="Q66" s="179">
        <f t="shared" si="177"/>
        <v>2910.7142857142862</v>
      </c>
      <c r="R66" s="178">
        <f>R64-R65</f>
        <v>5550.0000000000009</v>
      </c>
      <c r="S66" s="178">
        <f t="shared" ref="S66:AC66" si="190">S64-S65</f>
        <v>5775.0000000000009</v>
      </c>
      <c r="T66" s="178">
        <f t="shared" si="190"/>
        <v>5550.0000000000009</v>
      </c>
      <c r="U66" s="178">
        <f t="shared" si="190"/>
        <v>6675.0000000000009</v>
      </c>
      <c r="V66" s="178">
        <f t="shared" si="190"/>
        <v>6675.0000000000009</v>
      </c>
      <c r="W66" s="178">
        <f t="shared" si="190"/>
        <v>6450.0000000000009</v>
      </c>
      <c r="X66" s="178">
        <f t="shared" si="190"/>
        <v>3450.0000000000005</v>
      </c>
      <c r="Y66" s="178">
        <f t="shared" si="190"/>
        <v>2100.0000000000005</v>
      </c>
      <c r="Z66" s="178">
        <f t="shared" si="190"/>
        <v>75.000000000000014</v>
      </c>
      <c r="AA66" s="178">
        <f t="shared" si="190"/>
        <v>75.000000000000014</v>
      </c>
      <c r="AB66" s="178">
        <f t="shared" si="190"/>
        <v>75.000000000000014</v>
      </c>
      <c r="AC66" s="178">
        <f t="shared" si="190"/>
        <v>975.00000000000011</v>
      </c>
      <c r="AD66" s="179">
        <f t="shared" si="179"/>
        <v>43425.000000000007</v>
      </c>
      <c r="AE66" s="179">
        <f t="shared" si="180"/>
        <v>3618.7500000000005</v>
      </c>
      <c r="AF66" s="178">
        <f>AF64-AF65</f>
        <v>6364.2857142857156</v>
      </c>
      <c r="AG66" s="178">
        <f t="shared" ref="AG66:AQ66" si="191">AG64-AG65</f>
        <v>6600.0000000000009</v>
      </c>
      <c r="AH66" s="178">
        <f t="shared" si="191"/>
        <v>6364.2857142857156</v>
      </c>
      <c r="AI66" s="178">
        <f t="shared" si="191"/>
        <v>7621.4285714285725</v>
      </c>
      <c r="AJ66" s="178">
        <f t="shared" si="191"/>
        <v>7621.4285714285725</v>
      </c>
      <c r="AK66" s="178">
        <f t="shared" si="191"/>
        <v>7307.1428571428587</v>
      </c>
      <c r="AL66" s="178">
        <f t="shared" si="191"/>
        <v>3928.5714285714294</v>
      </c>
      <c r="AM66" s="178">
        <f t="shared" si="191"/>
        <v>2357.1428571428573</v>
      </c>
      <c r="AN66" s="178">
        <f t="shared" si="191"/>
        <v>78.571428571428584</v>
      </c>
      <c r="AO66" s="178">
        <f t="shared" si="191"/>
        <v>78.571428571428584</v>
      </c>
      <c r="AP66" s="178">
        <f t="shared" si="191"/>
        <v>78.571428571428584</v>
      </c>
      <c r="AQ66" s="178">
        <f t="shared" si="191"/>
        <v>1100.0000000000002</v>
      </c>
      <c r="AR66" s="179">
        <f t="shared" si="182"/>
        <v>49500</v>
      </c>
      <c r="AS66" s="179">
        <f t="shared" si="183"/>
        <v>4125</v>
      </c>
      <c r="AT66" s="180">
        <f t="shared" si="184"/>
        <v>127853.57142857145</v>
      </c>
    </row>
    <row r="67" spans="1:46" s="184" customFormat="1" x14ac:dyDescent="0.5">
      <c r="A67" s="182" t="str">
        <f>"- Інвестиції"</f>
        <v>- Інвестиції</v>
      </c>
      <c r="B67" s="138" t="str">
        <f>CHOOSE('Вхідні дані'!$P$1,'Вхідні дані'!$Q$1,'Вхідні дані'!$Q$2,'Вхідні дані'!$Q$3,'Вхідні дані'!$Q$4)</f>
        <v>USD</v>
      </c>
      <c r="C67" s="183">
        <f t="shared" ref="C67:O67" si="192">C38</f>
        <v>14200</v>
      </c>
      <c r="D67" s="183">
        <f t="shared" si="192"/>
        <v>0</v>
      </c>
      <c r="E67" s="183">
        <f t="shared" si="192"/>
        <v>0</v>
      </c>
      <c r="F67" s="183">
        <f t="shared" si="192"/>
        <v>0</v>
      </c>
      <c r="G67" s="183">
        <f t="shared" si="192"/>
        <v>0</v>
      </c>
      <c r="H67" s="183">
        <f t="shared" si="192"/>
        <v>0</v>
      </c>
      <c r="I67" s="183">
        <f t="shared" si="192"/>
        <v>0</v>
      </c>
      <c r="J67" s="183">
        <f t="shared" si="192"/>
        <v>0</v>
      </c>
      <c r="K67" s="183">
        <f t="shared" si="192"/>
        <v>0</v>
      </c>
      <c r="L67" s="183">
        <f t="shared" si="192"/>
        <v>0</v>
      </c>
      <c r="M67" s="183">
        <f t="shared" si="192"/>
        <v>0</v>
      </c>
      <c r="N67" s="183">
        <f t="shared" si="192"/>
        <v>0</v>
      </c>
      <c r="O67" s="183">
        <f t="shared" si="192"/>
        <v>0</v>
      </c>
      <c r="P67" s="179">
        <f t="shared" si="186"/>
        <v>14200</v>
      </c>
      <c r="Q67" s="179"/>
      <c r="R67" s="183">
        <f t="shared" ref="R67:AC67" si="193">R38</f>
        <v>0</v>
      </c>
      <c r="S67" s="183">
        <f t="shared" si="193"/>
        <v>0</v>
      </c>
      <c r="T67" s="183">
        <f t="shared" si="193"/>
        <v>0</v>
      </c>
      <c r="U67" s="183">
        <f t="shared" si="193"/>
        <v>0</v>
      </c>
      <c r="V67" s="183">
        <f t="shared" si="193"/>
        <v>0</v>
      </c>
      <c r="W67" s="183">
        <f t="shared" si="193"/>
        <v>0</v>
      </c>
      <c r="X67" s="183">
        <f t="shared" si="193"/>
        <v>0</v>
      </c>
      <c r="Y67" s="183">
        <f t="shared" si="193"/>
        <v>0</v>
      </c>
      <c r="Z67" s="183">
        <f t="shared" si="193"/>
        <v>0</v>
      </c>
      <c r="AA67" s="183">
        <f t="shared" si="193"/>
        <v>0</v>
      </c>
      <c r="AB67" s="183">
        <f t="shared" si="193"/>
        <v>0</v>
      </c>
      <c r="AC67" s="183">
        <f t="shared" si="193"/>
        <v>0</v>
      </c>
      <c r="AD67" s="179">
        <f t="shared" si="179"/>
        <v>0</v>
      </c>
      <c r="AE67" s="179"/>
      <c r="AF67" s="183">
        <f t="shared" ref="AF67:AQ67" si="194">AF38</f>
        <v>0</v>
      </c>
      <c r="AG67" s="183">
        <f t="shared" si="194"/>
        <v>0</v>
      </c>
      <c r="AH67" s="183">
        <f t="shared" si="194"/>
        <v>0</v>
      </c>
      <c r="AI67" s="183">
        <f t="shared" si="194"/>
        <v>0</v>
      </c>
      <c r="AJ67" s="183">
        <f t="shared" si="194"/>
        <v>0</v>
      </c>
      <c r="AK67" s="183">
        <f t="shared" si="194"/>
        <v>0</v>
      </c>
      <c r="AL67" s="183">
        <f t="shared" si="194"/>
        <v>0</v>
      </c>
      <c r="AM67" s="183">
        <f t="shared" si="194"/>
        <v>0</v>
      </c>
      <c r="AN67" s="183">
        <f t="shared" si="194"/>
        <v>0</v>
      </c>
      <c r="AO67" s="183">
        <f t="shared" si="194"/>
        <v>0</v>
      </c>
      <c r="AP67" s="183">
        <f t="shared" si="194"/>
        <v>0</v>
      </c>
      <c r="AQ67" s="183">
        <f t="shared" si="194"/>
        <v>0</v>
      </c>
      <c r="AR67" s="179">
        <f t="shared" si="182"/>
        <v>0</v>
      </c>
      <c r="AS67" s="179"/>
      <c r="AT67" s="180">
        <f t="shared" si="184"/>
        <v>14200</v>
      </c>
    </row>
    <row r="68" spans="1:46" s="129" customFormat="1" x14ac:dyDescent="0.5">
      <c r="A68" s="181" t="str">
        <f>"- Поточні витрати"</f>
        <v>- Поточні витрати</v>
      </c>
      <c r="B68" s="149" t="str">
        <f>CHOOSE('Вхідні дані'!$P$1,'Вхідні дані'!$Q$1,'Вхідні дані'!$Q$2,'Вхідні дані'!$Q$3,'Вхідні дані'!$Q$4)</f>
        <v>USD</v>
      </c>
      <c r="C68" s="178">
        <f>C61</f>
        <v>0</v>
      </c>
      <c r="D68" s="178">
        <f>D61</f>
        <v>1410.2142857142856</v>
      </c>
      <c r="E68" s="178">
        <f t="shared" ref="E68:O68" si="195">E61</f>
        <v>1545.2142857142858</v>
      </c>
      <c r="F68" s="178">
        <f t="shared" si="195"/>
        <v>1605.2142857142856</v>
      </c>
      <c r="G68" s="178">
        <f t="shared" si="195"/>
        <v>1710.2142857142856</v>
      </c>
      <c r="H68" s="178">
        <f t="shared" si="195"/>
        <v>1710.2142857142856</v>
      </c>
      <c r="I68" s="178">
        <f t="shared" si="195"/>
        <v>1687.7142857142858</v>
      </c>
      <c r="J68" s="178">
        <f t="shared" si="195"/>
        <v>1417.7142857142856</v>
      </c>
      <c r="K68" s="178">
        <f t="shared" si="195"/>
        <v>1290.2142857142853</v>
      </c>
      <c r="L68" s="178">
        <f t="shared" si="195"/>
        <v>1110.2142857142856</v>
      </c>
      <c r="M68" s="178">
        <f t="shared" si="195"/>
        <v>1110.2142857142856</v>
      </c>
      <c r="N68" s="178">
        <f t="shared" si="195"/>
        <v>1110.2142857142856</v>
      </c>
      <c r="O68" s="178">
        <f t="shared" si="195"/>
        <v>1192.7142857142858</v>
      </c>
      <c r="P68" s="179">
        <f t="shared" si="186"/>
        <v>16900.071428571431</v>
      </c>
      <c r="Q68" s="179">
        <f t="shared" si="177"/>
        <v>1408.339285714286</v>
      </c>
      <c r="R68" s="178">
        <f>R61</f>
        <v>1705.9642857142856</v>
      </c>
      <c r="S68" s="178">
        <f t="shared" ref="S68:AC68" si="196">S61</f>
        <v>1729.5892857142856</v>
      </c>
      <c r="T68" s="178">
        <f t="shared" si="196"/>
        <v>1705.9642857142856</v>
      </c>
      <c r="U68" s="178">
        <f t="shared" si="196"/>
        <v>1824.0892857142856</v>
      </c>
      <c r="V68" s="178">
        <f t="shared" si="196"/>
        <v>1824.0892857142856</v>
      </c>
      <c r="W68" s="178">
        <f t="shared" si="196"/>
        <v>1800.4642857142856</v>
      </c>
      <c r="X68" s="178">
        <f t="shared" si="196"/>
        <v>1485.4642857142856</v>
      </c>
      <c r="Y68" s="178">
        <f t="shared" si="196"/>
        <v>1343.7142857142856</v>
      </c>
      <c r="Z68" s="178">
        <f t="shared" si="196"/>
        <v>1131.0892857142856</v>
      </c>
      <c r="AA68" s="178">
        <f t="shared" si="196"/>
        <v>1131.0892857142856</v>
      </c>
      <c r="AB68" s="178">
        <f t="shared" si="196"/>
        <v>1131.0892857142856</v>
      </c>
      <c r="AC68" s="178">
        <f t="shared" si="196"/>
        <v>1225.5892857142856</v>
      </c>
      <c r="AD68" s="179">
        <f t="shared" si="179"/>
        <v>18038.196428571431</v>
      </c>
      <c r="AE68" s="179">
        <f t="shared" si="180"/>
        <v>1503.183035714286</v>
      </c>
      <c r="AF68" s="178">
        <f>AF61</f>
        <v>1811.9642857142858</v>
      </c>
      <c r="AG68" s="178">
        <f t="shared" ref="AG68:AQ68" si="197">AG61</f>
        <v>1836.7142857142858</v>
      </c>
      <c r="AH68" s="178">
        <f t="shared" si="197"/>
        <v>1811.9642857142858</v>
      </c>
      <c r="AI68" s="178">
        <f t="shared" si="197"/>
        <v>1943.9642857142858</v>
      </c>
      <c r="AJ68" s="178">
        <f t="shared" si="197"/>
        <v>1943.9642857142858</v>
      </c>
      <c r="AK68" s="178">
        <f t="shared" si="197"/>
        <v>1910.9642857142858</v>
      </c>
      <c r="AL68" s="178">
        <f t="shared" si="197"/>
        <v>1556.2142857142858</v>
      </c>
      <c r="AM68" s="178">
        <f t="shared" si="197"/>
        <v>1391.2142857142856</v>
      </c>
      <c r="AN68" s="178">
        <f t="shared" si="197"/>
        <v>1151.9642857142856</v>
      </c>
      <c r="AO68" s="178">
        <f t="shared" si="197"/>
        <v>1151.9642857142856</v>
      </c>
      <c r="AP68" s="178">
        <f t="shared" si="197"/>
        <v>1151.9642857142856</v>
      </c>
      <c r="AQ68" s="178">
        <f t="shared" si="197"/>
        <v>1259.2142857142856</v>
      </c>
      <c r="AR68" s="179">
        <f t="shared" si="182"/>
        <v>18922.071428571431</v>
      </c>
      <c r="AS68" s="179">
        <f t="shared" si="183"/>
        <v>1576.839285714286</v>
      </c>
      <c r="AT68" s="180">
        <f t="shared" si="184"/>
        <v>53860.33928571429</v>
      </c>
    </row>
    <row r="69" spans="1:46" s="129" customFormat="1" x14ac:dyDescent="0.5">
      <c r="A69" s="185" t="s">
        <v>125</v>
      </c>
      <c r="B69" s="149" t="str">
        <f>CHOOSE('Вхідні дані'!$P$1,'Вхідні дані'!$Q$1,'Вхідні дані'!$Q$2,'Вхідні дані'!$Q$3,'Вхідні дані'!$Q$4)</f>
        <v>USD</v>
      </c>
      <c r="C69" s="178">
        <f>C66-C67-C68</f>
        <v>-14200</v>
      </c>
      <c r="D69" s="178">
        <f>D66-D67-D68</f>
        <v>1518.3571428571433</v>
      </c>
      <c r="E69" s="178">
        <f>E66-E67-E68</f>
        <v>2669.0714285714289</v>
      </c>
      <c r="F69" s="178">
        <f t="shared" ref="F69:O69" si="198">F66-F67-F68</f>
        <v>3180.5000000000009</v>
      </c>
      <c r="G69" s="178">
        <f t="shared" si="198"/>
        <v>4075.5000000000009</v>
      </c>
      <c r="H69" s="178">
        <f t="shared" si="198"/>
        <v>4075.5000000000009</v>
      </c>
      <c r="I69" s="178">
        <f t="shared" si="198"/>
        <v>3883.7142857142858</v>
      </c>
      <c r="J69" s="178">
        <f t="shared" si="198"/>
        <v>1582.2857142857144</v>
      </c>
      <c r="K69" s="178">
        <f t="shared" si="198"/>
        <v>495.50000000000045</v>
      </c>
      <c r="L69" s="178">
        <f t="shared" si="198"/>
        <v>-1038.7857142857142</v>
      </c>
      <c r="M69" s="178">
        <f t="shared" si="198"/>
        <v>-1038.7857142857142</v>
      </c>
      <c r="N69" s="178">
        <f t="shared" si="198"/>
        <v>-1038.7857142857142</v>
      </c>
      <c r="O69" s="178">
        <f t="shared" si="198"/>
        <v>-335.57142857142856</v>
      </c>
      <c r="P69" s="179">
        <f t="shared" si="186"/>
        <v>3828.5000000000064</v>
      </c>
      <c r="Q69" s="179">
        <f t="shared" si="177"/>
        <v>319.0416666666672</v>
      </c>
      <c r="R69" s="178">
        <f>R66-R67-R68</f>
        <v>3844.0357142857156</v>
      </c>
      <c r="S69" s="178">
        <f>S66-S67-S68</f>
        <v>4045.4107142857156</v>
      </c>
      <c r="T69" s="178">
        <f t="shared" ref="T69:AC69" si="199">T66-T67-T68</f>
        <v>3844.0357142857156</v>
      </c>
      <c r="U69" s="178">
        <f t="shared" si="199"/>
        <v>4850.9107142857156</v>
      </c>
      <c r="V69" s="178">
        <f t="shared" si="199"/>
        <v>4850.9107142857156</v>
      </c>
      <c r="W69" s="178">
        <f t="shared" si="199"/>
        <v>4649.5357142857156</v>
      </c>
      <c r="X69" s="178">
        <f t="shared" si="199"/>
        <v>1964.5357142857149</v>
      </c>
      <c r="Y69" s="178">
        <f t="shared" si="199"/>
        <v>756.2857142857149</v>
      </c>
      <c r="Z69" s="178">
        <f t="shared" si="199"/>
        <v>-1056.0892857142856</v>
      </c>
      <c r="AA69" s="178">
        <f t="shared" si="199"/>
        <v>-1056.0892857142856</v>
      </c>
      <c r="AB69" s="178">
        <f t="shared" si="199"/>
        <v>-1056.0892857142856</v>
      </c>
      <c r="AC69" s="178">
        <f t="shared" si="199"/>
        <v>-250.58928571428544</v>
      </c>
      <c r="AD69" s="179">
        <f t="shared" si="179"/>
        <v>25386.80357142858</v>
      </c>
      <c r="AE69" s="179">
        <f t="shared" si="180"/>
        <v>2115.5669642857151</v>
      </c>
      <c r="AF69" s="178">
        <f>AF66-AF67-AF68</f>
        <v>4552.3214285714294</v>
      </c>
      <c r="AG69" s="178">
        <f>AG66-AG67-AG68</f>
        <v>4763.2857142857156</v>
      </c>
      <c r="AH69" s="178">
        <f t="shared" ref="AH69:AQ69" si="200">AH66-AH67-AH68</f>
        <v>4552.3214285714294</v>
      </c>
      <c r="AI69" s="178">
        <f t="shared" si="200"/>
        <v>5677.4642857142862</v>
      </c>
      <c r="AJ69" s="178">
        <f t="shared" si="200"/>
        <v>5677.4642857142862</v>
      </c>
      <c r="AK69" s="178">
        <f t="shared" si="200"/>
        <v>5396.1785714285725</v>
      </c>
      <c r="AL69" s="178">
        <f t="shared" si="200"/>
        <v>2372.3571428571436</v>
      </c>
      <c r="AM69" s="178">
        <f t="shared" si="200"/>
        <v>965.92857142857179</v>
      </c>
      <c r="AN69" s="178">
        <f t="shared" si="200"/>
        <v>-1073.3928571428569</v>
      </c>
      <c r="AO69" s="178">
        <f t="shared" si="200"/>
        <v>-1073.3928571428569</v>
      </c>
      <c r="AP69" s="178">
        <f t="shared" si="200"/>
        <v>-1073.3928571428569</v>
      </c>
      <c r="AQ69" s="178">
        <f t="shared" si="200"/>
        <v>-159.21428571428532</v>
      </c>
      <c r="AR69" s="179">
        <f t="shared" si="182"/>
        <v>30577.928571428583</v>
      </c>
      <c r="AS69" s="179">
        <f t="shared" si="183"/>
        <v>2548.1607142857151</v>
      </c>
      <c r="AT69" s="180">
        <f t="shared" si="184"/>
        <v>59793.232142857174</v>
      </c>
    </row>
    <row r="70" spans="1:46" s="129" customFormat="1" x14ac:dyDescent="0.5">
      <c r="A70" s="186" t="s">
        <v>126</v>
      </c>
      <c r="B70" s="149" t="str">
        <f>CHOOSE('Вхідні дані'!$P$1,'Вхідні дані'!$Q$1,'Вхідні дані'!$Q$2,'Вхідні дані'!$Q$3,'Вхідні дані'!$Q$4)</f>
        <v>USD</v>
      </c>
      <c r="C70" s="178">
        <f t="shared" ref="C70:O70" si="201">C66-C68</f>
        <v>0</v>
      </c>
      <c r="D70" s="178">
        <f t="shared" si="201"/>
        <v>1518.3571428571433</v>
      </c>
      <c r="E70" s="178">
        <f t="shared" si="201"/>
        <v>2669.0714285714289</v>
      </c>
      <c r="F70" s="178">
        <f t="shared" si="201"/>
        <v>3180.5000000000009</v>
      </c>
      <c r="G70" s="178">
        <f t="shared" si="201"/>
        <v>4075.5000000000009</v>
      </c>
      <c r="H70" s="178">
        <f t="shared" si="201"/>
        <v>4075.5000000000009</v>
      </c>
      <c r="I70" s="178">
        <f t="shared" si="201"/>
        <v>3883.7142857142858</v>
      </c>
      <c r="J70" s="178">
        <f t="shared" si="201"/>
        <v>1582.2857142857144</v>
      </c>
      <c r="K70" s="178">
        <f t="shared" si="201"/>
        <v>495.50000000000045</v>
      </c>
      <c r="L70" s="178">
        <f t="shared" si="201"/>
        <v>-1038.7857142857142</v>
      </c>
      <c r="M70" s="178">
        <f t="shared" si="201"/>
        <v>-1038.7857142857142</v>
      </c>
      <c r="N70" s="178">
        <f t="shared" si="201"/>
        <v>-1038.7857142857142</v>
      </c>
      <c r="O70" s="178">
        <f t="shared" si="201"/>
        <v>-335.57142857142856</v>
      </c>
      <c r="P70" s="179">
        <f t="shared" si="186"/>
        <v>18028.500000000007</v>
      </c>
      <c r="Q70" s="179">
        <f t="shared" si="177"/>
        <v>1502.3750000000007</v>
      </c>
      <c r="R70" s="178">
        <f t="shared" ref="R70:AC70" si="202">R66-R68</f>
        <v>3844.0357142857156</v>
      </c>
      <c r="S70" s="178">
        <f t="shared" si="202"/>
        <v>4045.4107142857156</v>
      </c>
      <c r="T70" s="178">
        <f t="shared" si="202"/>
        <v>3844.0357142857156</v>
      </c>
      <c r="U70" s="178">
        <f t="shared" si="202"/>
        <v>4850.9107142857156</v>
      </c>
      <c r="V70" s="178">
        <f t="shared" si="202"/>
        <v>4850.9107142857156</v>
      </c>
      <c r="W70" s="178">
        <f t="shared" si="202"/>
        <v>4649.5357142857156</v>
      </c>
      <c r="X70" s="178">
        <f t="shared" si="202"/>
        <v>1964.5357142857149</v>
      </c>
      <c r="Y70" s="178">
        <f t="shared" si="202"/>
        <v>756.2857142857149</v>
      </c>
      <c r="Z70" s="178">
        <f t="shared" si="202"/>
        <v>-1056.0892857142856</v>
      </c>
      <c r="AA70" s="178">
        <f t="shared" si="202"/>
        <v>-1056.0892857142856</v>
      </c>
      <c r="AB70" s="178">
        <f t="shared" si="202"/>
        <v>-1056.0892857142856</v>
      </c>
      <c r="AC70" s="178">
        <f t="shared" si="202"/>
        <v>-250.58928571428544</v>
      </c>
      <c r="AD70" s="179">
        <f t="shared" si="179"/>
        <v>25386.80357142858</v>
      </c>
      <c r="AE70" s="179">
        <f t="shared" si="180"/>
        <v>2115.5669642857151</v>
      </c>
      <c r="AF70" s="178">
        <f t="shared" ref="AF70:AQ70" si="203">AF66-AF68</f>
        <v>4552.3214285714294</v>
      </c>
      <c r="AG70" s="178">
        <f t="shared" si="203"/>
        <v>4763.2857142857156</v>
      </c>
      <c r="AH70" s="178">
        <f t="shared" si="203"/>
        <v>4552.3214285714294</v>
      </c>
      <c r="AI70" s="178">
        <f t="shared" si="203"/>
        <v>5677.4642857142862</v>
      </c>
      <c r="AJ70" s="178">
        <f t="shared" si="203"/>
        <v>5677.4642857142862</v>
      </c>
      <c r="AK70" s="178">
        <f t="shared" si="203"/>
        <v>5396.1785714285725</v>
      </c>
      <c r="AL70" s="178">
        <f t="shared" si="203"/>
        <v>2372.3571428571436</v>
      </c>
      <c r="AM70" s="178">
        <f t="shared" si="203"/>
        <v>965.92857142857179</v>
      </c>
      <c r="AN70" s="178">
        <f t="shared" si="203"/>
        <v>-1073.3928571428569</v>
      </c>
      <c r="AO70" s="178">
        <f t="shared" si="203"/>
        <v>-1073.3928571428569</v>
      </c>
      <c r="AP70" s="178">
        <f t="shared" si="203"/>
        <v>-1073.3928571428569</v>
      </c>
      <c r="AQ70" s="178">
        <f t="shared" si="203"/>
        <v>-159.21428571428532</v>
      </c>
      <c r="AR70" s="179">
        <f t="shared" si="182"/>
        <v>30577.928571428583</v>
      </c>
      <c r="AS70" s="179">
        <f t="shared" si="183"/>
        <v>2548.1607142857151</v>
      </c>
      <c r="AT70" s="187"/>
    </row>
    <row r="71" spans="1:46" s="129" customFormat="1" x14ac:dyDescent="0.5">
      <c r="A71" s="182" t="str">
        <f>"- Прибуток (збиток) накопичувальним підсумком"</f>
        <v>- Прибуток (збиток) накопичувальним підсумком</v>
      </c>
      <c r="B71" s="149" t="str">
        <f>CHOOSE('Вхідні дані'!$P$1,'Вхідні дані'!$Q$1,'Вхідні дані'!$Q$2,'Вхідні дані'!$Q$3,'Вхідні дані'!$Q$4)</f>
        <v>USD</v>
      </c>
      <c r="C71" s="188">
        <f>C69+IF(ISNUMBER(B71),B71,0)</f>
        <v>-14200</v>
      </c>
      <c r="D71" s="178">
        <f t="shared" ref="D71:O71" si="204">D69+IF(ISNUMBER(C71),C71,0)</f>
        <v>-12681.642857142857</v>
      </c>
      <c r="E71" s="178">
        <f t="shared" si="204"/>
        <v>-10012.571428571428</v>
      </c>
      <c r="F71" s="178">
        <f t="shared" si="204"/>
        <v>-6832.0714285714266</v>
      </c>
      <c r="G71" s="178">
        <f t="shared" si="204"/>
        <v>-2756.5714285714257</v>
      </c>
      <c r="H71" s="178">
        <f t="shared" si="204"/>
        <v>1318.9285714285752</v>
      </c>
      <c r="I71" s="178">
        <f t="shared" si="204"/>
        <v>5202.6428571428605</v>
      </c>
      <c r="J71" s="178">
        <f t="shared" si="204"/>
        <v>6784.9285714285752</v>
      </c>
      <c r="K71" s="178">
        <f t="shared" si="204"/>
        <v>7280.4285714285761</v>
      </c>
      <c r="L71" s="178">
        <f t="shared" si="204"/>
        <v>6241.6428571428623</v>
      </c>
      <c r="M71" s="178">
        <f t="shared" si="204"/>
        <v>5202.8571428571486</v>
      </c>
      <c r="N71" s="178">
        <f t="shared" si="204"/>
        <v>4164.0714285714348</v>
      </c>
      <c r="O71" s="178">
        <f t="shared" si="204"/>
        <v>3828.5000000000064</v>
      </c>
      <c r="P71" s="179">
        <f>O71</f>
        <v>3828.5000000000064</v>
      </c>
      <c r="Q71" s="179"/>
      <c r="R71" s="178">
        <f>R69+IF(ISNUMBER(O71),O71,0)</f>
        <v>7672.535714285722</v>
      </c>
      <c r="S71" s="178">
        <f t="shared" ref="S71:AC71" si="205">S69+IF(ISNUMBER(R71),R71,0)</f>
        <v>11717.946428571438</v>
      </c>
      <c r="T71" s="178">
        <f t="shared" si="205"/>
        <v>15561.982142857154</v>
      </c>
      <c r="U71" s="178">
        <f t="shared" si="205"/>
        <v>20412.89285714287</v>
      </c>
      <c r="V71" s="178">
        <f t="shared" si="205"/>
        <v>25263.803571428587</v>
      </c>
      <c r="W71" s="178">
        <f t="shared" si="205"/>
        <v>29913.339285714304</v>
      </c>
      <c r="X71" s="178">
        <f t="shared" si="205"/>
        <v>31877.875000000018</v>
      </c>
      <c r="Y71" s="178">
        <f t="shared" si="205"/>
        <v>32634.160714285732</v>
      </c>
      <c r="Z71" s="178">
        <f t="shared" si="205"/>
        <v>31578.071428571446</v>
      </c>
      <c r="AA71" s="178">
        <f t="shared" si="205"/>
        <v>30521.982142857159</v>
      </c>
      <c r="AB71" s="178">
        <f t="shared" si="205"/>
        <v>29465.892857142873</v>
      </c>
      <c r="AC71" s="178">
        <f t="shared" si="205"/>
        <v>29215.303571428587</v>
      </c>
      <c r="AD71" s="179">
        <f>AC71</f>
        <v>29215.303571428587</v>
      </c>
      <c r="AE71" s="179"/>
      <c r="AF71" s="178">
        <f>AF69+IF(ISNUMBER(AC71),AC71,0)</f>
        <v>33767.625000000015</v>
      </c>
      <c r="AG71" s="178">
        <f t="shared" ref="AG71:AQ71" si="206">AG69+IF(ISNUMBER(AF71),AF71,0)</f>
        <v>38530.910714285732</v>
      </c>
      <c r="AH71" s="178">
        <f t="shared" si="206"/>
        <v>43083.232142857159</v>
      </c>
      <c r="AI71" s="178">
        <f t="shared" si="206"/>
        <v>48760.696428571449</v>
      </c>
      <c r="AJ71" s="178">
        <f t="shared" si="206"/>
        <v>54438.160714285739</v>
      </c>
      <c r="AK71" s="178">
        <f t="shared" si="206"/>
        <v>59834.339285714312</v>
      </c>
      <c r="AL71" s="178">
        <f t="shared" si="206"/>
        <v>62206.696428571457</v>
      </c>
      <c r="AM71" s="178">
        <f t="shared" si="206"/>
        <v>63172.625000000029</v>
      </c>
      <c r="AN71" s="178">
        <f t="shared" si="206"/>
        <v>62099.232142857174</v>
      </c>
      <c r="AO71" s="178">
        <f t="shared" si="206"/>
        <v>61025.839285714319</v>
      </c>
      <c r="AP71" s="178">
        <f t="shared" si="206"/>
        <v>59952.446428571464</v>
      </c>
      <c r="AQ71" s="178">
        <f t="shared" si="206"/>
        <v>59793.232142857181</v>
      </c>
      <c r="AR71" s="179">
        <f>AQ71</f>
        <v>59793.232142857181</v>
      </c>
      <c r="AS71" s="179"/>
      <c r="AT71" s="187"/>
    </row>
    <row r="72" spans="1:46" s="129" customFormat="1" ht="21.5" thickBot="1" x14ac:dyDescent="0.55000000000000004">
      <c r="P72" s="156"/>
      <c r="Q72" s="156"/>
      <c r="AD72" s="156"/>
      <c r="AE72" s="156"/>
      <c r="AR72" s="156"/>
      <c r="AS72" s="156"/>
    </row>
    <row r="73" spans="1:46" s="129" customFormat="1" ht="43" thickTop="1" thickBot="1" x14ac:dyDescent="0.55000000000000004">
      <c r="A73" s="127" t="s">
        <v>70</v>
      </c>
      <c r="B73" s="117"/>
      <c r="C73" s="117" t="str">
        <f t="shared" ref="C73:O73" si="207">C$6</f>
        <v>Нульовий період</v>
      </c>
      <c r="D73" s="117" t="str">
        <f t="shared" si="207"/>
        <v>квітень</v>
      </c>
      <c r="E73" s="117" t="str">
        <f t="shared" si="207"/>
        <v>травень</v>
      </c>
      <c r="F73" s="117" t="str">
        <f t="shared" si="207"/>
        <v>червень</v>
      </c>
      <c r="G73" s="117" t="str">
        <f t="shared" si="207"/>
        <v>липень</v>
      </c>
      <c r="H73" s="117" t="str">
        <f t="shared" si="207"/>
        <v>серпень</v>
      </c>
      <c r="I73" s="117" t="str">
        <f t="shared" si="207"/>
        <v>вересень</v>
      </c>
      <c r="J73" s="117" t="str">
        <f t="shared" si="207"/>
        <v>жовтень</v>
      </c>
      <c r="K73" s="117" t="str">
        <f t="shared" si="207"/>
        <v>листопад</v>
      </c>
      <c r="L73" s="117" t="str">
        <f t="shared" si="207"/>
        <v>грудень</v>
      </c>
      <c r="M73" s="117" t="str">
        <f t="shared" si="207"/>
        <v>січень</v>
      </c>
      <c r="N73" s="117" t="str">
        <f t="shared" si="207"/>
        <v>лютий</v>
      </c>
      <c r="O73" s="117" t="str">
        <f t="shared" si="207"/>
        <v>березень</v>
      </c>
      <c r="P73" s="158" t="str">
        <f>$P$15</f>
        <v>Разом за 1-й рік</v>
      </c>
      <c r="Q73" s="158" t="str">
        <f>$Q$15</f>
        <v>Середньомісячно за 1-й рік</v>
      </c>
      <c r="R73" s="117" t="str">
        <f t="shared" ref="R73:AC73" si="208">R$6</f>
        <v>квітень</v>
      </c>
      <c r="S73" s="117" t="str">
        <f t="shared" si="208"/>
        <v>травень</v>
      </c>
      <c r="T73" s="117" t="str">
        <f t="shared" si="208"/>
        <v>червень</v>
      </c>
      <c r="U73" s="117" t="str">
        <f t="shared" si="208"/>
        <v>липень</v>
      </c>
      <c r="V73" s="117" t="str">
        <f t="shared" si="208"/>
        <v>серпень</v>
      </c>
      <c r="W73" s="117" t="str">
        <f t="shared" si="208"/>
        <v>вересень</v>
      </c>
      <c r="X73" s="117" t="str">
        <f t="shared" si="208"/>
        <v>жовтень</v>
      </c>
      <c r="Y73" s="117" t="str">
        <f t="shared" si="208"/>
        <v>листопад</v>
      </c>
      <c r="Z73" s="117" t="str">
        <f t="shared" si="208"/>
        <v>грудень</v>
      </c>
      <c r="AA73" s="117" t="str">
        <f t="shared" si="208"/>
        <v>січень</v>
      </c>
      <c r="AB73" s="117" t="str">
        <f t="shared" si="208"/>
        <v>лютий</v>
      </c>
      <c r="AC73" s="117" t="str">
        <f t="shared" si="208"/>
        <v>березень</v>
      </c>
      <c r="AD73" s="158" t="str">
        <f>AD63</f>
        <v>Разом за 2-й рік</v>
      </c>
      <c r="AE73" s="158" t="str">
        <f>AE63</f>
        <v>Середньомісячно за 2-й рік</v>
      </c>
      <c r="AF73" s="117" t="str">
        <f t="shared" ref="AF73:AQ73" si="209">AF$6</f>
        <v>квітень</v>
      </c>
      <c r="AG73" s="117" t="str">
        <f t="shared" si="209"/>
        <v>травень</v>
      </c>
      <c r="AH73" s="117" t="str">
        <f t="shared" si="209"/>
        <v>червень</v>
      </c>
      <c r="AI73" s="117" t="str">
        <f t="shared" si="209"/>
        <v>липень</v>
      </c>
      <c r="AJ73" s="117" t="str">
        <f t="shared" si="209"/>
        <v>серпень</v>
      </c>
      <c r="AK73" s="117" t="str">
        <f t="shared" si="209"/>
        <v>вересень</v>
      </c>
      <c r="AL73" s="117" t="str">
        <f t="shared" si="209"/>
        <v>жовтень</v>
      </c>
      <c r="AM73" s="117" t="str">
        <f t="shared" si="209"/>
        <v>листопад</v>
      </c>
      <c r="AN73" s="117" t="str">
        <f t="shared" si="209"/>
        <v>грудень</v>
      </c>
      <c r="AO73" s="117" t="str">
        <f t="shared" si="209"/>
        <v>січень</v>
      </c>
      <c r="AP73" s="117" t="str">
        <f t="shared" si="209"/>
        <v>лютий</v>
      </c>
      <c r="AQ73" s="117" t="str">
        <f t="shared" si="209"/>
        <v>березень</v>
      </c>
      <c r="AR73" s="158" t="str">
        <f>AR63</f>
        <v>Разом за 3-й рік</v>
      </c>
      <c r="AS73" s="158" t="str">
        <f>AS63</f>
        <v>Середньомісячно за 3-й рік</v>
      </c>
      <c r="AT73" s="176" t="str">
        <f>AT63</f>
        <v>Разом за три роки</v>
      </c>
    </row>
    <row r="74" spans="1:46" s="136" customFormat="1" ht="21.5" thickTop="1" x14ac:dyDescent="0.5">
      <c r="A74" s="189" t="s">
        <v>71</v>
      </c>
      <c r="B74" s="149" t="str">
        <f>CHOOSE('Вхідні дані'!$P$1,'Вхідні дані'!$Q$1,'Вхідні дані'!$Q$2,'Вхідні дані'!$Q$3,'Вхідні дані'!$Q$4)</f>
        <v>USD</v>
      </c>
      <c r="C74" s="160">
        <f t="shared" ref="C74" si="210">C64</f>
        <v>0</v>
      </c>
      <c r="D74" s="160">
        <f t="shared" ref="D74:O74" si="211">D64</f>
        <v>2928.5714285714289</v>
      </c>
      <c r="E74" s="160">
        <f t="shared" si="211"/>
        <v>4214.2857142857147</v>
      </c>
      <c r="F74" s="160">
        <f t="shared" si="211"/>
        <v>4785.7142857142862</v>
      </c>
      <c r="G74" s="160">
        <f t="shared" si="211"/>
        <v>5785.7142857142862</v>
      </c>
      <c r="H74" s="160">
        <f t="shared" si="211"/>
        <v>5785.7142857142862</v>
      </c>
      <c r="I74" s="160">
        <f t="shared" si="211"/>
        <v>5571.4285714285716</v>
      </c>
      <c r="J74" s="160">
        <f t="shared" si="211"/>
        <v>3000</v>
      </c>
      <c r="K74" s="160">
        <f t="shared" si="211"/>
        <v>1785.7142857142858</v>
      </c>
      <c r="L74" s="160">
        <f t="shared" si="211"/>
        <v>71.428571428571431</v>
      </c>
      <c r="M74" s="160">
        <f t="shared" si="211"/>
        <v>71.428571428571431</v>
      </c>
      <c r="N74" s="160">
        <f t="shared" si="211"/>
        <v>71.428571428571431</v>
      </c>
      <c r="O74" s="160">
        <f t="shared" si="211"/>
        <v>857.14285714285722</v>
      </c>
      <c r="P74" s="150">
        <f>SUM(C74:O74)</f>
        <v>34928.571428571435</v>
      </c>
      <c r="Q74" s="150">
        <f>P74/12</f>
        <v>2910.7142857142862</v>
      </c>
      <c r="R74" s="160">
        <f t="shared" ref="R74:AC74" si="212">R64</f>
        <v>5550.0000000000009</v>
      </c>
      <c r="S74" s="160">
        <f t="shared" si="212"/>
        <v>5775.0000000000009</v>
      </c>
      <c r="T74" s="160">
        <f t="shared" si="212"/>
        <v>5550.0000000000009</v>
      </c>
      <c r="U74" s="160">
        <f t="shared" si="212"/>
        <v>6675.0000000000009</v>
      </c>
      <c r="V74" s="160">
        <f t="shared" si="212"/>
        <v>6675.0000000000009</v>
      </c>
      <c r="W74" s="160">
        <f t="shared" si="212"/>
        <v>6450.0000000000009</v>
      </c>
      <c r="X74" s="160">
        <f t="shared" si="212"/>
        <v>3450.0000000000005</v>
      </c>
      <c r="Y74" s="160">
        <f t="shared" si="212"/>
        <v>2100.0000000000005</v>
      </c>
      <c r="Z74" s="160">
        <f t="shared" si="212"/>
        <v>75.000000000000014</v>
      </c>
      <c r="AA74" s="160">
        <f t="shared" si="212"/>
        <v>75.000000000000014</v>
      </c>
      <c r="AB74" s="160">
        <f t="shared" si="212"/>
        <v>75.000000000000014</v>
      </c>
      <c r="AC74" s="160">
        <f t="shared" si="212"/>
        <v>975.00000000000011</v>
      </c>
      <c r="AD74" s="150">
        <f>SUM(R74:AC74)</f>
        <v>43425.000000000007</v>
      </c>
      <c r="AE74" s="150">
        <f>AD74/12</f>
        <v>3618.7500000000005</v>
      </c>
      <c r="AF74" s="160">
        <f t="shared" ref="AF74:AQ74" si="213">AF64</f>
        <v>6364.2857142857156</v>
      </c>
      <c r="AG74" s="160">
        <f t="shared" si="213"/>
        <v>6600.0000000000009</v>
      </c>
      <c r="AH74" s="160">
        <f t="shared" si="213"/>
        <v>6364.2857142857156</v>
      </c>
      <c r="AI74" s="160">
        <f t="shared" si="213"/>
        <v>7621.4285714285725</v>
      </c>
      <c r="AJ74" s="160">
        <f t="shared" si="213"/>
        <v>7621.4285714285725</v>
      </c>
      <c r="AK74" s="160">
        <f t="shared" si="213"/>
        <v>7307.1428571428587</v>
      </c>
      <c r="AL74" s="160">
        <f t="shared" si="213"/>
        <v>3928.5714285714294</v>
      </c>
      <c r="AM74" s="160">
        <f t="shared" si="213"/>
        <v>2357.1428571428573</v>
      </c>
      <c r="AN74" s="160">
        <f t="shared" si="213"/>
        <v>78.571428571428584</v>
      </c>
      <c r="AO74" s="160">
        <f t="shared" si="213"/>
        <v>78.571428571428584</v>
      </c>
      <c r="AP74" s="160">
        <f t="shared" si="213"/>
        <v>78.571428571428584</v>
      </c>
      <c r="AQ74" s="160">
        <f t="shared" si="213"/>
        <v>1100.0000000000002</v>
      </c>
      <c r="AR74" s="150">
        <f>SUM(AF74:AQ74)</f>
        <v>49500</v>
      </c>
      <c r="AS74" s="150">
        <f>AR74/12</f>
        <v>4125</v>
      </c>
      <c r="AT74" s="190">
        <f>P74+AD74+AR74</f>
        <v>127853.57142857145</v>
      </c>
    </row>
    <row r="75" spans="1:46" s="136" customFormat="1" x14ac:dyDescent="0.5">
      <c r="A75" s="189" t="s">
        <v>36</v>
      </c>
      <c r="B75" s="149" t="str">
        <f>CHOOSE('Вхідні дані'!$P$1,'Вхідні дані'!$Q$1,'Вхідні дані'!$Q$2,'Вхідні дані'!$Q$3,'Вхідні дані'!$Q$4)</f>
        <v>USD</v>
      </c>
      <c r="C75" s="191">
        <f t="shared" ref="C75:O75" si="214">-(C25+C61)</f>
        <v>0</v>
      </c>
      <c r="D75" s="191">
        <f t="shared" si="214"/>
        <v>-1410.2142857142856</v>
      </c>
      <c r="E75" s="191">
        <f t="shared" si="214"/>
        <v>-1545.2142857142858</v>
      </c>
      <c r="F75" s="191">
        <f t="shared" si="214"/>
        <v>-1605.2142857142856</v>
      </c>
      <c r="G75" s="191">
        <f t="shared" si="214"/>
        <v>-1710.2142857142856</v>
      </c>
      <c r="H75" s="191">
        <f t="shared" si="214"/>
        <v>-1710.2142857142856</v>
      </c>
      <c r="I75" s="191">
        <f t="shared" si="214"/>
        <v>-1687.7142857142858</v>
      </c>
      <c r="J75" s="191">
        <f t="shared" si="214"/>
        <v>-1417.7142857142856</v>
      </c>
      <c r="K75" s="191">
        <f t="shared" si="214"/>
        <v>-1290.2142857142853</v>
      </c>
      <c r="L75" s="191">
        <f t="shared" si="214"/>
        <v>-1110.2142857142856</v>
      </c>
      <c r="M75" s="191">
        <f t="shared" si="214"/>
        <v>-1110.2142857142856</v>
      </c>
      <c r="N75" s="191">
        <f t="shared" si="214"/>
        <v>-1110.2142857142856</v>
      </c>
      <c r="O75" s="191">
        <f t="shared" si="214"/>
        <v>-1192.7142857142858</v>
      </c>
      <c r="P75" s="150">
        <f t="shared" ref="P75:P78" si="215">SUM(C75:O75)</f>
        <v>-16900.071428571431</v>
      </c>
      <c r="Q75" s="150">
        <f>P75/12</f>
        <v>-1408.339285714286</v>
      </c>
      <c r="R75" s="191">
        <f t="shared" ref="R75:AC75" si="216">-(R25+R61)</f>
        <v>-1705.9642857142856</v>
      </c>
      <c r="S75" s="191">
        <f t="shared" si="216"/>
        <v>-1729.5892857142856</v>
      </c>
      <c r="T75" s="191">
        <f t="shared" si="216"/>
        <v>-1705.9642857142856</v>
      </c>
      <c r="U75" s="191">
        <f t="shared" si="216"/>
        <v>-1824.0892857142856</v>
      </c>
      <c r="V75" s="191">
        <f t="shared" si="216"/>
        <v>-1824.0892857142856</v>
      </c>
      <c r="W75" s="191">
        <f t="shared" si="216"/>
        <v>-1800.4642857142856</v>
      </c>
      <c r="X75" s="191">
        <f t="shared" si="216"/>
        <v>-1485.4642857142856</v>
      </c>
      <c r="Y75" s="191">
        <f t="shared" si="216"/>
        <v>-1343.7142857142856</v>
      </c>
      <c r="Z75" s="191">
        <f t="shared" si="216"/>
        <v>-1131.0892857142856</v>
      </c>
      <c r="AA75" s="191">
        <f t="shared" si="216"/>
        <v>-1131.0892857142856</v>
      </c>
      <c r="AB75" s="191">
        <f t="shared" si="216"/>
        <v>-1131.0892857142856</v>
      </c>
      <c r="AC75" s="191">
        <f t="shared" si="216"/>
        <v>-1225.5892857142856</v>
      </c>
      <c r="AD75" s="150">
        <f>SUM(R75:AC75)</f>
        <v>-18038.196428571431</v>
      </c>
      <c r="AE75" s="150">
        <f>AD75/12</f>
        <v>-1503.183035714286</v>
      </c>
      <c r="AF75" s="191">
        <f t="shared" ref="AF75:AQ75" si="217">-(AF25+AF61)</f>
        <v>-1811.9642857142858</v>
      </c>
      <c r="AG75" s="191">
        <f t="shared" si="217"/>
        <v>-1836.7142857142858</v>
      </c>
      <c r="AH75" s="191">
        <f t="shared" si="217"/>
        <v>-1811.9642857142858</v>
      </c>
      <c r="AI75" s="191">
        <f t="shared" si="217"/>
        <v>-1943.9642857142858</v>
      </c>
      <c r="AJ75" s="191">
        <f t="shared" si="217"/>
        <v>-1943.9642857142858</v>
      </c>
      <c r="AK75" s="191">
        <f t="shared" si="217"/>
        <v>-1910.9642857142858</v>
      </c>
      <c r="AL75" s="191">
        <f t="shared" si="217"/>
        <v>-1556.2142857142858</v>
      </c>
      <c r="AM75" s="191">
        <f t="shared" si="217"/>
        <v>-1391.2142857142856</v>
      </c>
      <c r="AN75" s="191">
        <f t="shared" si="217"/>
        <v>-1151.9642857142856</v>
      </c>
      <c r="AO75" s="191">
        <f t="shared" si="217"/>
        <v>-1151.9642857142856</v>
      </c>
      <c r="AP75" s="191">
        <f t="shared" si="217"/>
        <v>-1151.9642857142856</v>
      </c>
      <c r="AQ75" s="191">
        <f t="shared" si="217"/>
        <v>-1259.2142857142856</v>
      </c>
      <c r="AR75" s="150">
        <f>SUM(AF75:AQ75)</f>
        <v>-18922.071428571431</v>
      </c>
      <c r="AS75" s="150">
        <f>AR75/12</f>
        <v>-1576.839285714286</v>
      </c>
      <c r="AT75" s="190">
        <f>P75+AD75+AR75</f>
        <v>-53860.33928571429</v>
      </c>
    </row>
    <row r="76" spans="1:46" s="136" customFormat="1" x14ac:dyDescent="0.5">
      <c r="A76" s="189" t="s">
        <v>139</v>
      </c>
      <c r="B76" s="149" t="str">
        <f>CHOOSE('Вхідні дані'!$P$1,'Вхідні дані'!$Q$1,'Вхідні дані'!$Q$2,'Вхідні дані'!$Q$3,'Вхідні дані'!$Q$4)</f>
        <v>USD</v>
      </c>
      <c r="C76" s="191">
        <f t="shared" ref="C76" si="218">SUM(C74:C75)</f>
        <v>0</v>
      </c>
      <c r="D76" s="191">
        <f t="shared" ref="D76:O76" si="219">SUM(D74:D75)</f>
        <v>1518.3571428571433</v>
      </c>
      <c r="E76" s="160">
        <f t="shared" si="219"/>
        <v>2669.0714285714289</v>
      </c>
      <c r="F76" s="160">
        <f t="shared" si="219"/>
        <v>3180.5000000000009</v>
      </c>
      <c r="G76" s="160">
        <f t="shared" si="219"/>
        <v>4075.5000000000009</v>
      </c>
      <c r="H76" s="160">
        <f t="shared" si="219"/>
        <v>4075.5000000000009</v>
      </c>
      <c r="I76" s="160">
        <f t="shared" si="219"/>
        <v>3883.7142857142858</v>
      </c>
      <c r="J76" s="160">
        <f t="shared" si="219"/>
        <v>1582.2857142857144</v>
      </c>
      <c r="K76" s="191">
        <f t="shared" si="219"/>
        <v>495.50000000000045</v>
      </c>
      <c r="L76" s="191">
        <f t="shared" si="219"/>
        <v>-1038.7857142857142</v>
      </c>
      <c r="M76" s="191">
        <f t="shared" si="219"/>
        <v>-1038.7857142857142</v>
      </c>
      <c r="N76" s="191">
        <f t="shared" si="219"/>
        <v>-1038.7857142857142</v>
      </c>
      <c r="O76" s="191">
        <f t="shared" si="219"/>
        <v>-335.57142857142856</v>
      </c>
      <c r="P76" s="150">
        <f t="shared" si="215"/>
        <v>18028.500000000007</v>
      </c>
      <c r="Q76" s="150">
        <f>P76/12</f>
        <v>1502.3750000000007</v>
      </c>
      <c r="R76" s="191">
        <f t="shared" ref="R76:AC76" si="220">SUM(R74:R75)</f>
        <v>3844.0357142857156</v>
      </c>
      <c r="S76" s="160">
        <f t="shared" si="220"/>
        <v>4045.4107142857156</v>
      </c>
      <c r="T76" s="160">
        <f t="shared" si="220"/>
        <v>3844.0357142857156</v>
      </c>
      <c r="U76" s="160">
        <f t="shared" si="220"/>
        <v>4850.9107142857156</v>
      </c>
      <c r="V76" s="160">
        <f t="shared" si="220"/>
        <v>4850.9107142857156</v>
      </c>
      <c r="W76" s="160">
        <f t="shared" si="220"/>
        <v>4649.5357142857156</v>
      </c>
      <c r="X76" s="160">
        <f t="shared" si="220"/>
        <v>1964.5357142857149</v>
      </c>
      <c r="Y76" s="191">
        <f t="shared" si="220"/>
        <v>756.2857142857149</v>
      </c>
      <c r="Z76" s="191">
        <f t="shared" si="220"/>
        <v>-1056.0892857142856</v>
      </c>
      <c r="AA76" s="191">
        <f t="shared" si="220"/>
        <v>-1056.0892857142856</v>
      </c>
      <c r="AB76" s="191">
        <f t="shared" si="220"/>
        <v>-1056.0892857142856</v>
      </c>
      <c r="AC76" s="191">
        <f t="shared" si="220"/>
        <v>-250.58928571428544</v>
      </c>
      <c r="AD76" s="150">
        <f>SUM(R76:AC76)</f>
        <v>25386.80357142858</v>
      </c>
      <c r="AE76" s="150">
        <f>AD76/12</f>
        <v>2115.5669642857151</v>
      </c>
      <c r="AF76" s="191">
        <f t="shared" ref="AF76:AQ76" si="221">SUM(AF74:AF75)</f>
        <v>4552.3214285714294</v>
      </c>
      <c r="AG76" s="160">
        <f t="shared" si="221"/>
        <v>4763.2857142857156</v>
      </c>
      <c r="AH76" s="160">
        <f t="shared" si="221"/>
        <v>4552.3214285714294</v>
      </c>
      <c r="AI76" s="160">
        <f t="shared" si="221"/>
        <v>5677.4642857142862</v>
      </c>
      <c r="AJ76" s="160">
        <f t="shared" si="221"/>
        <v>5677.4642857142862</v>
      </c>
      <c r="AK76" s="160">
        <f t="shared" si="221"/>
        <v>5396.1785714285725</v>
      </c>
      <c r="AL76" s="160">
        <f t="shared" si="221"/>
        <v>2372.3571428571436</v>
      </c>
      <c r="AM76" s="191">
        <f t="shared" si="221"/>
        <v>965.92857142857179</v>
      </c>
      <c r="AN76" s="191">
        <f t="shared" si="221"/>
        <v>-1073.3928571428569</v>
      </c>
      <c r="AO76" s="191">
        <f t="shared" si="221"/>
        <v>-1073.3928571428569</v>
      </c>
      <c r="AP76" s="191">
        <f t="shared" si="221"/>
        <v>-1073.3928571428569</v>
      </c>
      <c r="AQ76" s="191">
        <f t="shared" si="221"/>
        <v>-159.21428571428532</v>
      </c>
      <c r="AR76" s="150">
        <f>SUM(AF76:AQ76)</f>
        <v>30577.928571428583</v>
      </c>
      <c r="AS76" s="150">
        <f>AR76/12</f>
        <v>2548.1607142857151</v>
      </c>
      <c r="AT76" s="190">
        <f>P76+AD76+AR76</f>
        <v>73993.232142857174</v>
      </c>
    </row>
    <row r="77" spans="1:46" s="136" customFormat="1" x14ac:dyDescent="0.5">
      <c r="A77" s="189" t="s">
        <v>72</v>
      </c>
      <c r="B77" s="149" t="str">
        <f>CHOOSE('Вхідні дані'!$P$1,'Вхідні дані'!$Q$1,'Вхідні дані'!$Q$2,'Вхідні дані'!$Q$3,'Вхідні дані'!$Q$4)</f>
        <v>USD</v>
      </c>
      <c r="C77" s="191">
        <f t="shared" ref="C77:O77" si="222">-(C38)</f>
        <v>-14200</v>
      </c>
      <c r="D77" s="191">
        <f t="shared" si="222"/>
        <v>0</v>
      </c>
      <c r="E77" s="191">
        <f t="shared" si="222"/>
        <v>0</v>
      </c>
      <c r="F77" s="191">
        <f t="shared" si="222"/>
        <v>0</v>
      </c>
      <c r="G77" s="191">
        <f t="shared" si="222"/>
        <v>0</v>
      </c>
      <c r="H77" s="191">
        <f t="shared" si="222"/>
        <v>0</v>
      </c>
      <c r="I77" s="191">
        <f t="shared" si="222"/>
        <v>0</v>
      </c>
      <c r="J77" s="191">
        <f t="shared" si="222"/>
        <v>0</v>
      </c>
      <c r="K77" s="191">
        <f t="shared" si="222"/>
        <v>0</v>
      </c>
      <c r="L77" s="191">
        <f t="shared" si="222"/>
        <v>0</v>
      </c>
      <c r="M77" s="191">
        <f t="shared" si="222"/>
        <v>0</v>
      </c>
      <c r="N77" s="191">
        <f t="shared" si="222"/>
        <v>0</v>
      </c>
      <c r="O77" s="191">
        <f t="shared" si="222"/>
        <v>0</v>
      </c>
      <c r="P77" s="150">
        <f t="shared" si="215"/>
        <v>-14200</v>
      </c>
      <c r="Q77" s="150"/>
      <c r="R77" s="191">
        <f t="shared" ref="R77:AC77" si="223">-(R38)</f>
        <v>0</v>
      </c>
      <c r="S77" s="191">
        <f t="shared" si="223"/>
        <v>0</v>
      </c>
      <c r="T77" s="191">
        <f t="shared" si="223"/>
        <v>0</v>
      </c>
      <c r="U77" s="191">
        <f t="shared" si="223"/>
        <v>0</v>
      </c>
      <c r="V77" s="191">
        <f t="shared" si="223"/>
        <v>0</v>
      </c>
      <c r="W77" s="191">
        <f t="shared" si="223"/>
        <v>0</v>
      </c>
      <c r="X77" s="191">
        <f t="shared" si="223"/>
        <v>0</v>
      </c>
      <c r="Y77" s="191">
        <f t="shared" si="223"/>
        <v>0</v>
      </c>
      <c r="Z77" s="191">
        <f t="shared" si="223"/>
        <v>0</v>
      </c>
      <c r="AA77" s="191">
        <f t="shared" si="223"/>
        <v>0</v>
      </c>
      <c r="AB77" s="191">
        <f t="shared" si="223"/>
        <v>0</v>
      </c>
      <c r="AC77" s="191">
        <f t="shared" si="223"/>
        <v>0</v>
      </c>
      <c r="AD77" s="150">
        <f>SUM(R77:AC77)</f>
        <v>0</v>
      </c>
      <c r="AE77" s="150"/>
      <c r="AF77" s="191">
        <f t="shared" ref="AF77:AQ77" si="224">-(AF38)</f>
        <v>0</v>
      </c>
      <c r="AG77" s="191">
        <f t="shared" si="224"/>
        <v>0</v>
      </c>
      <c r="AH77" s="191">
        <f t="shared" si="224"/>
        <v>0</v>
      </c>
      <c r="AI77" s="191">
        <f t="shared" si="224"/>
        <v>0</v>
      </c>
      <c r="AJ77" s="191">
        <f t="shared" si="224"/>
        <v>0</v>
      </c>
      <c r="AK77" s="191">
        <f t="shared" si="224"/>
        <v>0</v>
      </c>
      <c r="AL77" s="191">
        <f t="shared" si="224"/>
        <v>0</v>
      </c>
      <c r="AM77" s="191">
        <f t="shared" si="224"/>
        <v>0</v>
      </c>
      <c r="AN77" s="191">
        <f t="shared" si="224"/>
        <v>0</v>
      </c>
      <c r="AO77" s="191">
        <f t="shared" si="224"/>
        <v>0</v>
      </c>
      <c r="AP77" s="191">
        <f t="shared" si="224"/>
        <v>0</v>
      </c>
      <c r="AQ77" s="191">
        <f t="shared" si="224"/>
        <v>0</v>
      </c>
      <c r="AR77" s="150">
        <f>SUM(AF77:AQ77)</f>
        <v>0</v>
      </c>
      <c r="AS77" s="150"/>
      <c r="AT77" s="190">
        <f>P77+AD77+AR77</f>
        <v>-14200</v>
      </c>
    </row>
    <row r="78" spans="1:46" s="142" customFormat="1" x14ac:dyDescent="0.5">
      <c r="A78" s="189" t="s">
        <v>73</v>
      </c>
      <c r="B78" s="138" t="str">
        <f>CHOOSE('Вхідні дані'!$P$1,'Вхідні дані'!$Q$1,'Вхідні дані'!$Q$2,'Вхідні дані'!$Q$3,'Вхідні дані'!$Q$4)</f>
        <v>USD</v>
      </c>
      <c r="C78" s="139">
        <f t="shared" ref="C78:O78" si="225">C38</f>
        <v>14200</v>
      </c>
      <c r="D78" s="139">
        <f t="shared" si="225"/>
        <v>0</v>
      </c>
      <c r="E78" s="139">
        <f t="shared" si="225"/>
        <v>0</v>
      </c>
      <c r="F78" s="139">
        <f t="shared" si="225"/>
        <v>0</v>
      </c>
      <c r="G78" s="139">
        <f t="shared" si="225"/>
        <v>0</v>
      </c>
      <c r="H78" s="139">
        <f t="shared" si="225"/>
        <v>0</v>
      </c>
      <c r="I78" s="139">
        <f t="shared" si="225"/>
        <v>0</v>
      </c>
      <c r="J78" s="139">
        <f t="shared" si="225"/>
        <v>0</v>
      </c>
      <c r="K78" s="139">
        <f t="shared" si="225"/>
        <v>0</v>
      </c>
      <c r="L78" s="139">
        <f t="shared" si="225"/>
        <v>0</v>
      </c>
      <c r="M78" s="139">
        <f t="shared" si="225"/>
        <v>0</v>
      </c>
      <c r="N78" s="139">
        <f t="shared" si="225"/>
        <v>0</v>
      </c>
      <c r="O78" s="139">
        <f t="shared" si="225"/>
        <v>0</v>
      </c>
      <c r="P78" s="150">
        <f t="shared" si="215"/>
        <v>14200</v>
      </c>
      <c r="Q78" s="150"/>
      <c r="R78" s="139">
        <f t="shared" ref="R78:AC78" si="226">R38</f>
        <v>0</v>
      </c>
      <c r="S78" s="139">
        <f t="shared" si="226"/>
        <v>0</v>
      </c>
      <c r="T78" s="139">
        <f t="shared" si="226"/>
        <v>0</v>
      </c>
      <c r="U78" s="139">
        <f t="shared" si="226"/>
        <v>0</v>
      </c>
      <c r="V78" s="139">
        <f t="shared" si="226"/>
        <v>0</v>
      </c>
      <c r="W78" s="139">
        <f t="shared" si="226"/>
        <v>0</v>
      </c>
      <c r="X78" s="139">
        <f t="shared" si="226"/>
        <v>0</v>
      </c>
      <c r="Y78" s="139">
        <f t="shared" si="226"/>
        <v>0</v>
      </c>
      <c r="Z78" s="139">
        <f t="shared" si="226"/>
        <v>0</v>
      </c>
      <c r="AA78" s="139">
        <f t="shared" si="226"/>
        <v>0</v>
      </c>
      <c r="AB78" s="139">
        <f t="shared" si="226"/>
        <v>0</v>
      </c>
      <c r="AC78" s="139">
        <f t="shared" si="226"/>
        <v>0</v>
      </c>
      <c r="AD78" s="150">
        <f>SUM(R78:AC78)</f>
        <v>0</v>
      </c>
      <c r="AE78" s="150"/>
      <c r="AF78" s="139">
        <f t="shared" ref="AF78:AQ78" si="227">AF38</f>
        <v>0</v>
      </c>
      <c r="AG78" s="139">
        <f t="shared" si="227"/>
        <v>0</v>
      </c>
      <c r="AH78" s="139">
        <f t="shared" si="227"/>
        <v>0</v>
      </c>
      <c r="AI78" s="139">
        <f t="shared" si="227"/>
        <v>0</v>
      </c>
      <c r="AJ78" s="139">
        <f t="shared" si="227"/>
        <v>0</v>
      </c>
      <c r="AK78" s="139">
        <f t="shared" si="227"/>
        <v>0</v>
      </c>
      <c r="AL78" s="139">
        <f t="shared" si="227"/>
        <v>0</v>
      </c>
      <c r="AM78" s="139">
        <f t="shared" si="227"/>
        <v>0</v>
      </c>
      <c r="AN78" s="139">
        <f t="shared" si="227"/>
        <v>0</v>
      </c>
      <c r="AO78" s="139">
        <f t="shared" si="227"/>
        <v>0</v>
      </c>
      <c r="AP78" s="139">
        <f t="shared" si="227"/>
        <v>0</v>
      </c>
      <c r="AQ78" s="139">
        <f t="shared" si="227"/>
        <v>0</v>
      </c>
      <c r="AR78" s="150">
        <f>SUM(AF78:AQ78)</f>
        <v>0</v>
      </c>
      <c r="AS78" s="150"/>
      <c r="AT78" s="192">
        <f>P78+AD78+AR78</f>
        <v>14200</v>
      </c>
    </row>
    <row r="79" spans="1:46" s="136" customFormat="1" x14ac:dyDescent="0.5">
      <c r="A79" s="189" t="s">
        <v>74</v>
      </c>
      <c r="B79" s="149" t="str">
        <f>CHOOSE('Вхідні дані'!$P$1,'Вхідні дані'!$Q$1,'Вхідні дані'!$Q$2,'Вхідні дані'!$Q$3,'Вхідні дані'!$Q$4)</f>
        <v>USD</v>
      </c>
      <c r="C79" s="191">
        <v>-1</v>
      </c>
      <c r="D79" s="160">
        <f>C80</f>
        <v>-1</v>
      </c>
      <c r="E79" s="160">
        <f>D80</f>
        <v>1517.3571428571433</v>
      </c>
      <c r="F79" s="160">
        <f t="shared" ref="F79:O79" si="228">E80</f>
        <v>4186.4285714285725</v>
      </c>
      <c r="G79" s="160">
        <f t="shared" si="228"/>
        <v>7366.9285714285734</v>
      </c>
      <c r="H79" s="160">
        <f t="shared" si="228"/>
        <v>11442.428571428574</v>
      </c>
      <c r="I79" s="160">
        <f t="shared" si="228"/>
        <v>15517.928571428576</v>
      </c>
      <c r="J79" s="160">
        <f t="shared" si="228"/>
        <v>19401.642857142862</v>
      </c>
      <c r="K79" s="191">
        <f t="shared" si="228"/>
        <v>20983.928571428576</v>
      </c>
      <c r="L79" s="191">
        <f t="shared" si="228"/>
        <v>21479.428571428576</v>
      </c>
      <c r="M79" s="191">
        <f t="shared" si="228"/>
        <v>20440.642857142862</v>
      </c>
      <c r="N79" s="191">
        <f t="shared" si="228"/>
        <v>19401.857142857149</v>
      </c>
      <c r="O79" s="191">
        <f t="shared" si="228"/>
        <v>18363.071428571435</v>
      </c>
      <c r="P79" s="193">
        <f>C79</f>
        <v>-1</v>
      </c>
      <c r="Q79" s="193"/>
      <c r="R79" s="191">
        <f>O80</f>
        <v>18027.500000000007</v>
      </c>
      <c r="S79" s="160">
        <f t="shared" ref="S79:AC79" si="229">R80</f>
        <v>21871.535714285725</v>
      </c>
      <c r="T79" s="160">
        <f t="shared" si="229"/>
        <v>25916.946428571442</v>
      </c>
      <c r="U79" s="160">
        <f t="shared" si="229"/>
        <v>29760.982142857159</v>
      </c>
      <c r="V79" s="160">
        <f t="shared" si="229"/>
        <v>34611.892857142877</v>
      </c>
      <c r="W79" s="160">
        <f t="shared" si="229"/>
        <v>39462.803571428594</v>
      </c>
      <c r="X79" s="160">
        <f t="shared" si="229"/>
        <v>44112.339285714312</v>
      </c>
      <c r="Y79" s="191">
        <f t="shared" si="229"/>
        <v>46076.875000000029</v>
      </c>
      <c r="Z79" s="191">
        <f t="shared" si="229"/>
        <v>46833.160714285747</v>
      </c>
      <c r="AA79" s="191">
        <f t="shared" si="229"/>
        <v>45777.071428571464</v>
      </c>
      <c r="AB79" s="191">
        <f t="shared" si="229"/>
        <v>44720.982142857181</v>
      </c>
      <c r="AC79" s="191">
        <f t="shared" si="229"/>
        <v>43664.892857142899</v>
      </c>
      <c r="AD79" s="193">
        <f>R79</f>
        <v>18027.500000000007</v>
      </c>
      <c r="AE79" s="193"/>
      <c r="AF79" s="191">
        <f>AC80</f>
        <v>43414.303571428616</v>
      </c>
      <c r="AG79" s="160">
        <f t="shared" ref="AG79:AQ79" si="230">AF80</f>
        <v>47966.625000000044</v>
      </c>
      <c r="AH79" s="160">
        <f t="shared" si="230"/>
        <v>52729.910714285761</v>
      </c>
      <c r="AI79" s="160">
        <f t="shared" si="230"/>
        <v>57282.232142857189</v>
      </c>
      <c r="AJ79" s="160">
        <f t="shared" si="230"/>
        <v>62959.696428571478</v>
      </c>
      <c r="AK79" s="160">
        <f t="shared" si="230"/>
        <v>68637.160714285768</v>
      </c>
      <c r="AL79" s="160">
        <f t="shared" si="230"/>
        <v>74033.339285714348</v>
      </c>
      <c r="AM79" s="191">
        <f t="shared" si="230"/>
        <v>76405.696428571493</v>
      </c>
      <c r="AN79" s="191">
        <f t="shared" si="230"/>
        <v>77371.625000000058</v>
      </c>
      <c r="AO79" s="191">
        <f t="shared" si="230"/>
        <v>76298.232142857203</v>
      </c>
      <c r="AP79" s="191">
        <f t="shared" si="230"/>
        <v>75224.839285714348</v>
      </c>
      <c r="AQ79" s="191">
        <f t="shared" si="230"/>
        <v>74151.446428571493</v>
      </c>
      <c r="AR79" s="193">
        <f>AF79</f>
        <v>43414.303571428616</v>
      </c>
      <c r="AS79" s="193"/>
      <c r="AT79" s="190">
        <f>P79</f>
        <v>-1</v>
      </c>
    </row>
    <row r="80" spans="1:46" s="136" customFormat="1" x14ac:dyDescent="0.5">
      <c r="A80" s="189" t="s">
        <v>75</v>
      </c>
      <c r="B80" s="149" t="str">
        <f>CHOOSE('Вхідні дані'!$P$1,'Вхідні дані'!$Q$1,'Вхідні дані'!$Q$2,'Вхідні дані'!$Q$3,'Вхідні дані'!$Q$4)</f>
        <v>USD</v>
      </c>
      <c r="C80" s="191">
        <f>C76+C77+C78+C79</f>
        <v>-1</v>
      </c>
      <c r="D80" s="191">
        <f>D76+D77+D78+D79</f>
        <v>1517.3571428571433</v>
      </c>
      <c r="E80" s="160">
        <f>E76+E77+E78+E79</f>
        <v>4186.4285714285725</v>
      </c>
      <c r="F80" s="160">
        <f t="shared" ref="F80:O80" si="231">F76+F77+F78+F79</f>
        <v>7366.9285714285734</v>
      </c>
      <c r="G80" s="160">
        <f t="shared" si="231"/>
        <v>11442.428571428574</v>
      </c>
      <c r="H80" s="160">
        <f t="shared" si="231"/>
        <v>15517.928571428576</v>
      </c>
      <c r="I80" s="160">
        <f t="shared" si="231"/>
        <v>19401.642857142862</v>
      </c>
      <c r="J80" s="160">
        <f t="shared" si="231"/>
        <v>20983.928571428576</v>
      </c>
      <c r="K80" s="191">
        <f t="shared" si="231"/>
        <v>21479.428571428576</v>
      </c>
      <c r="L80" s="191">
        <f t="shared" si="231"/>
        <v>20440.642857142862</v>
      </c>
      <c r="M80" s="191">
        <f t="shared" si="231"/>
        <v>19401.857142857149</v>
      </c>
      <c r="N80" s="191">
        <f t="shared" si="231"/>
        <v>18363.071428571435</v>
      </c>
      <c r="O80" s="191">
        <f t="shared" si="231"/>
        <v>18027.500000000007</v>
      </c>
      <c r="P80" s="193">
        <f>O80</f>
        <v>18027.500000000007</v>
      </c>
      <c r="Q80" s="193"/>
      <c r="R80" s="191">
        <f>R76+R77+R78+R79</f>
        <v>21871.535714285725</v>
      </c>
      <c r="S80" s="160">
        <f>S76+S77+S78+S79</f>
        <v>25916.946428571442</v>
      </c>
      <c r="T80" s="160">
        <f t="shared" ref="T80:AC80" si="232">T76+T77+T78+T79</f>
        <v>29760.982142857159</v>
      </c>
      <c r="U80" s="160">
        <f t="shared" si="232"/>
        <v>34611.892857142877</v>
      </c>
      <c r="V80" s="160">
        <f t="shared" si="232"/>
        <v>39462.803571428594</v>
      </c>
      <c r="W80" s="160">
        <f t="shared" si="232"/>
        <v>44112.339285714312</v>
      </c>
      <c r="X80" s="160">
        <f t="shared" si="232"/>
        <v>46076.875000000029</v>
      </c>
      <c r="Y80" s="191">
        <f t="shared" si="232"/>
        <v>46833.160714285747</v>
      </c>
      <c r="Z80" s="191">
        <f t="shared" si="232"/>
        <v>45777.071428571464</v>
      </c>
      <c r="AA80" s="191">
        <f t="shared" si="232"/>
        <v>44720.982142857181</v>
      </c>
      <c r="AB80" s="191">
        <f t="shared" si="232"/>
        <v>43664.892857142899</v>
      </c>
      <c r="AC80" s="191">
        <f t="shared" si="232"/>
        <v>43414.303571428616</v>
      </c>
      <c r="AD80" s="193">
        <f>AC80</f>
        <v>43414.303571428616</v>
      </c>
      <c r="AE80" s="193"/>
      <c r="AF80" s="191">
        <f>AF76+AF77+AF78+AF79</f>
        <v>47966.625000000044</v>
      </c>
      <c r="AG80" s="160">
        <f>AG76+AG77+AG78+AG79</f>
        <v>52729.910714285761</v>
      </c>
      <c r="AH80" s="160">
        <f t="shared" ref="AH80:AQ80" si="233">AH76+AH77+AH78+AH79</f>
        <v>57282.232142857189</v>
      </c>
      <c r="AI80" s="160">
        <f t="shared" si="233"/>
        <v>62959.696428571478</v>
      </c>
      <c r="AJ80" s="160">
        <f t="shared" si="233"/>
        <v>68637.160714285768</v>
      </c>
      <c r="AK80" s="160">
        <f t="shared" si="233"/>
        <v>74033.339285714348</v>
      </c>
      <c r="AL80" s="160">
        <f t="shared" si="233"/>
        <v>76405.696428571493</v>
      </c>
      <c r="AM80" s="191">
        <f t="shared" si="233"/>
        <v>77371.625000000058</v>
      </c>
      <c r="AN80" s="191">
        <f t="shared" si="233"/>
        <v>76298.232142857203</v>
      </c>
      <c r="AO80" s="191">
        <f t="shared" si="233"/>
        <v>75224.839285714348</v>
      </c>
      <c r="AP80" s="191">
        <f t="shared" si="233"/>
        <v>74151.446428571493</v>
      </c>
      <c r="AQ80" s="191">
        <f t="shared" si="233"/>
        <v>73992.232142857203</v>
      </c>
      <c r="AR80" s="193">
        <f>AQ80</f>
        <v>73992.232142857203</v>
      </c>
      <c r="AS80" s="193"/>
      <c r="AT80" s="190">
        <f>AR80</f>
        <v>73992.232142857203</v>
      </c>
    </row>
    <row r="81" spans="1:46" s="129" customFormat="1" ht="21.5" thickBot="1" x14ac:dyDescent="0.55000000000000004">
      <c r="P81" s="156"/>
      <c r="Q81" s="156"/>
      <c r="AD81" s="156"/>
      <c r="AE81" s="156"/>
      <c r="AR81" s="156"/>
      <c r="AS81" s="156"/>
    </row>
    <row r="82" spans="1:46" s="129" customFormat="1" ht="22" thickTop="1" thickBot="1" x14ac:dyDescent="0.55000000000000004">
      <c r="A82" s="127" t="s">
        <v>76</v>
      </c>
      <c r="B82" s="117"/>
      <c r="C82" s="117" t="str">
        <f t="shared" ref="C82:AQ82" si="234">C$6</f>
        <v>Нульовий період</v>
      </c>
      <c r="D82" s="117" t="str">
        <f t="shared" si="234"/>
        <v>квітень</v>
      </c>
      <c r="E82" s="117" t="str">
        <f t="shared" si="234"/>
        <v>травень</v>
      </c>
      <c r="F82" s="117" t="str">
        <f t="shared" si="234"/>
        <v>червень</v>
      </c>
      <c r="G82" s="117" t="str">
        <f t="shared" si="234"/>
        <v>липень</v>
      </c>
      <c r="H82" s="117" t="str">
        <f t="shared" si="234"/>
        <v>серпень</v>
      </c>
      <c r="I82" s="117" t="str">
        <f t="shared" si="234"/>
        <v>вересень</v>
      </c>
      <c r="J82" s="117" t="str">
        <f t="shared" si="234"/>
        <v>жовтень</v>
      </c>
      <c r="K82" s="117" t="str">
        <f t="shared" si="234"/>
        <v>листопад</v>
      </c>
      <c r="L82" s="117" t="str">
        <f t="shared" si="234"/>
        <v>грудень</v>
      </c>
      <c r="M82" s="117" t="str">
        <f t="shared" si="234"/>
        <v>січень</v>
      </c>
      <c r="N82" s="117" t="str">
        <f t="shared" si="234"/>
        <v>лютий</v>
      </c>
      <c r="O82" s="117" t="str">
        <f t="shared" si="234"/>
        <v>березень</v>
      </c>
      <c r="P82" s="194"/>
      <c r="Q82" s="194"/>
      <c r="R82" s="117" t="str">
        <f t="shared" si="234"/>
        <v>квітень</v>
      </c>
      <c r="S82" s="117" t="str">
        <f t="shared" si="234"/>
        <v>травень</v>
      </c>
      <c r="T82" s="117" t="str">
        <f t="shared" si="234"/>
        <v>червень</v>
      </c>
      <c r="U82" s="117" t="str">
        <f t="shared" si="234"/>
        <v>липень</v>
      </c>
      <c r="V82" s="117" t="str">
        <f t="shared" si="234"/>
        <v>серпень</v>
      </c>
      <c r="W82" s="117" t="str">
        <f t="shared" si="234"/>
        <v>вересень</v>
      </c>
      <c r="X82" s="117" t="str">
        <f t="shared" si="234"/>
        <v>жовтень</v>
      </c>
      <c r="Y82" s="117" t="str">
        <f t="shared" si="234"/>
        <v>листопад</v>
      </c>
      <c r="Z82" s="117" t="str">
        <f t="shared" si="234"/>
        <v>грудень</v>
      </c>
      <c r="AA82" s="117" t="str">
        <f t="shared" si="234"/>
        <v>січень</v>
      </c>
      <c r="AB82" s="117" t="str">
        <f t="shared" si="234"/>
        <v>лютий</v>
      </c>
      <c r="AC82" s="117" t="str">
        <f t="shared" si="234"/>
        <v>березень</v>
      </c>
      <c r="AD82" s="194"/>
      <c r="AE82" s="194"/>
      <c r="AF82" s="117" t="str">
        <f t="shared" si="234"/>
        <v>квітень</v>
      </c>
      <c r="AG82" s="117" t="str">
        <f t="shared" si="234"/>
        <v>травень</v>
      </c>
      <c r="AH82" s="117" t="str">
        <f t="shared" si="234"/>
        <v>червень</v>
      </c>
      <c r="AI82" s="117" t="str">
        <f t="shared" si="234"/>
        <v>липень</v>
      </c>
      <c r="AJ82" s="117" t="str">
        <f t="shared" si="234"/>
        <v>серпень</v>
      </c>
      <c r="AK82" s="117" t="str">
        <f t="shared" si="234"/>
        <v>вересень</v>
      </c>
      <c r="AL82" s="117" t="str">
        <f t="shared" si="234"/>
        <v>жовтень</v>
      </c>
      <c r="AM82" s="117" t="str">
        <f t="shared" si="234"/>
        <v>листопад</v>
      </c>
      <c r="AN82" s="117" t="str">
        <f t="shared" si="234"/>
        <v>грудень</v>
      </c>
      <c r="AO82" s="117" t="str">
        <f t="shared" si="234"/>
        <v>січень</v>
      </c>
      <c r="AP82" s="117" t="str">
        <f t="shared" si="234"/>
        <v>лютий</v>
      </c>
      <c r="AQ82" s="117" t="str">
        <f t="shared" si="234"/>
        <v>березень</v>
      </c>
      <c r="AR82" s="194"/>
      <c r="AS82" s="194"/>
      <c r="AT82" s="117"/>
    </row>
    <row r="83" spans="1:46" s="129" customFormat="1" ht="21.5" thickTop="1" x14ac:dyDescent="0.5">
      <c r="A83" s="195"/>
      <c r="B83" s="195"/>
      <c r="C83" s="195"/>
      <c r="D83" s="195"/>
      <c r="E83" s="195"/>
      <c r="F83" s="195"/>
      <c r="G83" s="195"/>
      <c r="H83" s="195"/>
      <c r="I83" s="195"/>
      <c r="J83" s="196"/>
      <c r="P83" s="156"/>
      <c r="Q83" s="156"/>
      <c r="R83" s="195"/>
      <c r="S83" s="195"/>
      <c r="T83" s="195"/>
      <c r="U83" s="195"/>
      <c r="V83" s="195"/>
      <c r="W83" s="195"/>
      <c r="X83" s="196"/>
      <c r="AD83" s="156"/>
      <c r="AE83" s="156"/>
      <c r="AF83" s="195"/>
      <c r="AG83" s="195"/>
      <c r="AH83" s="195"/>
      <c r="AI83" s="195"/>
      <c r="AJ83" s="195"/>
      <c r="AK83" s="195"/>
      <c r="AL83" s="196"/>
      <c r="AR83" s="156"/>
      <c r="AS83" s="156"/>
      <c r="AT83" s="197"/>
    </row>
    <row r="84" spans="1:46" s="203" customFormat="1" x14ac:dyDescent="0.5">
      <c r="A84" s="198" t="s">
        <v>25</v>
      </c>
      <c r="B84" s="199">
        <f>'Вхідні дані'!M33</f>
        <v>0.1</v>
      </c>
      <c r="C84" s="199"/>
      <c r="D84" s="200">
        <f>1/POWER((1+$B$84/12),D85)</f>
        <v>1</v>
      </c>
      <c r="E84" s="200">
        <f t="shared" ref="E84:O84" si="235">1/POWER((1+$B$84/12),E85)</f>
        <v>0.99173553719008267</v>
      </c>
      <c r="F84" s="200">
        <f t="shared" si="235"/>
        <v>0.98353937572570183</v>
      </c>
      <c r="G84" s="200">
        <f t="shared" si="235"/>
        <v>0.97541095113292753</v>
      </c>
      <c r="H84" s="200">
        <f t="shared" si="235"/>
        <v>0.9673497036029034</v>
      </c>
      <c r="I84" s="200">
        <f t="shared" si="235"/>
        <v>0.95935507795329267</v>
      </c>
      <c r="J84" s="200">
        <f t="shared" si="235"/>
        <v>0.95142652359004232</v>
      </c>
      <c r="K84" s="200">
        <f t="shared" si="235"/>
        <v>0.94356349446946353</v>
      </c>
      <c r="L84" s="200">
        <f t="shared" si="235"/>
        <v>0.93576544906062498</v>
      </c>
      <c r="M84" s="200">
        <f t="shared" si="235"/>
        <v>0.9280318503080579</v>
      </c>
      <c r="N84" s="200">
        <f t="shared" si="235"/>
        <v>0.92036216559476813</v>
      </c>
      <c r="O84" s="200">
        <f t="shared" si="235"/>
        <v>0.91275586670555531</v>
      </c>
      <c r="P84" s="201"/>
      <c r="Q84" s="201"/>
      <c r="R84" s="200">
        <f t="shared" ref="R84:AC84" si="236">1/POWER((1+$B$84/12),R85)</f>
        <v>0.90521242979063321</v>
      </c>
      <c r="S84" s="200">
        <f t="shared" si="236"/>
        <v>0.89773133532955385</v>
      </c>
      <c r="T84" s="200">
        <f t="shared" si="236"/>
        <v>0.89031206809542529</v>
      </c>
      <c r="U84" s="200">
        <f t="shared" si="236"/>
        <v>0.88295411711943006</v>
      </c>
      <c r="V84" s="200">
        <f t="shared" si="236"/>
        <v>0.87565697565563305</v>
      </c>
      <c r="W84" s="200">
        <f t="shared" si="236"/>
        <v>0.86842014114608246</v>
      </c>
      <c r="X84" s="200">
        <f t="shared" si="236"/>
        <v>0.86124311518619745</v>
      </c>
      <c r="Y84" s="200">
        <f t="shared" si="236"/>
        <v>0.85412540349044375</v>
      </c>
      <c r="Z84" s="200">
        <f t="shared" si="236"/>
        <v>0.84706651585829151</v>
      </c>
      <c r="AA84" s="200">
        <f t="shared" si="236"/>
        <v>0.84006596614045448</v>
      </c>
      <c r="AB84" s="200">
        <f t="shared" si="236"/>
        <v>0.83312327220540916</v>
      </c>
      <c r="AC84" s="200">
        <f t="shared" si="236"/>
        <v>0.82623795590619109</v>
      </c>
      <c r="AD84" s="201"/>
      <c r="AE84" s="201"/>
      <c r="AF84" s="200">
        <f t="shared" ref="AF84:AQ84" si="237">1/POWER((1+$B$84/12),AF85)</f>
        <v>0.81940954304746227</v>
      </c>
      <c r="AG84" s="200">
        <f t="shared" si="237"/>
        <v>0.81263756335285531</v>
      </c>
      <c r="AH84" s="200">
        <f t="shared" si="237"/>
        <v>0.80592155043258373</v>
      </c>
      <c r="AI84" s="200">
        <f t="shared" si="237"/>
        <v>0.79926104175132262</v>
      </c>
      <c r="AJ84" s="200">
        <f t="shared" si="237"/>
        <v>0.79265557859635305</v>
      </c>
      <c r="AK84" s="200">
        <f t="shared" si="237"/>
        <v>0.78610470604597016</v>
      </c>
      <c r="AL84" s="200">
        <f t="shared" si="237"/>
        <v>0.77960797293815209</v>
      </c>
      <c r="AM84" s="200">
        <f t="shared" si="237"/>
        <v>0.77316493183948976</v>
      </c>
      <c r="AN84" s="200">
        <f t="shared" si="237"/>
        <v>0.76677513901437</v>
      </c>
      <c r="AO84" s="200">
        <f t="shared" si="237"/>
        <v>0.76043815439441664</v>
      </c>
      <c r="AP84" s="200">
        <f t="shared" si="237"/>
        <v>0.75415354154818171</v>
      </c>
      <c r="AQ84" s="200">
        <f t="shared" si="237"/>
        <v>0.74792086765108945</v>
      </c>
      <c r="AR84" s="201"/>
      <c r="AS84" s="201"/>
      <c r="AT84" s="202"/>
    </row>
    <row r="85" spans="1:46" s="208" customFormat="1" hidden="1" x14ac:dyDescent="0.5">
      <c r="A85" s="204"/>
      <c r="B85" s="199"/>
      <c r="C85" s="199"/>
      <c r="D85" s="205">
        <v>0</v>
      </c>
      <c r="E85" s="205">
        <v>1</v>
      </c>
      <c r="F85" s="205">
        <v>2</v>
      </c>
      <c r="G85" s="205">
        <v>3</v>
      </c>
      <c r="H85" s="205">
        <v>4</v>
      </c>
      <c r="I85" s="205">
        <v>5</v>
      </c>
      <c r="J85" s="205">
        <v>6</v>
      </c>
      <c r="K85" s="205">
        <v>7</v>
      </c>
      <c r="L85" s="205">
        <v>8</v>
      </c>
      <c r="M85" s="205">
        <v>9</v>
      </c>
      <c r="N85" s="205">
        <v>10</v>
      </c>
      <c r="O85" s="205">
        <v>11</v>
      </c>
      <c r="P85" s="206"/>
      <c r="Q85" s="206"/>
      <c r="R85" s="205">
        <v>12</v>
      </c>
      <c r="S85" s="205">
        <v>13</v>
      </c>
      <c r="T85" s="205">
        <v>14</v>
      </c>
      <c r="U85" s="205">
        <v>15</v>
      </c>
      <c r="V85" s="205">
        <v>16</v>
      </c>
      <c r="W85" s="205">
        <v>17</v>
      </c>
      <c r="X85" s="205">
        <v>18</v>
      </c>
      <c r="Y85" s="205">
        <v>19</v>
      </c>
      <c r="Z85" s="205">
        <v>20</v>
      </c>
      <c r="AA85" s="205">
        <v>21</v>
      </c>
      <c r="AB85" s="205">
        <v>22</v>
      </c>
      <c r="AC85" s="205">
        <v>23</v>
      </c>
      <c r="AD85" s="206"/>
      <c r="AE85" s="206"/>
      <c r="AF85" s="205">
        <v>24</v>
      </c>
      <c r="AG85" s="205">
        <v>25</v>
      </c>
      <c r="AH85" s="205">
        <v>26</v>
      </c>
      <c r="AI85" s="205">
        <v>27</v>
      </c>
      <c r="AJ85" s="205">
        <v>28</v>
      </c>
      <c r="AK85" s="205">
        <v>29</v>
      </c>
      <c r="AL85" s="205">
        <v>30</v>
      </c>
      <c r="AM85" s="205">
        <v>31</v>
      </c>
      <c r="AN85" s="205">
        <v>32</v>
      </c>
      <c r="AO85" s="205">
        <v>33</v>
      </c>
      <c r="AP85" s="205">
        <v>34</v>
      </c>
      <c r="AQ85" s="205">
        <v>35</v>
      </c>
      <c r="AR85" s="206"/>
      <c r="AS85" s="206"/>
      <c r="AT85" s="207"/>
    </row>
    <row r="86" spans="1:46" s="208" customFormat="1" x14ac:dyDescent="0.5">
      <c r="A86" s="182" t="str">
        <f>"Чистий грошовий потік (NCF), "&amp;CHOOSE('Вхідні дані'!$P$1,'Вхідні дані'!$Q$1,'Вхідні дані'!$Q$2,'Вхідні дані'!$Q$3,'Вхідні дані'!$Q$4)&amp;""</f>
        <v>Чистий грошовий потік (NCF), USD</v>
      </c>
      <c r="B86" s="199"/>
      <c r="C86" s="199"/>
      <c r="D86" s="160">
        <f>D70</f>
        <v>1518.3571428571433</v>
      </c>
      <c r="E86" s="160">
        <f t="shared" ref="E86:O86" si="238">E70</f>
        <v>2669.0714285714289</v>
      </c>
      <c r="F86" s="160">
        <f t="shared" si="238"/>
        <v>3180.5000000000009</v>
      </c>
      <c r="G86" s="160">
        <f t="shared" si="238"/>
        <v>4075.5000000000009</v>
      </c>
      <c r="H86" s="160">
        <f t="shared" si="238"/>
        <v>4075.5000000000009</v>
      </c>
      <c r="I86" s="160">
        <f t="shared" si="238"/>
        <v>3883.7142857142858</v>
      </c>
      <c r="J86" s="160">
        <f t="shared" si="238"/>
        <v>1582.2857142857144</v>
      </c>
      <c r="K86" s="160">
        <f t="shared" si="238"/>
        <v>495.50000000000045</v>
      </c>
      <c r="L86" s="160">
        <f t="shared" si="238"/>
        <v>-1038.7857142857142</v>
      </c>
      <c r="M86" s="160">
        <f t="shared" si="238"/>
        <v>-1038.7857142857142</v>
      </c>
      <c r="N86" s="160">
        <f t="shared" si="238"/>
        <v>-1038.7857142857142</v>
      </c>
      <c r="O86" s="160">
        <f t="shared" si="238"/>
        <v>-335.57142857142856</v>
      </c>
      <c r="P86" s="206"/>
      <c r="Q86" s="206"/>
      <c r="R86" s="160">
        <f>R70</f>
        <v>3844.0357142857156</v>
      </c>
      <c r="S86" s="160">
        <f t="shared" ref="S86:AC86" si="239">S70</f>
        <v>4045.4107142857156</v>
      </c>
      <c r="T86" s="160">
        <f t="shared" si="239"/>
        <v>3844.0357142857156</v>
      </c>
      <c r="U86" s="160">
        <f t="shared" si="239"/>
        <v>4850.9107142857156</v>
      </c>
      <c r="V86" s="160">
        <f t="shared" si="239"/>
        <v>4850.9107142857156</v>
      </c>
      <c r="W86" s="160">
        <f t="shared" si="239"/>
        <v>4649.5357142857156</v>
      </c>
      <c r="X86" s="160">
        <f t="shared" si="239"/>
        <v>1964.5357142857149</v>
      </c>
      <c r="Y86" s="160">
        <f t="shared" si="239"/>
        <v>756.2857142857149</v>
      </c>
      <c r="Z86" s="160">
        <f t="shared" si="239"/>
        <v>-1056.0892857142856</v>
      </c>
      <c r="AA86" s="160">
        <f t="shared" si="239"/>
        <v>-1056.0892857142856</v>
      </c>
      <c r="AB86" s="160">
        <f t="shared" si="239"/>
        <v>-1056.0892857142856</v>
      </c>
      <c r="AC86" s="160">
        <f t="shared" si="239"/>
        <v>-250.58928571428544</v>
      </c>
      <c r="AD86" s="206"/>
      <c r="AE86" s="206"/>
      <c r="AF86" s="160">
        <f>AF70</f>
        <v>4552.3214285714294</v>
      </c>
      <c r="AG86" s="160">
        <f t="shared" ref="AG86:AQ86" si="240">AG70</f>
        <v>4763.2857142857156</v>
      </c>
      <c r="AH86" s="160">
        <f t="shared" si="240"/>
        <v>4552.3214285714294</v>
      </c>
      <c r="AI86" s="160">
        <f t="shared" si="240"/>
        <v>5677.4642857142862</v>
      </c>
      <c r="AJ86" s="160">
        <f t="shared" si="240"/>
        <v>5677.4642857142862</v>
      </c>
      <c r="AK86" s="160">
        <f t="shared" si="240"/>
        <v>5396.1785714285725</v>
      </c>
      <c r="AL86" s="160">
        <f t="shared" si="240"/>
        <v>2372.3571428571436</v>
      </c>
      <c r="AM86" s="160">
        <f t="shared" si="240"/>
        <v>965.92857142857179</v>
      </c>
      <c r="AN86" s="160">
        <f t="shared" si="240"/>
        <v>-1073.3928571428569</v>
      </c>
      <c r="AO86" s="160">
        <f t="shared" si="240"/>
        <v>-1073.3928571428569</v>
      </c>
      <c r="AP86" s="160">
        <f t="shared" si="240"/>
        <v>-1073.3928571428569</v>
      </c>
      <c r="AQ86" s="160">
        <f t="shared" si="240"/>
        <v>-159.21428571428532</v>
      </c>
      <c r="AR86" s="206"/>
      <c r="AS86" s="206"/>
      <c r="AT86" s="207"/>
    </row>
    <row r="87" spans="1:46" s="208" customFormat="1" x14ac:dyDescent="0.5">
      <c r="A87" s="182" t="str">
        <f>"Чистий грошовий потік (NCF) накопичувальним підсумком, "&amp;CHOOSE('Вхідні дані'!$P$1,'Вхідні дані'!$Q$1,'Вхідні дані'!$Q$2,'Вхідні дані'!$Q$3,'Вхідні дані'!$Q$4)&amp;""</f>
        <v>Чистий грошовий потік (NCF) накопичувальним підсумком, USD</v>
      </c>
      <c r="B87" s="199"/>
      <c r="C87" s="199"/>
      <c r="D87" s="160">
        <f>B87+D86</f>
        <v>1518.3571428571433</v>
      </c>
      <c r="E87" s="160">
        <f t="shared" ref="E87:O87" si="241">D87+E86</f>
        <v>4187.4285714285725</v>
      </c>
      <c r="F87" s="160">
        <f t="shared" si="241"/>
        <v>7367.9285714285734</v>
      </c>
      <c r="G87" s="160">
        <f t="shared" si="241"/>
        <v>11443.428571428574</v>
      </c>
      <c r="H87" s="160">
        <f t="shared" si="241"/>
        <v>15518.928571428576</v>
      </c>
      <c r="I87" s="160">
        <f t="shared" si="241"/>
        <v>19402.642857142862</v>
      </c>
      <c r="J87" s="160">
        <f t="shared" si="241"/>
        <v>20984.928571428576</v>
      </c>
      <c r="K87" s="160">
        <f t="shared" si="241"/>
        <v>21480.428571428576</v>
      </c>
      <c r="L87" s="160">
        <f t="shared" si="241"/>
        <v>20441.642857142862</v>
      </c>
      <c r="M87" s="160">
        <f t="shared" si="241"/>
        <v>19402.857142857149</v>
      </c>
      <c r="N87" s="160">
        <f t="shared" si="241"/>
        <v>18364.071428571435</v>
      </c>
      <c r="O87" s="160">
        <f t="shared" si="241"/>
        <v>18028.500000000007</v>
      </c>
      <c r="P87" s="206"/>
      <c r="Q87" s="206"/>
      <c r="R87" s="160">
        <f>O87+R86</f>
        <v>21872.535714285725</v>
      </c>
      <c r="S87" s="160">
        <f t="shared" ref="S87:AC87" si="242">R87+S86</f>
        <v>25917.946428571442</v>
      </c>
      <c r="T87" s="160">
        <f t="shared" si="242"/>
        <v>29761.982142857159</v>
      </c>
      <c r="U87" s="160">
        <f t="shared" si="242"/>
        <v>34612.892857142877</v>
      </c>
      <c r="V87" s="160">
        <f t="shared" si="242"/>
        <v>39463.803571428594</v>
      </c>
      <c r="W87" s="160">
        <f t="shared" si="242"/>
        <v>44113.339285714312</v>
      </c>
      <c r="X87" s="160">
        <f t="shared" si="242"/>
        <v>46077.875000000029</v>
      </c>
      <c r="Y87" s="160">
        <f t="shared" si="242"/>
        <v>46834.160714285747</v>
      </c>
      <c r="Z87" s="160">
        <f t="shared" si="242"/>
        <v>45778.071428571464</v>
      </c>
      <c r="AA87" s="160">
        <f t="shared" si="242"/>
        <v>44721.982142857181</v>
      </c>
      <c r="AB87" s="160">
        <f t="shared" si="242"/>
        <v>43665.892857142899</v>
      </c>
      <c r="AC87" s="160">
        <f t="shared" si="242"/>
        <v>43415.303571428616</v>
      </c>
      <c r="AD87" s="206"/>
      <c r="AE87" s="206"/>
      <c r="AF87" s="160">
        <f>AC87+AF86</f>
        <v>47967.625000000044</v>
      </c>
      <c r="AG87" s="160">
        <f t="shared" ref="AG87:AQ87" si="243">AF87+AG86</f>
        <v>52730.910714285761</v>
      </c>
      <c r="AH87" s="160">
        <f t="shared" si="243"/>
        <v>57283.232142857189</v>
      </c>
      <c r="AI87" s="160">
        <f t="shared" si="243"/>
        <v>62960.696428571478</v>
      </c>
      <c r="AJ87" s="160">
        <f t="shared" si="243"/>
        <v>68638.160714285768</v>
      </c>
      <c r="AK87" s="160">
        <f t="shared" si="243"/>
        <v>74034.339285714348</v>
      </c>
      <c r="AL87" s="160">
        <f t="shared" si="243"/>
        <v>76406.696428571493</v>
      </c>
      <c r="AM87" s="160">
        <f t="shared" si="243"/>
        <v>77372.625000000058</v>
      </c>
      <c r="AN87" s="160">
        <f t="shared" si="243"/>
        <v>76299.232142857203</v>
      </c>
      <c r="AO87" s="160">
        <f t="shared" si="243"/>
        <v>75225.839285714348</v>
      </c>
      <c r="AP87" s="160">
        <f t="shared" si="243"/>
        <v>74152.446428571493</v>
      </c>
      <c r="AQ87" s="160">
        <f t="shared" si="243"/>
        <v>73993.232142857203</v>
      </c>
      <c r="AR87" s="206"/>
      <c r="AS87" s="206"/>
      <c r="AT87" s="207"/>
    </row>
    <row r="88" spans="1:46" s="129" customFormat="1" x14ac:dyDescent="0.5">
      <c r="A88" s="184" t="str">
        <f>"Чиста приведена вартість (NPV), "&amp;CHOOSE('Вхідні дані'!$P$1,'Вхідні дані'!$Q$1,'Вхідні дані'!$Q$2,'Вхідні дані'!$Q$3,'Вхідні дані'!$Q$4)&amp;""</f>
        <v>Чиста приведена вартість (NPV), USD</v>
      </c>
      <c r="B88" s="209"/>
      <c r="C88" s="209"/>
      <c r="D88" s="160">
        <f>IF(D86*D84&lt;0,D86,D86*D84)</f>
        <v>1518.3571428571433</v>
      </c>
      <c r="E88" s="160">
        <f t="shared" ref="E88:O88" si="244">IF(E86*E84&lt;0,E86,E86*E84)</f>
        <v>2647.0129870129872</v>
      </c>
      <c r="F88" s="160">
        <f t="shared" si="244"/>
        <v>3128.1469844955955</v>
      </c>
      <c r="G88" s="160">
        <f t="shared" si="244"/>
        <v>3975.2873313422469</v>
      </c>
      <c r="H88" s="160">
        <f t="shared" si="244"/>
        <v>3942.4337170336335</v>
      </c>
      <c r="I88" s="160">
        <f t="shared" si="244"/>
        <v>3725.8610213197449</v>
      </c>
      <c r="J88" s="160">
        <f t="shared" si="244"/>
        <v>1505.4285964690444</v>
      </c>
      <c r="K88" s="160">
        <f t="shared" si="244"/>
        <v>467.5357115096196</v>
      </c>
      <c r="L88" s="160">
        <f>IF(L86*L84&lt;0,L86,L86*L84)</f>
        <v>-1038.7857142857142</v>
      </c>
      <c r="M88" s="160">
        <f t="shared" si="244"/>
        <v>-1038.7857142857142</v>
      </c>
      <c r="N88" s="160">
        <f t="shared" si="244"/>
        <v>-1038.7857142857142</v>
      </c>
      <c r="O88" s="160">
        <f t="shared" si="244"/>
        <v>-335.57142857142856</v>
      </c>
      <c r="P88" s="150"/>
      <c r="Q88" s="150"/>
      <c r="R88" s="160">
        <f>IF(R86*R84&lt;0,R86,R86*R84)</f>
        <v>3479.6689091305448</v>
      </c>
      <c r="S88" s="160">
        <f t="shared" ref="S88:AC88" si="245">IF(S86*S84&lt;0,S86,S86*S84)</f>
        <v>3631.6919624921998</v>
      </c>
      <c r="T88" s="160">
        <f t="shared" si="245"/>
        <v>3422.3913866183907</v>
      </c>
      <c r="U88" s="160">
        <f t="shared" si="245"/>
        <v>4283.1315869573282</v>
      </c>
      <c r="V88" s="160">
        <f t="shared" si="245"/>
        <v>4247.7338052469368</v>
      </c>
      <c r="W88" s="160">
        <f t="shared" si="245"/>
        <v>4037.7504612637526</v>
      </c>
      <c r="X88" s="160">
        <f t="shared" si="245"/>
        <v>1691.9428584659706</v>
      </c>
      <c r="Y88" s="160">
        <f t="shared" si="245"/>
        <v>645.96284086834464</v>
      </c>
      <c r="Z88" s="160">
        <f>IF(Z86*Z84&lt;0,Z86,Z86*Z84)</f>
        <v>-1056.0892857142856</v>
      </c>
      <c r="AA88" s="160">
        <f t="shared" si="245"/>
        <v>-1056.0892857142856</v>
      </c>
      <c r="AB88" s="160">
        <f t="shared" si="245"/>
        <v>-1056.0892857142856</v>
      </c>
      <c r="AC88" s="160">
        <f t="shared" si="245"/>
        <v>-250.58928571428544</v>
      </c>
      <c r="AD88" s="150"/>
      <c r="AE88" s="150"/>
      <c r="AF88" s="160">
        <f>IF(AF86*AF84&lt;0,AF86,AF86*AF84)</f>
        <v>3730.2156215908858</v>
      </c>
      <c r="AG88" s="160">
        <f t="shared" ref="AG88:AQ88" si="246">IF(AG86*AG84&lt;0,AG86,AG86*AG84)</f>
        <v>3870.8248964106087</v>
      </c>
      <c r="AH88" s="160">
        <f t="shared" si="246"/>
        <v>3668.8139437817608</v>
      </c>
      <c r="AI88" s="160">
        <f t="shared" si="246"/>
        <v>4537.7760195059291</v>
      </c>
      <c r="AJ88" s="160">
        <f t="shared" si="246"/>
        <v>4500.2737383529875</v>
      </c>
      <c r="AK88" s="160">
        <f t="shared" si="246"/>
        <v>4241.961369664421</v>
      </c>
      <c r="AL88" s="160">
        <f t="shared" si="246"/>
        <v>1849.5085432282037</v>
      </c>
      <c r="AM88" s="160">
        <f t="shared" si="246"/>
        <v>746.82209809038739</v>
      </c>
      <c r="AN88" s="160">
        <f>IF(AN86*AN84&lt;0,AN86,AN86*AN84)</f>
        <v>-1073.3928571428569</v>
      </c>
      <c r="AO88" s="160">
        <f t="shared" si="246"/>
        <v>-1073.3928571428569</v>
      </c>
      <c r="AP88" s="160">
        <f t="shared" si="246"/>
        <v>-1073.3928571428569</v>
      </c>
      <c r="AQ88" s="160">
        <f t="shared" si="246"/>
        <v>-159.21428571428532</v>
      </c>
      <c r="AR88" s="210"/>
      <c r="AS88" s="210"/>
      <c r="AT88" s="150"/>
    </row>
    <row r="89" spans="1:46" s="129" customFormat="1" x14ac:dyDescent="0.5">
      <c r="A89" s="184" t="str">
        <f>"Чиста приведена вартість (NPV) накопичувальним підсумком, "&amp;CHOOSE('Вхідні дані'!$P$1,'Вхідні дані'!$Q$1,'Вхідні дані'!$Q$2,'Вхідні дані'!$Q$3,'Вхідні дані'!$Q$4)&amp;""</f>
        <v>Чиста приведена вартість (NPV) накопичувальним підсумком, USD</v>
      </c>
      <c r="B89" s="209"/>
      <c r="C89" s="209"/>
      <c r="D89" s="160">
        <f>B89+D88</f>
        <v>1518.3571428571433</v>
      </c>
      <c r="E89" s="160">
        <f t="shared" ref="E89:O89" si="247">D89+E88</f>
        <v>4165.3701298701308</v>
      </c>
      <c r="F89" s="160">
        <f t="shared" si="247"/>
        <v>7293.5171143657262</v>
      </c>
      <c r="G89" s="160">
        <f t="shared" si="247"/>
        <v>11268.804445707974</v>
      </c>
      <c r="H89" s="160">
        <f t="shared" si="247"/>
        <v>15211.238162741607</v>
      </c>
      <c r="I89" s="160">
        <f t="shared" si="247"/>
        <v>18937.099184061353</v>
      </c>
      <c r="J89" s="160">
        <f t="shared" si="247"/>
        <v>20442.527780530399</v>
      </c>
      <c r="K89" s="160">
        <f t="shared" si="247"/>
        <v>20910.063492040019</v>
      </c>
      <c r="L89" s="160">
        <f t="shared" si="247"/>
        <v>19871.277777754305</v>
      </c>
      <c r="M89" s="160">
        <f t="shared" si="247"/>
        <v>18832.492063468591</v>
      </c>
      <c r="N89" s="160">
        <f t="shared" si="247"/>
        <v>17793.706349182878</v>
      </c>
      <c r="O89" s="160">
        <f t="shared" si="247"/>
        <v>17458.13492061145</v>
      </c>
      <c r="P89" s="150"/>
      <c r="Q89" s="150"/>
      <c r="R89" s="160">
        <f>O89+R88</f>
        <v>20937.803829741995</v>
      </c>
      <c r="S89" s="160">
        <f t="shared" ref="S89:AC89" si="248">R89+S88</f>
        <v>24569.495792234196</v>
      </c>
      <c r="T89" s="160">
        <f t="shared" si="248"/>
        <v>27991.887178852587</v>
      </c>
      <c r="U89" s="160">
        <f t="shared" si="248"/>
        <v>32275.018765809917</v>
      </c>
      <c r="V89" s="160">
        <f t="shared" si="248"/>
        <v>36522.752571056852</v>
      </c>
      <c r="W89" s="160">
        <f t="shared" si="248"/>
        <v>40560.503032320601</v>
      </c>
      <c r="X89" s="160">
        <f t="shared" si="248"/>
        <v>42252.44589078657</v>
      </c>
      <c r="Y89" s="160">
        <f t="shared" si="248"/>
        <v>42898.408731654912</v>
      </c>
      <c r="Z89" s="160">
        <f t="shared" si="248"/>
        <v>41842.31944594063</v>
      </c>
      <c r="AA89" s="160">
        <f t="shared" si="248"/>
        <v>40786.230160226347</v>
      </c>
      <c r="AB89" s="160">
        <f t="shared" si="248"/>
        <v>39730.140874512064</v>
      </c>
      <c r="AC89" s="160">
        <f t="shared" si="248"/>
        <v>39479.551588797782</v>
      </c>
      <c r="AD89" s="150"/>
      <c r="AE89" s="150"/>
      <c r="AF89" s="160">
        <f>AC89+AF88</f>
        <v>43209.767210388665</v>
      </c>
      <c r="AG89" s="160">
        <f t="shared" ref="AG89:AQ89" si="249">AF89+AG88</f>
        <v>47080.592106799275</v>
      </c>
      <c r="AH89" s="160">
        <f t="shared" si="249"/>
        <v>50749.406050581034</v>
      </c>
      <c r="AI89" s="160">
        <f t="shared" si="249"/>
        <v>55287.182070086965</v>
      </c>
      <c r="AJ89" s="160">
        <f t="shared" si="249"/>
        <v>59787.455808439954</v>
      </c>
      <c r="AK89" s="160">
        <f t="shared" si="249"/>
        <v>64029.417178104377</v>
      </c>
      <c r="AL89" s="160">
        <f t="shared" si="249"/>
        <v>65878.925721332576</v>
      </c>
      <c r="AM89" s="160">
        <f t="shared" si="249"/>
        <v>66625.747819422962</v>
      </c>
      <c r="AN89" s="160">
        <f t="shared" si="249"/>
        <v>65552.354962280107</v>
      </c>
      <c r="AO89" s="160">
        <f t="shared" si="249"/>
        <v>64478.962105137252</v>
      </c>
      <c r="AP89" s="160">
        <f t="shared" si="249"/>
        <v>63405.569247994397</v>
      </c>
      <c r="AQ89" s="160">
        <f t="shared" si="249"/>
        <v>63246.354962280115</v>
      </c>
      <c r="AR89" s="210"/>
      <c r="AS89" s="210"/>
      <c r="AT89" s="150"/>
    </row>
    <row r="90" spans="1:46" s="129" customFormat="1" x14ac:dyDescent="0.5">
      <c r="A90" s="182"/>
      <c r="B90" s="211"/>
      <c r="C90" s="211"/>
      <c r="D90" s="209"/>
      <c r="E90" s="209"/>
      <c r="F90" s="209"/>
      <c r="G90" s="209"/>
      <c r="H90" s="209"/>
      <c r="I90" s="209"/>
      <c r="J90" s="209"/>
      <c r="K90" s="209"/>
      <c r="L90" s="209"/>
      <c r="M90" s="209"/>
      <c r="N90" s="209"/>
      <c r="O90" s="209"/>
      <c r="P90" s="210"/>
      <c r="Q90" s="210"/>
      <c r="R90" s="209"/>
      <c r="S90" s="209"/>
      <c r="T90" s="209"/>
      <c r="U90" s="209"/>
      <c r="V90" s="209"/>
      <c r="W90" s="209"/>
      <c r="X90" s="209"/>
      <c r="Y90" s="209"/>
      <c r="Z90" s="209"/>
      <c r="AA90" s="209"/>
      <c r="AB90" s="209"/>
      <c r="AC90" s="209"/>
      <c r="AD90" s="210"/>
      <c r="AE90" s="210"/>
      <c r="AF90" s="209"/>
      <c r="AG90" s="209"/>
      <c r="AH90" s="209"/>
      <c r="AI90" s="209"/>
      <c r="AJ90" s="209"/>
      <c r="AK90" s="209"/>
      <c r="AL90" s="209"/>
      <c r="AM90" s="209"/>
      <c r="AN90" s="209"/>
      <c r="AO90" s="209"/>
      <c r="AP90" s="209"/>
      <c r="AQ90" s="209"/>
      <c r="AR90" s="210"/>
      <c r="AS90" s="210"/>
      <c r="AT90" s="212"/>
    </row>
    <row r="91" spans="1:46" s="129" customFormat="1" x14ac:dyDescent="0.5">
      <c r="A91" s="213" t="str">
        <f>"Чиста приведена вартість (NPV) на кінець 3-го року, "&amp;CHOOSE('Вхідні дані'!$P$1,'Вхідні дані'!$Q$1,'Вхідні дані'!$Q$2,'Вхідні дані'!$Q$3,'Вхідні дані'!$Q$4)&amp;""</f>
        <v>Чиста приведена вартість (NPV) на кінець 3-го року, USD</v>
      </c>
      <c r="B91" s="214">
        <f>AQ89+AT77</f>
        <v>49046.354962280115</v>
      </c>
      <c r="C91" s="210"/>
      <c r="E91" s="209"/>
      <c r="F91" s="209"/>
      <c r="G91" s="209"/>
      <c r="H91" s="209"/>
      <c r="I91" s="209"/>
      <c r="J91" s="209"/>
      <c r="K91" s="209"/>
      <c r="L91" s="209"/>
      <c r="M91" s="209"/>
      <c r="N91" s="209"/>
      <c r="O91" s="209"/>
      <c r="P91" s="210"/>
      <c r="Q91" s="210"/>
      <c r="R91" s="209"/>
      <c r="S91" s="209"/>
      <c r="T91" s="209"/>
      <c r="U91" s="209"/>
      <c r="V91" s="209"/>
      <c r="W91" s="209"/>
      <c r="X91" s="209"/>
      <c r="Y91" s="209"/>
      <c r="Z91" s="209"/>
      <c r="AA91" s="209"/>
      <c r="AB91" s="209"/>
      <c r="AC91" s="209"/>
      <c r="AD91" s="210"/>
      <c r="AE91" s="210"/>
      <c r="AF91" s="209"/>
      <c r="AG91" s="209"/>
      <c r="AH91" s="209"/>
      <c r="AI91" s="209"/>
      <c r="AJ91" s="209"/>
      <c r="AK91" s="209"/>
      <c r="AL91" s="209"/>
      <c r="AM91" s="209"/>
      <c r="AN91" s="209"/>
      <c r="AO91" s="209"/>
      <c r="AP91" s="209"/>
      <c r="AQ91" s="209"/>
      <c r="AR91" s="210"/>
      <c r="AS91" s="210"/>
      <c r="AT91" s="212"/>
    </row>
    <row r="92" spans="1:46" s="129" customFormat="1" x14ac:dyDescent="0.5">
      <c r="A92" s="213" t="s">
        <v>77</v>
      </c>
      <c r="B92" s="214">
        <f>AQ89/AT38</f>
        <v>4.4539686593155015</v>
      </c>
      <c r="C92" s="210"/>
      <c r="E92" s="209"/>
      <c r="F92" s="209"/>
      <c r="G92" s="209"/>
      <c r="H92" s="209"/>
      <c r="I92" s="209"/>
      <c r="J92" s="209"/>
      <c r="K92" s="209"/>
      <c r="L92" s="209"/>
      <c r="M92" s="209"/>
      <c r="N92" s="209"/>
      <c r="O92" s="209"/>
      <c r="P92" s="210"/>
      <c r="Q92" s="210"/>
      <c r="R92" s="147"/>
      <c r="S92" s="209"/>
      <c r="T92" s="209"/>
      <c r="U92" s="209"/>
      <c r="V92" s="209"/>
      <c r="W92" s="209"/>
      <c r="X92" s="209"/>
      <c r="Y92" s="209"/>
      <c r="Z92" s="209"/>
      <c r="AA92" s="209"/>
      <c r="AB92" s="209"/>
      <c r="AC92" s="209"/>
      <c r="AD92" s="210"/>
      <c r="AE92" s="210"/>
      <c r="AF92" s="147"/>
      <c r="AG92" s="209"/>
      <c r="AH92" s="209"/>
      <c r="AI92" s="209"/>
      <c r="AJ92" s="209"/>
      <c r="AK92" s="209"/>
      <c r="AL92" s="209"/>
      <c r="AM92" s="209"/>
      <c r="AN92" s="209"/>
      <c r="AO92" s="209"/>
      <c r="AP92" s="209"/>
      <c r="AQ92" s="209"/>
      <c r="AR92" s="210"/>
      <c r="AS92" s="210"/>
      <c r="AT92" s="212"/>
    </row>
    <row r="93" spans="1:46" s="129" customFormat="1" x14ac:dyDescent="0.5">
      <c r="A93" s="215" t="s">
        <v>78</v>
      </c>
      <c r="B93" s="216">
        <f>AT98</f>
        <v>5</v>
      </c>
      <c r="C93" s="217"/>
      <c r="E93" s="209"/>
      <c r="F93" s="209"/>
      <c r="G93" s="209"/>
      <c r="H93" s="209"/>
      <c r="I93" s="209"/>
      <c r="J93" s="209"/>
      <c r="K93" s="209"/>
      <c r="L93" s="209"/>
      <c r="M93" s="209"/>
      <c r="N93" s="209"/>
      <c r="O93" s="209"/>
      <c r="P93" s="210"/>
      <c r="Q93" s="210"/>
      <c r="R93" s="209"/>
      <c r="S93" s="209"/>
      <c r="T93" s="209"/>
      <c r="U93" s="209"/>
      <c r="V93" s="209"/>
      <c r="W93" s="209"/>
      <c r="X93" s="209"/>
      <c r="Y93" s="209"/>
      <c r="Z93" s="209"/>
      <c r="AA93" s="209"/>
      <c r="AB93" s="209"/>
      <c r="AC93" s="209"/>
      <c r="AD93" s="210"/>
      <c r="AE93" s="210"/>
      <c r="AF93" s="209"/>
      <c r="AG93" s="209"/>
      <c r="AH93" s="209"/>
      <c r="AI93" s="209"/>
      <c r="AJ93" s="209"/>
      <c r="AK93" s="209"/>
      <c r="AL93" s="209"/>
      <c r="AM93" s="209"/>
      <c r="AN93" s="209"/>
      <c r="AO93" s="209"/>
      <c r="AP93" s="209"/>
      <c r="AQ93" s="209"/>
      <c r="AR93" s="210"/>
      <c r="AS93" s="210"/>
      <c r="AT93" s="212"/>
    </row>
    <row r="94" spans="1:46" x14ac:dyDescent="0.5">
      <c r="A94" s="215" t="s">
        <v>79</v>
      </c>
      <c r="B94" s="216">
        <f>AT99</f>
        <v>1</v>
      </c>
      <c r="C94" s="217"/>
      <c r="D94" s="174"/>
      <c r="E94" s="174"/>
      <c r="F94" s="218"/>
      <c r="G94" s="218"/>
      <c r="H94" s="218"/>
      <c r="I94" s="174"/>
      <c r="J94" s="172"/>
      <c r="K94" s="172"/>
      <c r="L94" s="172"/>
      <c r="M94" s="172"/>
      <c r="N94" s="172"/>
      <c r="O94" s="172"/>
      <c r="P94" s="175"/>
      <c r="Q94" s="175"/>
      <c r="R94" s="174"/>
      <c r="S94" s="174"/>
      <c r="T94" s="218"/>
      <c r="U94" s="218"/>
      <c r="V94" s="218"/>
      <c r="W94" s="174"/>
      <c r="X94" s="172"/>
      <c r="Y94" s="172"/>
      <c r="Z94" s="172"/>
      <c r="AA94" s="172"/>
      <c r="AB94" s="172"/>
      <c r="AC94" s="172"/>
      <c r="AD94" s="175"/>
      <c r="AE94" s="175"/>
      <c r="AF94" s="174"/>
      <c r="AG94" s="174"/>
      <c r="AH94" s="218"/>
      <c r="AI94" s="218"/>
      <c r="AJ94" s="218"/>
      <c r="AK94" s="174"/>
      <c r="AL94" s="172"/>
      <c r="AM94" s="172"/>
      <c r="AN94" s="172"/>
      <c r="AO94" s="172"/>
      <c r="AP94" s="172"/>
      <c r="AQ94" s="172"/>
      <c r="AR94" s="175"/>
      <c r="AS94" s="175"/>
      <c r="AT94" s="172"/>
    </row>
    <row r="95" spans="1:46" s="129" customFormat="1" x14ac:dyDescent="0.5">
      <c r="B95" s="147"/>
      <c r="C95" s="147"/>
      <c r="D95" s="219"/>
      <c r="F95" s="220"/>
      <c r="P95" s="156"/>
      <c r="Q95" s="156"/>
      <c r="R95" s="219"/>
      <c r="T95" s="220"/>
      <c r="AD95" s="156"/>
      <c r="AE95" s="156"/>
      <c r="AF95" s="219"/>
      <c r="AH95" s="220"/>
      <c r="AR95" s="156"/>
      <c r="AS95" s="156"/>
    </row>
    <row r="96" spans="1:46" s="221" customFormat="1" hidden="1" x14ac:dyDescent="0.5">
      <c r="B96" s="222" t="s">
        <v>94</v>
      </c>
      <c r="C96" s="222"/>
      <c r="D96" s="222">
        <f t="shared" ref="D96:O96" si="250">IF(D71&gt;0,0,1)</f>
        <v>1</v>
      </c>
      <c r="E96" s="222">
        <f t="shared" si="250"/>
        <v>1</v>
      </c>
      <c r="F96" s="222">
        <f t="shared" si="250"/>
        <v>1</v>
      </c>
      <c r="G96" s="222">
        <f t="shared" si="250"/>
        <v>1</v>
      </c>
      <c r="H96" s="222">
        <f t="shared" si="250"/>
        <v>0</v>
      </c>
      <c r="I96" s="222">
        <f t="shared" si="250"/>
        <v>0</v>
      </c>
      <c r="J96" s="222">
        <f t="shared" si="250"/>
        <v>0</v>
      </c>
      <c r="K96" s="222">
        <f t="shared" si="250"/>
        <v>0</v>
      </c>
      <c r="L96" s="222">
        <f t="shared" si="250"/>
        <v>0</v>
      </c>
      <c r="M96" s="222">
        <f t="shared" si="250"/>
        <v>0</v>
      </c>
      <c r="N96" s="222">
        <f t="shared" si="250"/>
        <v>0</v>
      </c>
      <c r="O96" s="222">
        <f t="shared" si="250"/>
        <v>0</v>
      </c>
      <c r="P96" s="223"/>
      <c r="Q96" s="223"/>
      <c r="R96" s="222">
        <f t="shared" ref="R96:AC96" si="251">IF(R71&gt;0,0,1)</f>
        <v>0</v>
      </c>
      <c r="S96" s="222">
        <f t="shared" si="251"/>
        <v>0</v>
      </c>
      <c r="T96" s="222">
        <f t="shared" si="251"/>
        <v>0</v>
      </c>
      <c r="U96" s="222">
        <f t="shared" si="251"/>
        <v>0</v>
      </c>
      <c r="V96" s="222">
        <f t="shared" si="251"/>
        <v>0</v>
      </c>
      <c r="W96" s="222">
        <f t="shared" si="251"/>
        <v>0</v>
      </c>
      <c r="X96" s="222">
        <f t="shared" si="251"/>
        <v>0</v>
      </c>
      <c r="Y96" s="222">
        <f t="shared" si="251"/>
        <v>0</v>
      </c>
      <c r="Z96" s="222">
        <f t="shared" si="251"/>
        <v>0</v>
      </c>
      <c r="AA96" s="222">
        <f t="shared" si="251"/>
        <v>0</v>
      </c>
      <c r="AB96" s="222">
        <f t="shared" si="251"/>
        <v>0</v>
      </c>
      <c r="AC96" s="222">
        <f t="shared" si="251"/>
        <v>0</v>
      </c>
      <c r="AD96" s="223"/>
      <c r="AE96" s="223"/>
      <c r="AF96" s="222">
        <f t="shared" ref="AF96:AQ96" si="252">IF(AF71&gt;0,0,1)</f>
        <v>0</v>
      </c>
      <c r="AG96" s="222">
        <f t="shared" si="252"/>
        <v>0</v>
      </c>
      <c r="AH96" s="222">
        <f t="shared" si="252"/>
        <v>0</v>
      </c>
      <c r="AI96" s="222">
        <f t="shared" si="252"/>
        <v>0</v>
      </c>
      <c r="AJ96" s="222">
        <f t="shared" si="252"/>
        <v>0</v>
      </c>
      <c r="AK96" s="222">
        <f t="shared" si="252"/>
        <v>0</v>
      </c>
      <c r="AL96" s="222">
        <f t="shared" si="252"/>
        <v>0</v>
      </c>
      <c r="AM96" s="222">
        <f t="shared" si="252"/>
        <v>0</v>
      </c>
      <c r="AN96" s="222">
        <f t="shared" si="252"/>
        <v>0</v>
      </c>
      <c r="AO96" s="222">
        <f t="shared" si="252"/>
        <v>0</v>
      </c>
      <c r="AP96" s="222">
        <f t="shared" si="252"/>
        <v>0</v>
      </c>
      <c r="AQ96" s="222">
        <f t="shared" si="252"/>
        <v>0</v>
      </c>
      <c r="AR96" s="223"/>
      <c r="AS96" s="223"/>
      <c r="AT96" s="221">
        <f>SUM(D96:AQ96)</f>
        <v>4</v>
      </c>
    </row>
    <row r="97" spans="1:46" s="222" customFormat="1" hidden="1" x14ac:dyDescent="0.5">
      <c r="B97" s="222" t="s">
        <v>95</v>
      </c>
      <c r="D97" s="222">
        <f>IF(D70&gt;0,0,1)</f>
        <v>0</v>
      </c>
      <c r="E97" s="222">
        <f>IF(OR(E70&gt;0,D97=0),0,1)</f>
        <v>0</v>
      </c>
      <c r="F97" s="222">
        <f t="shared" ref="F97:O97" si="253">IF(OR(F70&gt;0,E97=0),0,1)</f>
        <v>0</v>
      </c>
      <c r="G97" s="222">
        <f t="shared" si="253"/>
        <v>0</v>
      </c>
      <c r="H97" s="222">
        <f t="shared" si="253"/>
        <v>0</v>
      </c>
      <c r="I97" s="222">
        <f t="shared" si="253"/>
        <v>0</v>
      </c>
      <c r="J97" s="222">
        <f>IF(OR(J70&gt;0,I97=0),0,1)</f>
        <v>0</v>
      </c>
      <c r="K97" s="222">
        <f t="shared" si="253"/>
        <v>0</v>
      </c>
      <c r="L97" s="222">
        <f t="shared" si="253"/>
        <v>0</v>
      </c>
      <c r="M97" s="222">
        <f>IF(OR(M70&gt;0,L97=0),0,1)</f>
        <v>0</v>
      </c>
      <c r="N97" s="222">
        <f t="shared" si="253"/>
        <v>0</v>
      </c>
      <c r="O97" s="222">
        <f t="shared" si="253"/>
        <v>0</v>
      </c>
      <c r="R97" s="222">
        <f>IF(OR(R70&gt;0,O97=0),0,1)</f>
        <v>0</v>
      </c>
      <c r="S97" s="222">
        <f t="shared" ref="S97:AC97" si="254">IF(OR(S70&gt;0,R97=0),0,1)</f>
        <v>0</v>
      </c>
      <c r="T97" s="222">
        <f t="shared" si="254"/>
        <v>0</v>
      </c>
      <c r="U97" s="222">
        <f t="shared" si="254"/>
        <v>0</v>
      </c>
      <c r="V97" s="222">
        <f t="shared" si="254"/>
        <v>0</v>
      </c>
      <c r="W97" s="222">
        <f>IF(OR(W70&gt;0,V97=0),0,1)</f>
        <v>0</v>
      </c>
      <c r="X97" s="222">
        <f t="shared" si="254"/>
        <v>0</v>
      </c>
      <c r="Y97" s="222">
        <f t="shared" si="254"/>
        <v>0</v>
      </c>
      <c r="Z97" s="222">
        <f>IF(OR(Z70&gt;0,Y97=0),0,1)</f>
        <v>0</v>
      </c>
      <c r="AA97" s="222">
        <f t="shared" si="254"/>
        <v>0</v>
      </c>
      <c r="AB97" s="222">
        <f t="shared" si="254"/>
        <v>0</v>
      </c>
      <c r="AC97" s="222">
        <f t="shared" si="254"/>
        <v>0</v>
      </c>
      <c r="AF97" s="222">
        <f>IF(OR(AF70&gt;0,AC97=0),0,1)</f>
        <v>0</v>
      </c>
      <c r="AG97" s="222">
        <f t="shared" ref="AG97:AQ97" si="255">IF(OR(AG70&gt;0,AF97=0),0,1)</f>
        <v>0</v>
      </c>
      <c r="AH97" s="222">
        <f t="shared" si="255"/>
        <v>0</v>
      </c>
      <c r="AI97" s="222">
        <f t="shared" si="255"/>
        <v>0</v>
      </c>
      <c r="AJ97" s="222">
        <f t="shared" si="255"/>
        <v>0</v>
      </c>
      <c r="AK97" s="222">
        <f>IF(OR(AK70&gt;0,AJ97=0),0,1)</f>
        <v>0</v>
      </c>
      <c r="AL97" s="222">
        <f t="shared" si="255"/>
        <v>0</v>
      </c>
      <c r="AM97" s="222">
        <f t="shared" si="255"/>
        <v>0</v>
      </c>
      <c r="AN97" s="222">
        <f>IF(OR(AN70&gt;0,AM97=0),0,1)</f>
        <v>0</v>
      </c>
      <c r="AO97" s="222">
        <f t="shared" si="255"/>
        <v>0</v>
      </c>
      <c r="AP97" s="222">
        <f t="shared" si="255"/>
        <v>0</v>
      </c>
      <c r="AQ97" s="222">
        <f t="shared" si="255"/>
        <v>0</v>
      </c>
      <c r="AT97" s="221">
        <f>SUM(D97:AQ97)</f>
        <v>0</v>
      </c>
    </row>
    <row r="98" spans="1:46" s="129" customFormat="1" hidden="1" x14ac:dyDescent="0.5">
      <c r="P98" s="156"/>
      <c r="Q98" s="156"/>
      <c r="AD98" s="156"/>
      <c r="AE98" s="156"/>
      <c r="AR98" s="156"/>
      <c r="AS98" s="156"/>
      <c r="AT98" s="129">
        <f>IF(AS70&lt;0,"проект не окупается",IF(AT96&lt;36,AT96+1,-AT69/AS70+37))</f>
        <v>5</v>
      </c>
    </row>
    <row r="99" spans="1:46" s="224" customFormat="1" hidden="1" x14ac:dyDescent="0.5">
      <c r="A99" s="129"/>
      <c r="P99" s="225"/>
      <c r="Q99" s="225"/>
      <c r="AD99" s="225"/>
      <c r="AE99" s="225"/>
      <c r="AR99" s="225"/>
      <c r="AS99" s="225"/>
      <c r="AT99" s="224">
        <f>IF(AS70&lt;0,"проект не окупается",IF(AT97&lt;36,AT97+1,-AT69/AS70+37))</f>
        <v>1</v>
      </c>
    </row>
    <row r="100" spans="1:46" s="224" customFormat="1" hidden="1" x14ac:dyDescent="0.5">
      <c r="A100" s="129"/>
      <c r="D100" s="272">
        <f>IF(OR(C100=1,D70&gt;0),1,0)</f>
        <v>1</v>
      </c>
      <c r="E100" s="272">
        <f t="shared" ref="E100:O100" si="256">IF(OR(D100=1,E70&gt;0),1,0)</f>
        <v>1</v>
      </c>
      <c r="F100" s="272">
        <f t="shared" si="256"/>
        <v>1</v>
      </c>
      <c r="G100" s="272">
        <f t="shared" si="256"/>
        <v>1</v>
      </c>
      <c r="H100" s="272">
        <f t="shared" si="256"/>
        <v>1</v>
      </c>
      <c r="I100" s="272">
        <f t="shared" si="256"/>
        <v>1</v>
      </c>
      <c r="J100" s="272">
        <f t="shared" si="256"/>
        <v>1</v>
      </c>
      <c r="K100" s="272">
        <f t="shared" si="256"/>
        <v>1</v>
      </c>
      <c r="L100" s="272">
        <f t="shared" si="256"/>
        <v>1</v>
      </c>
      <c r="M100" s="272">
        <f t="shared" si="256"/>
        <v>1</v>
      </c>
      <c r="N100" s="272">
        <f t="shared" si="256"/>
        <v>1</v>
      </c>
      <c r="O100" s="272">
        <f t="shared" si="256"/>
        <v>1</v>
      </c>
      <c r="P100" s="273">
        <f>SUM(D100:O100)</f>
        <v>12</v>
      </c>
      <c r="Q100" s="272"/>
      <c r="AD100" s="225"/>
      <c r="AE100" s="225"/>
      <c r="AR100" s="225"/>
      <c r="AS100" s="225"/>
    </row>
    <row r="101" spans="1:46" s="226" customFormat="1" hidden="1" x14ac:dyDescent="0.5">
      <c r="D101" s="272">
        <f>IF(D100&gt;0,D64,0)</f>
        <v>2928.5714285714289</v>
      </c>
      <c r="E101" s="272">
        <f t="shared" ref="E101:O101" si="257">IF(E100&gt;0,E64,0)</f>
        <v>4214.2857142857147</v>
      </c>
      <c r="F101" s="272">
        <f t="shared" si="257"/>
        <v>4785.7142857142862</v>
      </c>
      <c r="G101" s="272">
        <f t="shared" si="257"/>
        <v>5785.7142857142862</v>
      </c>
      <c r="H101" s="272">
        <f t="shared" si="257"/>
        <v>5785.7142857142862</v>
      </c>
      <c r="I101" s="272">
        <f t="shared" si="257"/>
        <v>5571.4285714285716</v>
      </c>
      <c r="J101" s="272">
        <f t="shared" si="257"/>
        <v>3000</v>
      </c>
      <c r="K101" s="272">
        <f t="shared" si="257"/>
        <v>1785.7142857142858</v>
      </c>
      <c r="L101" s="272">
        <f t="shared" si="257"/>
        <v>71.428571428571431</v>
      </c>
      <c r="M101" s="272">
        <f t="shared" si="257"/>
        <v>71.428571428571431</v>
      </c>
      <c r="N101" s="272">
        <f t="shared" si="257"/>
        <v>71.428571428571431</v>
      </c>
      <c r="O101" s="272">
        <f t="shared" si="257"/>
        <v>857.14285714285722</v>
      </c>
      <c r="P101" s="273">
        <f t="shared" ref="P101:P102" si="258">SUM(D101:O101)</f>
        <v>34928.571428571435</v>
      </c>
      <c r="Q101" s="272">
        <f>IF($P$100=0,0,P101/$P$100)</f>
        <v>2910.7142857142862</v>
      </c>
      <c r="AD101" s="227"/>
      <c r="AE101" s="227"/>
      <c r="AR101" s="227"/>
      <c r="AS101" s="227"/>
    </row>
    <row r="102" spans="1:46" s="226" customFormat="1" hidden="1" x14ac:dyDescent="0.5">
      <c r="D102" s="272">
        <f>IF(D100&gt;0,D70,0)</f>
        <v>1518.3571428571433</v>
      </c>
      <c r="E102" s="272">
        <f t="shared" ref="E102:O102" si="259">IF(E100&gt;0,E70,0)</f>
        <v>2669.0714285714289</v>
      </c>
      <c r="F102" s="272">
        <f t="shared" si="259"/>
        <v>3180.5000000000009</v>
      </c>
      <c r="G102" s="272">
        <f t="shared" si="259"/>
        <v>4075.5000000000009</v>
      </c>
      <c r="H102" s="272">
        <f t="shared" si="259"/>
        <v>4075.5000000000009</v>
      </c>
      <c r="I102" s="272">
        <f t="shared" si="259"/>
        <v>3883.7142857142858</v>
      </c>
      <c r="J102" s="272">
        <f t="shared" si="259"/>
        <v>1582.2857142857144</v>
      </c>
      <c r="K102" s="272">
        <f t="shared" si="259"/>
        <v>495.50000000000045</v>
      </c>
      <c r="L102" s="272">
        <f t="shared" si="259"/>
        <v>-1038.7857142857142</v>
      </c>
      <c r="M102" s="272">
        <f t="shared" si="259"/>
        <v>-1038.7857142857142</v>
      </c>
      <c r="N102" s="272">
        <f t="shared" si="259"/>
        <v>-1038.7857142857142</v>
      </c>
      <c r="O102" s="272">
        <f t="shared" si="259"/>
        <v>-335.57142857142856</v>
      </c>
      <c r="P102" s="273">
        <f t="shared" si="258"/>
        <v>18028.500000000007</v>
      </c>
      <c r="Q102" s="272">
        <f>IF($P$100=0,0,P102/$P$100)</f>
        <v>1502.3750000000007</v>
      </c>
      <c r="AD102" s="227"/>
      <c r="AE102" s="227"/>
      <c r="AR102" s="227"/>
      <c r="AS102" s="227"/>
    </row>
    <row r="103" spans="1:46" s="226" customFormat="1" hidden="1" x14ac:dyDescent="0.5">
      <c r="P103" s="227"/>
      <c r="Q103" s="227"/>
      <c r="AD103" s="227"/>
      <c r="AE103" s="227"/>
      <c r="AR103" s="227"/>
      <c r="AS103" s="227"/>
    </row>
    <row r="104" spans="1:46" s="224" customFormat="1" x14ac:dyDescent="0.5">
      <c r="A104" s="129"/>
      <c r="P104" s="225"/>
      <c r="Q104" s="225"/>
      <c r="AD104" s="225"/>
      <c r="AE104" s="225"/>
      <c r="AR104" s="225"/>
      <c r="AS104" s="225"/>
    </row>
    <row r="105" spans="1:46" s="224" customFormat="1" x14ac:dyDescent="0.5">
      <c r="A105" s="129"/>
      <c r="P105" s="225"/>
      <c r="Q105" s="225"/>
      <c r="AD105" s="225"/>
      <c r="AE105" s="225"/>
      <c r="AR105" s="225"/>
      <c r="AS105" s="225"/>
    </row>
    <row r="106" spans="1:46" s="224" customFormat="1" x14ac:dyDescent="0.5">
      <c r="A106" s="129"/>
      <c r="P106" s="225"/>
      <c r="Q106" s="225"/>
      <c r="AD106" s="225"/>
      <c r="AE106" s="225"/>
      <c r="AR106" s="225"/>
      <c r="AS106" s="225"/>
    </row>
    <row r="107" spans="1:46" s="224" customFormat="1" x14ac:dyDescent="0.5">
      <c r="A107" s="129"/>
      <c r="P107" s="225"/>
      <c r="Q107" s="225"/>
      <c r="AD107" s="225"/>
      <c r="AE107" s="225"/>
      <c r="AR107" s="225"/>
      <c r="AS107" s="225"/>
    </row>
    <row r="108" spans="1:46" s="224" customFormat="1" x14ac:dyDescent="0.5">
      <c r="A108" s="129"/>
      <c r="P108" s="225"/>
      <c r="Q108" s="225"/>
      <c r="AD108" s="225"/>
      <c r="AE108" s="225"/>
      <c r="AR108" s="225"/>
      <c r="AS108" s="225"/>
    </row>
    <row r="109" spans="1:46" s="224" customFormat="1" x14ac:dyDescent="0.5">
      <c r="A109" s="129"/>
      <c r="P109" s="225"/>
      <c r="Q109" s="225"/>
      <c r="AD109" s="225"/>
      <c r="AE109" s="225"/>
      <c r="AR109" s="225"/>
      <c r="AS109" s="225"/>
    </row>
    <row r="110" spans="1:46" s="224" customFormat="1" x14ac:dyDescent="0.5">
      <c r="A110" s="129"/>
      <c r="P110" s="225"/>
      <c r="Q110" s="225"/>
      <c r="AD110" s="225"/>
      <c r="AE110" s="225"/>
      <c r="AR110" s="225"/>
      <c r="AS110" s="225"/>
    </row>
    <row r="111" spans="1:46" s="224" customFormat="1" x14ac:dyDescent="0.5">
      <c r="A111" s="129"/>
      <c r="P111" s="225"/>
      <c r="Q111" s="225"/>
      <c r="AD111" s="225"/>
      <c r="AE111" s="225"/>
      <c r="AR111" s="225"/>
      <c r="AS111" s="225"/>
    </row>
    <row r="112" spans="1:46" s="224" customFormat="1" x14ac:dyDescent="0.5">
      <c r="A112" s="129"/>
      <c r="P112" s="225"/>
      <c r="Q112" s="225"/>
      <c r="AD112" s="225"/>
      <c r="AE112" s="225"/>
      <c r="AR112" s="225"/>
      <c r="AS112" s="225"/>
    </row>
  </sheetData>
  <mergeCells count="10">
    <mergeCell ref="D4:Q4"/>
    <mergeCell ref="R4:AE4"/>
    <mergeCell ref="AF4:AS4"/>
    <mergeCell ref="AT14:AT15"/>
    <mergeCell ref="D5:Q5"/>
    <mergeCell ref="D14:Q14"/>
    <mergeCell ref="R5:AE5"/>
    <mergeCell ref="R14:AE14"/>
    <mergeCell ref="AF5:AS5"/>
    <mergeCell ref="AF14:AS14"/>
  </mergeCells>
  <conditionalFormatting sqref="D10:O11">
    <cfRule type="cellIs" dxfId="38" priority="157" operator="lessThan">
      <formula>1</formula>
    </cfRule>
    <cfRule type="cellIs" dxfId="37" priority="158" operator="greaterThan">
      <formula>1</formula>
    </cfRule>
  </conditionalFormatting>
  <conditionalFormatting sqref="D10:O10">
    <cfRule type="cellIs" dxfId="36" priority="159" operator="lessThan">
      <formula>1</formula>
    </cfRule>
  </conditionalFormatting>
  <conditionalFormatting sqref="R10:AC10">
    <cfRule type="cellIs" dxfId="35" priority="143" operator="lessThan">
      <formula>1</formula>
    </cfRule>
  </conditionalFormatting>
  <conditionalFormatting sqref="R10:AC11">
    <cfRule type="cellIs" dxfId="34" priority="141" operator="lessThan">
      <formula>1</formula>
    </cfRule>
    <cfRule type="cellIs" dxfId="33" priority="142" operator="greaterThan">
      <formula>1</formula>
    </cfRule>
  </conditionalFormatting>
  <conditionalFormatting sqref="AF10:AQ10">
    <cfRule type="cellIs" dxfId="32" priority="125" operator="lessThan">
      <formula>1</formula>
    </cfRule>
  </conditionalFormatting>
  <conditionalFormatting sqref="AF10:AQ11">
    <cfRule type="cellIs" dxfId="31" priority="123" operator="lessThan">
      <formula>1</formula>
    </cfRule>
    <cfRule type="cellIs" dxfId="30" priority="124" operator="greaterThan">
      <formula>1</formula>
    </cfRule>
  </conditionalFormatting>
  <conditionalFormatting sqref="D9:O9">
    <cfRule type="cellIs" dxfId="29" priority="59" operator="lessThan">
      <formula>1</formula>
    </cfRule>
    <cfRule type="cellIs" dxfId="28" priority="60" operator="greaterThan">
      <formula>1</formula>
    </cfRule>
  </conditionalFormatting>
  <conditionalFormatting sqref="D12:O12">
    <cfRule type="cellIs" dxfId="27" priority="37" operator="lessThan">
      <formula>1</formula>
    </cfRule>
    <cfRule type="cellIs" dxfId="26" priority="38" operator="greaterThan">
      <formula>1</formula>
    </cfRule>
  </conditionalFormatting>
  <conditionalFormatting sqref="R12:AC12">
    <cfRule type="cellIs" dxfId="25" priority="35" operator="lessThan">
      <formula>1</formula>
    </cfRule>
    <cfRule type="cellIs" dxfId="24" priority="36" operator="greaterThan">
      <formula>1</formula>
    </cfRule>
  </conditionalFormatting>
  <conditionalFormatting sqref="AF12:AQ12">
    <cfRule type="cellIs" dxfId="23" priority="29" operator="lessThan">
      <formula>1</formula>
    </cfRule>
    <cfRule type="cellIs" dxfId="22" priority="30" operator="greaterThan">
      <formula>1</formula>
    </cfRule>
  </conditionalFormatting>
  <conditionalFormatting sqref="D7:O7">
    <cfRule type="cellIs" dxfId="21" priority="26" operator="lessThan">
      <formula>1</formula>
    </cfRule>
    <cfRule type="cellIs" dxfId="20" priority="27" operator="greaterThan">
      <formula>1</formula>
    </cfRule>
  </conditionalFormatting>
  <conditionalFormatting sqref="D7:O7">
    <cfRule type="cellIs" dxfId="19" priority="28" operator="lessThan">
      <formula>1</formula>
    </cfRule>
  </conditionalFormatting>
  <conditionalFormatting sqref="R7:AC7">
    <cfRule type="cellIs" dxfId="18" priority="25" operator="lessThan">
      <formula>1</formula>
    </cfRule>
  </conditionalFormatting>
  <conditionalFormatting sqref="R7:AC7">
    <cfRule type="cellIs" dxfId="17" priority="23" operator="lessThan">
      <formula>1</formula>
    </cfRule>
    <cfRule type="cellIs" dxfId="16" priority="24" operator="greaterThan">
      <formula>1</formula>
    </cfRule>
  </conditionalFormatting>
  <conditionalFormatting sqref="AF7:AQ7">
    <cfRule type="cellIs" dxfId="15" priority="19" operator="lessThan">
      <formula>1</formula>
    </cfRule>
  </conditionalFormatting>
  <conditionalFormatting sqref="AF7:AQ7">
    <cfRule type="cellIs" dxfId="14" priority="17" operator="lessThan">
      <formula>1</formula>
    </cfRule>
    <cfRule type="cellIs" dxfId="13" priority="18" operator="greaterThan">
      <formula>1</formula>
    </cfRule>
  </conditionalFormatting>
  <conditionalFormatting sqref="R9:AC9">
    <cfRule type="cellIs" dxfId="12" priority="15" operator="lessThan">
      <formula>1</formula>
    </cfRule>
    <cfRule type="cellIs" dxfId="11" priority="16" operator="greaterThan">
      <formula>1</formula>
    </cfRule>
  </conditionalFormatting>
  <conditionalFormatting sqref="AF9:AQ9">
    <cfRule type="cellIs" dxfId="10" priority="13" operator="lessThan">
      <formula>1</formula>
    </cfRule>
    <cfRule type="cellIs" dxfId="9" priority="14" operator="greaterThan">
      <formula>1</formula>
    </cfRule>
  </conditionalFormatting>
  <conditionalFormatting sqref="D8:O8">
    <cfRule type="cellIs" dxfId="8" priority="9" operator="lessThan">
      <formula>1</formula>
    </cfRule>
  </conditionalFormatting>
  <conditionalFormatting sqref="D8:O8">
    <cfRule type="cellIs" dxfId="7" priority="7" operator="lessThan">
      <formula>1</formula>
    </cfRule>
    <cfRule type="cellIs" dxfId="6" priority="8" operator="greaterThan">
      <formula>1</formula>
    </cfRule>
  </conditionalFormatting>
  <conditionalFormatting sqref="R8:AC8">
    <cfRule type="cellIs" dxfId="5" priority="6" operator="lessThan">
      <formula>1</formula>
    </cfRule>
  </conditionalFormatting>
  <conditionalFormatting sqref="R8:AC8">
    <cfRule type="cellIs" dxfId="4" priority="4" operator="lessThan">
      <formula>1</formula>
    </cfRule>
    <cfRule type="cellIs" dxfId="3" priority="5" operator="greaterThan">
      <formula>1</formula>
    </cfRule>
  </conditionalFormatting>
  <conditionalFormatting sqref="AF8:AQ8">
    <cfRule type="cellIs" dxfId="2" priority="3" operator="lessThan">
      <formula>1</formula>
    </cfRule>
  </conditionalFormatting>
  <conditionalFormatting sqref="AF8:AQ8">
    <cfRule type="cellIs" dxfId="1" priority="1" operator="lessThan">
      <formula>1</formula>
    </cfRule>
    <cfRule type="cellIs" dxfId="0" priority="2" operator="greaterThan">
      <formula>1</formula>
    </cfRule>
  </conditionalFormatting>
  <pageMargins left="0.39370078740157483" right="0.39370078740157483" top="0.39370078740157483" bottom="0.39370078740157483" header="0.51181102362204722" footer="0.51181102362204722"/>
  <pageSetup paperSize="9" scale="28" fitToHeight="2" orientation="landscape" horizontalDpi="300" verticalDpi="300" r:id="rId1"/>
  <headerFooter alignWithMargins="0"/>
  <colBreaks count="2" manualBreakCount="2">
    <brk id="17" min="3" max="93" man="1"/>
    <brk id="31" min="3" max="93" man="1"/>
  </colBreaks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C4D0E5-1AEA-4554-A6C9-2DBBA23D8562}">
  <dimension ref="A1:N2"/>
  <sheetViews>
    <sheetView zoomScale="60" zoomScaleNormal="60" workbookViewId="0">
      <selection activeCell="R29" sqref="R29"/>
    </sheetView>
  </sheetViews>
  <sheetFormatPr defaultRowHeight="14.5" x14ac:dyDescent="0.35"/>
  <sheetData>
    <row r="1" spans="1:14" ht="49.25" customHeight="1" x14ac:dyDescent="0.35">
      <c r="A1" s="533" t="str">
        <f>'Детальний розрахунок'!D4</f>
        <v>Фінансова модель франшизи AMPER, Формат співробітництва - Класична оренда, кількість самокатів - 20</v>
      </c>
      <c r="B1" s="533"/>
      <c r="C1" s="533"/>
      <c r="D1" s="533"/>
      <c r="E1" s="533"/>
      <c r="F1" s="533"/>
      <c r="G1" s="533"/>
      <c r="H1" s="533"/>
      <c r="I1" s="533"/>
      <c r="J1" s="533"/>
      <c r="K1" s="533"/>
      <c r="L1" s="533"/>
      <c r="M1" s="533"/>
      <c r="N1" s="533"/>
    </row>
    <row r="2" spans="1:14" ht="17" customHeight="1" x14ac:dyDescent="0.35"/>
  </sheetData>
  <mergeCells count="1">
    <mergeCell ref="A1:N1"/>
  </mergeCells>
  <pageMargins left="0.70866141732283472" right="0.70866141732283472" top="0.74803149606299213" bottom="0.74803149606299213" header="0.31496062992125984" footer="0.31496062992125984"/>
  <pageSetup paperSize="9" scale="72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934330-AB07-4EA0-A767-79A059300239}">
  <dimension ref="A1:AP19"/>
  <sheetViews>
    <sheetView workbookViewId="0">
      <selection activeCell="B12" sqref="B12"/>
    </sheetView>
  </sheetViews>
  <sheetFormatPr defaultRowHeight="14.5" x14ac:dyDescent="0.35"/>
  <cols>
    <col min="1" max="1" width="25.453125" customWidth="1"/>
    <col min="2" max="4" width="13.1796875" bestFit="1" customWidth="1"/>
    <col min="6" max="6" width="31.81640625" bestFit="1" customWidth="1"/>
    <col min="8" max="8" width="9.54296875" bestFit="1" customWidth="1"/>
  </cols>
  <sheetData>
    <row r="1" spans="1:42" ht="43.5" x14ac:dyDescent="0.35">
      <c r="B1" s="82" t="s">
        <v>108</v>
      </c>
      <c r="C1" s="82" t="s">
        <v>110</v>
      </c>
      <c r="D1" s="82" t="s">
        <v>109</v>
      </c>
      <c r="F1" s="82" t="s">
        <v>112</v>
      </c>
      <c r="G1" s="83" t="str">
        <f>'Детальний розрахунок'!D15</f>
        <v>квітень</v>
      </c>
      <c r="H1" s="83" t="str">
        <f>'Детальний розрахунок'!E15</f>
        <v>травень</v>
      </c>
      <c r="I1" s="83" t="str">
        <f>'Детальний розрахунок'!F15</f>
        <v>червень</v>
      </c>
      <c r="J1" s="83" t="str">
        <f>'Детальний розрахунок'!G15</f>
        <v>липень</v>
      </c>
      <c r="K1" s="83" t="str">
        <f>'Детальний розрахунок'!H15</f>
        <v>серпень</v>
      </c>
      <c r="L1" s="83" t="str">
        <f>'Детальний розрахунок'!I15</f>
        <v>вересень</v>
      </c>
      <c r="M1" s="83" t="str">
        <f>'Детальний розрахунок'!J15</f>
        <v>жовтень</v>
      </c>
      <c r="N1" s="83" t="str">
        <f>'Детальний розрахунок'!K15</f>
        <v>листопад</v>
      </c>
      <c r="O1" s="83" t="str">
        <f>'Детальний розрахунок'!L15</f>
        <v>грудень</v>
      </c>
      <c r="P1" s="83" t="str">
        <f>'Детальний розрахунок'!M15</f>
        <v>січень</v>
      </c>
      <c r="Q1" s="83" t="str">
        <f>'Детальний розрахунок'!N15</f>
        <v>лютий</v>
      </c>
      <c r="R1" s="83" t="str">
        <f>'Детальний розрахунок'!O15</f>
        <v>березень</v>
      </c>
      <c r="S1" s="83" t="str">
        <f>'Детальний розрахунок'!R15</f>
        <v>квітень</v>
      </c>
      <c r="T1" s="83" t="str">
        <f>'Детальний розрахунок'!S15</f>
        <v>травень</v>
      </c>
      <c r="U1" s="83" t="str">
        <f>'Детальний розрахунок'!T15</f>
        <v>червень</v>
      </c>
      <c r="V1" s="83" t="str">
        <f>'Детальний розрахунок'!U15</f>
        <v>липень</v>
      </c>
      <c r="W1" s="83" t="str">
        <f>'Детальний розрахунок'!V15</f>
        <v>серпень</v>
      </c>
      <c r="X1" s="83" t="str">
        <f>'Детальний розрахунок'!W15</f>
        <v>вересень</v>
      </c>
      <c r="Y1" s="83" t="str">
        <f>'Детальний розрахунок'!X15</f>
        <v>жовтень</v>
      </c>
      <c r="Z1" s="83" t="str">
        <f>'Детальний розрахунок'!Y15</f>
        <v>листопад</v>
      </c>
      <c r="AA1" s="83" t="str">
        <f>'Детальний розрахунок'!Z15</f>
        <v>грудень</v>
      </c>
      <c r="AB1" s="83" t="str">
        <f>'Детальний розрахунок'!AA15</f>
        <v>січень</v>
      </c>
      <c r="AC1" s="83" t="str">
        <f>'Детальний розрахунок'!AB15</f>
        <v>лютий</v>
      </c>
      <c r="AD1" s="83" t="str">
        <f>'Детальний розрахунок'!AC15</f>
        <v>березень</v>
      </c>
      <c r="AE1" s="83" t="str">
        <f>'Детальний розрахунок'!AF15</f>
        <v>квітень</v>
      </c>
      <c r="AF1" s="83" t="str">
        <f>'Детальний розрахунок'!AG15</f>
        <v>травень</v>
      </c>
      <c r="AG1" s="83" t="str">
        <f>'Детальний розрахунок'!AH15</f>
        <v>червень</v>
      </c>
      <c r="AH1" s="83" t="str">
        <f>'Детальний розрахунок'!AI15</f>
        <v>липень</v>
      </c>
      <c r="AI1" s="83" t="str">
        <f>'Детальний розрахунок'!AJ15</f>
        <v>серпень</v>
      </c>
      <c r="AJ1" s="83" t="str">
        <f>'Детальний розрахунок'!AK15</f>
        <v>вересень</v>
      </c>
      <c r="AK1" s="83" t="str">
        <f>'Детальний розрахунок'!AL15</f>
        <v>жовтень</v>
      </c>
      <c r="AL1" s="83" t="str">
        <f>'Детальний розрахунок'!AM15</f>
        <v>листопад</v>
      </c>
      <c r="AM1" s="83" t="str">
        <f>'Детальний розрахунок'!AN15</f>
        <v>грудень</v>
      </c>
      <c r="AN1" s="83" t="str">
        <f>'Детальний розрахунок'!AO15</f>
        <v>січень</v>
      </c>
      <c r="AO1" s="83" t="str">
        <f>'Детальний розрахунок'!AP15</f>
        <v>лютий</v>
      </c>
      <c r="AP1" s="83" t="str">
        <f>'Детальний розрахунок'!AQ15</f>
        <v>березень</v>
      </c>
    </row>
    <row r="2" spans="1:42" x14ac:dyDescent="0.35">
      <c r="A2" s="82" t="str">
        <f>"Виручка, "&amp;CHOOSE('Вхідні дані'!$P$1,'Вхідні дані'!$Q$1,'Вхідні дані'!$Q$2,'Вхідні дані'!$Q$3,'Вхідні дані'!$Q$4)&amp;"/рік"</f>
        <v>Виручка, USD/рік</v>
      </c>
      <c r="B2" s="83">
        <f>'Детальний розрахунок'!P64</f>
        <v>34928.571428571435</v>
      </c>
      <c r="C2" s="83">
        <f>'Детальний розрахунок'!AD64</f>
        <v>43425.000000000007</v>
      </c>
      <c r="D2" s="83">
        <f>'Детальний розрахунок'!AR64</f>
        <v>49500</v>
      </c>
      <c r="F2" t="str">
        <f>"ДИНАМІКА ПРОДАЖІВ, "&amp;CHOOSE('Вхідні дані'!$P$1,'Вхідні дані'!$Q$1,'Вхідні дані'!$Q$2,'Вхідні дані'!$Q$3,'Вхідні дані'!$Q$4)&amp;"/міс."</f>
        <v>ДИНАМІКА ПРОДАЖІВ, USD/міс.</v>
      </c>
      <c r="G2" s="83">
        <f>'Детальний розрахунок'!D21</f>
        <v>2928.5714285714289</v>
      </c>
      <c r="H2" s="83">
        <f>'Детальний розрахунок'!E21</f>
        <v>4214.2857142857147</v>
      </c>
      <c r="I2" s="83">
        <f>'Детальний розрахунок'!F21</f>
        <v>4785.7142857142862</v>
      </c>
      <c r="J2" s="83">
        <f>'Детальний розрахунок'!G21</f>
        <v>5785.7142857142862</v>
      </c>
      <c r="K2" s="83">
        <f>'Детальний розрахунок'!H21</f>
        <v>5785.7142857142862</v>
      </c>
      <c r="L2" s="83">
        <f>'Детальний розрахунок'!I21</f>
        <v>5571.4285714285716</v>
      </c>
      <c r="M2" s="83">
        <f>'Детальний розрахунок'!J21</f>
        <v>3000</v>
      </c>
      <c r="N2" s="83">
        <f>'Детальний розрахунок'!K21</f>
        <v>1785.7142857142858</v>
      </c>
      <c r="O2" s="83">
        <f>'Детальний розрахунок'!L21</f>
        <v>71.428571428571431</v>
      </c>
      <c r="P2" s="83">
        <f>'Детальний розрахунок'!M21</f>
        <v>71.428571428571431</v>
      </c>
      <c r="Q2" s="83">
        <f>'Детальний розрахунок'!N21</f>
        <v>71.428571428571431</v>
      </c>
      <c r="R2" s="83">
        <f>'Детальний розрахунок'!O21</f>
        <v>857.14285714285722</v>
      </c>
      <c r="S2" s="83">
        <f>'Детальний розрахунок'!R21</f>
        <v>5550.0000000000009</v>
      </c>
      <c r="T2" s="83">
        <f>'Детальний розрахунок'!S21</f>
        <v>5775.0000000000009</v>
      </c>
      <c r="U2" s="83">
        <f>'Детальний розрахунок'!T21</f>
        <v>5550.0000000000009</v>
      </c>
      <c r="V2" s="83">
        <f>'Детальний розрахунок'!U21</f>
        <v>6675.0000000000009</v>
      </c>
      <c r="W2" s="83">
        <f>'Детальний розрахунок'!V21</f>
        <v>6675.0000000000009</v>
      </c>
      <c r="X2" s="83">
        <f>'Детальний розрахунок'!W21</f>
        <v>6450.0000000000009</v>
      </c>
      <c r="Y2" s="83">
        <f>'Детальний розрахунок'!X21</f>
        <v>3450.0000000000005</v>
      </c>
      <c r="Z2" s="83">
        <f>'Детальний розрахунок'!Y21</f>
        <v>2100.0000000000005</v>
      </c>
      <c r="AA2" s="83">
        <f>'Детальний розрахунок'!Z21</f>
        <v>75.000000000000014</v>
      </c>
      <c r="AB2" s="83">
        <f>'Детальний розрахунок'!AA21</f>
        <v>75.000000000000014</v>
      </c>
      <c r="AC2" s="83">
        <f>'Детальний розрахунок'!AB21</f>
        <v>75.000000000000014</v>
      </c>
      <c r="AD2" s="83">
        <f>'Детальний розрахунок'!AC21</f>
        <v>975.00000000000011</v>
      </c>
      <c r="AE2" s="83">
        <f>'Детальний розрахунок'!AF21</f>
        <v>6364.2857142857156</v>
      </c>
      <c r="AF2" s="83">
        <f>'Детальний розрахунок'!AG21</f>
        <v>6600.0000000000009</v>
      </c>
      <c r="AG2" s="83">
        <f>'Детальний розрахунок'!AH21</f>
        <v>6364.2857142857156</v>
      </c>
      <c r="AH2" s="83">
        <f>'Детальний розрахунок'!AI21</f>
        <v>7621.4285714285725</v>
      </c>
      <c r="AI2" s="83">
        <f>'Детальний розрахунок'!AJ21</f>
        <v>7621.4285714285725</v>
      </c>
      <c r="AJ2" s="83">
        <f>'Детальний розрахунок'!AK21</f>
        <v>7307.1428571428587</v>
      </c>
      <c r="AK2" s="83">
        <f>'Детальний розрахунок'!AL21</f>
        <v>3928.5714285714294</v>
      </c>
      <c r="AL2" s="83">
        <f>'Детальний розрахунок'!AM21</f>
        <v>2357.1428571428573</v>
      </c>
      <c r="AM2" s="83">
        <f>'Детальний розрахунок'!AN21</f>
        <v>78.571428571428584</v>
      </c>
      <c r="AN2" s="83">
        <f>'Детальний розрахунок'!AO21</f>
        <v>78.571428571428584</v>
      </c>
      <c r="AO2" s="83">
        <f>'Детальний розрахунок'!AP21</f>
        <v>78.571428571428584</v>
      </c>
      <c r="AP2" s="83">
        <f>'Детальний розрахунок'!AQ21</f>
        <v>1100.0000000000002</v>
      </c>
    </row>
    <row r="3" spans="1:42" x14ac:dyDescent="0.35">
      <c r="A3" s="82" t="str">
        <f>"Собівартість, "&amp;CHOOSE('Вхідні дані'!$P$1,'Вхідні дані'!$Q$1,'Вхідні дані'!$Q$2,'Вхідні дані'!$Q$3,'Вхідні дані'!$Q$4)&amp;"/рік"</f>
        <v>Собівартість, USD/рік</v>
      </c>
      <c r="B3" s="83">
        <f>'Детальний розрахунок'!P65</f>
        <v>0</v>
      </c>
      <c r="C3" s="83">
        <f>'Детальний розрахунок'!AD65</f>
        <v>0</v>
      </c>
      <c r="D3" s="83">
        <f>'Детальний розрахунок'!AR65</f>
        <v>0</v>
      </c>
      <c r="F3" t="str">
        <f>"ДИНАМИКА ВИТРАТ, "&amp;CHOOSE('Вхідні дані'!$P$1,'Вхідні дані'!$Q$1,'Вхідні дані'!$Q$2,'Вхідні дані'!$Q$3,'Вхідні дані'!$Q$4)&amp;"/міс."</f>
        <v>ДИНАМИКА ВИТРАТ, USD/міс.</v>
      </c>
      <c r="G3" s="83">
        <f>G4+G5</f>
        <v>1410.2142857142856</v>
      </c>
      <c r="H3" s="83">
        <f t="shared" ref="H3:S3" si="0">H4+H5</f>
        <v>1545.2142857142858</v>
      </c>
      <c r="I3" s="83">
        <f t="shared" si="0"/>
        <v>1605.2142857142856</v>
      </c>
      <c r="J3" s="83">
        <f t="shared" si="0"/>
        <v>1710.2142857142856</v>
      </c>
      <c r="K3" s="83">
        <f t="shared" si="0"/>
        <v>1710.2142857142856</v>
      </c>
      <c r="L3" s="83">
        <f t="shared" si="0"/>
        <v>1687.7142857142858</v>
      </c>
      <c r="M3" s="83">
        <f t="shared" si="0"/>
        <v>1417.7142857142856</v>
      </c>
      <c r="N3" s="83">
        <f t="shared" si="0"/>
        <v>1290.2142857142853</v>
      </c>
      <c r="O3" s="83">
        <f t="shared" si="0"/>
        <v>1110.2142857142856</v>
      </c>
      <c r="P3" s="83">
        <f t="shared" si="0"/>
        <v>1110.2142857142856</v>
      </c>
      <c r="Q3" s="83">
        <f t="shared" si="0"/>
        <v>1110.2142857142856</v>
      </c>
      <c r="R3" s="83">
        <f t="shared" si="0"/>
        <v>1192.7142857142858</v>
      </c>
      <c r="S3" s="83">
        <f t="shared" si="0"/>
        <v>1705.9642857142856</v>
      </c>
      <c r="T3" s="83">
        <f t="shared" ref="T3" si="1">T4+T5</f>
        <v>1729.5892857142856</v>
      </c>
      <c r="U3" s="83">
        <f t="shared" ref="U3" si="2">U4+U5</f>
        <v>1705.9642857142856</v>
      </c>
      <c r="V3" s="83">
        <f t="shared" ref="V3" si="3">V4+V5</f>
        <v>1824.0892857142856</v>
      </c>
      <c r="W3" s="83">
        <f t="shared" ref="W3" si="4">W4+W5</f>
        <v>1824.0892857142856</v>
      </c>
      <c r="X3" s="83">
        <f t="shared" ref="X3" si="5">X4+X5</f>
        <v>1800.4642857142856</v>
      </c>
      <c r="Y3" s="83">
        <f t="shared" ref="Y3" si="6">Y4+Y5</f>
        <v>1485.4642857142856</v>
      </c>
      <c r="Z3" s="83">
        <f t="shared" ref="Z3" si="7">Z4+Z5</f>
        <v>1343.7142857142856</v>
      </c>
      <c r="AA3" s="83">
        <f t="shared" ref="AA3" si="8">AA4+AA5</f>
        <v>1131.0892857142856</v>
      </c>
      <c r="AB3" s="83">
        <f t="shared" ref="AB3" si="9">AB4+AB5</f>
        <v>1131.0892857142856</v>
      </c>
      <c r="AC3" s="83">
        <f t="shared" ref="AC3" si="10">AC4+AC5</f>
        <v>1131.0892857142856</v>
      </c>
      <c r="AD3" s="83">
        <f t="shared" ref="AD3" si="11">AD4+AD5</f>
        <v>1225.5892857142856</v>
      </c>
      <c r="AE3" s="83">
        <f t="shared" ref="AE3" si="12">AE4+AE5</f>
        <v>1811.9642857142858</v>
      </c>
      <c r="AF3" s="83">
        <f t="shared" ref="AF3" si="13">AF4+AF5</f>
        <v>1836.7142857142858</v>
      </c>
      <c r="AG3" s="83">
        <f t="shared" ref="AG3" si="14">AG4+AG5</f>
        <v>1811.9642857142858</v>
      </c>
      <c r="AH3" s="83">
        <f t="shared" ref="AH3" si="15">AH4+AH5</f>
        <v>1943.9642857142858</v>
      </c>
      <c r="AI3" s="83">
        <f t="shared" ref="AI3" si="16">AI4+AI5</f>
        <v>1943.9642857142858</v>
      </c>
      <c r="AJ3" s="83">
        <f t="shared" ref="AJ3" si="17">AJ4+AJ5</f>
        <v>1910.9642857142858</v>
      </c>
      <c r="AK3" s="83">
        <f t="shared" ref="AK3" si="18">AK4+AK5</f>
        <v>1556.2142857142858</v>
      </c>
      <c r="AL3" s="83">
        <f t="shared" ref="AL3" si="19">AL4+AL5</f>
        <v>1391.2142857142856</v>
      </c>
      <c r="AM3" s="83">
        <f t="shared" ref="AM3" si="20">AM4+AM5</f>
        <v>1151.9642857142856</v>
      </c>
      <c r="AN3" s="83">
        <f t="shared" ref="AN3" si="21">AN4+AN5</f>
        <v>1151.9642857142856</v>
      </c>
      <c r="AO3" s="83">
        <f t="shared" ref="AO3" si="22">AO4+AO5</f>
        <v>1151.9642857142856</v>
      </c>
      <c r="AP3" s="83">
        <f t="shared" ref="AP3" si="23">AP4+AP5</f>
        <v>1259.2142857142856</v>
      </c>
    </row>
    <row r="4" spans="1:42" ht="29" x14ac:dyDescent="0.35">
      <c r="A4" s="82" t="str">
        <f>"Поточні витрати (без собівартості), "&amp;CHOOSE('Вхідні дані'!$P$1,'Вхідні дані'!$Q$1,'Вхідні дані'!$Q$2,'Вхідні дані'!$Q$3,'Вхідні дані'!$Q$4)&amp;"/рік"</f>
        <v>Поточні витрати (без собівартості), USD/рік</v>
      </c>
      <c r="B4" s="83">
        <f>'Детальний розрахунок'!P68</f>
        <v>16900.071428571431</v>
      </c>
      <c r="C4" s="83">
        <f>'Детальний розрахунок'!AD68</f>
        <v>18038.196428571431</v>
      </c>
      <c r="D4" s="83">
        <f>'Детальний розрахунок'!AR68</f>
        <v>18922.071428571431</v>
      </c>
      <c r="F4" t="str">
        <f>"ДИНАМИКА СОБІВАРТОСТІ, "&amp;CHOOSE('Вхідні дані'!$P$1,'Вхідні дані'!$Q$1,'Вхідні дані'!$Q$2,'Вхідні дані'!$Q$3,'Вхідні дані'!$Q$4)&amp;"/міс."</f>
        <v>ДИНАМИКА СОБІВАРТОСТІ, USD/міс.</v>
      </c>
      <c r="G4" s="83">
        <f>'Детальний розрахунок'!D25</f>
        <v>0</v>
      </c>
      <c r="H4" s="83">
        <f>'Детальний розрахунок'!E25</f>
        <v>0</v>
      </c>
      <c r="I4" s="83">
        <f>'Детальний розрахунок'!F25</f>
        <v>0</v>
      </c>
      <c r="J4" s="83">
        <f>'Детальний розрахунок'!G25</f>
        <v>0</v>
      </c>
      <c r="K4" s="83">
        <f>'Детальний розрахунок'!H25</f>
        <v>0</v>
      </c>
      <c r="L4" s="83">
        <f>'Детальний розрахунок'!I25</f>
        <v>0</v>
      </c>
      <c r="M4" s="83">
        <f>'Детальний розрахунок'!J25</f>
        <v>0</v>
      </c>
      <c r="N4" s="83">
        <f>'Детальний розрахунок'!K25</f>
        <v>0</v>
      </c>
      <c r="O4" s="83">
        <f>'Детальний розрахунок'!L25</f>
        <v>0</v>
      </c>
      <c r="P4" s="83">
        <f>'Детальний розрахунок'!M25</f>
        <v>0</v>
      </c>
      <c r="Q4" s="83">
        <f>'Детальний розрахунок'!N25</f>
        <v>0</v>
      </c>
      <c r="R4" s="83">
        <f>'Детальний розрахунок'!O25</f>
        <v>0</v>
      </c>
      <c r="S4" s="83">
        <f>'Детальний розрахунок'!R25</f>
        <v>0</v>
      </c>
      <c r="T4" s="83">
        <f>'Детальний розрахунок'!S25</f>
        <v>0</v>
      </c>
      <c r="U4" s="83">
        <f>'Детальний розрахунок'!T25</f>
        <v>0</v>
      </c>
      <c r="V4" s="83">
        <f>'Детальний розрахунок'!U25</f>
        <v>0</v>
      </c>
      <c r="W4" s="83">
        <f>'Детальний розрахунок'!V25</f>
        <v>0</v>
      </c>
      <c r="X4" s="83">
        <f>'Детальний розрахунок'!W25</f>
        <v>0</v>
      </c>
      <c r="Y4" s="83">
        <f>'Детальний розрахунок'!X25</f>
        <v>0</v>
      </c>
      <c r="Z4" s="83">
        <f>'Детальний розрахунок'!Y25</f>
        <v>0</v>
      </c>
      <c r="AA4" s="83">
        <f>'Детальний розрахунок'!Z25</f>
        <v>0</v>
      </c>
      <c r="AB4" s="83">
        <f>'Детальний розрахунок'!AA25</f>
        <v>0</v>
      </c>
      <c r="AC4" s="83">
        <f>'Детальний розрахунок'!AB25</f>
        <v>0</v>
      </c>
      <c r="AD4" s="83">
        <f>'Детальний розрахунок'!AC25</f>
        <v>0</v>
      </c>
      <c r="AE4" s="83">
        <f>'Детальний розрахунок'!AF25</f>
        <v>0</v>
      </c>
      <c r="AF4" s="83">
        <f>'Детальний розрахунок'!AG25</f>
        <v>0</v>
      </c>
      <c r="AG4" s="83">
        <f>'Детальний розрахунок'!AH25</f>
        <v>0</v>
      </c>
      <c r="AH4" s="83">
        <f>'Детальний розрахунок'!AI25</f>
        <v>0</v>
      </c>
      <c r="AI4" s="83">
        <f>'Детальний розрахунок'!AJ25</f>
        <v>0</v>
      </c>
      <c r="AJ4" s="83">
        <f>'Детальний розрахунок'!AK25</f>
        <v>0</v>
      </c>
      <c r="AK4" s="83">
        <f>'Детальний розрахунок'!AL25</f>
        <v>0</v>
      </c>
      <c r="AL4" s="83">
        <f>'Детальний розрахунок'!AM25</f>
        <v>0</v>
      </c>
      <c r="AM4" s="83">
        <f>'Детальний розрахунок'!AN25</f>
        <v>0</v>
      </c>
      <c r="AN4" s="83">
        <f>'Детальний розрахунок'!AO25</f>
        <v>0</v>
      </c>
      <c r="AO4" s="83">
        <f>'Детальний розрахунок'!AP25</f>
        <v>0</v>
      </c>
      <c r="AP4" s="83">
        <f>'Детальний розрахунок'!AQ25</f>
        <v>0</v>
      </c>
    </row>
    <row r="5" spans="1:42" x14ac:dyDescent="0.35">
      <c r="A5" s="82" t="str">
        <f>"Чистий прибуток, "&amp;CHOOSE('Вхідні дані'!$P$1,'Вхідні дані'!$Q$1,'Вхідні дані'!$Q$2,'Вхідні дані'!$Q$3,'Вхідні дані'!$Q$4)&amp;"/рік"</f>
        <v>Чистий прибуток, USD/рік</v>
      </c>
      <c r="B5" s="83">
        <f>'Детальний розрахунок'!P70</f>
        <v>18028.500000000007</v>
      </c>
      <c r="C5" s="83">
        <f>'Детальний розрахунок'!AD70</f>
        <v>25386.80357142858</v>
      </c>
      <c r="D5" s="83">
        <f>'Детальний розрахунок'!AR70</f>
        <v>30577.928571428583</v>
      </c>
      <c r="F5" t="str">
        <f>"ПОТОЧНІ ВИТРАТИ, "&amp;CHOOSE('Вхідні дані'!$P$1,'Вхідні дані'!$Q$1,'Вхідні дані'!$Q$2,'Вхідні дані'!$Q$3,'Вхідні дані'!$Q$4)&amp;"/міс."</f>
        <v>ПОТОЧНІ ВИТРАТИ, USD/міс.</v>
      </c>
      <c r="G5" s="83">
        <f>'Детальний розрахунок'!D61</f>
        <v>1410.2142857142856</v>
      </c>
      <c r="H5" s="83">
        <f>'Детальний розрахунок'!E61</f>
        <v>1545.2142857142858</v>
      </c>
      <c r="I5" s="83">
        <f>'Детальний розрахунок'!F61</f>
        <v>1605.2142857142856</v>
      </c>
      <c r="J5" s="83">
        <f>'Детальний розрахунок'!G61</f>
        <v>1710.2142857142856</v>
      </c>
      <c r="K5" s="83">
        <f>'Детальний розрахунок'!H61</f>
        <v>1710.2142857142856</v>
      </c>
      <c r="L5" s="83">
        <f>'Детальний розрахунок'!I61</f>
        <v>1687.7142857142858</v>
      </c>
      <c r="M5" s="83">
        <f>'Детальний розрахунок'!J61</f>
        <v>1417.7142857142856</v>
      </c>
      <c r="N5" s="83">
        <f>'Детальний розрахунок'!K61</f>
        <v>1290.2142857142853</v>
      </c>
      <c r="O5" s="83">
        <f>'Детальний розрахунок'!L61</f>
        <v>1110.2142857142856</v>
      </c>
      <c r="P5" s="83">
        <f>'Детальний розрахунок'!M61</f>
        <v>1110.2142857142856</v>
      </c>
      <c r="Q5" s="83">
        <f>'Детальний розрахунок'!N61</f>
        <v>1110.2142857142856</v>
      </c>
      <c r="R5" s="83">
        <f>'Детальний розрахунок'!O61</f>
        <v>1192.7142857142858</v>
      </c>
      <c r="S5" s="83">
        <f>'Детальний розрахунок'!R61</f>
        <v>1705.9642857142856</v>
      </c>
      <c r="T5" s="83">
        <f>'Детальний розрахунок'!S61</f>
        <v>1729.5892857142856</v>
      </c>
      <c r="U5" s="83">
        <f>'Детальний розрахунок'!T61</f>
        <v>1705.9642857142856</v>
      </c>
      <c r="V5" s="83">
        <f>'Детальний розрахунок'!U61</f>
        <v>1824.0892857142856</v>
      </c>
      <c r="W5" s="83">
        <f>'Детальний розрахунок'!V61</f>
        <v>1824.0892857142856</v>
      </c>
      <c r="X5" s="83">
        <f>'Детальний розрахунок'!W61</f>
        <v>1800.4642857142856</v>
      </c>
      <c r="Y5" s="83">
        <f>'Детальний розрахунок'!X61</f>
        <v>1485.4642857142856</v>
      </c>
      <c r="Z5" s="83">
        <f>'Детальний розрахунок'!Y61</f>
        <v>1343.7142857142856</v>
      </c>
      <c r="AA5" s="83">
        <f>'Детальний розрахунок'!Z61</f>
        <v>1131.0892857142856</v>
      </c>
      <c r="AB5" s="83">
        <f>'Детальний розрахунок'!AA61</f>
        <v>1131.0892857142856</v>
      </c>
      <c r="AC5" s="83">
        <f>'Детальний розрахунок'!AB61</f>
        <v>1131.0892857142856</v>
      </c>
      <c r="AD5" s="83">
        <f>'Детальний розрахунок'!AC61</f>
        <v>1225.5892857142856</v>
      </c>
      <c r="AE5" s="83">
        <f>'Детальний розрахунок'!AF61</f>
        <v>1811.9642857142858</v>
      </c>
      <c r="AF5" s="83">
        <f>'Детальний розрахунок'!AG61</f>
        <v>1836.7142857142858</v>
      </c>
      <c r="AG5" s="83">
        <f>'Детальний розрахунок'!AH61</f>
        <v>1811.9642857142858</v>
      </c>
      <c r="AH5" s="83">
        <f>'Детальний розрахунок'!AI61</f>
        <v>1943.9642857142858</v>
      </c>
      <c r="AI5" s="83">
        <f>'Детальний розрахунок'!AJ61</f>
        <v>1943.9642857142858</v>
      </c>
      <c r="AJ5" s="83">
        <f>'Детальний розрахунок'!AK61</f>
        <v>1910.9642857142858</v>
      </c>
      <c r="AK5" s="83">
        <f>'Детальний розрахунок'!AL61</f>
        <v>1556.2142857142858</v>
      </c>
      <c r="AL5" s="83">
        <f>'Детальний розрахунок'!AM61</f>
        <v>1391.2142857142856</v>
      </c>
      <c r="AM5" s="83">
        <f>'Детальний розрахунок'!AN61</f>
        <v>1151.9642857142856</v>
      </c>
      <c r="AN5" s="83">
        <f>'Детальний розрахунок'!AO61</f>
        <v>1151.9642857142856</v>
      </c>
      <c r="AO5" s="83">
        <f>'Детальний розрахунок'!AP61</f>
        <v>1151.9642857142856</v>
      </c>
      <c r="AP5" s="83">
        <f>'Детальний розрахунок'!AQ61</f>
        <v>1259.2142857142856</v>
      </c>
    </row>
    <row r="6" spans="1:42" x14ac:dyDescent="0.35">
      <c r="F6" t="str">
        <f>"ЧИСТИЙ ПРИБУТОК, "&amp;CHOOSE('Вхідні дані'!$P$1,'Вхідні дані'!$Q$1,'Вхідні дані'!$Q$2,'Вхідні дані'!$Q$3,'Вхідні дані'!$Q$4)&amp;"/міс."</f>
        <v>ЧИСТИЙ ПРИБУТОК, USD/міс.</v>
      </c>
      <c r="G6" s="83">
        <f>G2-G3</f>
        <v>1518.3571428571433</v>
      </c>
      <c r="H6" s="83">
        <f t="shared" ref="H6:S6" si="24">H2-H3</f>
        <v>2669.0714285714289</v>
      </c>
      <c r="I6" s="83">
        <f t="shared" si="24"/>
        <v>3180.5000000000009</v>
      </c>
      <c r="J6" s="83">
        <f t="shared" si="24"/>
        <v>4075.5000000000009</v>
      </c>
      <c r="K6" s="83">
        <f t="shared" si="24"/>
        <v>4075.5000000000009</v>
      </c>
      <c r="L6" s="83">
        <f t="shared" si="24"/>
        <v>3883.7142857142858</v>
      </c>
      <c r="M6" s="83">
        <f t="shared" si="24"/>
        <v>1582.2857142857144</v>
      </c>
      <c r="N6" s="83">
        <f t="shared" si="24"/>
        <v>495.50000000000045</v>
      </c>
      <c r="O6" s="83">
        <f t="shared" si="24"/>
        <v>-1038.7857142857142</v>
      </c>
      <c r="P6" s="83">
        <f t="shared" si="24"/>
        <v>-1038.7857142857142</v>
      </c>
      <c r="Q6" s="83">
        <f t="shared" si="24"/>
        <v>-1038.7857142857142</v>
      </c>
      <c r="R6" s="83">
        <f t="shared" si="24"/>
        <v>-335.57142857142856</v>
      </c>
      <c r="S6" s="83">
        <f t="shared" si="24"/>
        <v>3844.0357142857156</v>
      </c>
      <c r="T6" s="83">
        <f t="shared" ref="T6:AD6" si="25">T2-T3</f>
        <v>4045.4107142857156</v>
      </c>
      <c r="U6" s="83">
        <f t="shared" si="25"/>
        <v>3844.0357142857156</v>
      </c>
      <c r="V6" s="83">
        <f t="shared" si="25"/>
        <v>4850.9107142857156</v>
      </c>
      <c r="W6" s="83">
        <f t="shared" si="25"/>
        <v>4850.9107142857156</v>
      </c>
      <c r="X6" s="83">
        <f t="shared" si="25"/>
        <v>4649.5357142857156</v>
      </c>
      <c r="Y6" s="83">
        <f t="shared" si="25"/>
        <v>1964.5357142857149</v>
      </c>
      <c r="Z6" s="83">
        <f t="shared" si="25"/>
        <v>756.2857142857149</v>
      </c>
      <c r="AA6" s="83">
        <f t="shared" si="25"/>
        <v>-1056.0892857142856</v>
      </c>
      <c r="AB6" s="83">
        <f t="shared" si="25"/>
        <v>-1056.0892857142856</v>
      </c>
      <c r="AC6" s="83">
        <f t="shared" si="25"/>
        <v>-1056.0892857142856</v>
      </c>
      <c r="AD6" s="83">
        <f t="shared" si="25"/>
        <v>-250.58928571428544</v>
      </c>
      <c r="AE6" s="83">
        <f t="shared" ref="AE6" si="26">AE2-AE3</f>
        <v>4552.3214285714294</v>
      </c>
      <c r="AF6" s="83">
        <f t="shared" ref="AF6:AP6" si="27">AF2-AF3</f>
        <v>4763.2857142857156</v>
      </c>
      <c r="AG6" s="83">
        <f t="shared" si="27"/>
        <v>4552.3214285714294</v>
      </c>
      <c r="AH6" s="83">
        <f t="shared" si="27"/>
        <v>5677.4642857142862</v>
      </c>
      <c r="AI6" s="83">
        <f t="shared" si="27"/>
        <v>5677.4642857142862</v>
      </c>
      <c r="AJ6" s="83">
        <f t="shared" si="27"/>
        <v>5396.1785714285725</v>
      </c>
      <c r="AK6" s="83">
        <f t="shared" si="27"/>
        <v>2372.3571428571436</v>
      </c>
      <c r="AL6" s="83">
        <f t="shared" si="27"/>
        <v>965.92857142857179</v>
      </c>
      <c r="AM6" s="83">
        <f t="shared" si="27"/>
        <v>-1073.3928571428569</v>
      </c>
      <c r="AN6" s="83">
        <f t="shared" si="27"/>
        <v>-1073.3928571428569</v>
      </c>
      <c r="AO6" s="83">
        <f t="shared" si="27"/>
        <v>-1073.3928571428569</v>
      </c>
      <c r="AP6" s="83">
        <f t="shared" si="27"/>
        <v>-159.21428571428532</v>
      </c>
    </row>
    <row r="7" spans="1:42" x14ac:dyDescent="0.35">
      <c r="A7" s="82"/>
      <c r="AP7" s="83"/>
    </row>
    <row r="8" spans="1:42" x14ac:dyDescent="0.35">
      <c r="A8" t="s">
        <v>111</v>
      </c>
    </row>
    <row r="9" spans="1:42" x14ac:dyDescent="0.35">
      <c r="A9" s="85" t="str">
        <f>'Детальний розрахунок'!A28</f>
        <v>Авансовий платіж по оренді</v>
      </c>
      <c r="B9" s="83">
        <f>'Детальний розрахунок'!C28</f>
        <v>200</v>
      </c>
    </row>
    <row r="10" spans="1:42" x14ac:dyDescent="0.35">
      <c r="A10" s="85" t="str">
        <f>'Детальний розрахунок'!A29</f>
        <v>Ремонт приміщення</v>
      </c>
      <c r="B10" s="83">
        <f>'Детальний розрахунок'!C29</f>
        <v>0</v>
      </c>
    </row>
    <row r="11" spans="1:42" x14ac:dyDescent="0.35">
      <c r="A11" s="85" t="str">
        <f>'Детальний розрахунок'!A30</f>
        <v>Сигналізація (охоронна та пожежна)</v>
      </c>
      <c r="B11" s="83">
        <f>'Детальний розрахунок'!C30</f>
        <v>300</v>
      </c>
    </row>
    <row r="12" spans="1:42" x14ac:dyDescent="0.35">
      <c r="A12" s="85" t="str">
        <f>'Детальний розрахунок'!A31</f>
        <v>Відеоспостереження</v>
      </c>
      <c r="B12" s="83">
        <f>'Детальний розрахунок'!C31</f>
        <v>300</v>
      </c>
    </row>
    <row r="13" spans="1:42" x14ac:dyDescent="0.35">
      <c r="A13" s="85" t="str">
        <f>'Детальний розрахунок'!A32</f>
        <v>Меблі та комп'ютерна техніка</v>
      </c>
      <c r="B13" s="83">
        <f>'Детальний розрахунок'!C32</f>
        <v>500</v>
      </c>
    </row>
    <row r="14" spans="1:42" x14ac:dyDescent="0.35">
      <c r="A14" s="85" t="str">
        <f>'Детальний розрахунок'!A33</f>
        <v>Обладнання для паркування самокатів</v>
      </c>
      <c r="B14" s="83">
        <f>'Детальний розрахунок'!C33</f>
        <v>0</v>
      </c>
    </row>
    <row r="15" spans="1:42" x14ac:dyDescent="0.35">
      <c r="A15" s="85" t="str">
        <f>'Детальний розрахунок'!A34</f>
        <v>Вартість самокатів</v>
      </c>
      <c r="B15" s="83">
        <f>'Детальний розрахунок'!C34</f>
        <v>12000</v>
      </c>
    </row>
    <row r="16" spans="1:42" x14ac:dyDescent="0.35">
      <c r="A16" s="85" t="str">
        <f>'Детальний розрахунок'!A35</f>
        <v>Рекламна кампанія до відкриття</v>
      </c>
      <c r="B16" s="83">
        <f>'Детальний розрахунок'!C35</f>
        <v>200</v>
      </c>
    </row>
    <row r="17" spans="1:2" x14ac:dyDescent="0.35">
      <c r="A17" s="85" t="str">
        <f>'Детальний розрахунок'!A36</f>
        <v>Паушальний внесок</v>
      </c>
      <c r="B17" s="83">
        <f>'Детальний розрахунок'!C36</f>
        <v>500</v>
      </c>
    </row>
    <row r="18" spans="1:2" x14ac:dyDescent="0.35">
      <c r="A18" s="85" t="str">
        <f>'Детальний розрахунок'!A37</f>
        <v>Інше</v>
      </c>
      <c r="B18" s="83">
        <f>'Детальний розрахунок'!C37</f>
        <v>200</v>
      </c>
    </row>
    <row r="19" spans="1:2" x14ac:dyDescent="0.35">
      <c r="A19" s="84"/>
    </row>
  </sheetData>
  <pageMargins left="0.7" right="0.7" top="0.75" bottom="0.75" header="0.3" footer="0.3"/>
  <pageSetup paperSize="9" scale="26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6</vt:i4>
      </vt:variant>
      <vt:variant>
        <vt:lpstr>Именованные диапазоны</vt:lpstr>
      </vt:variant>
      <vt:variant>
        <vt:i4>6</vt:i4>
      </vt:variant>
    </vt:vector>
  </HeadingPairs>
  <TitlesOfParts>
    <vt:vector size="12" baseType="lpstr">
      <vt:lpstr>Вхідні дані</vt:lpstr>
      <vt:lpstr>Інвестиції</vt:lpstr>
      <vt:lpstr>Узагальнений розрахунок</vt:lpstr>
      <vt:lpstr>Детальний розрахунок</vt:lpstr>
      <vt:lpstr>Графіки</vt:lpstr>
      <vt:lpstr>ВД Графіки</vt:lpstr>
      <vt:lpstr>'Детальний розрахунок'!Заголовки_для_печати</vt:lpstr>
      <vt:lpstr>Інвестиції!Заголовки_для_печати</vt:lpstr>
      <vt:lpstr>'Вхідні дані'!Область_печати</vt:lpstr>
      <vt:lpstr>'Детальний розрахунок'!Область_печати</vt:lpstr>
      <vt:lpstr>Інвестиції!Область_печати</vt:lpstr>
      <vt:lpstr>'Узагальнений розрахунок'!Область_печати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Zazi;Franch.biz</dc:creator>
  <cp:lastModifiedBy>Яна Мирская</cp:lastModifiedBy>
  <cp:lastPrinted>2020-12-02T21:03:04Z</cp:lastPrinted>
  <dcterms:created xsi:type="dcterms:W3CDTF">2013-12-25T12:04:54Z</dcterms:created>
  <dcterms:modified xsi:type="dcterms:W3CDTF">2020-12-14T09:32:28Z</dcterms:modified>
</cp:coreProperties>
</file>