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льберт\Desktop\"/>
    </mc:Choice>
  </mc:AlternateContent>
  <bookViews>
    <workbookView xWindow="0" yWindow="0" windowWidth="38400" windowHeight="17850" activeTab="1"/>
  </bookViews>
  <sheets>
    <sheet name="Исходные данные" sheetId="6" r:id="rId1"/>
    <sheet name="Стартовые Инвестиции" sheetId="5" r:id="rId2"/>
    <sheet name="Финансовая модель" sheetId="2" r:id="rId3"/>
  </sheets>
  <calcPr calcId="162913"/>
</workbook>
</file>

<file path=xl/calcChain.xml><?xml version="1.0" encoding="utf-8"?>
<calcChain xmlns="http://schemas.openxmlformats.org/spreadsheetml/2006/main">
  <c r="F8" i="5" l="1"/>
  <c r="F7" i="5"/>
  <c r="D5" i="2" l="1"/>
  <c r="E5" i="2"/>
  <c r="F5" i="2"/>
  <c r="G5" i="2"/>
  <c r="H5" i="2"/>
  <c r="I5" i="2"/>
  <c r="J5" i="2"/>
  <c r="K5" i="2"/>
  <c r="L5" i="2"/>
  <c r="M5" i="2"/>
  <c r="N5" i="2"/>
  <c r="C5" i="2"/>
  <c r="D2" i="5"/>
  <c r="F23" i="5"/>
  <c r="F19" i="5"/>
  <c r="F16" i="5"/>
  <c r="F14" i="5"/>
  <c r="F10" i="5"/>
  <c r="F4" i="5" l="1"/>
  <c r="F6" i="5"/>
  <c r="F3" i="5" s="1"/>
  <c r="F5" i="5"/>
  <c r="F25" i="5" l="1"/>
  <c r="C16" i="2"/>
  <c r="C6" i="2" l="1"/>
  <c r="C14" i="2"/>
  <c r="C8" i="2"/>
  <c r="C9" i="2"/>
  <c r="C11" i="2" l="1"/>
  <c r="C21" i="2" s="1"/>
  <c r="N16" i="2"/>
  <c r="M16" i="2"/>
  <c r="L16" i="2"/>
  <c r="K16" i="2"/>
  <c r="J16" i="2"/>
  <c r="I16" i="2"/>
  <c r="H16" i="2"/>
  <c r="G16" i="2"/>
  <c r="F16" i="2"/>
  <c r="E16" i="2"/>
  <c r="D16" i="2"/>
  <c r="C22" i="2" l="1"/>
  <c r="C23" i="2"/>
  <c r="F8" i="2"/>
  <c r="F14" i="2"/>
  <c r="F6" i="2"/>
  <c r="G6" i="2"/>
  <c r="G14" i="2"/>
  <c r="G8" i="2"/>
  <c r="N14" i="2"/>
  <c r="N8" i="2"/>
  <c r="N6" i="2"/>
  <c r="H6" i="2"/>
  <c r="H14" i="2"/>
  <c r="H8" i="2"/>
  <c r="I6" i="2"/>
  <c r="I8" i="2"/>
  <c r="I14" i="2"/>
  <c r="J6" i="2"/>
  <c r="J14" i="2"/>
  <c r="J8" i="2"/>
  <c r="K8" i="2"/>
  <c r="K6" i="2"/>
  <c r="K14" i="2"/>
  <c r="D14" i="2"/>
  <c r="D8" i="2"/>
  <c r="D6" i="2"/>
  <c r="L14" i="2"/>
  <c r="L8" i="2"/>
  <c r="L6" i="2"/>
  <c r="E14" i="2"/>
  <c r="E8" i="2"/>
  <c r="E6" i="2"/>
  <c r="E11" i="2" s="1"/>
  <c r="E21" i="2" s="1"/>
  <c r="E22" i="2" s="1"/>
  <c r="M14" i="2"/>
  <c r="M8" i="2"/>
  <c r="M6" i="2"/>
  <c r="K9" i="2"/>
  <c r="E9" i="2"/>
  <c r="I9" i="2"/>
  <c r="J9" i="2"/>
  <c r="L9" i="2"/>
  <c r="M9" i="2"/>
  <c r="D9" i="2"/>
  <c r="F9" i="2"/>
  <c r="N9" i="2"/>
  <c r="H9" i="2"/>
  <c r="G9" i="2"/>
  <c r="K11" i="2" l="1"/>
  <c r="K21" i="2" s="1"/>
  <c r="K22" i="2" s="1"/>
  <c r="L11" i="2"/>
  <c r="I11" i="2"/>
  <c r="I21" i="2" s="1"/>
  <c r="I22" i="2" s="1"/>
  <c r="J11" i="2"/>
  <c r="J21" i="2" s="1"/>
  <c r="J22" i="2" s="1"/>
  <c r="D11" i="2"/>
  <c r="D21" i="2" s="1"/>
  <c r="D22" i="2" s="1"/>
  <c r="M11" i="2"/>
  <c r="M21" i="2" s="1"/>
  <c r="M22" i="2" s="1"/>
  <c r="G11" i="2"/>
  <c r="G21" i="2" s="1"/>
  <c r="G22" i="2" s="1"/>
  <c r="F11" i="2"/>
  <c r="F21" i="2" s="1"/>
  <c r="F22" i="2" s="1"/>
  <c r="N11" i="2"/>
  <c r="N21" i="2" s="1"/>
  <c r="N22" i="2" s="1"/>
  <c r="L21" i="2"/>
  <c r="L22" i="2" s="1"/>
  <c r="H11" i="2"/>
  <c r="H21" i="2" s="1"/>
  <c r="H22" i="2" s="1"/>
  <c r="D23" i="2" l="1"/>
  <c r="E23" i="2" s="1"/>
  <c r="F23" i="2" s="1"/>
  <c r="G23" i="2" s="1"/>
  <c r="H23" i="2" s="1"/>
  <c r="I23" i="2" s="1"/>
  <c r="J23" i="2" s="1"/>
  <c r="K23" i="2" s="1"/>
  <c r="L23" i="2" s="1"/>
  <c r="M23" i="2" s="1"/>
  <c r="N23" i="2" s="1"/>
</calcChain>
</file>

<file path=xl/sharedStrings.xml><?xml version="1.0" encoding="utf-8"?>
<sst xmlns="http://schemas.openxmlformats.org/spreadsheetml/2006/main" count="55" uniqueCount="51">
  <si>
    <t>Постоянные расходы</t>
  </si>
  <si>
    <t>Налоги</t>
  </si>
  <si>
    <t>Зарплата+НДФЛ</t>
  </si>
  <si>
    <t>Итого постоянные</t>
  </si>
  <si>
    <t>Переменные расходы</t>
  </si>
  <si>
    <t>Выручка</t>
  </si>
  <si>
    <t xml:space="preserve">Дней </t>
  </si>
  <si>
    <t>Прибыль</t>
  </si>
  <si>
    <t>Возврат инвестиций</t>
  </si>
  <si>
    <t>Аренда с комунальными платежами</t>
  </si>
  <si>
    <t>Число чеков в день</t>
  </si>
  <si>
    <t>Эквайринг</t>
  </si>
  <si>
    <t>Паушальный взнос</t>
  </si>
  <si>
    <t>Админ. расходы и прочее</t>
  </si>
  <si>
    <t>Роялти (3.5% в первый год)</t>
  </si>
  <si>
    <t>СТАРТОВЫЕ ИНВЕСТИЦИИ</t>
  </si>
  <si>
    <t>кв.м</t>
  </si>
  <si>
    <t>Сумма (руб.)</t>
  </si>
  <si>
    <t>Аренда на период запуска (обеспечительный платеж + аренда 1 мес)</t>
  </si>
  <si>
    <t>Строительство точки</t>
  </si>
  <si>
    <t>Дизайн проект</t>
  </si>
  <si>
    <t>входит в паушальный взнос</t>
  </si>
  <si>
    <t xml:space="preserve">Строительные материалы </t>
  </si>
  <si>
    <t xml:space="preserve">Строительные работы (10 000 руб кв метр) </t>
  </si>
  <si>
    <t>Торжественное открытие</t>
  </si>
  <si>
    <t>Оборудование и мебель (со скидкой для нашей сети (5-10%)</t>
  </si>
  <si>
    <t>Кухонное оборудование</t>
  </si>
  <si>
    <t>Столешница витрина, рольставни</t>
  </si>
  <si>
    <t>Пусконаладочные работы, услуги установки мебели</t>
  </si>
  <si>
    <t>Первоначальная закупка</t>
  </si>
  <si>
    <t>Продукты и напитки</t>
  </si>
  <si>
    <t>Прочие затраты</t>
  </si>
  <si>
    <t>Перелет, проживание и ЗП команды открытия с Омска или Тюмени</t>
  </si>
  <si>
    <t>Регистрация предприятия</t>
  </si>
  <si>
    <t>Регистрация тех. карт блюд</t>
  </si>
  <si>
    <t>Установка программного обеспечения</t>
  </si>
  <si>
    <t>Размещение вакансий о найме персонала</t>
  </si>
  <si>
    <t>Интернет и сотовая связь</t>
  </si>
  <si>
    <t>Расходы на обучение в Омске (перелет и проживание. 2 недели)</t>
  </si>
  <si>
    <t>Прочее</t>
  </si>
  <si>
    <t>ДАННЫЕ</t>
  </si>
  <si>
    <t>Значение</t>
  </si>
  <si>
    <t>Ед. изм.</t>
  </si>
  <si>
    <t xml:space="preserve">Площадь помещения </t>
  </si>
  <si>
    <t xml:space="preserve">Арендная ставка </t>
  </si>
  <si>
    <t>руб./кв.м</t>
  </si>
  <si>
    <t>Рентабельность</t>
  </si>
  <si>
    <t>Месяц</t>
  </si>
  <si>
    <t>Фудкост 45-48%</t>
  </si>
  <si>
    <t>Средний чек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</si>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</sst>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5" formatCode="_-* #,##0\ &quot;₽&quot;_-;\-* #,##0\ &quot;₽&quot;_-;_-* &quot;-&quot;??\ &quot;₽&quot;_-;_-@_-"/>
    <numFmt numFmtId="166" formatCode="_-* #,##0.00_р_._-;\-* #,##0.00_р_._-;_-* &quot;-&quot;??_р_._-;_-@_-"/>
  </numFmts>
  <fonts count="15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8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theme="5" tint="0.59999389629810485"/>
        <bgColor rgb="FFD9EAD3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rgb="FFD9EAD3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" fillId="0" borderId="3" xfId="3" applyBorder="1"/>
    <xf numFmtId="0" fontId="5" fillId="4" borderId="4" xfId="4" applyFont="1" applyFill="1" applyBorder="1" applyAlignment="1" applyProtection="1">
      <alignment vertical="center"/>
      <protection hidden="1"/>
    </xf>
    <xf numFmtId="0" fontId="5" fillId="4" borderId="5" xfId="4" applyFont="1" applyFill="1" applyBorder="1" applyAlignment="1" applyProtection="1">
      <alignment vertical="center"/>
      <protection hidden="1"/>
    </xf>
    <xf numFmtId="3" fontId="6" fillId="5" borderId="6" xfId="5" applyNumberFormat="1" applyFont="1" applyFill="1" applyBorder="1" applyAlignment="1" applyProtection="1">
      <alignment horizontal="center" vertical="center"/>
      <protection hidden="1"/>
    </xf>
    <xf numFmtId="0" fontId="1" fillId="0" borderId="0" xfId="3"/>
    <xf numFmtId="0" fontId="1" fillId="0" borderId="7" xfId="3" applyBorder="1"/>
    <xf numFmtId="0" fontId="7" fillId="6" borderId="8" xfId="4" applyFont="1" applyFill="1" applyBorder="1" applyAlignment="1" applyProtection="1">
      <alignment horizontal="left" vertical="center" wrapText="1"/>
      <protection hidden="1"/>
    </xf>
    <xf numFmtId="0" fontId="7" fillId="6" borderId="6" xfId="4" applyFont="1" applyFill="1" applyBorder="1" applyAlignment="1" applyProtection="1">
      <alignment horizontal="left" vertical="center" wrapText="1"/>
      <protection hidden="1"/>
    </xf>
    <xf numFmtId="3" fontId="6" fillId="7" borderId="6" xfId="6" applyNumberFormat="1" applyFont="1" applyFill="1" applyBorder="1" applyAlignment="1" applyProtection="1">
      <alignment horizontal="center" vertical="center"/>
      <protection hidden="1"/>
    </xf>
    <xf numFmtId="0" fontId="7" fillId="5" borderId="8" xfId="4" applyFont="1" applyFill="1" applyBorder="1" applyAlignment="1" applyProtection="1">
      <alignment horizontal="left" vertical="center"/>
      <protection hidden="1"/>
    </xf>
    <xf numFmtId="0" fontId="8" fillId="5" borderId="8" xfId="4" applyFont="1" applyFill="1" applyBorder="1" applyAlignment="1" applyProtection="1">
      <alignment horizontal="right" vertical="center"/>
      <protection hidden="1"/>
    </xf>
    <xf numFmtId="9" fontId="9" fillId="5" borderId="6" xfId="7" applyNumberFormat="1" applyFont="1" applyFill="1" applyBorder="1" applyAlignment="1" applyProtection="1">
      <alignment horizontal="center" vertical="center"/>
      <protection hidden="1"/>
    </xf>
    <xf numFmtId="3" fontId="6" fillId="5" borderId="6" xfId="6" applyNumberFormat="1" applyFont="1" applyFill="1" applyBorder="1" applyAlignment="1" applyProtection="1">
      <alignment horizontal="center" vertical="center"/>
      <protection hidden="1"/>
    </xf>
    <xf numFmtId="0" fontId="7" fillId="6" borderId="8" xfId="4" applyFont="1" applyFill="1" applyBorder="1" applyAlignment="1" applyProtection="1">
      <alignment horizontal="left" vertical="center" wrapText="1" indent="1"/>
      <protection hidden="1"/>
    </xf>
    <xf numFmtId="0" fontId="7" fillId="6" borderId="4" xfId="4" applyFont="1" applyFill="1" applyBorder="1" applyAlignment="1" applyProtection="1">
      <alignment horizontal="left" vertical="center" wrapText="1" indent="1"/>
      <protection hidden="1"/>
    </xf>
    <xf numFmtId="0" fontId="7" fillId="6" borderId="5" xfId="4" applyFont="1" applyFill="1" applyBorder="1" applyAlignment="1" applyProtection="1">
      <alignment horizontal="left" vertical="center" wrapText="1" indent="1"/>
      <protection hidden="1"/>
    </xf>
    <xf numFmtId="3" fontId="6" fillId="5" borderId="5" xfId="6" applyNumberFormat="1" applyFont="1" applyFill="1" applyBorder="1" applyAlignment="1" applyProtection="1">
      <alignment horizontal="center" vertical="center"/>
      <protection hidden="1"/>
    </xf>
    <xf numFmtId="0" fontId="10" fillId="5" borderId="8" xfId="4" applyFont="1" applyFill="1" applyBorder="1" applyAlignment="1" applyProtection="1">
      <alignment horizontal="left" vertical="center" indent="3"/>
      <protection hidden="1"/>
    </xf>
    <xf numFmtId="0" fontId="10" fillId="7" borderId="7" xfId="4" applyFont="1" applyFill="1" applyBorder="1" applyAlignment="1" applyProtection="1">
      <alignment horizontal="center" vertical="center"/>
      <protection hidden="1"/>
    </xf>
    <xf numFmtId="0" fontId="10" fillId="7" borderId="8" xfId="4" applyFont="1" applyFill="1" applyBorder="1" applyAlignment="1" applyProtection="1">
      <alignment horizontal="center" vertical="center"/>
      <protection hidden="1"/>
    </xf>
    <xf numFmtId="3" fontId="11" fillId="7" borderId="6" xfId="6" applyNumberFormat="1" applyFont="1" applyFill="1" applyBorder="1" applyAlignment="1" applyProtection="1">
      <alignment horizontal="center" vertical="center"/>
      <protection hidden="1"/>
    </xf>
    <xf numFmtId="0" fontId="7" fillId="5" borderId="9" xfId="4" applyFont="1" applyFill="1" applyBorder="1" applyAlignment="1" applyProtection="1">
      <alignment horizontal="left" vertical="center" indent="3"/>
      <protection hidden="1"/>
    </xf>
    <xf numFmtId="0" fontId="10" fillId="5" borderId="10" xfId="4" applyFont="1" applyFill="1" applyBorder="1" applyProtection="1">
      <protection hidden="1"/>
    </xf>
    <xf numFmtId="3" fontId="11" fillId="5" borderId="10" xfId="6" applyNumberFormat="1" applyFont="1" applyFill="1" applyBorder="1" applyAlignment="1" applyProtection="1">
      <alignment horizontal="center" vertical="center"/>
      <protection locked="0"/>
    </xf>
    <xf numFmtId="0" fontId="7" fillId="5" borderId="8" xfId="4" applyFont="1" applyFill="1" applyBorder="1" applyAlignment="1" applyProtection="1">
      <alignment horizontal="left" vertical="center" indent="3"/>
      <protection hidden="1"/>
    </xf>
    <xf numFmtId="0" fontId="10" fillId="5" borderId="6" xfId="4" applyFont="1" applyFill="1" applyBorder="1" applyProtection="1">
      <protection hidden="1"/>
    </xf>
    <xf numFmtId="3" fontId="11" fillId="5" borderId="6" xfId="6" applyNumberFormat="1" applyFont="1" applyFill="1" applyBorder="1" applyAlignment="1" applyProtection="1">
      <alignment horizontal="center" vertical="center"/>
      <protection locked="0"/>
    </xf>
    <xf numFmtId="0" fontId="7" fillId="6" borderId="8" xfId="4" applyFont="1" applyFill="1" applyBorder="1" applyAlignment="1" applyProtection="1">
      <alignment horizontal="left" wrapText="1" indent="1"/>
      <protection hidden="1"/>
    </xf>
    <xf numFmtId="0" fontId="10" fillId="5" borderId="6" xfId="4" applyFont="1" applyFill="1" applyBorder="1" applyAlignment="1" applyProtection="1">
      <alignment horizontal="left" vertical="center" indent="3"/>
      <protection hidden="1"/>
    </xf>
    <xf numFmtId="0" fontId="7" fillId="5" borderId="8" xfId="4" applyFont="1" applyFill="1" applyBorder="1" applyAlignment="1" applyProtection="1">
      <alignment horizontal="left" vertical="center"/>
      <protection hidden="1"/>
    </xf>
    <xf numFmtId="0" fontId="7" fillId="5" borderId="6" xfId="4" applyFont="1" applyFill="1" applyBorder="1" applyAlignment="1" applyProtection="1">
      <alignment horizontal="left" vertical="center"/>
      <protection hidden="1"/>
    </xf>
    <xf numFmtId="3" fontId="6" fillId="5" borderId="10" xfId="6" applyNumberFormat="1" applyFont="1" applyFill="1" applyBorder="1" applyAlignment="1" applyProtection="1">
      <alignment horizontal="center" vertical="center"/>
      <protection hidden="1"/>
    </xf>
    <xf numFmtId="0" fontId="7" fillId="5" borderId="8" xfId="4" applyFont="1" applyFill="1" applyBorder="1" applyAlignment="1" applyProtection="1">
      <alignment horizontal="left" vertical="center" indent="1"/>
      <protection hidden="1"/>
    </xf>
    <xf numFmtId="0" fontId="7" fillId="6" borderId="4" xfId="4" applyFont="1" applyFill="1" applyBorder="1" applyAlignment="1" applyProtection="1">
      <alignment horizontal="left" wrapText="1" indent="1"/>
      <protection hidden="1"/>
    </xf>
    <xf numFmtId="0" fontId="7" fillId="6" borderId="5" xfId="4" applyFont="1" applyFill="1" applyBorder="1" applyAlignment="1" applyProtection="1">
      <alignment horizontal="left" wrapText="1" indent="1"/>
      <protection hidden="1"/>
    </xf>
    <xf numFmtId="0" fontId="1" fillId="0" borderId="11" xfId="3" applyBorder="1"/>
    <xf numFmtId="0" fontId="10" fillId="5" borderId="9" xfId="4" applyFont="1" applyFill="1" applyBorder="1" applyAlignment="1" applyProtection="1">
      <alignment horizontal="left" vertical="center" indent="3"/>
      <protection hidden="1"/>
    </xf>
    <xf numFmtId="0" fontId="7" fillId="6" borderId="0" xfId="4" applyFont="1" applyFill="1" applyBorder="1" applyAlignment="1" applyProtection="1">
      <alignment horizontal="left" wrapText="1" indent="1"/>
      <protection hidden="1"/>
    </xf>
    <xf numFmtId="0" fontId="7" fillId="6" borderId="12" xfId="4" applyFont="1" applyFill="1" applyBorder="1" applyAlignment="1" applyProtection="1">
      <alignment horizontal="left" wrapText="1" indent="1"/>
      <protection hidden="1"/>
    </xf>
    <xf numFmtId="3" fontId="11" fillId="5" borderId="13" xfId="6" applyNumberFormat="1" applyFont="1" applyFill="1" applyBorder="1" applyAlignment="1" applyProtection="1">
      <alignment horizontal="center" vertical="center"/>
      <protection locked="0"/>
    </xf>
    <xf numFmtId="3" fontId="11" fillId="7" borderId="6" xfId="6" applyNumberFormat="1" applyFont="1" applyFill="1" applyBorder="1" applyAlignment="1" applyProtection="1">
      <alignment horizontal="center" vertical="center"/>
      <protection locked="0"/>
    </xf>
    <xf numFmtId="0" fontId="7" fillId="6" borderId="9" xfId="4" applyFont="1" applyFill="1" applyBorder="1" applyAlignment="1" applyProtection="1">
      <alignment horizontal="left" wrapText="1" indent="1"/>
      <protection hidden="1"/>
    </xf>
    <xf numFmtId="0" fontId="7" fillId="6" borderId="10" xfId="4" applyFont="1" applyFill="1" applyBorder="1" applyAlignment="1" applyProtection="1">
      <alignment horizontal="left" wrapText="1" indent="1"/>
      <protection hidden="1"/>
    </xf>
    <xf numFmtId="3" fontId="11" fillId="5" borderId="14" xfId="6" applyNumberFormat="1" applyFont="1" applyFill="1" applyBorder="1" applyAlignment="1" applyProtection="1">
      <alignment horizontal="center" vertical="center"/>
      <protection locked="0"/>
    </xf>
    <xf numFmtId="0" fontId="7" fillId="6" borderId="6" xfId="4" applyFont="1" applyFill="1" applyBorder="1" applyAlignment="1" applyProtection="1">
      <alignment horizontal="left" wrapText="1" indent="1"/>
      <protection hidden="1"/>
    </xf>
    <xf numFmtId="3" fontId="11" fillId="5" borderId="15" xfId="6" applyNumberFormat="1" applyFont="1" applyFill="1" applyBorder="1" applyAlignment="1" applyProtection="1">
      <alignment horizontal="center" vertical="center"/>
      <protection locked="0"/>
    </xf>
    <xf numFmtId="0" fontId="7" fillId="6" borderId="4" xfId="4" applyFont="1" applyFill="1" applyBorder="1" applyAlignment="1" applyProtection="1">
      <alignment horizontal="left" wrapText="1" indent="1"/>
      <protection hidden="1"/>
    </xf>
    <xf numFmtId="0" fontId="7" fillId="6" borderId="5" xfId="4" applyFont="1" applyFill="1" applyBorder="1" applyAlignment="1" applyProtection="1">
      <alignment horizontal="left" wrapText="1" indent="1"/>
      <protection hidden="1"/>
    </xf>
    <xf numFmtId="3" fontId="11" fillId="5" borderId="16" xfId="6" applyNumberFormat="1" applyFont="1" applyFill="1" applyBorder="1" applyAlignment="1" applyProtection="1">
      <alignment horizontal="center" vertical="center"/>
      <protection locked="0"/>
    </xf>
    <xf numFmtId="0" fontId="7" fillId="6" borderId="9" xfId="4" applyFont="1" applyFill="1" applyBorder="1" applyAlignment="1" applyProtection="1">
      <alignment horizontal="left" wrapText="1" indent="1"/>
      <protection hidden="1"/>
    </xf>
    <xf numFmtId="0" fontId="7" fillId="6" borderId="10" xfId="4" applyFont="1" applyFill="1" applyBorder="1" applyAlignment="1" applyProtection="1">
      <alignment horizontal="left" wrapText="1" indent="1"/>
      <protection hidden="1"/>
    </xf>
    <xf numFmtId="0" fontId="1" fillId="0" borderId="0" xfId="3" applyBorder="1"/>
    <xf numFmtId="0" fontId="12" fillId="0" borderId="15" xfId="3" applyFont="1" applyBorder="1" applyAlignment="1">
      <alignment horizontal="center" vertical="center"/>
    </xf>
    <xf numFmtId="0" fontId="12" fillId="0" borderId="16" xfId="3" applyFont="1" applyBorder="1" applyAlignment="1">
      <alignment horizontal="center" vertical="center"/>
    </xf>
    <xf numFmtId="0" fontId="12" fillId="0" borderId="16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/>
    </xf>
    <xf numFmtId="0" fontId="12" fillId="0" borderId="14" xfId="3" applyFont="1" applyBorder="1" applyAlignment="1">
      <alignment horizontal="center" vertical="center" wrapText="1"/>
    </xf>
    <xf numFmtId="0" fontId="12" fillId="0" borderId="15" xfId="3" applyFont="1" applyBorder="1" applyAlignment="1">
      <alignment horizontal="center" vertical="center"/>
    </xf>
    <xf numFmtId="3" fontId="12" fillId="0" borderId="15" xfId="3" applyNumberFormat="1" applyFont="1" applyBorder="1" applyAlignment="1">
      <alignment horizontal="center"/>
    </xf>
    <xf numFmtId="0" fontId="12" fillId="0" borderId="15" xfId="3" applyFont="1" applyBorder="1" applyAlignment="1">
      <alignment horizontal="center"/>
    </xf>
    <xf numFmtId="3" fontId="5" fillId="4" borderId="4" xfId="4" applyNumberFormat="1" applyFont="1" applyFill="1" applyBorder="1" applyAlignment="1" applyProtection="1">
      <alignment vertical="center"/>
      <protection hidden="1"/>
    </xf>
    <xf numFmtId="0" fontId="14" fillId="0" borderId="0" xfId="0" applyFont="1" applyAlignment="1"/>
    <xf numFmtId="0" fontId="13" fillId="0" borderId="0" xfId="0" applyFont="1" applyAlignment="1">
      <alignment wrapText="1"/>
    </xf>
    <xf numFmtId="0" fontId="13" fillId="0" borderId="0" xfId="0" applyFont="1" applyAlignment="1"/>
    <xf numFmtId="165" fontId="13" fillId="0" borderId="0" xfId="1" applyNumberFormat="1" applyFont="1" applyAlignment="1">
      <alignment horizontal="right"/>
    </xf>
    <xf numFmtId="3" fontId="11" fillId="0" borderId="1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3" fontId="11" fillId="0" borderId="0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1" fillId="0" borderId="20" xfId="0" applyFont="1" applyBorder="1" applyAlignment="1">
      <alignment wrapText="1"/>
    </xf>
    <xf numFmtId="3" fontId="11" fillId="3" borderId="22" xfId="0" applyNumberFormat="1" applyFont="1" applyFill="1" applyBorder="1" applyAlignment="1">
      <alignment horizontal="center"/>
    </xf>
    <xf numFmtId="3" fontId="11" fillId="8" borderId="22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1" fontId="11" fillId="0" borderId="15" xfId="0" applyNumberFormat="1" applyFont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0" fontId="11" fillId="0" borderId="20" xfId="0" applyFont="1" applyFill="1" applyBorder="1" applyAlignment="1"/>
    <xf numFmtId="3" fontId="11" fillId="0" borderId="1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right" vertical="center" wrapText="1"/>
    </xf>
    <xf numFmtId="0" fontId="11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9" fontId="6" fillId="0" borderId="1" xfId="2" applyFont="1" applyFill="1" applyBorder="1" applyAlignment="1">
      <alignment horizontal="center"/>
    </xf>
    <xf numFmtId="9" fontId="6" fillId="0" borderId="18" xfId="2" applyFont="1" applyFill="1" applyBorder="1" applyAlignment="1">
      <alignment horizontal="center"/>
    </xf>
    <xf numFmtId="0" fontId="6" fillId="9" borderId="17" xfId="0" applyFont="1" applyFill="1" applyBorder="1" applyAlignment="1">
      <alignment wrapText="1"/>
    </xf>
    <xf numFmtId="0" fontId="6" fillId="9" borderId="21" xfId="0" applyFont="1" applyFill="1" applyBorder="1" applyAlignment="1">
      <alignment wrapText="1"/>
    </xf>
    <xf numFmtId="0" fontId="6" fillId="9" borderId="15" xfId="0" applyFont="1" applyFill="1" applyBorder="1" applyAlignment="1"/>
    <xf numFmtId="0" fontId="6" fillId="9" borderId="15" xfId="0" applyFont="1" applyFill="1" applyBorder="1" applyAlignment="1">
      <alignment wrapText="1"/>
    </xf>
  </cellXfs>
  <cellStyles count="8">
    <cellStyle name="Денежный" xfId="1" builtinId="4"/>
    <cellStyle name="Денежный 2" xfId="6"/>
    <cellStyle name="Обычный" xfId="0" builtinId="0"/>
    <cellStyle name="Обычный 2" xfId="3"/>
    <cellStyle name="Обычный 2 2" xfId="4"/>
    <cellStyle name="Процентный" xfId="2" builtinId="5"/>
    <cellStyle name="Процентный 2" xfId="7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D5"/>
  <sheetViews>
    <sheetView showGridLines="0" workbookViewId="0">
      <selection activeCell="G28" sqref="G28"/>
    </sheetView>
  </sheetViews>
  <sheetFormatPr defaultRowHeight="14.5" x14ac:dyDescent="0.35"/>
  <cols>
    <col min="1" max="1" width="8.7265625" style="53"/>
    <col min="2" max="2" width="26.54296875" style="53" customWidth="1"/>
    <col min="3" max="3" width="22.1796875" style="53" customWidth="1"/>
    <col min="4" max="4" width="15.54296875" style="53" customWidth="1"/>
    <col min="5" max="16384" width="8.7265625" style="53"/>
  </cols>
  <sheetData>
    <row r="1" spans="2:4" ht="44" customHeight="1" x14ac:dyDescent="0.35"/>
    <row r="2" spans="2:4" ht="20" customHeight="1" x14ac:dyDescent="0.35">
      <c r="B2" s="54" t="s">
        <v>40</v>
      </c>
      <c r="C2" s="55" t="s">
        <v>41</v>
      </c>
      <c r="D2" s="56" t="s">
        <v>42</v>
      </c>
    </row>
    <row r="3" spans="2:4" x14ac:dyDescent="0.35">
      <c r="B3" s="54"/>
      <c r="C3" s="57"/>
      <c r="D3" s="58"/>
    </row>
    <row r="4" spans="2:4" ht="18" x14ac:dyDescent="0.4">
      <c r="B4" s="59" t="s">
        <v>43</v>
      </c>
      <c r="C4" s="60">
        <v>25</v>
      </c>
      <c r="D4" s="61" t="s">
        <v>16</v>
      </c>
    </row>
    <row r="5" spans="2:4" ht="18" x14ac:dyDescent="0.4">
      <c r="B5" s="59" t="s">
        <v>44</v>
      </c>
      <c r="C5" s="60">
        <v>2100</v>
      </c>
      <c r="D5" s="61" t="s">
        <v>45</v>
      </c>
    </row>
  </sheetData>
  <mergeCells count="3">
    <mergeCell ref="B2:B3"/>
    <mergeCell ref="C2:C3"/>
    <mergeCell ref="D2:D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showGridLines="0" tabSelected="1" workbookViewId="0">
      <selection activeCell="C33" sqref="C33"/>
    </sheetView>
  </sheetViews>
  <sheetFormatPr defaultRowHeight="14.5" x14ac:dyDescent="0.35"/>
  <cols>
    <col min="1" max="1" width="8.7265625" style="6"/>
    <col min="2" max="2" width="3.81640625" style="6" customWidth="1"/>
    <col min="3" max="3" width="82.90625" style="6" customWidth="1"/>
    <col min="4" max="4" width="7.7265625" style="6" customWidth="1"/>
    <col min="5" max="5" width="26.81640625" style="6" customWidth="1"/>
    <col min="6" max="6" width="27" style="6" bestFit="1" customWidth="1"/>
    <col min="7" max="16384" width="8.7265625" style="6"/>
  </cols>
  <sheetData>
    <row r="2" spans="2:6" ht="43.5" customHeight="1" x14ac:dyDescent="0.35">
      <c r="B2" s="2"/>
      <c r="C2" s="3" t="s">
        <v>15</v>
      </c>
      <c r="D2" s="62">
        <f>'Исходные данные'!C4</f>
        <v>25</v>
      </c>
      <c r="E2" s="4" t="s">
        <v>16</v>
      </c>
      <c r="F2" s="5" t="s">
        <v>17</v>
      </c>
    </row>
    <row r="3" spans="2:6" ht="17.5" x14ac:dyDescent="0.35">
      <c r="B3" s="7"/>
      <c r="C3" s="8" t="s">
        <v>12</v>
      </c>
      <c r="D3" s="8"/>
      <c r="E3" s="9"/>
      <c r="F3" s="10">
        <f>F6+F17+F19+F23+40000</f>
        <v>305000</v>
      </c>
    </row>
    <row r="4" spans="2:6" ht="18" x14ac:dyDescent="0.35">
      <c r="B4" s="7"/>
      <c r="C4" s="11" t="s">
        <v>18</v>
      </c>
      <c r="D4" s="12"/>
      <c r="E4" s="13"/>
      <c r="F4" s="14">
        <f>D2*'Исходные данные'!C5*2</f>
        <v>105000</v>
      </c>
    </row>
    <row r="5" spans="2:6" ht="17.5" x14ac:dyDescent="0.35">
      <c r="B5" s="7"/>
      <c r="C5" s="15" t="s">
        <v>19</v>
      </c>
      <c r="D5" s="16"/>
      <c r="E5" s="17"/>
      <c r="F5" s="18">
        <f>SUM(F7:F9)</f>
        <v>597500</v>
      </c>
    </row>
    <row r="6" spans="2:6" ht="18" x14ac:dyDescent="0.35">
      <c r="B6" s="7"/>
      <c r="C6" s="19" t="s">
        <v>20</v>
      </c>
      <c r="D6" s="20" t="s">
        <v>21</v>
      </c>
      <c r="E6" s="21"/>
      <c r="F6" s="22">
        <f>D2*1000</f>
        <v>25000</v>
      </c>
    </row>
    <row r="7" spans="2:6" ht="18" x14ac:dyDescent="0.4">
      <c r="B7" s="7"/>
      <c r="C7" s="19" t="s">
        <v>22</v>
      </c>
      <c r="D7" s="23"/>
      <c r="E7" s="24"/>
      <c r="F7" s="25">
        <f>13500*D2</f>
        <v>337500</v>
      </c>
    </row>
    <row r="8" spans="2:6" ht="18" x14ac:dyDescent="0.4">
      <c r="B8" s="7"/>
      <c r="C8" s="19" t="s">
        <v>23</v>
      </c>
      <c r="D8" s="26"/>
      <c r="E8" s="27"/>
      <c r="F8" s="28">
        <f>D2*10000</f>
        <v>250000</v>
      </c>
    </row>
    <row r="9" spans="2:6" ht="18" x14ac:dyDescent="0.35">
      <c r="B9" s="7"/>
      <c r="C9" s="19" t="s">
        <v>24</v>
      </c>
      <c r="D9" s="29"/>
      <c r="E9" s="30"/>
      <c r="F9" s="28">
        <v>10000</v>
      </c>
    </row>
    <row r="10" spans="2:6" ht="17.5" x14ac:dyDescent="0.35">
      <c r="B10" s="7"/>
      <c r="C10" s="31" t="s">
        <v>25</v>
      </c>
      <c r="D10" s="31"/>
      <c r="E10" s="32"/>
      <c r="F10" s="33">
        <f>SUM(F11:F13)</f>
        <v>610000</v>
      </c>
    </row>
    <row r="11" spans="2:6" ht="18" x14ac:dyDescent="0.35">
      <c r="B11" s="7"/>
      <c r="C11" s="19" t="s">
        <v>26</v>
      </c>
      <c r="D11" s="29"/>
      <c r="E11" s="30"/>
      <c r="F11" s="28">
        <v>400000</v>
      </c>
    </row>
    <row r="12" spans="2:6" ht="18" x14ac:dyDescent="0.35">
      <c r="B12" s="7"/>
      <c r="C12" s="19" t="s">
        <v>27</v>
      </c>
      <c r="D12" s="29"/>
      <c r="E12" s="30"/>
      <c r="F12" s="28">
        <v>200000</v>
      </c>
    </row>
    <row r="13" spans="2:6" ht="18" x14ac:dyDescent="0.35">
      <c r="B13" s="7"/>
      <c r="C13" s="19" t="s">
        <v>28</v>
      </c>
      <c r="D13" s="29"/>
      <c r="E13" s="30"/>
      <c r="F13" s="28">
        <v>10000</v>
      </c>
    </row>
    <row r="14" spans="2:6" ht="18" x14ac:dyDescent="0.35">
      <c r="B14" s="7"/>
      <c r="C14" s="34" t="s">
        <v>29</v>
      </c>
      <c r="D14" s="29"/>
      <c r="E14" s="30"/>
      <c r="F14" s="14">
        <f>F15</f>
        <v>50000</v>
      </c>
    </row>
    <row r="15" spans="2:6" ht="18" x14ac:dyDescent="0.35">
      <c r="B15" s="7"/>
      <c r="C15" s="19" t="s">
        <v>30</v>
      </c>
      <c r="D15" s="29"/>
      <c r="E15" s="30"/>
      <c r="F15" s="25">
        <v>50000</v>
      </c>
    </row>
    <row r="16" spans="2:6" ht="17.5" x14ac:dyDescent="0.35">
      <c r="B16" s="2"/>
      <c r="C16" s="35" t="s">
        <v>31</v>
      </c>
      <c r="D16" s="35"/>
      <c r="E16" s="36"/>
      <c r="F16" s="18">
        <f>F18+F20+F21+F22</f>
        <v>32500</v>
      </c>
    </row>
    <row r="17" spans="2:6" ht="18" x14ac:dyDescent="0.35">
      <c r="B17" s="7"/>
      <c r="C17" s="19" t="s">
        <v>32</v>
      </c>
      <c r="D17" s="20" t="s">
        <v>21</v>
      </c>
      <c r="E17" s="21"/>
      <c r="F17" s="22">
        <v>120000</v>
      </c>
    </row>
    <row r="18" spans="2:6" ht="18" x14ac:dyDescent="0.35">
      <c r="B18" s="37"/>
      <c r="C18" s="38" t="s">
        <v>33</v>
      </c>
      <c r="D18" s="39"/>
      <c r="E18" s="40"/>
      <c r="F18" s="41">
        <v>10000</v>
      </c>
    </row>
    <row r="19" spans="2:6" ht="18" x14ac:dyDescent="0.35">
      <c r="B19" s="37"/>
      <c r="C19" s="38" t="s">
        <v>34</v>
      </c>
      <c r="D19" s="20" t="s">
        <v>21</v>
      </c>
      <c r="E19" s="21"/>
      <c r="F19" s="42">
        <f>15000*5</f>
        <v>75000</v>
      </c>
    </row>
    <row r="20" spans="2:6" ht="18" x14ac:dyDescent="0.35">
      <c r="B20" s="7"/>
      <c r="C20" s="19" t="s">
        <v>35</v>
      </c>
      <c r="D20" s="43"/>
      <c r="E20" s="44"/>
      <c r="F20" s="45">
        <v>5000</v>
      </c>
    </row>
    <row r="21" spans="2:6" ht="18" x14ac:dyDescent="0.35">
      <c r="B21" s="7"/>
      <c r="C21" s="19" t="s">
        <v>36</v>
      </c>
      <c r="D21" s="29"/>
      <c r="E21" s="46"/>
      <c r="F21" s="47">
        <v>16000</v>
      </c>
    </row>
    <row r="22" spans="2:6" ht="18" x14ac:dyDescent="0.35">
      <c r="B22" s="7"/>
      <c r="C22" s="19" t="s">
        <v>37</v>
      </c>
      <c r="D22" s="48"/>
      <c r="E22" s="49"/>
      <c r="F22" s="50">
        <v>1500</v>
      </c>
    </row>
    <row r="23" spans="2:6" ht="18" x14ac:dyDescent="0.35">
      <c r="B23" s="7"/>
      <c r="C23" s="19" t="s">
        <v>38</v>
      </c>
      <c r="D23" s="20" t="s">
        <v>21</v>
      </c>
      <c r="E23" s="21"/>
      <c r="F23" s="42">
        <f>25000+20000</f>
        <v>45000</v>
      </c>
    </row>
    <row r="24" spans="2:6" ht="18" x14ac:dyDescent="0.35">
      <c r="B24" s="7"/>
      <c r="C24" s="19" t="s">
        <v>39</v>
      </c>
      <c r="D24" s="43"/>
      <c r="E24" s="44"/>
      <c r="F24" s="45">
        <v>0</v>
      </c>
    </row>
    <row r="25" spans="2:6" ht="17.5" x14ac:dyDescent="0.35">
      <c r="B25" s="37"/>
      <c r="C25" s="51" t="s">
        <v>50</v>
      </c>
      <c r="D25" s="51"/>
      <c r="E25" s="52"/>
      <c r="F25" s="33">
        <f>F3+F5+F16+F10+F14+F4</f>
        <v>1700000</v>
      </c>
    </row>
  </sheetData>
  <mergeCells count="9">
    <mergeCell ref="D19:E19"/>
    <mergeCell ref="D23:E23"/>
    <mergeCell ref="C25:E25"/>
    <mergeCell ref="C3:E3"/>
    <mergeCell ref="C5:E5"/>
    <mergeCell ref="D6:E6"/>
    <mergeCell ref="C10:E10"/>
    <mergeCell ref="C16:E16"/>
    <mergeCell ref="D17:E17"/>
  </mergeCells>
  <dataValidations count="1">
    <dataValidation operator="lessThanOrEqual" allowBlank="1" showInputMessage="1" showErrorMessage="1" sqref="E4"/>
  </dataValidations>
  <pageMargins left="0.7" right="0.7" top="0.75" bottom="0.75" header="0.3" footer="0.3"/>
  <ignoredErrors>
    <ignoredError sqref="F19 F23 F7:F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O31"/>
  <sheetViews>
    <sheetView showGridLines="0" workbookViewId="0">
      <selection activeCell="G34" sqref="G34"/>
    </sheetView>
  </sheetViews>
  <sheetFormatPr defaultColWidth="14.453125" defaultRowHeight="15.75" customHeight="1" x14ac:dyDescent="0.25"/>
  <cols>
    <col min="1" max="1" width="8.36328125" customWidth="1"/>
    <col min="2" max="2" width="45.1796875" customWidth="1"/>
    <col min="3" max="14" width="15.6328125" customWidth="1"/>
  </cols>
  <sheetData>
    <row r="2" spans="2:15" ht="15.75" customHeight="1" x14ac:dyDescent="0.25">
      <c r="B2" s="85" t="s">
        <v>47</v>
      </c>
      <c r="C2" s="78">
        <v>1</v>
      </c>
      <c r="D2" s="78">
        <v>2</v>
      </c>
      <c r="E2" s="78">
        <v>3</v>
      </c>
      <c r="F2" s="78">
        <v>4</v>
      </c>
      <c r="G2" s="78">
        <v>5</v>
      </c>
      <c r="H2" s="78">
        <v>6</v>
      </c>
      <c r="I2" s="78">
        <v>7</v>
      </c>
      <c r="J2" s="78">
        <v>8</v>
      </c>
      <c r="K2" s="79">
        <v>9</v>
      </c>
      <c r="L2" s="79">
        <v>10</v>
      </c>
      <c r="M2" s="79">
        <v>11</v>
      </c>
      <c r="N2" s="78">
        <v>12</v>
      </c>
    </row>
    <row r="3" spans="2:15" ht="12.5" x14ac:dyDescent="0.25">
      <c r="B3" s="85"/>
      <c r="C3" s="78"/>
      <c r="D3" s="78"/>
      <c r="E3" s="78"/>
      <c r="F3" s="78"/>
      <c r="G3" s="78"/>
      <c r="H3" s="78"/>
      <c r="I3" s="78"/>
      <c r="J3" s="78"/>
      <c r="K3" s="79"/>
      <c r="L3" s="79"/>
      <c r="M3" s="79"/>
      <c r="N3" s="78"/>
    </row>
    <row r="4" spans="2:15" ht="18" x14ac:dyDescent="0.35">
      <c r="B4" s="97" t="s">
        <v>0</v>
      </c>
      <c r="C4" s="80"/>
      <c r="D4" s="80"/>
      <c r="E4" s="80"/>
      <c r="F4" s="80"/>
      <c r="G4" s="80"/>
      <c r="H4" s="80"/>
      <c r="I4" s="80"/>
      <c r="J4" s="80"/>
      <c r="K4" s="81"/>
      <c r="L4" s="81"/>
      <c r="M4" s="81"/>
      <c r="N4" s="82"/>
    </row>
    <row r="5" spans="2:15" ht="18" x14ac:dyDescent="0.4">
      <c r="B5" s="83" t="s">
        <v>9</v>
      </c>
      <c r="C5" s="84">
        <f>'Исходные данные'!$C$4*'Исходные данные'!$C$5</f>
        <v>52500</v>
      </c>
      <c r="D5" s="84">
        <f>'Исходные данные'!$C$4*'Исходные данные'!$C$5</f>
        <v>52500</v>
      </c>
      <c r="E5" s="84">
        <f>'Исходные данные'!$C$4*'Исходные данные'!$C$5</f>
        <v>52500</v>
      </c>
      <c r="F5" s="84">
        <f>'Исходные данные'!$C$4*'Исходные данные'!$C$5</f>
        <v>52500</v>
      </c>
      <c r="G5" s="84">
        <f>'Исходные данные'!$C$4*'Исходные данные'!$C$5</f>
        <v>52500</v>
      </c>
      <c r="H5" s="84">
        <f>'Исходные данные'!$C$4*'Исходные данные'!$C$5</f>
        <v>52500</v>
      </c>
      <c r="I5" s="84">
        <f>'Исходные данные'!$C$4*'Исходные данные'!$C$5</f>
        <v>52500</v>
      </c>
      <c r="J5" s="84">
        <f>'Исходные данные'!$C$4*'Исходные данные'!$C$5</f>
        <v>52500</v>
      </c>
      <c r="K5" s="84">
        <f>'Исходные данные'!$C$4*'Исходные данные'!$C$5</f>
        <v>52500</v>
      </c>
      <c r="L5" s="84">
        <f>'Исходные данные'!$C$4*'Исходные данные'!$C$5</f>
        <v>52500</v>
      </c>
      <c r="M5" s="84">
        <f>'Исходные данные'!$C$4*'Исходные данные'!$C$5</f>
        <v>52500</v>
      </c>
      <c r="N5" s="84">
        <f>'Исходные данные'!$C$4*'Исходные данные'!$C$5</f>
        <v>52500</v>
      </c>
      <c r="O5" s="1"/>
    </row>
    <row r="6" spans="2:15" ht="18" x14ac:dyDescent="0.4">
      <c r="B6" s="86" t="s">
        <v>2</v>
      </c>
      <c r="C6" s="67">
        <f>C16*23%</f>
        <v>108192</v>
      </c>
      <c r="D6" s="67">
        <f>D16*23%</f>
        <v>130065</v>
      </c>
      <c r="E6" s="67">
        <f>E16*22.5%</f>
        <v>170100</v>
      </c>
      <c r="F6" s="67">
        <f t="shared" ref="F6:I6" si="0">F16*22.5%</f>
        <v>183262.5</v>
      </c>
      <c r="G6" s="67">
        <f t="shared" si="0"/>
        <v>222345</v>
      </c>
      <c r="H6" s="67">
        <f t="shared" si="0"/>
        <v>248400</v>
      </c>
      <c r="I6" s="67">
        <f t="shared" si="0"/>
        <v>276210</v>
      </c>
      <c r="J6" s="67">
        <f>J16*20%</f>
        <v>248160</v>
      </c>
      <c r="K6" s="67">
        <f t="shared" ref="K6:N6" si="1">K16*20%</f>
        <v>255360</v>
      </c>
      <c r="L6" s="67">
        <f t="shared" si="1"/>
        <v>258780</v>
      </c>
      <c r="M6" s="67">
        <f t="shared" si="1"/>
        <v>261060</v>
      </c>
      <c r="N6" s="68">
        <f t="shared" si="1"/>
        <v>262200</v>
      </c>
      <c r="O6" s="1"/>
    </row>
    <row r="7" spans="2:15" ht="18" x14ac:dyDescent="0.4">
      <c r="B7" s="86" t="s">
        <v>13</v>
      </c>
      <c r="C7" s="67">
        <v>9400</v>
      </c>
      <c r="D7" s="67">
        <v>9400</v>
      </c>
      <c r="E7" s="67">
        <v>9400</v>
      </c>
      <c r="F7" s="67">
        <v>9400</v>
      </c>
      <c r="G7" s="67">
        <v>9400</v>
      </c>
      <c r="H7" s="67">
        <v>9400</v>
      </c>
      <c r="I7" s="67">
        <v>9400</v>
      </c>
      <c r="J7" s="67">
        <v>9400</v>
      </c>
      <c r="K7" s="67">
        <v>9400</v>
      </c>
      <c r="L7" s="67">
        <v>9400</v>
      </c>
      <c r="M7" s="67">
        <v>9400</v>
      </c>
      <c r="N7" s="68">
        <v>9400</v>
      </c>
      <c r="O7" s="1"/>
    </row>
    <row r="8" spans="2:15" ht="18" x14ac:dyDescent="0.4">
      <c r="B8" s="86" t="s">
        <v>11</v>
      </c>
      <c r="C8" s="67">
        <f>C16*0.6%</f>
        <v>2822.4</v>
      </c>
      <c r="D8" s="67">
        <f t="shared" ref="D8:N8" si="2">D16*0.6%</f>
        <v>3393</v>
      </c>
      <c r="E8" s="67">
        <f t="shared" si="2"/>
        <v>4536</v>
      </c>
      <c r="F8" s="67">
        <f t="shared" si="2"/>
        <v>4887</v>
      </c>
      <c r="G8" s="67">
        <f t="shared" si="2"/>
        <v>5929.2</v>
      </c>
      <c r="H8" s="67">
        <f t="shared" si="2"/>
        <v>6624</v>
      </c>
      <c r="I8" s="67">
        <f t="shared" si="2"/>
        <v>7365.6</v>
      </c>
      <c r="J8" s="67">
        <f t="shared" si="2"/>
        <v>7444.8</v>
      </c>
      <c r="K8" s="67">
        <f t="shared" si="2"/>
        <v>7660.8</v>
      </c>
      <c r="L8" s="67">
        <f t="shared" si="2"/>
        <v>7763.4000000000005</v>
      </c>
      <c r="M8" s="67">
        <f t="shared" si="2"/>
        <v>7831.8</v>
      </c>
      <c r="N8" s="68">
        <f t="shared" si="2"/>
        <v>7866</v>
      </c>
      <c r="O8" s="1"/>
    </row>
    <row r="9" spans="2:15" ht="18" x14ac:dyDescent="0.4">
      <c r="B9" s="86" t="s">
        <v>14</v>
      </c>
      <c r="C9" s="67">
        <f>C16*3.5%</f>
        <v>16464</v>
      </c>
      <c r="D9" s="67">
        <f t="shared" ref="D9:N9" si="3">D16*3.5%</f>
        <v>19792.500000000004</v>
      </c>
      <c r="E9" s="67">
        <f t="shared" si="3"/>
        <v>26460.000000000004</v>
      </c>
      <c r="F9" s="67">
        <f t="shared" si="3"/>
        <v>28507.500000000004</v>
      </c>
      <c r="G9" s="67">
        <f t="shared" si="3"/>
        <v>34587</v>
      </c>
      <c r="H9" s="67">
        <f t="shared" si="3"/>
        <v>38640.000000000007</v>
      </c>
      <c r="I9" s="67">
        <f t="shared" si="3"/>
        <v>42966.000000000007</v>
      </c>
      <c r="J9" s="67">
        <f t="shared" si="3"/>
        <v>43428.000000000007</v>
      </c>
      <c r="K9" s="67">
        <f t="shared" si="3"/>
        <v>44688.000000000007</v>
      </c>
      <c r="L9" s="67">
        <f t="shared" si="3"/>
        <v>45286.500000000007</v>
      </c>
      <c r="M9" s="67">
        <f t="shared" si="3"/>
        <v>45685.500000000007</v>
      </c>
      <c r="N9" s="68">
        <f t="shared" si="3"/>
        <v>45885.000000000007</v>
      </c>
      <c r="O9" s="1"/>
    </row>
    <row r="10" spans="2:15" ht="18" x14ac:dyDescent="0.4">
      <c r="B10" s="86" t="s">
        <v>1</v>
      </c>
      <c r="C10" s="67">
        <v>18000</v>
      </c>
      <c r="D10" s="67">
        <v>18000</v>
      </c>
      <c r="E10" s="67">
        <v>18000</v>
      </c>
      <c r="F10" s="67">
        <v>18000</v>
      </c>
      <c r="G10" s="67">
        <v>18000</v>
      </c>
      <c r="H10" s="67">
        <v>18000</v>
      </c>
      <c r="I10" s="67">
        <v>18000</v>
      </c>
      <c r="J10" s="67">
        <v>18000</v>
      </c>
      <c r="K10" s="67">
        <v>18000</v>
      </c>
      <c r="L10" s="67">
        <v>18000</v>
      </c>
      <c r="M10" s="67">
        <v>18000</v>
      </c>
      <c r="N10" s="68">
        <v>18000</v>
      </c>
      <c r="O10" s="1"/>
    </row>
    <row r="11" spans="2:15" ht="17.5" x14ac:dyDescent="0.35">
      <c r="B11" s="87" t="s">
        <v>3</v>
      </c>
      <c r="C11" s="88">
        <f t="shared" ref="C11:N11" si="4">SUM(C5:C10)</f>
        <v>207378.4</v>
      </c>
      <c r="D11" s="88">
        <f t="shared" si="4"/>
        <v>233150.5</v>
      </c>
      <c r="E11" s="88">
        <f t="shared" si="4"/>
        <v>280996</v>
      </c>
      <c r="F11" s="88">
        <f t="shared" si="4"/>
        <v>296557</v>
      </c>
      <c r="G11" s="88">
        <f t="shared" si="4"/>
        <v>342761.2</v>
      </c>
      <c r="H11" s="88">
        <f t="shared" si="4"/>
        <v>373564</v>
      </c>
      <c r="I11" s="88">
        <f t="shared" si="4"/>
        <v>406441.6</v>
      </c>
      <c r="J11" s="88">
        <f t="shared" si="4"/>
        <v>378932.8</v>
      </c>
      <c r="K11" s="88">
        <f t="shared" si="4"/>
        <v>387608.8</v>
      </c>
      <c r="L11" s="88">
        <f t="shared" si="4"/>
        <v>391729.9</v>
      </c>
      <c r="M11" s="88">
        <f t="shared" si="4"/>
        <v>394477.3</v>
      </c>
      <c r="N11" s="89">
        <f t="shared" si="4"/>
        <v>395851</v>
      </c>
      <c r="O11" s="1"/>
    </row>
    <row r="12" spans="2:15" ht="18" x14ac:dyDescent="0.4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1"/>
    </row>
    <row r="13" spans="2:15" ht="18" x14ac:dyDescent="0.4">
      <c r="B13" s="96" t="s">
        <v>4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3"/>
      <c r="O13" s="1"/>
    </row>
    <row r="14" spans="2:15" ht="18" x14ac:dyDescent="0.4">
      <c r="B14" s="86" t="s">
        <v>48</v>
      </c>
      <c r="C14" s="67">
        <f>C16*0.46</f>
        <v>216384</v>
      </c>
      <c r="D14" s="67">
        <f t="shared" ref="D14:N14" si="5">D16*0.46</f>
        <v>260130</v>
      </c>
      <c r="E14" s="67">
        <f t="shared" si="5"/>
        <v>347760</v>
      </c>
      <c r="F14" s="67">
        <f t="shared" si="5"/>
        <v>374670</v>
      </c>
      <c r="G14" s="67">
        <f t="shared" si="5"/>
        <v>454572</v>
      </c>
      <c r="H14" s="67">
        <f t="shared" si="5"/>
        <v>507840</v>
      </c>
      <c r="I14" s="67">
        <f t="shared" si="5"/>
        <v>564696</v>
      </c>
      <c r="J14" s="67">
        <f t="shared" si="5"/>
        <v>570768</v>
      </c>
      <c r="K14" s="67">
        <f t="shared" si="5"/>
        <v>587328</v>
      </c>
      <c r="L14" s="67">
        <f t="shared" si="5"/>
        <v>595194</v>
      </c>
      <c r="M14" s="67">
        <f t="shared" si="5"/>
        <v>600438</v>
      </c>
      <c r="N14" s="68">
        <f t="shared" si="5"/>
        <v>603060</v>
      </c>
      <c r="O14" s="1"/>
    </row>
    <row r="15" spans="2:15" ht="18" x14ac:dyDescent="0.4">
      <c r="B15" s="74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/>
      <c r="O15" s="1"/>
    </row>
    <row r="16" spans="2:15" ht="17.5" x14ac:dyDescent="0.35">
      <c r="B16" s="94" t="s">
        <v>5</v>
      </c>
      <c r="C16" s="88">
        <f t="shared" ref="C16:N16" si="6">C17*C18*C19</f>
        <v>470400</v>
      </c>
      <c r="D16" s="88">
        <f t="shared" si="6"/>
        <v>565500</v>
      </c>
      <c r="E16" s="88">
        <f t="shared" si="6"/>
        <v>756000</v>
      </c>
      <c r="F16" s="88">
        <f t="shared" si="6"/>
        <v>814500</v>
      </c>
      <c r="G16" s="88">
        <f t="shared" si="6"/>
        <v>988200</v>
      </c>
      <c r="H16" s="88">
        <f t="shared" si="6"/>
        <v>1104000</v>
      </c>
      <c r="I16" s="88">
        <f t="shared" si="6"/>
        <v>1227600</v>
      </c>
      <c r="J16" s="88">
        <f t="shared" si="6"/>
        <v>1240800</v>
      </c>
      <c r="K16" s="88">
        <f t="shared" si="6"/>
        <v>1276800</v>
      </c>
      <c r="L16" s="88">
        <f t="shared" si="6"/>
        <v>1293900</v>
      </c>
      <c r="M16" s="88">
        <f t="shared" si="6"/>
        <v>1305300</v>
      </c>
      <c r="N16" s="89">
        <f t="shared" si="6"/>
        <v>1311000</v>
      </c>
      <c r="O16" s="1"/>
    </row>
    <row r="17" spans="2:15" ht="18" x14ac:dyDescent="0.4">
      <c r="B17" s="86" t="s">
        <v>6</v>
      </c>
      <c r="C17" s="90">
        <v>30</v>
      </c>
      <c r="D17" s="90">
        <v>30</v>
      </c>
      <c r="E17" s="90">
        <v>30</v>
      </c>
      <c r="F17" s="90">
        <v>30</v>
      </c>
      <c r="G17" s="90">
        <v>30</v>
      </c>
      <c r="H17" s="90">
        <v>30</v>
      </c>
      <c r="I17" s="90">
        <v>30</v>
      </c>
      <c r="J17" s="90">
        <v>30</v>
      </c>
      <c r="K17" s="90">
        <v>30</v>
      </c>
      <c r="L17" s="90">
        <v>30</v>
      </c>
      <c r="M17" s="90">
        <v>30</v>
      </c>
      <c r="N17" s="91">
        <v>30</v>
      </c>
      <c r="O17" s="1"/>
    </row>
    <row r="18" spans="2:15" ht="18" x14ac:dyDescent="0.4">
      <c r="B18" s="86" t="s">
        <v>10</v>
      </c>
      <c r="C18" s="90">
        <v>112</v>
      </c>
      <c r="D18" s="90">
        <v>130</v>
      </c>
      <c r="E18" s="90">
        <v>140</v>
      </c>
      <c r="F18" s="90">
        <v>150</v>
      </c>
      <c r="G18" s="90">
        <v>180</v>
      </c>
      <c r="H18" s="90">
        <v>200</v>
      </c>
      <c r="I18" s="90">
        <v>220</v>
      </c>
      <c r="J18" s="90">
        <v>220</v>
      </c>
      <c r="K18" s="90">
        <v>224</v>
      </c>
      <c r="L18" s="90">
        <v>227</v>
      </c>
      <c r="M18" s="90">
        <v>229</v>
      </c>
      <c r="N18" s="91">
        <v>230</v>
      </c>
      <c r="O18" s="1"/>
    </row>
    <row r="19" spans="2:15" ht="18" x14ac:dyDescent="0.4">
      <c r="B19" s="86" t="s">
        <v>49</v>
      </c>
      <c r="C19" s="67">
        <v>140</v>
      </c>
      <c r="D19" s="67">
        <v>145</v>
      </c>
      <c r="E19" s="67">
        <v>180</v>
      </c>
      <c r="F19" s="67">
        <v>181</v>
      </c>
      <c r="G19" s="67">
        <v>183</v>
      </c>
      <c r="H19" s="67">
        <v>184</v>
      </c>
      <c r="I19" s="67">
        <v>186</v>
      </c>
      <c r="J19" s="67">
        <v>188</v>
      </c>
      <c r="K19" s="67">
        <v>190</v>
      </c>
      <c r="L19" s="67">
        <v>190</v>
      </c>
      <c r="M19" s="67">
        <v>190</v>
      </c>
      <c r="N19" s="68">
        <v>190</v>
      </c>
      <c r="O19" s="1"/>
    </row>
    <row r="20" spans="2:15" ht="18" x14ac:dyDescent="0.4">
      <c r="B20" s="74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1"/>
    </row>
    <row r="21" spans="2:15" ht="17.5" x14ac:dyDescent="0.35">
      <c r="B21" s="94" t="s">
        <v>7</v>
      </c>
      <c r="C21" s="88">
        <f>C16-C14-C11</f>
        <v>46637.600000000006</v>
      </c>
      <c r="D21" s="88">
        <f t="shared" ref="D21:M21" si="7">D16-D14-D11</f>
        <v>72219.5</v>
      </c>
      <c r="E21" s="88">
        <f t="shared" si="7"/>
        <v>127244</v>
      </c>
      <c r="F21" s="88">
        <f t="shared" si="7"/>
        <v>143273</v>
      </c>
      <c r="G21" s="88">
        <f t="shared" si="7"/>
        <v>190866.8</v>
      </c>
      <c r="H21" s="88">
        <f t="shared" si="7"/>
        <v>222596</v>
      </c>
      <c r="I21" s="88">
        <f t="shared" si="7"/>
        <v>256462.40000000002</v>
      </c>
      <c r="J21" s="88">
        <f t="shared" si="7"/>
        <v>291099.2</v>
      </c>
      <c r="K21" s="88">
        <f t="shared" si="7"/>
        <v>301863.2</v>
      </c>
      <c r="L21" s="88">
        <f t="shared" si="7"/>
        <v>306976.09999999998</v>
      </c>
      <c r="M21" s="88">
        <f t="shared" si="7"/>
        <v>310384.7</v>
      </c>
      <c r="N21" s="89">
        <f>N16-N14-N11</f>
        <v>312089</v>
      </c>
      <c r="O21" s="1"/>
    </row>
    <row r="22" spans="2:15" ht="17.5" x14ac:dyDescent="0.35">
      <c r="B22" s="94" t="s">
        <v>46</v>
      </c>
      <c r="C22" s="92">
        <f>C21/C16</f>
        <v>9.9144557823129267E-2</v>
      </c>
      <c r="D22" s="92">
        <f t="shared" ref="D22:N22" si="8">D21/D16</f>
        <v>0.12770910698496907</v>
      </c>
      <c r="E22" s="92">
        <f t="shared" si="8"/>
        <v>0.1683121693121693</v>
      </c>
      <c r="F22" s="92">
        <f t="shared" si="8"/>
        <v>0.17590300798035605</v>
      </c>
      <c r="G22" s="92">
        <f t="shared" si="8"/>
        <v>0.19314592187816229</v>
      </c>
      <c r="H22" s="92">
        <f t="shared" si="8"/>
        <v>0.2016268115942029</v>
      </c>
      <c r="I22" s="92">
        <f t="shared" si="8"/>
        <v>0.20891365265558814</v>
      </c>
      <c r="J22" s="92">
        <f t="shared" si="8"/>
        <v>0.23460606060606062</v>
      </c>
      <c r="K22" s="92">
        <f t="shared" si="8"/>
        <v>0.236421679197995</v>
      </c>
      <c r="L22" s="92">
        <f t="shared" si="8"/>
        <v>0.23724870546410076</v>
      </c>
      <c r="M22" s="92">
        <f t="shared" si="8"/>
        <v>0.23778801808013483</v>
      </c>
      <c r="N22" s="93">
        <f t="shared" si="8"/>
        <v>0.23805415713196035</v>
      </c>
      <c r="O22" s="1"/>
    </row>
    <row r="23" spans="2:15" ht="18" x14ac:dyDescent="0.4">
      <c r="B23" s="95" t="s">
        <v>8</v>
      </c>
      <c r="C23" s="75">
        <f>('Стартовые Инвестиции'!F25*-1)+C21</f>
        <v>-1653362.4</v>
      </c>
      <c r="D23" s="75">
        <f>C23+D21</f>
        <v>-1581142.9</v>
      </c>
      <c r="E23" s="75">
        <f t="shared" ref="E23:N23" si="9">D23+E21</f>
        <v>-1453898.9</v>
      </c>
      <c r="F23" s="75">
        <f t="shared" si="9"/>
        <v>-1310625.8999999999</v>
      </c>
      <c r="G23" s="75">
        <f t="shared" si="9"/>
        <v>-1119759.0999999999</v>
      </c>
      <c r="H23" s="75">
        <f t="shared" si="9"/>
        <v>-897163.09999999986</v>
      </c>
      <c r="I23" s="75">
        <f t="shared" si="9"/>
        <v>-640700.69999999984</v>
      </c>
      <c r="J23" s="75">
        <f t="shared" si="9"/>
        <v>-349601.49999999983</v>
      </c>
      <c r="K23" s="75">
        <f t="shared" si="9"/>
        <v>-47738.299999999814</v>
      </c>
      <c r="L23" s="76">
        <f t="shared" si="9"/>
        <v>259237.80000000016</v>
      </c>
      <c r="M23" s="76">
        <f t="shared" si="9"/>
        <v>569622.50000000023</v>
      </c>
      <c r="N23" s="77">
        <f t="shared" si="9"/>
        <v>881711.50000000023</v>
      </c>
      <c r="O23" s="1"/>
    </row>
    <row r="24" spans="2:15" ht="15.5" x14ac:dyDescent="0.35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2:15" ht="15.5" x14ac:dyDescent="0.35"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2:15" ht="15.5" x14ac:dyDescent="0.35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2:15" ht="15.5" x14ac:dyDescent="0.3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2:15" ht="15.5" x14ac:dyDescent="0.35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2:15" ht="15.5" x14ac:dyDescent="0.35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2:15" ht="15.5" x14ac:dyDescent="0.3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15" ht="15.5" x14ac:dyDescent="0.35">
      <c r="B31" s="64"/>
      <c r="C31" s="66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</sheetData>
  <mergeCells count="13">
    <mergeCell ref="B2:B3"/>
    <mergeCell ref="I2:I3"/>
    <mergeCell ref="J2:J3"/>
    <mergeCell ref="K2:K3"/>
    <mergeCell ref="L2:L3"/>
    <mergeCell ref="M2:M3"/>
    <mergeCell ref="N2:N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Исходные данные</vt:lpstr>
      <vt:lpstr>Стартовые Инвестиции</vt:lpstr>
      <vt:lpstr>Финансовая модель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Альберт</cp:lastModifiedBy>
  <dcterms:created xsi:type="dcterms:W3CDTF">2019-12-24T19:06:10Z</dcterms:created>
  <dcterms:modified xsi:type="dcterms:W3CDTF">2020-08-24T15:52:18Z</dcterms:modified>
</cp:coreProperties>
</file>