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льберт\Downloads\"/>
    </mc:Choice>
  </mc:AlternateContent>
  <bookViews>
    <workbookView xWindow="0" yWindow="0" windowWidth="21160" windowHeight="3400" activeTab="9"/>
  </bookViews>
  <sheets>
    <sheet name="Инвестиции" sheetId="4" r:id="rId1"/>
    <sheet name="Год 1" sheetId="5" r:id="rId2"/>
    <sheet name="Год 2" sheetId="7" r:id="rId3"/>
    <sheet name="Год 3" sheetId="8" r:id="rId4"/>
    <sheet name="Год 4" sheetId="9" r:id="rId5"/>
    <sheet name="Год 5" sheetId="10" r:id="rId6"/>
    <sheet name="Бюджет затрат (ориентир.)" sheetId="11" r:id="rId7"/>
    <sheet name="Штатное расписание" sheetId="3" r:id="rId8"/>
    <sheet name="Unit Сoste " sheetId="2" r:id="rId9"/>
    <sheet name="Операционный" sheetId="1" r:id="rId10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7" l="1"/>
  <c r="G6" i="7"/>
  <c r="H6" i="7"/>
  <c r="I6" i="7"/>
  <c r="J6" i="7"/>
  <c r="K6" i="7"/>
  <c r="L6" i="7"/>
  <c r="M6" i="7"/>
  <c r="N6" i="7"/>
  <c r="O6" i="7"/>
  <c r="P6" i="7"/>
  <c r="E6" i="7"/>
  <c r="E65" i="7" s="1"/>
  <c r="F65" i="7"/>
  <c r="C64" i="5"/>
  <c r="E64" i="5"/>
  <c r="F64" i="5"/>
  <c r="G49" i="1"/>
  <c r="G50" i="1"/>
  <c r="H49" i="1"/>
  <c r="F49" i="1"/>
  <c r="E49" i="1"/>
  <c r="D49" i="1"/>
  <c r="D50" i="1"/>
  <c r="D5" i="3" l="1"/>
  <c r="E5" i="3"/>
  <c r="C5" i="3"/>
  <c r="O107" i="11"/>
  <c r="E60" i="10" l="1"/>
  <c r="F60" i="10"/>
  <c r="G60" i="10"/>
  <c r="H60" i="10"/>
  <c r="I60" i="10"/>
  <c r="J60" i="10"/>
  <c r="K60" i="10"/>
  <c r="L60" i="10"/>
  <c r="M60" i="10"/>
  <c r="N60" i="10"/>
  <c r="O60" i="10"/>
  <c r="P60" i="10"/>
  <c r="E61" i="10"/>
  <c r="F61" i="10"/>
  <c r="G61" i="10"/>
  <c r="H61" i="10"/>
  <c r="I61" i="10"/>
  <c r="J61" i="10"/>
  <c r="K61" i="10"/>
  <c r="L61" i="10"/>
  <c r="M61" i="10"/>
  <c r="N61" i="10"/>
  <c r="O61" i="10"/>
  <c r="P61" i="10"/>
  <c r="E62" i="10"/>
  <c r="F62" i="10"/>
  <c r="G62" i="10"/>
  <c r="H62" i="10"/>
  <c r="I62" i="10"/>
  <c r="J62" i="10"/>
  <c r="K62" i="10"/>
  <c r="L62" i="10"/>
  <c r="M62" i="10"/>
  <c r="N62" i="10"/>
  <c r="O62" i="10"/>
  <c r="P62" i="10"/>
  <c r="E63" i="10"/>
  <c r="F63" i="10"/>
  <c r="G63" i="10"/>
  <c r="H63" i="10"/>
  <c r="I63" i="10"/>
  <c r="J63" i="10"/>
  <c r="K63" i="10"/>
  <c r="L63" i="10"/>
  <c r="M63" i="10"/>
  <c r="N63" i="10"/>
  <c r="O63" i="10"/>
  <c r="P63" i="10"/>
  <c r="F59" i="10"/>
  <c r="G59" i="10"/>
  <c r="H59" i="10"/>
  <c r="I59" i="10"/>
  <c r="J59" i="10"/>
  <c r="K59" i="10"/>
  <c r="L59" i="10"/>
  <c r="M59" i="10"/>
  <c r="N59" i="10"/>
  <c r="O59" i="10"/>
  <c r="P59" i="10"/>
  <c r="E59" i="10"/>
  <c r="E55" i="10"/>
  <c r="F55" i="10"/>
  <c r="G55" i="10"/>
  <c r="H55" i="10"/>
  <c r="I55" i="10"/>
  <c r="J55" i="10"/>
  <c r="K55" i="10"/>
  <c r="L55" i="10"/>
  <c r="M55" i="10"/>
  <c r="N55" i="10"/>
  <c r="O55" i="10"/>
  <c r="P55" i="10"/>
  <c r="E56" i="10"/>
  <c r="F56" i="10"/>
  <c r="G56" i="10"/>
  <c r="H56" i="10"/>
  <c r="I56" i="10"/>
  <c r="J56" i="10"/>
  <c r="K56" i="10"/>
  <c r="L56" i="10"/>
  <c r="M56" i="10"/>
  <c r="N56" i="10"/>
  <c r="O56" i="10"/>
  <c r="P56" i="10"/>
  <c r="E57" i="10"/>
  <c r="F57" i="10"/>
  <c r="G57" i="10"/>
  <c r="H57" i="10"/>
  <c r="I57" i="10"/>
  <c r="J57" i="10"/>
  <c r="K57" i="10"/>
  <c r="L57" i="10"/>
  <c r="M57" i="10"/>
  <c r="N57" i="10"/>
  <c r="O57" i="10"/>
  <c r="P57" i="10"/>
  <c r="F54" i="10"/>
  <c r="G54" i="10"/>
  <c r="H54" i="10"/>
  <c r="I54" i="10"/>
  <c r="J54" i="10"/>
  <c r="K54" i="10"/>
  <c r="L54" i="10"/>
  <c r="M54" i="10"/>
  <c r="N54" i="10"/>
  <c r="O54" i="10"/>
  <c r="P54" i="10"/>
  <c r="E54" i="10"/>
  <c r="E50" i="10"/>
  <c r="F50" i="10"/>
  <c r="G50" i="10"/>
  <c r="H50" i="10"/>
  <c r="I50" i="10"/>
  <c r="J50" i="10"/>
  <c r="K50" i="10"/>
  <c r="L50" i="10"/>
  <c r="M50" i="10"/>
  <c r="N50" i="10"/>
  <c r="O50" i="10"/>
  <c r="P50" i="10"/>
  <c r="E51" i="10"/>
  <c r="F51" i="10"/>
  <c r="G51" i="10"/>
  <c r="H51" i="10"/>
  <c r="I51" i="10"/>
  <c r="J51" i="10"/>
  <c r="K51" i="10"/>
  <c r="L51" i="10"/>
  <c r="M51" i="10"/>
  <c r="N51" i="10"/>
  <c r="O51" i="10"/>
  <c r="P51" i="10"/>
  <c r="E52" i="10"/>
  <c r="F52" i="10"/>
  <c r="G52" i="10"/>
  <c r="H52" i="10"/>
  <c r="I52" i="10"/>
  <c r="J52" i="10"/>
  <c r="K52" i="10"/>
  <c r="L52" i="10"/>
  <c r="M52" i="10"/>
  <c r="N52" i="10"/>
  <c r="O52" i="10"/>
  <c r="P52" i="10"/>
  <c r="F49" i="10"/>
  <c r="G49" i="10"/>
  <c r="H49" i="10"/>
  <c r="I49" i="10"/>
  <c r="J49" i="10"/>
  <c r="K49" i="10"/>
  <c r="L49" i="10"/>
  <c r="M49" i="10"/>
  <c r="N49" i="10"/>
  <c r="O49" i="10"/>
  <c r="P49" i="10"/>
  <c r="E49" i="10"/>
  <c r="E45" i="10"/>
  <c r="F45" i="10"/>
  <c r="G45" i="10"/>
  <c r="H45" i="10"/>
  <c r="I45" i="10"/>
  <c r="J45" i="10"/>
  <c r="K45" i="10"/>
  <c r="L45" i="10"/>
  <c r="M45" i="10"/>
  <c r="N45" i="10"/>
  <c r="O45" i="10"/>
  <c r="P45" i="10"/>
  <c r="E46" i="10"/>
  <c r="F46" i="10"/>
  <c r="G46" i="10"/>
  <c r="H46" i="10"/>
  <c r="I46" i="10"/>
  <c r="J46" i="10"/>
  <c r="K46" i="10"/>
  <c r="L46" i="10"/>
  <c r="M46" i="10"/>
  <c r="N46" i="10"/>
  <c r="O46" i="10"/>
  <c r="P46" i="10"/>
  <c r="E47" i="10"/>
  <c r="F47" i="10"/>
  <c r="G47" i="10"/>
  <c r="H47" i="10"/>
  <c r="I47" i="10"/>
  <c r="J47" i="10"/>
  <c r="K47" i="10"/>
  <c r="L47" i="10"/>
  <c r="M47" i="10"/>
  <c r="N47" i="10"/>
  <c r="O47" i="10"/>
  <c r="P47" i="10"/>
  <c r="F44" i="10"/>
  <c r="G44" i="10"/>
  <c r="H44" i="10"/>
  <c r="I44" i="10"/>
  <c r="J44" i="10"/>
  <c r="K44" i="10"/>
  <c r="L44" i="10"/>
  <c r="M44" i="10"/>
  <c r="N44" i="10"/>
  <c r="O44" i="10"/>
  <c r="P44" i="10"/>
  <c r="E44" i="10"/>
  <c r="E29" i="10"/>
  <c r="F29" i="10"/>
  <c r="G29" i="10"/>
  <c r="H29" i="10"/>
  <c r="I29" i="10"/>
  <c r="J29" i="10"/>
  <c r="K29" i="10"/>
  <c r="L29" i="10"/>
  <c r="M29" i="10"/>
  <c r="N29" i="10"/>
  <c r="O29" i="10"/>
  <c r="P29" i="10"/>
  <c r="E30" i="10"/>
  <c r="F30" i="10"/>
  <c r="G30" i="10"/>
  <c r="H30" i="10"/>
  <c r="I30" i="10"/>
  <c r="J30" i="10"/>
  <c r="K30" i="10"/>
  <c r="L30" i="10"/>
  <c r="M30" i="10"/>
  <c r="N30" i="10"/>
  <c r="O30" i="10"/>
  <c r="P30" i="10"/>
  <c r="E31" i="10"/>
  <c r="F31" i="10"/>
  <c r="G31" i="10"/>
  <c r="H31" i="10"/>
  <c r="I31" i="10"/>
  <c r="J31" i="10"/>
  <c r="K31" i="10"/>
  <c r="L31" i="10"/>
  <c r="M31" i="10"/>
  <c r="N31" i="10"/>
  <c r="O31" i="10"/>
  <c r="P31" i="10"/>
  <c r="E32" i="10"/>
  <c r="F32" i="10"/>
  <c r="G32" i="10"/>
  <c r="H32" i="10"/>
  <c r="I32" i="10"/>
  <c r="J32" i="10"/>
  <c r="K32" i="10"/>
  <c r="L32" i="10"/>
  <c r="M32" i="10"/>
  <c r="N32" i="10"/>
  <c r="O32" i="10"/>
  <c r="P32" i="10"/>
  <c r="E33" i="10"/>
  <c r="F33" i="10"/>
  <c r="G33" i="10"/>
  <c r="H33" i="10"/>
  <c r="I33" i="10"/>
  <c r="J33" i="10"/>
  <c r="K33" i="10"/>
  <c r="L33" i="10"/>
  <c r="M33" i="10"/>
  <c r="N33" i="10"/>
  <c r="O33" i="10"/>
  <c r="P33" i="10"/>
  <c r="E34" i="10"/>
  <c r="F34" i="10"/>
  <c r="G34" i="10"/>
  <c r="H34" i="10"/>
  <c r="I34" i="10"/>
  <c r="J34" i="10"/>
  <c r="K34" i="10"/>
  <c r="L34" i="10"/>
  <c r="M34" i="10"/>
  <c r="N34" i="10"/>
  <c r="O34" i="10"/>
  <c r="P34" i="10"/>
  <c r="E35" i="10"/>
  <c r="F35" i="10"/>
  <c r="G35" i="10"/>
  <c r="H35" i="10"/>
  <c r="I35" i="10"/>
  <c r="J35" i="10"/>
  <c r="K35" i="10"/>
  <c r="L35" i="10"/>
  <c r="M35" i="10"/>
  <c r="N35" i="10"/>
  <c r="O35" i="10"/>
  <c r="P35" i="10"/>
  <c r="E36" i="10"/>
  <c r="F36" i="10"/>
  <c r="G36" i="10"/>
  <c r="H36" i="10"/>
  <c r="I36" i="10"/>
  <c r="J36" i="10"/>
  <c r="K36" i="10"/>
  <c r="L36" i="10"/>
  <c r="M36" i="10"/>
  <c r="N36" i="10"/>
  <c r="O36" i="10"/>
  <c r="P36" i="10"/>
  <c r="E37" i="10"/>
  <c r="F37" i="10"/>
  <c r="G37" i="10"/>
  <c r="H37" i="10"/>
  <c r="I37" i="10"/>
  <c r="J37" i="10"/>
  <c r="K37" i="10"/>
  <c r="L37" i="10"/>
  <c r="M37" i="10"/>
  <c r="N37" i="10"/>
  <c r="O37" i="10"/>
  <c r="P37" i="10"/>
  <c r="E38" i="10"/>
  <c r="F38" i="10"/>
  <c r="G38" i="10"/>
  <c r="H38" i="10"/>
  <c r="I38" i="10"/>
  <c r="J38" i="10"/>
  <c r="K38" i="10"/>
  <c r="L38" i="10"/>
  <c r="M38" i="10"/>
  <c r="N38" i="10"/>
  <c r="O38" i="10"/>
  <c r="P38" i="10"/>
  <c r="E39" i="10"/>
  <c r="F39" i="10"/>
  <c r="G39" i="10"/>
  <c r="H39" i="10"/>
  <c r="I39" i="10"/>
  <c r="J39" i="10"/>
  <c r="K39" i="10"/>
  <c r="L39" i="10"/>
  <c r="M39" i="10"/>
  <c r="N39" i="10"/>
  <c r="O39" i="10"/>
  <c r="P39" i="10"/>
  <c r="E40" i="10"/>
  <c r="F40" i="10"/>
  <c r="G40" i="10"/>
  <c r="H40" i="10"/>
  <c r="I40" i="10"/>
  <c r="J40" i="10"/>
  <c r="K40" i="10"/>
  <c r="L40" i="10"/>
  <c r="M40" i="10"/>
  <c r="N40" i="10"/>
  <c r="O40" i="10"/>
  <c r="P40" i="10"/>
  <c r="E41" i="10"/>
  <c r="F41" i="10"/>
  <c r="G41" i="10"/>
  <c r="H41" i="10"/>
  <c r="I41" i="10"/>
  <c r="J41" i="10"/>
  <c r="K41" i="10"/>
  <c r="L41" i="10"/>
  <c r="M41" i="10"/>
  <c r="N41" i="10"/>
  <c r="O41" i="10"/>
  <c r="P41" i="10"/>
  <c r="E42" i="10"/>
  <c r="F42" i="10"/>
  <c r="G42" i="10"/>
  <c r="H42" i="10"/>
  <c r="I42" i="10"/>
  <c r="J42" i="10"/>
  <c r="K42" i="10"/>
  <c r="L42" i="10"/>
  <c r="M42" i="10"/>
  <c r="N42" i="10"/>
  <c r="O42" i="10"/>
  <c r="P42" i="10"/>
  <c r="F28" i="10"/>
  <c r="G28" i="10"/>
  <c r="H28" i="10"/>
  <c r="I28" i="10"/>
  <c r="J28" i="10"/>
  <c r="K28" i="10"/>
  <c r="L28" i="10"/>
  <c r="M28" i="10"/>
  <c r="N28" i="10"/>
  <c r="O28" i="10"/>
  <c r="P28" i="10"/>
  <c r="E28" i="10"/>
  <c r="E21" i="10"/>
  <c r="F21" i="10"/>
  <c r="G21" i="10"/>
  <c r="H21" i="10"/>
  <c r="I21" i="10"/>
  <c r="J21" i="10"/>
  <c r="K21" i="10"/>
  <c r="L21" i="10"/>
  <c r="M21" i="10"/>
  <c r="N21" i="10"/>
  <c r="O21" i="10"/>
  <c r="P21" i="10"/>
  <c r="E22" i="10"/>
  <c r="F22" i="10"/>
  <c r="G22" i="10"/>
  <c r="H22" i="10"/>
  <c r="I22" i="10"/>
  <c r="J22" i="10"/>
  <c r="K22" i="10"/>
  <c r="L22" i="10"/>
  <c r="M22" i="10"/>
  <c r="N22" i="10"/>
  <c r="O22" i="10"/>
  <c r="P22" i="10"/>
  <c r="E23" i="10"/>
  <c r="F23" i="10"/>
  <c r="G23" i="10"/>
  <c r="H23" i="10"/>
  <c r="I23" i="10"/>
  <c r="J23" i="10"/>
  <c r="K23" i="10"/>
  <c r="L23" i="10"/>
  <c r="M23" i="10"/>
  <c r="N23" i="10"/>
  <c r="O23" i="10"/>
  <c r="P23" i="10"/>
  <c r="E24" i="10"/>
  <c r="F24" i="10"/>
  <c r="G24" i="10"/>
  <c r="H24" i="10"/>
  <c r="I24" i="10"/>
  <c r="J24" i="10"/>
  <c r="K24" i="10"/>
  <c r="L24" i="10"/>
  <c r="M24" i="10"/>
  <c r="N24" i="10"/>
  <c r="O24" i="10"/>
  <c r="P24" i="10"/>
  <c r="F20" i="10"/>
  <c r="G20" i="10"/>
  <c r="H20" i="10"/>
  <c r="I20" i="10"/>
  <c r="J20" i="10"/>
  <c r="K20" i="10"/>
  <c r="L20" i="10"/>
  <c r="M20" i="10"/>
  <c r="N20" i="10"/>
  <c r="O20" i="10"/>
  <c r="P20" i="10"/>
  <c r="E20" i="10"/>
  <c r="E13" i="10"/>
  <c r="F13" i="10"/>
  <c r="G13" i="10"/>
  <c r="H13" i="10"/>
  <c r="I13" i="10"/>
  <c r="J13" i="10"/>
  <c r="K13" i="10"/>
  <c r="L13" i="10"/>
  <c r="M13" i="10"/>
  <c r="N13" i="10"/>
  <c r="O13" i="10"/>
  <c r="P13" i="10"/>
  <c r="E14" i="10"/>
  <c r="F14" i="10"/>
  <c r="G14" i="10"/>
  <c r="H14" i="10"/>
  <c r="I14" i="10"/>
  <c r="J14" i="10"/>
  <c r="K14" i="10"/>
  <c r="L14" i="10"/>
  <c r="M14" i="10"/>
  <c r="N14" i="10"/>
  <c r="O14" i="10"/>
  <c r="P14" i="10"/>
  <c r="E15" i="10"/>
  <c r="F15" i="10"/>
  <c r="G15" i="10"/>
  <c r="H15" i="10"/>
  <c r="I15" i="10"/>
  <c r="J15" i="10"/>
  <c r="K15" i="10"/>
  <c r="L15" i="10"/>
  <c r="M15" i="10"/>
  <c r="N15" i="10"/>
  <c r="O15" i="10"/>
  <c r="P15" i="10"/>
  <c r="E16" i="10"/>
  <c r="F16" i="10"/>
  <c r="G16" i="10"/>
  <c r="H16" i="10"/>
  <c r="I16" i="10"/>
  <c r="J16" i="10"/>
  <c r="K16" i="10"/>
  <c r="L16" i="10"/>
  <c r="M16" i="10"/>
  <c r="N16" i="10"/>
  <c r="O16" i="10"/>
  <c r="P16" i="10"/>
  <c r="E17" i="10"/>
  <c r="F17" i="10"/>
  <c r="G17" i="10"/>
  <c r="H17" i="10"/>
  <c r="I17" i="10"/>
  <c r="J17" i="10"/>
  <c r="K17" i="10"/>
  <c r="L17" i="10"/>
  <c r="M17" i="10"/>
  <c r="N17" i="10"/>
  <c r="O17" i="10"/>
  <c r="P17" i="10"/>
  <c r="E18" i="10"/>
  <c r="F18" i="10"/>
  <c r="G18" i="10"/>
  <c r="H18" i="10"/>
  <c r="I18" i="10"/>
  <c r="J18" i="10"/>
  <c r="K18" i="10"/>
  <c r="L18" i="10"/>
  <c r="M18" i="10"/>
  <c r="N18" i="10"/>
  <c r="O18" i="10"/>
  <c r="P18" i="10"/>
  <c r="F12" i="10"/>
  <c r="G12" i="10"/>
  <c r="H12" i="10"/>
  <c r="I12" i="10"/>
  <c r="J12" i="10"/>
  <c r="K12" i="10"/>
  <c r="L12" i="10"/>
  <c r="M12" i="10"/>
  <c r="N12" i="10"/>
  <c r="O12" i="10"/>
  <c r="P12" i="10"/>
  <c r="E12" i="10"/>
  <c r="E60" i="9"/>
  <c r="F60" i="9"/>
  <c r="G60" i="9"/>
  <c r="H60" i="9"/>
  <c r="I60" i="9"/>
  <c r="J60" i="9"/>
  <c r="K60" i="9"/>
  <c r="L60" i="9"/>
  <c r="M60" i="9"/>
  <c r="N60" i="9"/>
  <c r="O60" i="9"/>
  <c r="P60" i="9"/>
  <c r="E61" i="9"/>
  <c r="F61" i="9"/>
  <c r="G61" i="9"/>
  <c r="H61" i="9"/>
  <c r="I61" i="9"/>
  <c r="J61" i="9"/>
  <c r="K61" i="9"/>
  <c r="L61" i="9"/>
  <c r="M61" i="9"/>
  <c r="N61" i="9"/>
  <c r="O61" i="9"/>
  <c r="P61" i="9"/>
  <c r="E62" i="9"/>
  <c r="F62" i="9"/>
  <c r="G62" i="9"/>
  <c r="H62" i="9"/>
  <c r="I62" i="9"/>
  <c r="J62" i="9"/>
  <c r="K62" i="9"/>
  <c r="L62" i="9"/>
  <c r="M62" i="9"/>
  <c r="N62" i="9"/>
  <c r="O62" i="9"/>
  <c r="P62" i="9"/>
  <c r="E63" i="9"/>
  <c r="F63" i="9"/>
  <c r="G63" i="9"/>
  <c r="H63" i="9"/>
  <c r="I63" i="9"/>
  <c r="J63" i="9"/>
  <c r="K63" i="9"/>
  <c r="L63" i="9"/>
  <c r="M63" i="9"/>
  <c r="N63" i="9"/>
  <c r="O63" i="9"/>
  <c r="P63" i="9"/>
  <c r="F59" i="9"/>
  <c r="G59" i="9"/>
  <c r="H59" i="9"/>
  <c r="I59" i="9"/>
  <c r="J59" i="9"/>
  <c r="K59" i="9"/>
  <c r="L59" i="9"/>
  <c r="M59" i="9"/>
  <c r="N59" i="9"/>
  <c r="O59" i="9"/>
  <c r="P59" i="9"/>
  <c r="E59" i="9"/>
  <c r="E55" i="9"/>
  <c r="F55" i="9"/>
  <c r="G55" i="9"/>
  <c r="H55" i="9"/>
  <c r="I55" i="9"/>
  <c r="J55" i="9"/>
  <c r="K55" i="9"/>
  <c r="L55" i="9"/>
  <c r="M55" i="9"/>
  <c r="N55" i="9"/>
  <c r="O55" i="9"/>
  <c r="P55" i="9"/>
  <c r="E56" i="9"/>
  <c r="F56" i="9"/>
  <c r="G56" i="9"/>
  <c r="H56" i="9"/>
  <c r="I56" i="9"/>
  <c r="J56" i="9"/>
  <c r="K56" i="9"/>
  <c r="L56" i="9"/>
  <c r="M56" i="9"/>
  <c r="N56" i="9"/>
  <c r="O56" i="9"/>
  <c r="P56" i="9"/>
  <c r="E57" i="9"/>
  <c r="F57" i="9"/>
  <c r="G57" i="9"/>
  <c r="H57" i="9"/>
  <c r="I57" i="9"/>
  <c r="J57" i="9"/>
  <c r="K57" i="9"/>
  <c r="L57" i="9"/>
  <c r="M57" i="9"/>
  <c r="N57" i="9"/>
  <c r="O57" i="9"/>
  <c r="P57" i="9"/>
  <c r="F54" i="9"/>
  <c r="G54" i="9"/>
  <c r="H54" i="9"/>
  <c r="I54" i="9"/>
  <c r="J54" i="9"/>
  <c r="K54" i="9"/>
  <c r="L54" i="9"/>
  <c r="M54" i="9"/>
  <c r="N54" i="9"/>
  <c r="O54" i="9"/>
  <c r="P54" i="9"/>
  <c r="E54" i="9"/>
  <c r="E50" i="9"/>
  <c r="F50" i="9"/>
  <c r="G50" i="9"/>
  <c r="H50" i="9"/>
  <c r="I50" i="9"/>
  <c r="J50" i="9"/>
  <c r="K50" i="9"/>
  <c r="L50" i="9"/>
  <c r="M50" i="9"/>
  <c r="N50" i="9"/>
  <c r="O50" i="9"/>
  <c r="P50" i="9"/>
  <c r="E51" i="9"/>
  <c r="F51" i="9"/>
  <c r="G51" i="9"/>
  <c r="H51" i="9"/>
  <c r="I51" i="9"/>
  <c r="J51" i="9"/>
  <c r="K51" i="9"/>
  <c r="L51" i="9"/>
  <c r="M51" i="9"/>
  <c r="N51" i="9"/>
  <c r="O51" i="9"/>
  <c r="P51" i="9"/>
  <c r="E52" i="9"/>
  <c r="F52" i="9"/>
  <c r="G52" i="9"/>
  <c r="H52" i="9"/>
  <c r="I52" i="9"/>
  <c r="J52" i="9"/>
  <c r="K52" i="9"/>
  <c r="L52" i="9"/>
  <c r="M52" i="9"/>
  <c r="N52" i="9"/>
  <c r="O52" i="9"/>
  <c r="P52" i="9"/>
  <c r="F49" i="9"/>
  <c r="G49" i="9"/>
  <c r="H49" i="9"/>
  <c r="I49" i="9"/>
  <c r="J49" i="9"/>
  <c r="K49" i="9"/>
  <c r="L49" i="9"/>
  <c r="M49" i="9"/>
  <c r="N49" i="9"/>
  <c r="O49" i="9"/>
  <c r="P49" i="9"/>
  <c r="E49" i="9"/>
  <c r="E45" i="9"/>
  <c r="F45" i="9"/>
  <c r="G45" i="9"/>
  <c r="H45" i="9"/>
  <c r="I45" i="9"/>
  <c r="J45" i="9"/>
  <c r="K45" i="9"/>
  <c r="L45" i="9"/>
  <c r="M45" i="9"/>
  <c r="N45" i="9"/>
  <c r="O45" i="9"/>
  <c r="P45" i="9"/>
  <c r="E46" i="9"/>
  <c r="F46" i="9"/>
  <c r="G46" i="9"/>
  <c r="H46" i="9"/>
  <c r="I46" i="9"/>
  <c r="J46" i="9"/>
  <c r="K46" i="9"/>
  <c r="L46" i="9"/>
  <c r="M46" i="9"/>
  <c r="N46" i="9"/>
  <c r="O46" i="9"/>
  <c r="P46" i="9"/>
  <c r="E47" i="9"/>
  <c r="F47" i="9"/>
  <c r="G47" i="9"/>
  <c r="H47" i="9"/>
  <c r="I47" i="9"/>
  <c r="J47" i="9"/>
  <c r="K47" i="9"/>
  <c r="L47" i="9"/>
  <c r="M47" i="9"/>
  <c r="N47" i="9"/>
  <c r="O47" i="9"/>
  <c r="P47" i="9"/>
  <c r="F44" i="9"/>
  <c r="G44" i="9"/>
  <c r="H44" i="9"/>
  <c r="I44" i="9"/>
  <c r="J44" i="9"/>
  <c r="K44" i="9"/>
  <c r="L44" i="9"/>
  <c r="M44" i="9"/>
  <c r="N44" i="9"/>
  <c r="O44" i="9"/>
  <c r="P44" i="9"/>
  <c r="E44" i="9"/>
  <c r="E29" i="9"/>
  <c r="F29" i="9"/>
  <c r="G29" i="9"/>
  <c r="H29" i="9"/>
  <c r="I29" i="9"/>
  <c r="J29" i="9"/>
  <c r="K29" i="9"/>
  <c r="L29" i="9"/>
  <c r="M29" i="9"/>
  <c r="N29" i="9"/>
  <c r="O29" i="9"/>
  <c r="P29" i="9"/>
  <c r="E30" i="9"/>
  <c r="F30" i="9"/>
  <c r="G30" i="9"/>
  <c r="H30" i="9"/>
  <c r="I30" i="9"/>
  <c r="J30" i="9"/>
  <c r="K30" i="9"/>
  <c r="L30" i="9"/>
  <c r="M30" i="9"/>
  <c r="N30" i="9"/>
  <c r="O30" i="9"/>
  <c r="P30" i="9"/>
  <c r="E31" i="9"/>
  <c r="F31" i="9"/>
  <c r="G31" i="9"/>
  <c r="H31" i="9"/>
  <c r="I31" i="9"/>
  <c r="J31" i="9"/>
  <c r="K31" i="9"/>
  <c r="L31" i="9"/>
  <c r="M31" i="9"/>
  <c r="N31" i="9"/>
  <c r="O31" i="9"/>
  <c r="P31" i="9"/>
  <c r="E32" i="9"/>
  <c r="F32" i="9"/>
  <c r="G32" i="9"/>
  <c r="H32" i="9"/>
  <c r="I32" i="9"/>
  <c r="J32" i="9"/>
  <c r="K32" i="9"/>
  <c r="L32" i="9"/>
  <c r="M32" i="9"/>
  <c r="N32" i="9"/>
  <c r="O32" i="9"/>
  <c r="P32" i="9"/>
  <c r="E33" i="9"/>
  <c r="F33" i="9"/>
  <c r="G33" i="9"/>
  <c r="H33" i="9"/>
  <c r="I33" i="9"/>
  <c r="J33" i="9"/>
  <c r="K33" i="9"/>
  <c r="L33" i="9"/>
  <c r="M33" i="9"/>
  <c r="N33" i="9"/>
  <c r="O33" i="9"/>
  <c r="P33" i="9"/>
  <c r="E34" i="9"/>
  <c r="F34" i="9"/>
  <c r="G34" i="9"/>
  <c r="H34" i="9"/>
  <c r="I34" i="9"/>
  <c r="J34" i="9"/>
  <c r="K34" i="9"/>
  <c r="L34" i="9"/>
  <c r="M34" i="9"/>
  <c r="N34" i="9"/>
  <c r="O34" i="9"/>
  <c r="P34" i="9"/>
  <c r="E35" i="9"/>
  <c r="F35" i="9"/>
  <c r="G35" i="9"/>
  <c r="H35" i="9"/>
  <c r="I35" i="9"/>
  <c r="J35" i="9"/>
  <c r="K35" i="9"/>
  <c r="L35" i="9"/>
  <c r="M35" i="9"/>
  <c r="N35" i="9"/>
  <c r="O35" i="9"/>
  <c r="P35" i="9"/>
  <c r="E36" i="9"/>
  <c r="F36" i="9"/>
  <c r="G36" i="9"/>
  <c r="H36" i="9"/>
  <c r="I36" i="9"/>
  <c r="J36" i="9"/>
  <c r="K36" i="9"/>
  <c r="L36" i="9"/>
  <c r="M36" i="9"/>
  <c r="N36" i="9"/>
  <c r="O36" i="9"/>
  <c r="P36" i="9"/>
  <c r="E37" i="9"/>
  <c r="F37" i="9"/>
  <c r="G37" i="9"/>
  <c r="H37" i="9"/>
  <c r="I37" i="9"/>
  <c r="J37" i="9"/>
  <c r="K37" i="9"/>
  <c r="L37" i="9"/>
  <c r="M37" i="9"/>
  <c r="N37" i="9"/>
  <c r="O37" i="9"/>
  <c r="P37" i="9"/>
  <c r="E38" i="9"/>
  <c r="F38" i="9"/>
  <c r="G38" i="9"/>
  <c r="H38" i="9"/>
  <c r="I38" i="9"/>
  <c r="J38" i="9"/>
  <c r="K38" i="9"/>
  <c r="L38" i="9"/>
  <c r="M38" i="9"/>
  <c r="N38" i="9"/>
  <c r="O38" i="9"/>
  <c r="P38" i="9"/>
  <c r="E39" i="9"/>
  <c r="F39" i="9"/>
  <c r="G39" i="9"/>
  <c r="H39" i="9"/>
  <c r="I39" i="9"/>
  <c r="J39" i="9"/>
  <c r="K39" i="9"/>
  <c r="L39" i="9"/>
  <c r="M39" i="9"/>
  <c r="N39" i="9"/>
  <c r="O39" i="9"/>
  <c r="P39" i="9"/>
  <c r="E40" i="9"/>
  <c r="F40" i="9"/>
  <c r="G40" i="9"/>
  <c r="H40" i="9"/>
  <c r="I40" i="9"/>
  <c r="J40" i="9"/>
  <c r="K40" i="9"/>
  <c r="L40" i="9"/>
  <c r="M40" i="9"/>
  <c r="N40" i="9"/>
  <c r="O40" i="9"/>
  <c r="P40" i="9"/>
  <c r="E41" i="9"/>
  <c r="F41" i="9"/>
  <c r="G41" i="9"/>
  <c r="H41" i="9"/>
  <c r="I41" i="9"/>
  <c r="J41" i="9"/>
  <c r="K41" i="9"/>
  <c r="L41" i="9"/>
  <c r="M41" i="9"/>
  <c r="N41" i="9"/>
  <c r="O41" i="9"/>
  <c r="P41" i="9"/>
  <c r="E42" i="9"/>
  <c r="F42" i="9"/>
  <c r="G42" i="9"/>
  <c r="H42" i="9"/>
  <c r="I42" i="9"/>
  <c r="J42" i="9"/>
  <c r="K42" i="9"/>
  <c r="L42" i="9"/>
  <c r="M42" i="9"/>
  <c r="N42" i="9"/>
  <c r="O42" i="9"/>
  <c r="P42" i="9"/>
  <c r="F28" i="9"/>
  <c r="G28" i="9"/>
  <c r="H28" i="9"/>
  <c r="I28" i="9"/>
  <c r="J28" i="9"/>
  <c r="K28" i="9"/>
  <c r="L28" i="9"/>
  <c r="M28" i="9"/>
  <c r="N28" i="9"/>
  <c r="O28" i="9"/>
  <c r="P28" i="9"/>
  <c r="E28" i="9"/>
  <c r="E21" i="9"/>
  <c r="F21" i="9"/>
  <c r="G21" i="9"/>
  <c r="H21" i="9"/>
  <c r="I21" i="9"/>
  <c r="J21" i="9"/>
  <c r="K21" i="9"/>
  <c r="L21" i="9"/>
  <c r="M21" i="9"/>
  <c r="N21" i="9"/>
  <c r="O21" i="9"/>
  <c r="P21" i="9"/>
  <c r="E22" i="9"/>
  <c r="F22" i="9"/>
  <c r="G22" i="9"/>
  <c r="H22" i="9"/>
  <c r="I22" i="9"/>
  <c r="J22" i="9"/>
  <c r="K22" i="9"/>
  <c r="L22" i="9"/>
  <c r="M22" i="9"/>
  <c r="N22" i="9"/>
  <c r="O22" i="9"/>
  <c r="P22" i="9"/>
  <c r="E23" i="9"/>
  <c r="F23" i="9"/>
  <c r="G23" i="9"/>
  <c r="H23" i="9"/>
  <c r="I23" i="9"/>
  <c r="J23" i="9"/>
  <c r="K23" i="9"/>
  <c r="L23" i="9"/>
  <c r="M23" i="9"/>
  <c r="N23" i="9"/>
  <c r="O23" i="9"/>
  <c r="P23" i="9"/>
  <c r="E24" i="9"/>
  <c r="F24" i="9"/>
  <c r="G24" i="9"/>
  <c r="H24" i="9"/>
  <c r="I24" i="9"/>
  <c r="J24" i="9"/>
  <c r="K24" i="9"/>
  <c r="L24" i="9"/>
  <c r="M24" i="9"/>
  <c r="N24" i="9"/>
  <c r="O24" i="9"/>
  <c r="P24" i="9"/>
  <c r="F20" i="9"/>
  <c r="G20" i="9"/>
  <c r="H20" i="9"/>
  <c r="I20" i="9"/>
  <c r="J20" i="9"/>
  <c r="K20" i="9"/>
  <c r="L20" i="9"/>
  <c r="M20" i="9"/>
  <c r="N20" i="9"/>
  <c r="O20" i="9"/>
  <c r="P20" i="9"/>
  <c r="E20" i="9"/>
  <c r="E13" i="9"/>
  <c r="F13" i="9"/>
  <c r="G13" i="9"/>
  <c r="H13" i="9"/>
  <c r="I13" i="9"/>
  <c r="J13" i="9"/>
  <c r="K13" i="9"/>
  <c r="L13" i="9"/>
  <c r="M13" i="9"/>
  <c r="N13" i="9"/>
  <c r="O13" i="9"/>
  <c r="P13" i="9"/>
  <c r="E14" i="9"/>
  <c r="F14" i="9"/>
  <c r="G14" i="9"/>
  <c r="H14" i="9"/>
  <c r="I14" i="9"/>
  <c r="J14" i="9"/>
  <c r="K14" i="9"/>
  <c r="L14" i="9"/>
  <c r="M14" i="9"/>
  <c r="N14" i="9"/>
  <c r="O14" i="9"/>
  <c r="P14" i="9"/>
  <c r="E15" i="9"/>
  <c r="F15" i="9"/>
  <c r="G15" i="9"/>
  <c r="H15" i="9"/>
  <c r="I15" i="9"/>
  <c r="J15" i="9"/>
  <c r="K15" i="9"/>
  <c r="L15" i="9"/>
  <c r="M15" i="9"/>
  <c r="N15" i="9"/>
  <c r="O15" i="9"/>
  <c r="P15" i="9"/>
  <c r="E16" i="9"/>
  <c r="F16" i="9"/>
  <c r="G16" i="9"/>
  <c r="H16" i="9"/>
  <c r="I16" i="9"/>
  <c r="J16" i="9"/>
  <c r="K16" i="9"/>
  <c r="L16" i="9"/>
  <c r="M16" i="9"/>
  <c r="N16" i="9"/>
  <c r="O16" i="9"/>
  <c r="P16" i="9"/>
  <c r="E17" i="9"/>
  <c r="F17" i="9"/>
  <c r="G17" i="9"/>
  <c r="H17" i="9"/>
  <c r="I17" i="9"/>
  <c r="J17" i="9"/>
  <c r="K17" i="9"/>
  <c r="L17" i="9"/>
  <c r="M17" i="9"/>
  <c r="N17" i="9"/>
  <c r="O17" i="9"/>
  <c r="P17" i="9"/>
  <c r="E18" i="9"/>
  <c r="F18" i="9"/>
  <c r="G18" i="9"/>
  <c r="H18" i="9"/>
  <c r="I18" i="9"/>
  <c r="J18" i="9"/>
  <c r="K18" i="9"/>
  <c r="L18" i="9"/>
  <c r="M18" i="9"/>
  <c r="N18" i="9"/>
  <c r="O18" i="9"/>
  <c r="P18" i="9"/>
  <c r="F12" i="9"/>
  <c r="G12" i="9"/>
  <c r="H12" i="9"/>
  <c r="I12" i="9"/>
  <c r="J12" i="9"/>
  <c r="K12" i="9"/>
  <c r="L12" i="9"/>
  <c r="M12" i="9"/>
  <c r="N12" i="9"/>
  <c r="O12" i="9"/>
  <c r="P12" i="9"/>
  <c r="E12" i="9"/>
  <c r="E60" i="8"/>
  <c r="F60" i="8"/>
  <c r="G60" i="8"/>
  <c r="H60" i="8"/>
  <c r="I60" i="8"/>
  <c r="J60" i="8"/>
  <c r="K60" i="8"/>
  <c r="L60" i="8"/>
  <c r="M60" i="8"/>
  <c r="N60" i="8"/>
  <c r="O60" i="8"/>
  <c r="P60" i="8"/>
  <c r="E61" i="8"/>
  <c r="F61" i="8"/>
  <c r="G61" i="8"/>
  <c r="H61" i="8"/>
  <c r="I61" i="8"/>
  <c r="J61" i="8"/>
  <c r="K61" i="8"/>
  <c r="L61" i="8"/>
  <c r="M61" i="8"/>
  <c r="N61" i="8"/>
  <c r="O61" i="8"/>
  <c r="P61" i="8"/>
  <c r="E62" i="8"/>
  <c r="F62" i="8"/>
  <c r="G62" i="8"/>
  <c r="H62" i="8"/>
  <c r="I62" i="8"/>
  <c r="J62" i="8"/>
  <c r="K62" i="8"/>
  <c r="L62" i="8"/>
  <c r="M62" i="8"/>
  <c r="N62" i="8"/>
  <c r="O62" i="8"/>
  <c r="P62" i="8"/>
  <c r="E63" i="8"/>
  <c r="F63" i="8"/>
  <c r="G63" i="8"/>
  <c r="H63" i="8"/>
  <c r="I63" i="8"/>
  <c r="J63" i="8"/>
  <c r="K63" i="8"/>
  <c r="L63" i="8"/>
  <c r="M63" i="8"/>
  <c r="N63" i="8"/>
  <c r="O63" i="8"/>
  <c r="P63" i="8"/>
  <c r="F59" i="8"/>
  <c r="G59" i="8"/>
  <c r="H59" i="8"/>
  <c r="I59" i="8"/>
  <c r="J59" i="8"/>
  <c r="K59" i="8"/>
  <c r="L59" i="8"/>
  <c r="M59" i="8"/>
  <c r="N59" i="8"/>
  <c r="O59" i="8"/>
  <c r="P59" i="8"/>
  <c r="E59" i="8"/>
  <c r="E55" i="8"/>
  <c r="F55" i="8"/>
  <c r="G55" i="8"/>
  <c r="H55" i="8"/>
  <c r="I55" i="8"/>
  <c r="J55" i="8"/>
  <c r="K55" i="8"/>
  <c r="L55" i="8"/>
  <c r="M55" i="8"/>
  <c r="N55" i="8"/>
  <c r="O55" i="8"/>
  <c r="P55" i="8"/>
  <c r="E56" i="8"/>
  <c r="F56" i="8"/>
  <c r="G56" i="8"/>
  <c r="H56" i="8"/>
  <c r="I56" i="8"/>
  <c r="J56" i="8"/>
  <c r="K56" i="8"/>
  <c r="L56" i="8"/>
  <c r="M56" i="8"/>
  <c r="N56" i="8"/>
  <c r="O56" i="8"/>
  <c r="P56" i="8"/>
  <c r="E57" i="8"/>
  <c r="F57" i="8"/>
  <c r="G57" i="8"/>
  <c r="H57" i="8"/>
  <c r="I57" i="8"/>
  <c r="J57" i="8"/>
  <c r="K57" i="8"/>
  <c r="L57" i="8"/>
  <c r="M57" i="8"/>
  <c r="N57" i="8"/>
  <c r="O57" i="8"/>
  <c r="P57" i="8"/>
  <c r="F54" i="8"/>
  <c r="G54" i="8"/>
  <c r="H54" i="8"/>
  <c r="I54" i="8"/>
  <c r="J54" i="8"/>
  <c r="K54" i="8"/>
  <c r="L54" i="8"/>
  <c r="M54" i="8"/>
  <c r="N54" i="8"/>
  <c r="O54" i="8"/>
  <c r="P54" i="8"/>
  <c r="E54" i="8"/>
  <c r="E50" i="8"/>
  <c r="F50" i="8"/>
  <c r="G50" i="8"/>
  <c r="H50" i="8"/>
  <c r="I50" i="8"/>
  <c r="J50" i="8"/>
  <c r="K50" i="8"/>
  <c r="L50" i="8"/>
  <c r="M50" i="8"/>
  <c r="N50" i="8"/>
  <c r="O50" i="8"/>
  <c r="P50" i="8"/>
  <c r="E51" i="8"/>
  <c r="F51" i="8"/>
  <c r="G51" i="8"/>
  <c r="H51" i="8"/>
  <c r="I51" i="8"/>
  <c r="J51" i="8"/>
  <c r="K51" i="8"/>
  <c r="L51" i="8"/>
  <c r="M51" i="8"/>
  <c r="N51" i="8"/>
  <c r="O51" i="8"/>
  <c r="P51" i="8"/>
  <c r="E52" i="8"/>
  <c r="F52" i="8"/>
  <c r="G52" i="8"/>
  <c r="H52" i="8"/>
  <c r="I52" i="8"/>
  <c r="J52" i="8"/>
  <c r="K52" i="8"/>
  <c r="L52" i="8"/>
  <c r="M52" i="8"/>
  <c r="N52" i="8"/>
  <c r="O52" i="8"/>
  <c r="P52" i="8"/>
  <c r="F49" i="8"/>
  <c r="G49" i="8"/>
  <c r="H49" i="8"/>
  <c r="I49" i="8"/>
  <c r="J49" i="8"/>
  <c r="K49" i="8"/>
  <c r="L49" i="8"/>
  <c r="M49" i="8"/>
  <c r="N49" i="8"/>
  <c r="O49" i="8"/>
  <c r="P49" i="8"/>
  <c r="E49" i="8"/>
  <c r="E45" i="8"/>
  <c r="F45" i="8"/>
  <c r="G45" i="8"/>
  <c r="H45" i="8"/>
  <c r="I45" i="8"/>
  <c r="J45" i="8"/>
  <c r="K45" i="8"/>
  <c r="L45" i="8"/>
  <c r="M45" i="8"/>
  <c r="N45" i="8"/>
  <c r="O45" i="8"/>
  <c r="P45" i="8"/>
  <c r="E46" i="8"/>
  <c r="F46" i="8"/>
  <c r="G46" i="8"/>
  <c r="H46" i="8"/>
  <c r="I46" i="8"/>
  <c r="J46" i="8"/>
  <c r="K46" i="8"/>
  <c r="L46" i="8"/>
  <c r="M46" i="8"/>
  <c r="N46" i="8"/>
  <c r="O46" i="8"/>
  <c r="P46" i="8"/>
  <c r="E47" i="8"/>
  <c r="F47" i="8"/>
  <c r="G47" i="8"/>
  <c r="H47" i="8"/>
  <c r="I47" i="8"/>
  <c r="J47" i="8"/>
  <c r="K47" i="8"/>
  <c r="L47" i="8"/>
  <c r="M47" i="8"/>
  <c r="N47" i="8"/>
  <c r="O47" i="8"/>
  <c r="P47" i="8"/>
  <c r="F44" i="8"/>
  <c r="G44" i="8"/>
  <c r="H44" i="8"/>
  <c r="I44" i="8"/>
  <c r="J44" i="8"/>
  <c r="K44" i="8"/>
  <c r="L44" i="8"/>
  <c r="M44" i="8"/>
  <c r="N44" i="8"/>
  <c r="O44" i="8"/>
  <c r="P44" i="8"/>
  <c r="E44" i="8"/>
  <c r="E29" i="8"/>
  <c r="F29" i="8"/>
  <c r="G29" i="8"/>
  <c r="H29" i="8"/>
  <c r="I29" i="8"/>
  <c r="J29" i="8"/>
  <c r="K29" i="8"/>
  <c r="L29" i="8"/>
  <c r="M29" i="8"/>
  <c r="N29" i="8"/>
  <c r="O29" i="8"/>
  <c r="P29" i="8"/>
  <c r="E30" i="8"/>
  <c r="F30" i="8"/>
  <c r="G30" i="8"/>
  <c r="H30" i="8"/>
  <c r="I30" i="8"/>
  <c r="J30" i="8"/>
  <c r="K30" i="8"/>
  <c r="L30" i="8"/>
  <c r="M30" i="8"/>
  <c r="N30" i="8"/>
  <c r="O30" i="8"/>
  <c r="P30" i="8"/>
  <c r="E31" i="8"/>
  <c r="F31" i="8"/>
  <c r="G31" i="8"/>
  <c r="H31" i="8"/>
  <c r="I31" i="8"/>
  <c r="J31" i="8"/>
  <c r="K31" i="8"/>
  <c r="L31" i="8"/>
  <c r="M31" i="8"/>
  <c r="N31" i="8"/>
  <c r="O31" i="8"/>
  <c r="P31" i="8"/>
  <c r="E32" i="8"/>
  <c r="F32" i="8"/>
  <c r="G32" i="8"/>
  <c r="H32" i="8"/>
  <c r="I32" i="8"/>
  <c r="J32" i="8"/>
  <c r="K32" i="8"/>
  <c r="L32" i="8"/>
  <c r="M32" i="8"/>
  <c r="N32" i="8"/>
  <c r="O32" i="8"/>
  <c r="P32" i="8"/>
  <c r="E33" i="8"/>
  <c r="F33" i="8"/>
  <c r="G33" i="8"/>
  <c r="H33" i="8"/>
  <c r="I33" i="8"/>
  <c r="J33" i="8"/>
  <c r="K33" i="8"/>
  <c r="L33" i="8"/>
  <c r="M33" i="8"/>
  <c r="N33" i="8"/>
  <c r="O33" i="8"/>
  <c r="P33" i="8"/>
  <c r="E34" i="8"/>
  <c r="F34" i="8"/>
  <c r="G34" i="8"/>
  <c r="H34" i="8"/>
  <c r="I34" i="8"/>
  <c r="J34" i="8"/>
  <c r="K34" i="8"/>
  <c r="L34" i="8"/>
  <c r="M34" i="8"/>
  <c r="N34" i="8"/>
  <c r="O34" i="8"/>
  <c r="P34" i="8"/>
  <c r="E35" i="8"/>
  <c r="F35" i="8"/>
  <c r="G35" i="8"/>
  <c r="H35" i="8"/>
  <c r="I35" i="8"/>
  <c r="J35" i="8"/>
  <c r="K35" i="8"/>
  <c r="L35" i="8"/>
  <c r="M35" i="8"/>
  <c r="N35" i="8"/>
  <c r="O35" i="8"/>
  <c r="P35" i="8"/>
  <c r="E36" i="8"/>
  <c r="F36" i="8"/>
  <c r="G36" i="8"/>
  <c r="H36" i="8"/>
  <c r="I36" i="8"/>
  <c r="J36" i="8"/>
  <c r="K36" i="8"/>
  <c r="L36" i="8"/>
  <c r="M36" i="8"/>
  <c r="N36" i="8"/>
  <c r="O36" i="8"/>
  <c r="P36" i="8"/>
  <c r="E37" i="8"/>
  <c r="F37" i="8"/>
  <c r="G37" i="8"/>
  <c r="H37" i="8"/>
  <c r="I37" i="8"/>
  <c r="J37" i="8"/>
  <c r="K37" i="8"/>
  <c r="L37" i="8"/>
  <c r="M37" i="8"/>
  <c r="N37" i="8"/>
  <c r="O37" i="8"/>
  <c r="P37" i="8"/>
  <c r="E38" i="8"/>
  <c r="F38" i="8"/>
  <c r="G38" i="8"/>
  <c r="H38" i="8"/>
  <c r="I38" i="8"/>
  <c r="J38" i="8"/>
  <c r="K38" i="8"/>
  <c r="L38" i="8"/>
  <c r="M38" i="8"/>
  <c r="N38" i="8"/>
  <c r="O38" i="8"/>
  <c r="P38" i="8"/>
  <c r="E39" i="8"/>
  <c r="F39" i="8"/>
  <c r="G39" i="8"/>
  <c r="H39" i="8"/>
  <c r="I39" i="8"/>
  <c r="J39" i="8"/>
  <c r="K39" i="8"/>
  <c r="L39" i="8"/>
  <c r="M39" i="8"/>
  <c r="N39" i="8"/>
  <c r="O39" i="8"/>
  <c r="P39" i="8"/>
  <c r="E40" i="8"/>
  <c r="F40" i="8"/>
  <c r="G40" i="8"/>
  <c r="H40" i="8"/>
  <c r="I40" i="8"/>
  <c r="J40" i="8"/>
  <c r="K40" i="8"/>
  <c r="L40" i="8"/>
  <c r="M40" i="8"/>
  <c r="N40" i="8"/>
  <c r="O40" i="8"/>
  <c r="P40" i="8"/>
  <c r="E41" i="8"/>
  <c r="F41" i="8"/>
  <c r="G41" i="8"/>
  <c r="H41" i="8"/>
  <c r="I41" i="8"/>
  <c r="J41" i="8"/>
  <c r="K41" i="8"/>
  <c r="L41" i="8"/>
  <c r="M41" i="8"/>
  <c r="N41" i="8"/>
  <c r="O41" i="8"/>
  <c r="P41" i="8"/>
  <c r="E42" i="8"/>
  <c r="F42" i="8"/>
  <c r="G42" i="8"/>
  <c r="H42" i="8"/>
  <c r="I42" i="8"/>
  <c r="J42" i="8"/>
  <c r="K42" i="8"/>
  <c r="L42" i="8"/>
  <c r="M42" i="8"/>
  <c r="N42" i="8"/>
  <c r="O42" i="8"/>
  <c r="P42" i="8"/>
  <c r="F28" i="8"/>
  <c r="G28" i="8"/>
  <c r="H28" i="8"/>
  <c r="I28" i="8"/>
  <c r="J28" i="8"/>
  <c r="K28" i="8"/>
  <c r="L28" i="8"/>
  <c r="M28" i="8"/>
  <c r="N28" i="8"/>
  <c r="O28" i="8"/>
  <c r="P28" i="8"/>
  <c r="E28" i="8"/>
  <c r="E21" i="8"/>
  <c r="F21" i="8"/>
  <c r="G21" i="8"/>
  <c r="H21" i="8"/>
  <c r="I21" i="8"/>
  <c r="J21" i="8"/>
  <c r="K21" i="8"/>
  <c r="L21" i="8"/>
  <c r="M21" i="8"/>
  <c r="N21" i="8"/>
  <c r="O21" i="8"/>
  <c r="P21" i="8"/>
  <c r="E22" i="8"/>
  <c r="F22" i="8"/>
  <c r="G22" i="8"/>
  <c r="H22" i="8"/>
  <c r="I22" i="8"/>
  <c r="J22" i="8"/>
  <c r="K22" i="8"/>
  <c r="L22" i="8"/>
  <c r="M22" i="8"/>
  <c r="N22" i="8"/>
  <c r="O22" i="8"/>
  <c r="P22" i="8"/>
  <c r="E23" i="8"/>
  <c r="F23" i="8"/>
  <c r="G23" i="8"/>
  <c r="H23" i="8"/>
  <c r="I23" i="8"/>
  <c r="J23" i="8"/>
  <c r="K23" i="8"/>
  <c r="L23" i="8"/>
  <c r="M23" i="8"/>
  <c r="N23" i="8"/>
  <c r="O23" i="8"/>
  <c r="P23" i="8"/>
  <c r="E24" i="8"/>
  <c r="F24" i="8"/>
  <c r="G24" i="8"/>
  <c r="H24" i="8"/>
  <c r="I24" i="8"/>
  <c r="J24" i="8"/>
  <c r="K24" i="8"/>
  <c r="L24" i="8"/>
  <c r="M24" i="8"/>
  <c r="N24" i="8"/>
  <c r="O24" i="8"/>
  <c r="P24" i="8"/>
  <c r="F20" i="8"/>
  <c r="G20" i="8"/>
  <c r="H20" i="8"/>
  <c r="I20" i="8"/>
  <c r="J20" i="8"/>
  <c r="K20" i="8"/>
  <c r="L20" i="8"/>
  <c r="M20" i="8"/>
  <c r="N20" i="8"/>
  <c r="O20" i="8"/>
  <c r="P20" i="8"/>
  <c r="E20" i="8"/>
  <c r="E13" i="8"/>
  <c r="F13" i="8"/>
  <c r="G13" i="8"/>
  <c r="H13" i="8"/>
  <c r="I13" i="8"/>
  <c r="J13" i="8"/>
  <c r="K13" i="8"/>
  <c r="L13" i="8"/>
  <c r="M13" i="8"/>
  <c r="N13" i="8"/>
  <c r="O13" i="8"/>
  <c r="P13" i="8"/>
  <c r="E14" i="8"/>
  <c r="F14" i="8"/>
  <c r="G14" i="8"/>
  <c r="H14" i="8"/>
  <c r="I14" i="8"/>
  <c r="J14" i="8"/>
  <c r="K14" i="8"/>
  <c r="L14" i="8"/>
  <c r="M14" i="8"/>
  <c r="N14" i="8"/>
  <c r="O14" i="8"/>
  <c r="P14" i="8"/>
  <c r="E15" i="8"/>
  <c r="F15" i="8"/>
  <c r="G15" i="8"/>
  <c r="H15" i="8"/>
  <c r="I15" i="8"/>
  <c r="J15" i="8"/>
  <c r="K15" i="8"/>
  <c r="L15" i="8"/>
  <c r="M15" i="8"/>
  <c r="N15" i="8"/>
  <c r="O15" i="8"/>
  <c r="P15" i="8"/>
  <c r="E16" i="8"/>
  <c r="F16" i="8"/>
  <c r="G16" i="8"/>
  <c r="H16" i="8"/>
  <c r="I16" i="8"/>
  <c r="J16" i="8"/>
  <c r="K16" i="8"/>
  <c r="L16" i="8"/>
  <c r="M16" i="8"/>
  <c r="N16" i="8"/>
  <c r="O16" i="8"/>
  <c r="P16" i="8"/>
  <c r="E17" i="8"/>
  <c r="F17" i="8"/>
  <c r="G17" i="8"/>
  <c r="H17" i="8"/>
  <c r="I17" i="8"/>
  <c r="J17" i="8"/>
  <c r="K17" i="8"/>
  <c r="L17" i="8"/>
  <c r="M17" i="8"/>
  <c r="N17" i="8"/>
  <c r="O17" i="8"/>
  <c r="P17" i="8"/>
  <c r="E18" i="8"/>
  <c r="F18" i="8"/>
  <c r="G18" i="8"/>
  <c r="H18" i="8"/>
  <c r="I18" i="8"/>
  <c r="J18" i="8"/>
  <c r="K18" i="8"/>
  <c r="L18" i="8"/>
  <c r="M18" i="8"/>
  <c r="N18" i="8"/>
  <c r="O18" i="8"/>
  <c r="P18" i="8"/>
  <c r="F12" i="8"/>
  <c r="G12" i="8"/>
  <c r="H12" i="8"/>
  <c r="I12" i="8"/>
  <c r="J12" i="8"/>
  <c r="K12" i="8"/>
  <c r="L12" i="8"/>
  <c r="M12" i="8"/>
  <c r="N12" i="8"/>
  <c r="O12" i="8"/>
  <c r="P12" i="8"/>
  <c r="E12" i="8"/>
  <c r="E60" i="7"/>
  <c r="F60" i="7"/>
  <c r="G60" i="7"/>
  <c r="H60" i="7"/>
  <c r="I60" i="7"/>
  <c r="J60" i="7"/>
  <c r="K60" i="7"/>
  <c r="L60" i="7"/>
  <c r="M60" i="7"/>
  <c r="N60" i="7"/>
  <c r="O60" i="7"/>
  <c r="P60" i="7"/>
  <c r="E61" i="7"/>
  <c r="F61" i="7"/>
  <c r="G61" i="7"/>
  <c r="H61" i="7"/>
  <c r="I61" i="7"/>
  <c r="J61" i="7"/>
  <c r="K61" i="7"/>
  <c r="L61" i="7"/>
  <c r="M61" i="7"/>
  <c r="N61" i="7"/>
  <c r="O61" i="7"/>
  <c r="P61" i="7"/>
  <c r="E62" i="7"/>
  <c r="F62" i="7"/>
  <c r="G62" i="7"/>
  <c r="H62" i="7"/>
  <c r="I62" i="7"/>
  <c r="J62" i="7"/>
  <c r="K62" i="7"/>
  <c r="L62" i="7"/>
  <c r="M62" i="7"/>
  <c r="N62" i="7"/>
  <c r="O62" i="7"/>
  <c r="P62" i="7"/>
  <c r="E63" i="7"/>
  <c r="F63" i="7"/>
  <c r="G63" i="7"/>
  <c r="H63" i="7"/>
  <c r="I63" i="7"/>
  <c r="J63" i="7"/>
  <c r="K63" i="7"/>
  <c r="L63" i="7"/>
  <c r="M63" i="7"/>
  <c r="N63" i="7"/>
  <c r="O63" i="7"/>
  <c r="P63" i="7"/>
  <c r="F59" i="7"/>
  <c r="G59" i="7"/>
  <c r="H59" i="7"/>
  <c r="I59" i="7"/>
  <c r="J59" i="7"/>
  <c r="K59" i="7"/>
  <c r="L59" i="7"/>
  <c r="M59" i="7"/>
  <c r="N59" i="7"/>
  <c r="O59" i="7"/>
  <c r="P59" i="7"/>
  <c r="E59" i="7"/>
  <c r="E55" i="7"/>
  <c r="F55" i="7"/>
  <c r="G55" i="7"/>
  <c r="H55" i="7"/>
  <c r="I55" i="7"/>
  <c r="J55" i="7"/>
  <c r="K55" i="7"/>
  <c r="L55" i="7"/>
  <c r="M55" i="7"/>
  <c r="N55" i="7"/>
  <c r="O55" i="7"/>
  <c r="P55" i="7"/>
  <c r="E56" i="7"/>
  <c r="F56" i="7"/>
  <c r="G56" i="7"/>
  <c r="H56" i="7"/>
  <c r="I56" i="7"/>
  <c r="J56" i="7"/>
  <c r="K56" i="7"/>
  <c r="L56" i="7"/>
  <c r="M56" i="7"/>
  <c r="N56" i="7"/>
  <c r="O56" i="7"/>
  <c r="P56" i="7"/>
  <c r="E57" i="7"/>
  <c r="F57" i="7"/>
  <c r="G57" i="7"/>
  <c r="H57" i="7"/>
  <c r="I57" i="7"/>
  <c r="J57" i="7"/>
  <c r="K57" i="7"/>
  <c r="L57" i="7"/>
  <c r="M57" i="7"/>
  <c r="N57" i="7"/>
  <c r="O57" i="7"/>
  <c r="P57" i="7"/>
  <c r="F54" i="7"/>
  <c r="G54" i="7"/>
  <c r="H54" i="7"/>
  <c r="I54" i="7"/>
  <c r="J54" i="7"/>
  <c r="K54" i="7"/>
  <c r="L54" i="7"/>
  <c r="M54" i="7"/>
  <c r="N54" i="7"/>
  <c r="O54" i="7"/>
  <c r="P54" i="7"/>
  <c r="E54" i="7"/>
  <c r="E50" i="7"/>
  <c r="F50" i="7"/>
  <c r="G50" i="7"/>
  <c r="H50" i="7"/>
  <c r="I50" i="7"/>
  <c r="J50" i="7"/>
  <c r="K50" i="7"/>
  <c r="L50" i="7"/>
  <c r="M50" i="7"/>
  <c r="N50" i="7"/>
  <c r="O50" i="7"/>
  <c r="P50" i="7"/>
  <c r="E51" i="7"/>
  <c r="F51" i="7"/>
  <c r="G51" i="7"/>
  <c r="H51" i="7"/>
  <c r="I51" i="7"/>
  <c r="J51" i="7"/>
  <c r="K51" i="7"/>
  <c r="L51" i="7"/>
  <c r="M51" i="7"/>
  <c r="N51" i="7"/>
  <c r="O51" i="7"/>
  <c r="P51" i="7"/>
  <c r="E52" i="7"/>
  <c r="F52" i="7"/>
  <c r="G52" i="7"/>
  <c r="H52" i="7"/>
  <c r="I52" i="7"/>
  <c r="J52" i="7"/>
  <c r="K52" i="7"/>
  <c r="L52" i="7"/>
  <c r="M52" i="7"/>
  <c r="N52" i="7"/>
  <c r="O52" i="7"/>
  <c r="P52" i="7"/>
  <c r="F49" i="7"/>
  <c r="G49" i="7"/>
  <c r="H49" i="7"/>
  <c r="I49" i="7"/>
  <c r="J49" i="7"/>
  <c r="K49" i="7"/>
  <c r="L49" i="7"/>
  <c r="M49" i="7"/>
  <c r="N49" i="7"/>
  <c r="O49" i="7"/>
  <c r="P49" i="7"/>
  <c r="E49" i="7"/>
  <c r="E45" i="7"/>
  <c r="F45" i="7"/>
  <c r="G45" i="7"/>
  <c r="H45" i="7"/>
  <c r="I45" i="7"/>
  <c r="J45" i="7"/>
  <c r="K45" i="7"/>
  <c r="L45" i="7"/>
  <c r="M45" i="7"/>
  <c r="N45" i="7"/>
  <c r="O45" i="7"/>
  <c r="P45" i="7"/>
  <c r="E46" i="7"/>
  <c r="F46" i="7"/>
  <c r="G46" i="7"/>
  <c r="H46" i="7"/>
  <c r="I46" i="7"/>
  <c r="J46" i="7"/>
  <c r="K46" i="7"/>
  <c r="L46" i="7"/>
  <c r="M46" i="7"/>
  <c r="N46" i="7"/>
  <c r="O46" i="7"/>
  <c r="P46" i="7"/>
  <c r="E47" i="7"/>
  <c r="F47" i="7"/>
  <c r="G47" i="7"/>
  <c r="H47" i="7"/>
  <c r="I47" i="7"/>
  <c r="J47" i="7"/>
  <c r="K47" i="7"/>
  <c r="L47" i="7"/>
  <c r="M47" i="7"/>
  <c r="N47" i="7"/>
  <c r="O47" i="7"/>
  <c r="P47" i="7"/>
  <c r="F44" i="7"/>
  <c r="G44" i="7"/>
  <c r="H44" i="7"/>
  <c r="I44" i="7"/>
  <c r="J44" i="7"/>
  <c r="K44" i="7"/>
  <c r="L44" i="7"/>
  <c r="M44" i="7"/>
  <c r="N44" i="7"/>
  <c r="O44" i="7"/>
  <c r="P44" i="7"/>
  <c r="E44" i="7"/>
  <c r="E29" i="7"/>
  <c r="F29" i="7"/>
  <c r="G29" i="7"/>
  <c r="H29" i="7"/>
  <c r="I29" i="7"/>
  <c r="J29" i="7"/>
  <c r="K29" i="7"/>
  <c r="L29" i="7"/>
  <c r="M29" i="7"/>
  <c r="N29" i="7"/>
  <c r="O29" i="7"/>
  <c r="P29" i="7"/>
  <c r="E30" i="7"/>
  <c r="F30" i="7"/>
  <c r="G30" i="7"/>
  <c r="H30" i="7"/>
  <c r="I30" i="7"/>
  <c r="J30" i="7"/>
  <c r="K30" i="7"/>
  <c r="L30" i="7"/>
  <c r="M30" i="7"/>
  <c r="N30" i="7"/>
  <c r="O30" i="7"/>
  <c r="P30" i="7"/>
  <c r="E31" i="7"/>
  <c r="F31" i="7"/>
  <c r="G31" i="7"/>
  <c r="H31" i="7"/>
  <c r="I31" i="7"/>
  <c r="J31" i="7"/>
  <c r="K31" i="7"/>
  <c r="L31" i="7"/>
  <c r="M31" i="7"/>
  <c r="N31" i="7"/>
  <c r="O31" i="7"/>
  <c r="P31" i="7"/>
  <c r="E32" i="7"/>
  <c r="F32" i="7"/>
  <c r="G32" i="7"/>
  <c r="H32" i="7"/>
  <c r="I32" i="7"/>
  <c r="J32" i="7"/>
  <c r="K32" i="7"/>
  <c r="L32" i="7"/>
  <c r="M32" i="7"/>
  <c r="N32" i="7"/>
  <c r="O32" i="7"/>
  <c r="P32" i="7"/>
  <c r="E33" i="7"/>
  <c r="F33" i="7"/>
  <c r="G33" i="7"/>
  <c r="H33" i="7"/>
  <c r="I33" i="7"/>
  <c r="J33" i="7"/>
  <c r="K33" i="7"/>
  <c r="L33" i="7"/>
  <c r="M33" i="7"/>
  <c r="N33" i="7"/>
  <c r="O33" i="7"/>
  <c r="P33" i="7"/>
  <c r="E34" i="7"/>
  <c r="F34" i="7"/>
  <c r="G34" i="7"/>
  <c r="H34" i="7"/>
  <c r="I34" i="7"/>
  <c r="J34" i="7"/>
  <c r="K34" i="7"/>
  <c r="L34" i="7"/>
  <c r="M34" i="7"/>
  <c r="N34" i="7"/>
  <c r="O34" i="7"/>
  <c r="P34" i="7"/>
  <c r="E35" i="7"/>
  <c r="F35" i="7"/>
  <c r="G35" i="7"/>
  <c r="H35" i="7"/>
  <c r="I35" i="7"/>
  <c r="J35" i="7"/>
  <c r="K35" i="7"/>
  <c r="L35" i="7"/>
  <c r="M35" i="7"/>
  <c r="N35" i="7"/>
  <c r="O35" i="7"/>
  <c r="P35" i="7"/>
  <c r="E36" i="7"/>
  <c r="F36" i="7"/>
  <c r="G36" i="7"/>
  <c r="H36" i="7"/>
  <c r="I36" i="7"/>
  <c r="J36" i="7"/>
  <c r="K36" i="7"/>
  <c r="L36" i="7"/>
  <c r="M36" i="7"/>
  <c r="N36" i="7"/>
  <c r="O36" i="7"/>
  <c r="P36" i="7"/>
  <c r="E37" i="7"/>
  <c r="F37" i="7"/>
  <c r="G37" i="7"/>
  <c r="H37" i="7"/>
  <c r="I37" i="7"/>
  <c r="J37" i="7"/>
  <c r="K37" i="7"/>
  <c r="L37" i="7"/>
  <c r="M37" i="7"/>
  <c r="N37" i="7"/>
  <c r="O37" i="7"/>
  <c r="P37" i="7"/>
  <c r="E38" i="7"/>
  <c r="F38" i="7"/>
  <c r="G38" i="7"/>
  <c r="H38" i="7"/>
  <c r="I38" i="7"/>
  <c r="J38" i="7"/>
  <c r="K38" i="7"/>
  <c r="L38" i="7"/>
  <c r="M38" i="7"/>
  <c r="N38" i="7"/>
  <c r="O38" i="7"/>
  <c r="P38" i="7"/>
  <c r="E39" i="7"/>
  <c r="F39" i="7"/>
  <c r="G39" i="7"/>
  <c r="H39" i="7"/>
  <c r="I39" i="7"/>
  <c r="J39" i="7"/>
  <c r="K39" i="7"/>
  <c r="L39" i="7"/>
  <c r="M39" i="7"/>
  <c r="N39" i="7"/>
  <c r="O39" i="7"/>
  <c r="P39" i="7"/>
  <c r="E40" i="7"/>
  <c r="F40" i="7"/>
  <c r="G40" i="7"/>
  <c r="H40" i="7"/>
  <c r="I40" i="7"/>
  <c r="J40" i="7"/>
  <c r="K40" i="7"/>
  <c r="L40" i="7"/>
  <c r="M40" i="7"/>
  <c r="N40" i="7"/>
  <c r="O40" i="7"/>
  <c r="P40" i="7"/>
  <c r="E41" i="7"/>
  <c r="F41" i="7"/>
  <c r="G41" i="7"/>
  <c r="H41" i="7"/>
  <c r="I41" i="7"/>
  <c r="J41" i="7"/>
  <c r="K41" i="7"/>
  <c r="L41" i="7"/>
  <c r="M41" i="7"/>
  <c r="N41" i="7"/>
  <c r="O41" i="7"/>
  <c r="P41" i="7"/>
  <c r="E42" i="7"/>
  <c r="F42" i="7"/>
  <c r="G42" i="7"/>
  <c r="H42" i="7"/>
  <c r="I42" i="7"/>
  <c r="J42" i="7"/>
  <c r="K42" i="7"/>
  <c r="L42" i="7"/>
  <c r="M42" i="7"/>
  <c r="N42" i="7"/>
  <c r="O42" i="7"/>
  <c r="P42" i="7"/>
  <c r="F28" i="7"/>
  <c r="G28" i="7"/>
  <c r="H28" i="7"/>
  <c r="I28" i="7"/>
  <c r="J28" i="7"/>
  <c r="K28" i="7"/>
  <c r="L28" i="7"/>
  <c r="M28" i="7"/>
  <c r="N28" i="7"/>
  <c r="O28" i="7"/>
  <c r="P28" i="7"/>
  <c r="E28" i="7"/>
  <c r="E21" i="7"/>
  <c r="F21" i="7"/>
  <c r="G21" i="7"/>
  <c r="H21" i="7"/>
  <c r="I21" i="7"/>
  <c r="J21" i="7"/>
  <c r="K21" i="7"/>
  <c r="L21" i="7"/>
  <c r="M21" i="7"/>
  <c r="N21" i="7"/>
  <c r="O21" i="7"/>
  <c r="P21" i="7"/>
  <c r="E22" i="7"/>
  <c r="F22" i="7"/>
  <c r="G22" i="7"/>
  <c r="H22" i="7"/>
  <c r="I22" i="7"/>
  <c r="J22" i="7"/>
  <c r="K22" i="7"/>
  <c r="L22" i="7"/>
  <c r="M22" i="7"/>
  <c r="N22" i="7"/>
  <c r="O22" i="7"/>
  <c r="P22" i="7"/>
  <c r="E23" i="7"/>
  <c r="F23" i="7"/>
  <c r="G23" i="7"/>
  <c r="H23" i="7"/>
  <c r="I23" i="7"/>
  <c r="J23" i="7"/>
  <c r="K23" i="7"/>
  <c r="L23" i="7"/>
  <c r="M23" i="7"/>
  <c r="N23" i="7"/>
  <c r="O23" i="7"/>
  <c r="P23" i="7"/>
  <c r="E24" i="7"/>
  <c r="F24" i="7"/>
  <c r="G24" i="7"/>
  <c r="H24" i="7"/>
  <c r="I24" i="7"/>
  <c r="J24" i="7"/>
  <c r="K24" i="7"/>
  <c r="L24" i="7"/>
  <c r="M24" i="7"/>
  <c r="N24" i="7"/>
  <c r="O24" i="7"/>
  <c r="P24" i="7"/>
  <c r="F20" i="7"/>
  <c r="G20" i="7"/>
  <c r="H20" i="7"/>
  <c r="I20" i="7"/>
  <c r="J20" i="7"/>
  <c r="K20" i="7"/>
  <c r="L20" i="7"/>
  <c r="M20" i="7"/>
  <c r="N20" i="7"/>
  <c r="O20" i="7"/>
  <c r="P20" i="7"/>
  <c r="E20" i="7"/>
  <c r="E13" i="7"/>
  <c r="F13" i="7"/>
  <c r="G13" i="7"/>
  <c r="H13" i="7"/>
  <c r="I13" i="7"/>
  <c r="J13" i="7"/>
  <c r="K13" i="7"/>
  <c r="L13" i="7"/>
  <c r="M13" i="7"/>
  <c r="N13" i="7"/>
  <c r="O13" i="7"/>
  <c r="P13" i="7"/>
  <c r="E14" i="7"/>
  <c r="F14" i="7"/>
  <c r="G14" i="7"/>
  <c r="H14" i="7"/>
  <c r="I14" i="7"/>
  <c r="J14" i="7"/>
  <c r="K14" i="7"/>
  <c r="L14" i="7"/>
  <c r="M14" i="7"/>
  <c r="N14" i="7"/>
  <c r="O14" i="7"/>
  <c r="P14" i="7"/>
  <c r="E15" i="7"/>
  <c r="F15" i="7"/>
  <c r="G15" i="7"/>
  <c r="H15" i="7"/>
  <c r="I15" i="7"/>
  <c r="J15" i="7"/>
  <c r="K15" i="7"/>
  <c r="L15" i="7"/>
  <c r="M15" i="7"/>
  <c r="N15" i="7"/>
  <c r="O15" i="7"/>
  <c r="P15" i="7"/>
  <c r="E16" i="7"/>
  <c r="F16" i="7"/>
  <c r="G16" i="7"/>
  <c r="H16" i="7"/>
  <c r="I16" i="7"/>
  <c r="J16" i="7"/>
  <c r="K16" i="7"/>
  <c r="L16" i="7"/>
  <c r="M16" i="7"/>
  <c r="N16" i="7"/>
  <c r="O16" i="7"/>
  <c r="P16" i="7"/>
  <c r="E17" i="7"/>
  <c r="F17" i="7"/>
  <c r="G17" i="7"/>
  <c r="H17" i="7"/>
  <c r="I17" i="7"/>
  <c r="J17" i="7"/>
  <c r="K17" i="7"/>
  <c r="L17" i="7"/>
  <c r="M17" i="7"/>
  <c r="N17" i="7"/>
  <c r="O17" i="7"/>
  <c r="P17" i="7"/>
  <c r="E18" i="7"/>
  <c r="F18" i="7"/>
  <c r="G18" i="7"/>
  <c r="H18" i="7"/>
  <c r="I18" i="7"/>
  <c r="J18" i="7"/>
  <c r="K18" i="7"/>
  <c r="L18" i="7"/>
  <c r="M18" i="7"/>
  <c r="N18" i="7"/>
  <c r="O18" i="7"/>
  <c r="P18" i="7"/>
  <c r="F12" i="7"/>
  <c r="G12" i="7"/>
  <c r="H12" i="7"/>
  <c r="I12" i="7"/>
  <c r="J12" i="7"/>
  <c r="K12" i="7"/>
  <c r="L12" i="7"/>
  <c r="M12" i="7"/>
  <c r="N12" i="7"/>
  <c r="O12" i="7"/>
  <c r="P12" i="7"/>
  <c r="E12" i="7"/>
  <c r="E60" i="5"/>
  <c r="F60" i="5"/>
  <c r="G60" i="5"/>
  <c r="H60" i="5"/>
  <c r="I60" i="5"/>
  <c r="J60" i="5"/>
  <c r="K60" i="5"/>
  <c r="L60" i="5"/>
  <c r="M60" i="5"/>
  <c r="N60" i="5"/>
  <c r="O60" i="5"/>
  <c r="P60" i="5"/>
  <c r="E61" i="5"/>
  <c r="F61" i="5"/>
  <c r="G61" i="5"/>
  <c r="H61" i="5"/>
  <c r="I61" i="5"/>
  <c r="J61" i="5"/>
  <c r="K61" i="5"/>
  <c r="L61" i="5"/>
  <c r="M61" i="5"/>
  <c r="N61" i="5"/>
  <c r="O61" i="5"/>
  <c r="P61" i="5"/>
  <c r="E62" i="5"/>
  <c r="F62" i="5"/>
  <c r="G62" i="5"/>
  <c r="H62" i="5"/>
  <c r="I62" i="5"/>
  <c r="J62" i="5"/>
  <c r="K62" i="5"/>
  <c r="L62" i="5"/>
  <c r="M62" i="5"/>
  <c r="N62" i="5"/>
  <c r="O62" i="5"/>
  <c r="P62" i="5"/>
  <c r="E63" i="5"/>
  <c r="F63" i="5"/>
  <c r="G63" i="5"/>
  <c r="H63" i="5"/>
  <c r="I63" i="5"/>
  <c r="J63" i="5"/>
  <c r="K63" i="5"/>
  <c r="L63" i="5"/>
  <c r="M63" i="5"/>
  <c r="N63" i="5"/>
  <c r="O63" i="5"/>
  <c r="P63" i="5"/>
  <c r="F59" i="5"/>
  <c r="G59" i="5"/>
  <c r="H59" i="5"/>
  <c r="I59" i="5"/>
  <c r="J59" i="5"/>
  <c r="K59" i="5"/>
  <c r="L59" i="5"/>
  <c r="M59" i="5"/>
  <c r="N59" i="5"/>
  <c r="O59" i="5"/>
  <c r="P59" i="5"/>
  <c r="E59" i="5"/>
  <c r="E55" i="5"/>
  <c r="F55" i="5"/>
  <c r="G55" i="5"/>
  <c r="H55" i="5"/>
  <c r="I55" i="5"/>
  <c r="J55" i="5"/>
  <c r="K55" i="5"/>
  <c r="L55" i="5"/>
  <c r="M55" i="5"/>
  <c r="N55" i="5"/>
  <c r="O55" i="5"/>
  <c r="P55" i="5"/>
  <c r="E56" i="5"/>
  <c r="F56" i="5"/>
  <c r="G56" i="5"/>
  <c r="H56" i="5"/>
  <c r="I56" i="5"/>
  <c r="J56" i="5"/>
  <c r="K56" i="5"/>
  <c r="L56" i="5"/>
  <c r="M56" i="5"/>
  <c r="N56" i="5"/>
  <c r="O56" i="5"/>
  <c r="P56" i="5"/>
  <c r="E57" i="5"/>
  <c r="F57" i="5"/>
  <c r="G57" i="5"/>
  <c r="H57" i="5"/>
  <c r="I57" i="5"/>
  <c r="J57" i="5"/>
  <c r="K57" i="5"/>
  <c r="L57" i="5"/>
  <c r="M57" i="5"/>
  <c r="N57" i="5"/>
  <c r="O57" i="5"/>
  <c r="P57" i="5"/>
  <c r="F54" i="5"/>
  <c r="G54" i="5"/>
  <c r="H54" i="5"/>
  <c r="I54" i="5"/>
  <c r="J54" i="5"/>
  <c r="K54" i="5"/>
  <c r="L54" i="5"/>
  <c r="M54" i="5"/>
  <c r="N54" i="5"/>
  <c r="O54" i="5"/>
  <c r="P54" i="5"/>
  <c r="E54" i="5"/>
  <c r="E50" i="5"/>
  <c r="F50" i="5"/>
  <c r="G50" i="5"/>
  <c r="H50" i="5"/>
  <c r="I50" i="5"/>
  <c r="J50" i="5"/>
  <c r="K50" i="5"/>
  <c r="L50" i="5"/>
  <c r="M50" i="5"/>
  <c r="N50" i="5"/>
  <c r="O50" i="5"/>
  <c r="P50" i="5"/>
  <c r="E51" i="5"/>
  <c r="F51" i="5"/>
  <c r="G51" i="5"/>
  <c r="H51" i="5"/>
  <c r="I51" i="5"/>
  <c r="J51" i="5"/>
  <c r="K51" i="5"/>
  <c r="L51" i="5"/>
  <c r="M51" i="5"/>
  <c r="N51" i="5"/>
  <c r="O51" i="5"/>
  <c r="P51" i="5"/>
  <c r="E52" i="5"/>
  <c r="F52" i="5"/>
  <c r="G52" i="5"/>
  <c r="H52" i="5"/>
  <c r="I52" i="5"/>
  <c r="J52" i="5"/>
  <c r="K52" i="5"/>
  <c r="L52" i="5"/>
  <c r="M52" i="5"/>
  <c r="N52" i="5"/>
  <c r="O52" i="5"/>
  <c r="P52" i="5"/>
  <c r="F49" i="5"/>
  <c r="G49" i="5"/>
  <c r="H49" i="5"/>
  <c r="I49" i="5"/>
  <c r="J49" i="5"/>
  <c r="K49" i="5"/>
  <c r="L49" i="5"/>
  <c r="M49" i="5"/>
  <c r="N49" i="5"/>
  <c r="O49" i="5"/>
  <c r="P49" i="5"/>
  <c r="E49" i="5"/>
  <c r="E45" i="5"/>
  <c r="F45" i="5"/>
  <c r="G45" i="5"/>
  <c r="H45" i="5"/>
  <c r="I45" i="5"/>
  <c r="J45" i="5"/>
  <c r="K45" i="5"/>
  <c r="L45" i="5"/>
  <c r="M45" i="5"/>
  <c r="N45" i="5"/>
  <c r="O45" i="5"/>
  <c r="P45" i="5"/>
  <c r="E46" i="5"/>
  <c r="F46" i="5"/>
  <c r="G46" i="5"/>
  <c r="H46" i="5"/>
  <c r="I46" i="5"/>
  <c r="J46" i="5"/>
  <c r="K46" i="5"/>
  <c r="L46" i="5"/>
  <c r="M46" i="5"/>
  <c r="N46" i="5"/>
  <c r="O46" i="5"/>
  <c r="P46" i="5"/>
  <c r="E47" i="5"/>
  <c r="F47" i="5"/>
  <c r="G47" i="5"/>
  <c r="H47" i="5"/>
  <c r="I47" i="5"/>
  <c r="J47" i="5"/>
  <c r="K47" i="5"/>
  <c r="L47" i="5"/>
  <c r="M47" i="5"/>
  <c r="N47" i="5"/>
  <c r="O47" i="5"/>
  <c r="P47" i="5"/>
  <c r="F44" i="5"/>
  <c r="G44" i="5"/>
  <c r="H44" i="5"/>
  <c r="I44" i="5"/>
  <c r="J44" i="5"/>
  <c r="K44" i="5"/>
  <c r="L44" i="5"/>
  <c r="M44" i="5"/>
  <c r="N44" i="5"/>
  <c r="O44" i="5"/>
  <c r="P44" i="5"/>
  <c r="E44" i="5"/>
  <c r="E29" i="5"/>
  <c r="F29" i="5"/>
  <c r="G29" i="5"/>
  <c r="H29" i="5"/>
  <c r="I29" i="5"/>
  <c r="J29" i="5"/>
  <c r="K29" i="5"/>
  <c r="L29" i="5"/>
  <c r="M29" i="5"/>
  <c r="N29" i="5"/>
  <c r="O29" i="5"/>
  <c r="P29" i="5"/>
  <c r="E30" i="5"/>
  <c r="F30" i="5"/>
  <c r="G30" i="5"/>
  <c r="H30" i="5"/>
  <c r="I30" i="5"/>
  <c r="J30" i="5"/>
  <c r="K30" i="5"/>
  <c r="L30" i="5"/>
  <c r="M30" i="5"/>
  <c r="N30" i="5"/>
  <c r="O30" i="5"/>
  <c r="P30" i="5"/>
  <c r="E31" i="5"/>
  <c r="F31" i="5"/>
  <c r="G31" i="5"/>
  <c r="H31" i="5"/>
  <c r="I31" i="5"/>
  <c r="J31" i="5"/>
  <c r="K31" i="5"/>
  <c r="L31" i="5"/>
  <c r="M31" i="5"/>
  <c r="N31" i="5"/>
  <c r="O31" i="5"/>
  <c r="P31" i="5"/>
  <c r="E32" i="5"/>
  <c r="F32" i="5"/>
  <c r="G32" i="5"/>
  <c r="H32" i="5"/>
  <c r="I32" i="5"/>
  <c r="J32" i="5"/>
  <c r="K32" i="5"/>
  <c r="L32" i="5"/>
  <c r="M32" i="5"/>
  <c r="N32" i="5"/>
  <c r="O32" i="5"/>
  <c r="P32" i="5"/>
  <c r="E33" i="5"/>
  <c r="F33" i="5"/>
  <c r="G33" i="5"/>
  <c r="H33" i="5"/>
  <c r="I33" i="5"/>
  <c r="J33" i="5"/>
  <c r="K33" i="5"/>
  <c r="L33" i="5"/>
  <c r="M33" i="5"/>
  <c r="N33" i="5"/>
  <c r="O33" i="5"/>
  <c r="P33" i="5"/>
  <c r="E34" i="5"/>
  <c r="F34" i="5"/>
  <c r="G34" i="5"/>
  <c r="H34" i="5"/>
  <c r="I34" i="5"/>
  <c r="J34" i="5"/>
  <c r="K34" i="5"/>
  <c r="L34" i="5"/>
  <c r="M34" i="5"/>
  <c r="N34" i="5"/>
  <c r="O34" i="5"/>
  <c r="P34" i="5"/>
  <c r="E35" i="5"/>
  <c r="F35" i="5"/>
  <c r="G35" i="5"/>
  <c r="H35" i="5"/>
  <c r="I35" i="5"/>
  <c r="J35" i="5"/>
  <c r="K35" i="5"/>
  <c r="L35" i="5"/>
  <c r="M35" i="5"/>
  <c r="N35" i="5"/>
  <c r="O35" i="5"/>
  <c r="P35" i="5"/>
  <c r="E36" i="5"/>
  <c r="F36" i="5"/>
  <c r="G36" i="5"/>
  <c r="H36" i="5"/>
  <c r="I36" i="5"/>
  <c r="J36" i="5"/>
  <c r="K36" i="5"/>
  <c r="L36" i="5"/>
  <c r="M36" i="5"/>
  <c r="N36" i="5"/>
  <c r="O36" i="5"/>
  <c r="P36" i="5"/>
  <c r="E37" i="5"/>
  <c r="F37" i="5"/>
  <c r="G37" i="5"/>
  <c r="H37" i="5"/>
  <c r="I37" i="5"/>
  <c r="J37" i="5"/>
  <c r="K37" i="5"/>
  <c r="L37" i="5"/>
  <c r="M37" i="5"/>
  <c r="N37" i="5"/>
  <c r="O37" i="5"/>
  <c r="P37" i="5"/>
  <c r="E38" i="5"/>
  <c r="F38" i="5"/>
  <c r="G38" i="5"/>
  <c r="H38" i="5"/>
  <c r="I38" i="5"/>
  <c r="J38" i="5"/>
  <c r="K38" i="5"/>
  <c r="L38" i="5"/>
  <c r="M38" i="5"/>
  <c r="N38" i="5"/>
  <c r="O38" i="5"/>
  <c r="P38" i="5"/>
  <c r="E39" i="5"/>
  <c r="F39" i="5"/>
  <c r="G39" i="5"/>
  <c r="H39" i="5"/>
  <c r="I39" i="5"/>
  <c r="J39" i="5"/>
  <c r="K39" i="5"/>
  <c r="L39" i="5"/>
  <c r="M39" i="5"/>
  <c r="N39" i="5"/>
  <c r="O39" i="5"/>
  <c r="P39" i="5"/>
  <c r="E40" i="5"/>
  <c r="F40" i="5"/>
  <c r="G40" i="5"/>
  <c r="H40" i="5"/>
  <c r="I40" i="5"/>
  <c r="J40" i="5"/>
  <c r="K40" i="5"/>
  <c r="L40" i="5"/>
  <c r="M40" i="5"/>
  <c r="N40" i="5"/>
  <c r="O40" i="5"/>
  <c r="P40" i="5"/>
  <c r="E41" i="5"/>
  <c r="F41" i="5"/>
  <c r="G41" i="5"/>
  <c r="H41" i="5"/>
  <c r="I41" i="5"/>
  <c r="J41" i="5"/>
  <c r="K41" i="5"/>
  <c r="L41" i="5"/>
  <c r="M41" i="5"/>
  <c r="N41" i="5"/>
  <c r="O41" i="5"/>
  <c r="P41" i="5"/>
  <c r="E42" i="5"/>
  <c r="F42" i="5"/>
  <c r="G42" i="5"/>
  <c r="H42" i="5"/>
  <c r="I42" i="5"/>
  <c r="J42" i="5"/>
  <c r="K42" i="5"/>
  <c r="L42" i="5"/>
  <c r="M42" i="5"/>
  <c r="N42" i="5"/>
  <c r="O42" i="5"/>
  <c r="P42" i="5"/>
  <c r="F28" i="5"/>
  <c r="G28" i="5"/>
  <c r="H28" i="5"/>
  <c r="I28" i="5"/>
  <c r="J28" i="5"/>
  <c r="K28" i="5"/>
  <c r="L28" i="5"/>
  <c r="M28" i="5"/>
  <c r="N28" i="5"/>
  <c r="O28" i="5"/>
  <c r="P28" i="5"/>
  <c r="E28" i="5"/>
  <c r="E21" i="5"/>
  <c r="F21" i="5"/>
  <c r="G21" i="5"/>
  <c r="H21" i="5"/>
  <c r="I21" i="5"/>
  <c r="J21" i="5"/>
  <c r="K21" i="5"/>
  <c r="L21" i="5"/>
  <c r="M21" i="5"/>
  <c r="N21" i="5"/>
  <c r="O21" i="5"/>
  <c r="P21" i="5"/>
  <c r="E22" i="5"/>
  <c r="F22" i="5"/>
  <c r="G22" i="5"/>
  <c r="H22" i="5"/>
  <c r="I22" i="5"/>
  <c r="J22" i="5"/>
  <c r="K22" i="5"/>
  <c r="L22" i="5"/>
  <c r="M22" i="5"/>
  <c r="N22" i="5"/>
  <c r="O22" i="5"/>
  <c r="P22" i="5"/>
  <c r="E23" i="5"/>
  <c r="F23" i="5"/>
  <c r="G23" i="5"/>
  <c r="H23" i="5"/>
  <c r="I23" i="5"/>
  <c r="J23" i="5"/>
  <c r="K23" i="5"/>
  <c r="L23" i="5"/>
  <c r="M23" i="5"/>
  <c r="N23" i="5"/>
  <c r="O23" i="5"/>
  <c r="P23" i="5"/>
  <c r="E24" i="5"/>
  <c r="F24" i="5"/>
  <c r="G24" i="5"/>
  <c r="H24" i="5"/>
  <c r="I24" i="5"/>
  <c r="J24" i="5"/>
  <c r="K24" i="5"/>
  <c r="L24" i="5"/>
  <c r="M24" i="5"/>
  <c r="N24" i="5"/>
  <c r="O24" i="5"/>
  <c r="P24" i="5"/>
  <c r="F20" i="5"/>
  <c r="G20" i="5"/>
  <c r="H20" i="5"/>
  <c r="I20" i="5"/>
  <c r="J20" i="5"/>
  <c r="K20" i="5"/>
  <c r="L20" i="5"/>
  <c r="M20" i="5"/>
  <c r="N20" i="5"/>
  <c r="O20" i="5"/>
  <c r="P20" i="5"/>
  <c r="E20" i="5"/>
  <c r="E13" i="5"/>
  <c r="E14" i="5"/>
  <c r="E15" i="5"/>
  <c r="E16" i="5"/>
  <c r="E17" i="5"/>
  <c r="E18" i="5"/>
  <c r="F13" i="5"/>
  <c r="F14" i="5"/>
  <c r="F15" i="5"/>
  <c r="F16" i="5"/>
  <c r="F17" i="5"/>
  <c r="F18" i="5"/>
  <c r="G13" i="5"/>
  <c r="G14" i="5"/>
  <c r="G15" i="5"/>
  <c r="G16" i="5"/>
  <c r="G17" i="5"/>
  <c r="G18" i="5"/>
  <c r="H13" i="5"/>
  <c r="H14" i="5"/>
  <c r="H15" i="5"/>
  <c r="H16" i="5"/>
  <c r="H17" i="5"/>
  <c r="H18" i="5"/>
  <c r="I13" i="5"/>
  <c r="I14" i="5"/>
  <c r="I15" i="5"/>
  <c r="I16" i="5"/>
  <c r="I17" i="5"/>
  <c r="I18" i="5"/>
  <c r="J13" i="5"/>
  <c r="J14" i="5"/>
  <c r="J15" i="5"/>
  <c r="J16" i="5"/>
  <c r="J17" i="5"/>
  <c r="J18" i="5"/>
  <c r="K13" i="5"/>
  <c r="K14" i="5"/>
  <c r="K15" i="5"/>
  <c r="K16" i="5"/>
  <c r="K17" i="5"/>
  <c r="K18" i="5"/>
  <c r="L13" i="5"/>
  <c r="L14" i="5"/>
  <c r="L15" i="5"/>
  <c r="L16" i="5"/>
  <c r="L17" i="5"/>
  <c r="L18" i="5"/>
  <c r="M13" i="5"/>
  <c r="M14" i="5"/>
  <c r="M15" i="5"/>
  <c r="M16" i="5"/>
  <c r="M17" i="5"/>
  <c r="M18" i="5"/>
  <c r="N13" i="5"/>
  <c r="N14" i="5"/>
  <c r="N15" i="5"/>
  <c r="N16" i="5"/>
  <c r="N17" i="5"/>
  <c r="N18" i="5"/>
  <c r="O13" i="5"/>
  <c r="O14" i="5"/>
  <c r="O15" i="5"/>
  <c r="O16" i="5"/>
  <c r="O17" i="5"/>
  <c r="O18" i="5"/>
  <c r="P13" i="5"/>
  <c r="P14" i="5"/>
  <c r="P15" i="5"/>
  <c r="P16" i="5"/>
  <c r="P17" i="5"/>
  <c r="F12" i="5"/>
  <c r="G12" i="5"/>
  <c r="H12" i="5"/>
  <c r="I12" i="5"/>
  <c r="J12" i="5"/>
  <c r="K12" i="5"/>
  <c r="L12" i="5"/>
  <c r="M12" i="5"/>
  <c r="N12" i="5"/>
  <c r="O12" i="5"/>
  <c r="P12" i="5"/>
  <c r="E12" i="5"/>
  <c r="E56" i="4" l="1"/>
  <c r="D33" i="1" l="1"/>
  <c r="E64" i="4" l="1"/>
  <c r="F54" i="4" l="1"/>
  <c r="F50" i="4" l="1"/>
  <c r="F49" i="4"/>
  <c r="F48" i="4"/>
  <c r="F47" i="4"/>
  <c r="E46" i="4"/>
  <c r="F46" i="4" s="1"/>
  <c r="F45" i="4"/>
  <c r="F44" i="4"/>
  <c r="E43" i="4"/>
  <c r="F43" i="4" s="1"/>
  <c r="F42" i="4"/>
  <c r="E41" i="4"/>
  <c r="F41" i="4" s="1"/>
  <c r="F40" i="4"/>
  <c r="F39" i="4"/>
  <c r="F38" i="4"/>
  <c r="F37" i="4"/>
  <c r="E35" i="4"/>
  <c r="F35" i="4" s="1"/>
  <c r="F34" i="4"/>
  <c r="E34" i="4"/>
  <c r="E33" i="4"/>
  <c r="F33" i="4" s="1"/>
  <c r="E32" i="4"/>
  <c r="F32" i="4" s="1"/>
  <c r="F31" i="4"/>
  <c r="F30" i="4"/>
  <c r="F19" i="4"/>
  <c r="F18" i="4"/>
  <c r="F17" i="4"/>
  <c r="F13" i="4"/>
  <c r="F12" i="4"/>
  <c r="D15" i="1" l="1"/>
  <c r="D14" i="1"/>
  <c r="D13" i="1"/>
  <c r="C7" i="4" l="1"/>
  <c r="D36" i="4" s="1"/>
  <c r="F36" i="4" s="1"/>
  <c r="D22" i="1"/>
  <c r="D21" i="1"/>
  <c r="D20" i="1"/>
  <c r="F26" i="1"/>
  <c r="E67" i="4" s="1"/>
  <c r="F67" i="4" s="1"/>
  <c r="E44" i="2" l="1"/>
  <c r="E43" i="2"/>
  <c r="E42" i="2"/>
  <c r="E41" i="2"/>
  <c r="E39" i="2"/>
  <c r="E38" i="2"/>
  <c r="E37" i="2"/>
  <c r="E36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45" i="2" l="1"/>
  <c r="E40" i="2"/>
  <c r="E35" i="2"/>
  <c r="E46" i="2" s="1"/>
  <c r="E6" i="2" s="1"/>
  <c r="M20" i="11"/>
  <c r="L20" i="11"/>
  <c r="K20" i="11"/>
  <c r="J20" i="11"/>
  <c r="I20" i="11"/>
  <c r="H20" i="11"/>
  <c r="G20" i="11"/>
  <c r="F20" i="11"/>
  <c r="E20" i="11"/>
  <c r="D20" i="11"/>
  <c r="C20" i="11"/>
  <c r="B20" i="11"/>
  <c r="M19" i="11"/>
  <c r="M21" i="11" s="1"/>
  <c r="L19" i="11"/>
  <c r="K19" i="11"/>
  <c r="J19" i="11"/>
  <c r="J21" i="11" s="1"/>
  <c r="I19" i="11"/>
  <c r="H19" i="11"/>
  <c r="H21" i="11" s="1"/>
  <c r="G19" i="11"/>
  <c r="G21" i="11" s="1"/>
  <c r="F19" i="11"/>
  <c r="F21" i="11" s="1"/>
  <c r="E19" i="11"/>
  <c r="E21" i="11" s="1"/>
  <c r="D19" i="11"/>
  <c r="D21" i="11" s="1"/>
  <c r="C19" i="11"/>
  <c r="B19" i="11"/>
  <c r="M113" i="11"/>
  <c r="L113" i="11"/>
  <c r="K113" i="11"/>
  <c r="J113" i="11"/>
  <c r="I113" i="11"/>
  <c r="H113" i="11"/>
  <c r="G113" i="11"/>
  <c r="F113" i="11"/>
  <c r="E113" i="11"/>
  <c r="D113" i="11"/>
  <c r="C113" i="11"/>
  <c r="B113" i="11"/>
  <c r="O112" i="11"/>
  <c r="O111" i="11"/>
  <c r="O110" i="11"/>
  <c r="O109" i="11"/>
  <c r="O108" i="11"/>
  <c r="M102" i="11"/>
  <c r="L102" i="11"/>
  <c r="K102" i="11"/>
  <c r="J102" i="11"/>
  <c r="I102" i="11"/>
  <c r="H102" i="11"/>
  <c r="G102" i="11"/>
  <c r="F102" i="11"/>
  <c r="E102" i="11"/>
  <c r="D102" i="11"/>
  <c r="C102" i="11"/>
  <c r="B102" i="11"/>
  <c r="O101" i="11"/>
  <c r="O100" i="11"/>
  <c r="O99" i="11"/>
  <c r="O98" i="11"/>
  <c r="O97" i="11"/>
  <c r="M93" i="11"/>
  <c r="L93" i="11"/>
  <c r="K93" i="11"/>
  <c r="J93" i="11"/>
  <c r="I93" i="11"/>
  <c r="H93" i="11"/>
  <c r="G93" i="11"/>
  <c r="F93" i="11"/>
  <c r="E93" i="11"/>
  <c r="D93" i="11"/>
  <c r="C93" i="11"/>
  <c r="B93" i="11"/>
  <c r="O92" i="11"/>
  <c r="O91" i="11"/>
  <c r="O90" i="11"/>
  <c r="O89" i="11"/>
  <c r="M85" i="11"/>
  <c r="L85" i="11"/>
  <c r="K85" i="11"/>
  <c r="J85" i="11"/>
  <c r="I85" i="11"/>
  <c r="H85" i="11"/>
  <c r="F85" i="11"/>
  <c r="E85" i="11"/>
  <c r="D85" i="11"/>
  <c r="C85" i="11"/>
  <c r="B85" i="11"/>
  <c r="O84" i="11"/>
  <c r="O83" i="11"/>
  <c r="O82" i="11"/>
  <c r="O81" i="11"/>
  <c r="M77" i="11"/>
  <c r="L77" i="11"/>
  <c r="K77" i="11"/>
  <c r="J77" i="11"/>
  <c r="I77" i="11"/>
  <c r="H77" i="11"/>
  <c r="G77" i="11"/>
  <c r="F77" i="11"/>
  <c r="E77" i="11"/>
  <c r="D77" i="11"/>
  <c r="C77" i="11"/>
  <c r="B77" i="11"/>
  <c r="O76" i="11"/>
  <c r="O75" i="11"/>
  <c r="O74" i="11"/>
  <c r="O73" i="11"/>
  <c r="M70" i="11"/>
  <c r="L70" i="11"/>
  <c r="K70" i="11"/>
  <c r="J70" i="11"/>
  <c r="I70" i="11"/>
  <c r="H70" i="11"/>
  <c r="G70" i="11"/>
  <c r="F70" i="11"/>
  <c r="E70" i="11"/>
  <c r="D70" i="11"/>
  <c r="C70" i="11"/>
  <c r="B70" i="11"/>
  <c r="O69" i="11"/>
  <c r="O68" i="11"/>
  <c r="O67" i="11"/>
  <c r="O66" i="11"/>
  <c r="O65" i="11"/>
  <c r="O64" i="11"/>
  <c r="O63" i="11"/>
  <c r="O62" i="11"/>
  <c r="O61" i="11"/>
  <c r="O60" i="11"/>
  <c r="O59" i="11"/>
  <c r="O58" i="11"/>
  <c r="O57" i="11"/>
  <c r="O56" i="11"/>
  <c r="O55" i="11"/>
  <c r="M50" i="11"/>
  <c r="L50" i="11"/>
  <c r="K50" i="11"/>
  <c r="J50" i="11"/>
  <c r="I50" i="11"/>
  <c r="H50" i="11"/>
  <c r="G50" i="11"/>
  <c r="F50" i="11"/>
  <c r="E50" i="11"/>
  <c r="D50" i="11"/>
  <c r="C50" i="11"/>
  <c r="B50" i="11"/>
  <c r="O49" i="11"/>
  <c r="O45" i="11"/>
  <c r="D56" i="1" s="1"/>
  <c r="F56" i="1" s="1"/>
  <c r="M41" i="11"/>
  <c r="L41" i="11"/>
  <c r="K41" i="11"/>
  <c r="J41" i="11"/>
  <c r="I41" i="11"/>
  <c r="H41" i="11"/>
  <c r="G41" i="11"/>
  <c r="F41" i="11"/>
  <c r="E41" i="11"/>
  <c r="D41" i="11"/>
  <c r="C41" i="11"/>
  <c r="B41" i="11"/>
  <c r="O40" i="11"/>
  <c r="O39" i="11"/>
  <c r="O38" i="11"/>
  <c r="O37" i="11"/>
  <c r="O36" i="11"/>
  <c r="M32" i="11"/>
  <c r="L32" i="11"/>
  <c r="K32" i="11"/>
  <c r="J32" i="11"/>
  <c r="I32" i="11"/>
  <c r="H32" i="11"/>
  <c r="G32" i="11"/>
  <c r="F32" i="11"/>
  <c r="E32" i="11"/>
  <c r="D32" i="11"/>
  <c r="C32" i="11"/>
  <c r="B32" i="11"/>
  <c r="O31" i="11"/>
  <c r="O30" i="11"/>
  <c r="O29" i="11"/>
  <c r="O28" i="11"/>
  <c r="O27" i="11"/>
  <c r="O26" i="11"/>
  <c r="O25" i="11"/>
  <c r="K21" i="11"/>
  <c r="C21" i="11"/>
  <c r="B21" i="11"/>
  <c r="M15" i="11"/>
  <c r="L15" i="11"/>
  <c r="K15" i="11"/>
  <c r="J15" i="11"/>
  <c r="I15" i="11"/>
  <c r="H15" i="11"/>
  <c r="G15" i="11"/>
  <c r="F15" i="11"/>
  <c r="E15" i="11"/>
  <c r="D15" i="11"/>
  <c r="C15" i="11"/>
  <c r="B15" i="11"/>
  <c r="O14" i="11"/>
  <c r="O13" i="11"/>
  <c r="O12" i="11"/>
  <c r="M8" i="11"/>
  <c r="L8" i="11"/>
  <c r="K8" i="11"/>
  <c r="J8" i="11"/>
  <c r="I8" i="11"/>
  <c r="H8" i="11"/>
  <c r="G8" i="11"/>
  <c r="F8" i="11"/>
  <c r="E8" i="11"/>
  <c r="D8" i="11"/>
  <c r="C8" i="11"/>
  <c r="B8" i="11"/>
  <c r="O7" i="11"/>
  <c r="O6" i="11"/>
  <c r="N10" i="10" l="1"/>
  <c r="N10" i="9"/>
  <c r="N10" i="8"/>
  <c r="N10" i="7"/>
  <c r="N10" i="5"/>
  <c r="P10" i="9"/>
  <c r="P10" i="10"/>
  <c r="P10" i="8"/>
  <c r="P10" i="7"/>
  <c r="P10" i="5"/>
  <c r="I10" i="10"/>
  <c r="I10" i="9"/>
  <c r="I10" i="8"/>
  <c r="I10" i="7"/>
  <c r="I10" i="5"/>
  <c r="M10" i="10"/>
  <c r="M10" i="9"/>
  <c r="M10" i="8"/>
  <c r="M10" i="7"/>
  <c r="M10" i="5"/>
  <c r="E10" i="10"/>
  <c r="E10" i="9"/>
  <c r="E10" i="8"/>
  <c r="E10" i="7"/>
  <c r="E10" i="5"/>
  <c r="F10" i="10"/>
  <c r="F10" i="9"/>
  <c r="F10" i="8"/>
  <c r="F10" i="7"/>
  <c r="F10" i="5"/>
  <c r="J10" i="10"/>
  <c r="J10" i="9"/>
  <c r="J10" i="8"/>
  <c r="J10" i="7"/>
  <c r="J10" i="5"/>
  <c r="H10" i="10"/>
  <c r="H10" i="7"/>
  <c r="H10" i="5"/>
  <c r="H10" i="9"/>
  <c r="H10" i="8"/>
  <c r="G10" i="10"/>
  <c r="G10" i="9"/>
  <c r="G10" i="8"/>
  <c r="G10" i="7"/>
  <c r="G10" i="5"/>
  <c r="K10" i="10"/>
  <c r="K10" i="9"/>
  <c r="K10" i="8"/>
  <c r="K10" i="7"/>
  <c r="K10" i="5"/>
  <c r="D4" i="10"/>
  <c r="D4" i="5"/>
  <c r="D4" i="9"/>
  <c r="D4" i="8"/>
  <c r="D4" i="7"/>
  <c r="C72" i="1"/>
  <c r="D35" i="1"/>
  <c r="O8" i="11"/>
  <c r="O77" i="11"/>
  <c r="D59" i="1" s="1"/>
  <c r="H59" i="1" s="1"/>
  <c r="O113" i="11"/>
  <c r="O19" i="11"/>
  <c r="O70" i="11"/>
  <c r="D58" i="1" s="1"/>
  <c r="G58" i="1" s="1"/>
  <c r="O85" i="11"/>
  <c r="D60" i="1" s="1"/>
  <c r="F60" i="1" s="1"/>
  <c r="O41" i="11"/>
  <c r="D55" i="1" s="1"/>
  <c r="G55" i="1" s="1"/>
  <c r="L21" i="11"/>
  <c r="O32" i="11"/>
  <c r="D54" i="1" s="1"/>
  <c r="H54" i="1" s="1"/>
  <c r="O15" i="11"/>
  <c r="O50" i="11"/>
  <c r="D57" i="1" s="1"/>
  <c r="E57" i="1" s="1"/>
  <c r="O93" i="11"/>
  <c r="D61" i="1" s="1"/>
  <c r="O102" i="11"/>
  <c r="D62" i="1" s="1"/>
  <c r="I21" i="11"/>
  <c r="D36" i="1"/>
  <c r="G56" i="1"/>
  <c r="H56" i="1"/>
  <c r="E56" i="1"/>
  <c r="O20" i="11"/>
  <c r="F55" i="1" l="1"/>
  <c r="G60" i="1"/>
  <c r="E60" i="1"/>
  <c r="O10" i="10"/>
  <c r="O10" i="9"/>
  <c r="O10" i="8"/>
  <c r="O10" i="7"/>
  <c r="O10" i="5"/>
  <c r="D53" i="1"/>
  <c r="E53" i="1" s="1"/>
  <c r="F53" i="1" s="1"/>
  <c r="G53" i="1" s="1"/>
  <c r="H53" i="1" s="1"/>
  <c r="L10" i="8"/>
  <c r="L10" i="7"/>
  <c r="L10" i="5"/>
  <c r="L10" i="10"/>
  <c r="L10" i="9"/>
  <c r="H60" i="1"/>
  <c r="H58" i="1"/>
  <c r="E59" i="1"/>
  <c r="G59" i="1"/>
  <c r="F58" i="1"/>
  <c r="F59" i="1"/>
  <c r="E58" i="1"/>
  <c r="G54" i="1"/>
  <c r="H55" i="1"/>
  <c r="F57" i="1"/>
  <c r="H57" i="1"/>
  <c r="E55" i="1"/>
  <c r="G57" i="1"/>
  <c r="F54" i="1"/>
  <c r="H61" i="1"/>
  <c r="E61" i="1"/>
  <c r="G61" i="1"/>
  <c r="F61" i="1"/>
  <c r="H62" i="1"/>
  <c r="E62" i="1"/>
  <c r="G62" i="1"/>
  <c r="F62" i="1"/>
  <c r="O21" i="11"/>
  <c r="E54" i="1"/>
  <c r="E22" i="1"/>
  <c r="F22" i="1" s="1"/>
  <c r="G22" i="1" s="1"/>
  <c r="H22" i="1" s="1"/>
  <c r="E21" i="1"/>
  <c r="F21" i="1" s="1"/>
  <c r="G21" i="1" s="1"/>
  <c r="H21" i="1" s="1"/>
  <c r="E20" i="1"/>
  <c r="F20" i="1" s="1"/>
  <c r="G20" i="1" s="1"/>
  <c r="H20" i="1" s="1"/>
  <c r="O26" i="1" l="1"/>
  <c r="P7" i="5" s="1"/>
  <c r="N26" i="1"/>
  <c r="M26" i="1"/>
  <c r="N7" i="5" s="1"/>
  <c r="L26" i="1"/>
  <c r="K26" i="1"/>
  <c r="L7" i="5" s="1"/>
  <c r="J26" i="1"/>
  <c r="K7" i="5" s="1"/>
  <c r="I26" i="1"/>
  <c r="J7" i="5" s="1"/>
  <c r="H26" i="1"/>
  <c r="I7" i="5" s="1"/>
  <c r="G26" i="1"/>
  <c r="H7" i="5" s="1"/>
  <c r="E26" i="1"/>
  <c r="D26" i="1"/>
  <c r="E7" i="5" s="1"/>
  <c r="G7" i="5"/>
  <c r="E68" i="4"/>
  <c r="F64" i="4"/>
  <c r="F61" i="4"/>
  <c r="F57" i="4"/>
  <c r="F56" i="4"/>
  <c r="F55" i="4"/>
  <c r="F53" i="4"/>
  <c r="F52" i="4"/>
  <c r="F28" i="4"/>
  <c r="F27" i="4"/>
  <c r="F26" i="4"/>
  <c r="F25" i="4"/>
  <c r="F24" i="4"/>
  <c r="F23" i="4"/>
  <c r="D22" i="4"/>
  <c r="D21" i="4"/>
  <c r="D72" i="1"/>
  <c r="D73" i="1" s="1"/>
  <c r="C67" i="1"/>
  <c r="C68" i="1"/>
  <c r="C66" i="1"/>
  <c r="E66" i="4" l="1"/>
  <c r="F66" i="4" s="1"/>
  <c r="F68" i="4"/>
  <c r="C26" i="1"/>
  <c r="C64" i="10"/>
  <c r="C10" i="8"/>
  <c r="C10" i="10"/>
  <c r="C64" i="9"/>
  <c r="C10" i="9"/>
  <c r="C64" i="8"/>
  <c r="C10" i="7"/>
  <c r="F7" i="5"/>
  <c r="M7" i="5"/>
  <c r="O7" i="5"/>
  <c r="C10" i="5"/>
  <c r="F11" i="4"/>
  <c r="F51" i="4"/>
  <c r="F21" i="4"/>
  <c r="F22" i="4"/>
  <c r="C7" i="5" l="1"/>
  <c r="F29" i="4"/>
  <c r="F20" i="4"/>
  <c r="E8" i="3"/>
  <c r="E7" i="3"/>
  <c r="D39" i="1"/>
  <c r="O39" i="1"/>
  <c r="N39" i="1"/>
  <c r="M39" i="1"/>
  <c r="L39" i="1"/>
  <c r="K39" i="1"/>
  <c r="J39" i="1"/>
  <c r="I39" i="1"/>
  <c r="H39" i="1"/>
  <c r="G39" i="1"/>
  <c r="F39" i="1"/>
  <c r="E39" i="1"/>
  <c r="H35" i="1"/>
  <c r="G35" i="1"/>
  <c r="F35" i="1"/>
  <c r="E35" i="1"/>
  <c r="E33" i="1"/>
  <c r="F33" i="1" s="1"/>
  <c r="G33" i="1" s="1"/>
  <c r="H33" i="1" s="1"/>
  <c r="D34" i="1"/>
  <c r="E19" i="1"/>
  <c r="L42" i="1" l="1"/>
  <c r="H42" i="1"/>
  <c r="D42" i="1"/>
  <c r="O42" i="1"/>
  <c r="K42" i="1"/>
  <c r="G42" i="1"/>
  <c r="N42" i="1"/>
  <c r="J42" i="1"/>
  <c r="F42" i="1"/>
  <c r="M42" i="1"/>
  <c r="N3" i="5" s="1"/>
  <c r="I42" i="1"/>
  <c r="E42" i="1"/>
  <c r="F3" i="5" s="1"/>
  <c r="E36" i="1"/>
  <c r="F19" i="1"/>
  <c r="N27" i="1"/>
  <c r="O7" i="7" s="1"/>
  <c r="J27" i="1"/>
  <c r="K7" i="7" s="1"/>
  <c r="F27" i="1"/>
  <c r="G7" i="7" s="1"/>
  <c r="M27" i="1"/>
  <c r="N7" i="7" s="1"/>
  <c r="H27" i="1"/>
  <c r="I7" i="7" s="1"/>
  <c r="L27" i="1"/>
  <c r="M7" i="7" s="1"/>
  <c r="G27" i="1"/>
  <c r="H7" i="7" s="1"/>
  <c r="K27" i="1"/>
  <c r="L7" i="7" s="1"/>
  <c r="E27" i="1"/>
  <c r="F7" i="7" s="1"/>
  <c r="O27" i="1"/>
  <c r="P7" i="7" s="1"/>
  <c r="I27" i="1"/>
  <c r="J7" i="7" s="1"/>
  <c r="D27" i="1"/>
  <c r="F72" i="1"/>
  <c r="F73" i="1" s="1"/>
  <c r="E72" i="1"/>
  <c r="E73" i="1" s="1"/>
  <c r="F59" i="4"/>
  <c r="F70" i="4" s="1"/>
  <c r="E34" i="1"/>
  <c r="F26" i="5" l="1"/>
  <c r="F25" i="5"/>
  <c r="N26" i="5"/>
  <c r="N25" i="5"/>
  <c r="L78" i="1"/>
  <c r="L43" i="1"/>
  <c r="H43" i="1"/>
  <c r="D43" i="1"/>
  <c r="O78" i="1" s="1"/>
  <c r="O43" i="1"/>
  <c r="K43" i="1"/>
  <c r="G43" i="1"/>
  <c r="N43" i="1"/>
  <c r="J43" i="1"/>
  <c r="F43" i="1"/>
  <c r="M43" i="1"/>
  <c r="I43" i="1"/>
  <c r="E43" i="1"/>
  <c r="F36" i="1"/>
  <c r="H36" i="1"/>
  <c r="N78" i="1"/>
  <c r="P3" i="5"/>
  <c r="G78" i="1"/>
  <c r="I3" i="5"/>
  <c r="M78" i="1"/>
  <c r="O3" i="5"/>
  <c r="H78" i="1"/>
  <c r="J3" i="5"/>
  <c r="J78" i="1"/>
  <c r="L3" i="5"/>
  <c r="E3" i="5"/>
  <c r="I78" i="1"/>
  <c r="K3" i="5"/>
  <c r="N48" i="5"/>
  <c r="N65" i="5"/>
  <c r="N53" i="5"/>
  <c r="N19" i="5"/>
  <c r="N11" i="5"/>
  <c r="N58" i="5"/>
  <c r="N27" i="5"/>
  <c r="N43" i="5"/>
  <c r="N4" i="5"/>
  <c r="N74" i="5" s="1"/>
  <c r="N73" i="5"/>
  <c r="F48" i="5"/>
  <c r="F53" i="5"/>
  <c r="F4" i="5"/>
  <c r="F74" i="5" s="1"/>
  <c r="F11" i="5"/>
  <c r="F65" i="5"/>
  <c r="F19" i="5"/>
  <c r="F73" i="5"/>
  <c r="F68" i="5"/>
  <c r="F27" i="5"/>
  <c r="F58" i="5"/>
  <c r="F43" i="5"/>
  <c r="F78" i="1"/>
  <c r="H3" i="5"/>
  <c r="E78" i="1"/>
  <c r="G3" i="5"/>
  <c r="K78" i="1"/>
  <c r="M3" i="5"/>
  <c r="F34" i="1"/>
  <c r="K44" i="1" s="1"/>
  <c r="C27" i="1"/>
  <c r="E7" i="7"/>
  <c r="C7" i="7" s="1"/>
  <c r="G19" i="1"/>
  <c r="N28" i="1"/>
  <c r="J28" i="1"/>
  <c r="F28" i="1"/>
  <c r="L28" i="1"/>
  <c r="G28" i="1"/>
  <c r="K28" i="1"/>
  <c r="E28" i="1"/>
  <c r="O28" i="1"/>
  <c r="I28" i="1"/>
  <c r="D28" i="1"/>
  <c r="M28" i="1"/>
  <c r="H28" i="1"/>
  <c r="C42" i="1"/>
  <c r="K26" i="5" l="1"/>
  <c r="K25" i="5"/>
  <c r="E26" i="5"/>
  <c r="E25" i="5"/>
  <c r="G26" i="5"/>
  <c r="G25" i="5"/>
  <c r="L26" i="5"/>
  <c r="L25" i="5"/>
  <c r="O26" i="5"/>
  <c r="O25" i="5"/>
  <c r="P26" i="5"/>
  <c r="P25" i="5"/>
  <c r="M26" i="5"/>
  <c r="M25" i="5"/>
  <c r="H26" i="5"/>
  <c r="H25" i="5"/>
  <c r="J26" i="5"/>
  <c r="J25" i="5"/>
  <c r="I26" i="5"/>
  <c r="I25" i="5"/>
  <c r="O44" i="1"/>
  <c r="P3" i="8" s="1"/>
  <c r="G34" i="1"/>
  <c r="K45" i="1" s="1"/>
  <c r="D44" i="1"/>
  <c r="O79" i="1" s="1"/>
  <c r="I44" i="1"/>
  <c r="J3" i="8" s="1"/>
  <c r="G72" i="1"/>
  <c r="G73" i="1" s="1"/>
  <c r="G36" i="1"/>
  <c r="C78" i="1"/>
  <c r="F5" i="5"/>
  <c r="J80" i="1"/>
  <c r="L3" i="8"/>
  <c r="D79" i="1"/>
  <c r="F3" i="7"/>
  <c r="I79" i="1"/>
  <c r="K3" i="7"/>
  <c r="K79" i="1"/>
  <c r="M3" i="7"/>
  <c r="E7" i="8"/>
  <c r="C28" i="1"/>
  <c r="L7" i="8"/>
  <c r="L7" i="9"/>
  <c r="K7" i="9"/>
  <c r="K7" i="8"/>
  <c r="G65" i="5"/>
  <c r="G19" i="5"/>
  <c r="G11" i="5"/>
  <c r="G48" i="5"/>
  <c r="G53" i="5"/>
  <c r="G43" i="5"/>
  <c r="G4" i="5"/>
  <c r="G74" i="5" s="1"/>
  <c r="G27" i="5"/>
  <c r="G73" i="5"/>
  <c r="G58" i="5"/>
  <c r="K65" i="5"/>
  <c r="K19" i="5"/>
  <c r="K11" i="5"/>
  <c r="K48" i="5"/>
  <c r="K53" i="5"/>
  <c r="K58" i="5"/>
  <c r="K43" i="5"/>
  <c r="K4" i="5"/>
  <c r="K74" i="5" s="1"/>
  <c r="K73" i="5"/>
  <c r="K27" i="5"/>
  <c r="L11" i="5"/>
  <c r="L48" i="5"/>
  <c r="L53" i="5"/>
  <c r="L19" i="5"/>
  <c r="L65" i="5"/>
  <c r="L4" i="5"/>
  <c r="L74" i="5" s="1"/>
  <c r="L73" i="5"/>
  <c r="L43" i="5"/>
  <c r="L58" i="5"/>
  <c r="L27" i="5"/>
  <c r="I4" i="5"/>
  <c r="I74" i="5" s="1"/>
  <c r="I65" i="5"/>
  <c r="I53" i="5"/>
  <c r="I19" i="5"/>
  <c r="I11" i="5"/>
  <c r="I48" i="5"/>
  <c r="I73" i="5"/>
  <c r="I58" i="5"/>
  <c r="I43" i="5"/>
  <c r="I27" i="5"/>
  <c r="F44" i="1"/>
  <c r="H44" i="1"/>
  <c r="M44" i="1"/>
  <c r="F79" i="1"/>
  <c r="H3" i="7"/>
  <c r="H79" i="1"/>
  <c r="J3" i="7"/>
  <c r="M79" i="1"/>
  <c r="O3" i="7"/>
  <c r="J7" i="8"/>
  <c r="J7" i="9"/>
  <c r="H7" i="8"/>
  <c r="H7" i="9"/>
  <c r="O7" i="9"/>
  <c r="O7" i="8"/>
  <c r="M4" i="5"/>
  <c r="M74" i="5" s="1"/>
  <c r="M48" i="5"/>
  <c r="M53" i="5"/>
  <c r="M19" i="5"/>
  <c r="M65" i="5"/>
  <c r="M11" i="5"/>
  <c r="M27" i="5"/>
  <c r="M43" i="5"/>
  <c r="M58" i="5"/>
  <c r="M73" i="5"/>
  <c r="J44" i="1"/>
  <c r="L44" i="1"/>
  <c r="G44" i="1"/>
  <c r="J79" i="1"/>
  <c r="L3" i="7"/>
  <c r="L79" i="1"/>
  <c r="N3" i="7"/>
  <c r="C43" i="1"/>
  <c r="E3" i="7"/>
  <c r="H34" i="1"/>
  <c r="G46" i="1" s="1"/>
  <c r="H72" i="1"/>
  <c r="H73" i="1" s="1"/>
  <c r="I7" i="9"/>
  <c r="I7" i="8"/>
  <c r="P7" i="8"/>
  <c r="P7" i="9"/>
  <c r="M7" i="9"/>
  <c r="M7" i="8"/>
  <c r="H19" i="1"/>
  <c r="M29" i="1"/>
  <c r="I29" i="1"/>
  <c r="E29" i="1"/>
  <c r="O29" i="1"/>
  <c r="J29" i="1"/>
  <c r="N29" i="1"/>
  <c r="H29" i="1"/>
  <c r="D29" i="1"/>
  <c r="L29" i="1"/>
  <c r="G29" i="1"/>
  <c r="K29" i="1"/>
  <c r="F29" i="1"/>
  <c r="H48" i="5"/>
  <c r="H65" i="5"/>
  <c r="H53" i="5"/>
  <c r="H19" i="5"/>
  <c r="H11" i="5"/>
  <c r="H43" i="5"/>
  <c r="H58" i="5"/>
  <c r="H4" i="5"/>
  <c r="H74" i="5" s="1"/>
  <c r="H27" i="5"/>
  <c r="H73" i="5"/>
  <c r="N5" i="5"/>
  <c r="E4" i="5"/>
  <c r="E5" i="5" s="1"/>
  <c r="E48" i="5"/>
  <c r="E11" i="5"/>
  <c r="E65" i="5"/>
  <c r="E53" i="5"/>
  <c r="E19" i="5"/>
  <c r="E58" i="5"/>
  <c r="E27" i="5"/>
  <c r="E73" i="5"/>
  <c r="E68" i="5"/>
  <c r="E43" i="5"/>
  <c r="C3" i="5"/>
  <c r="D64" i="5" s="1"/>
  <c r="J48" i="5"/>
  <c r="J53" i="5"/>
  <c r="J65" i="5"/>
  <c r="J11" i="5"/>
  <c r="J19" i="5"/>
  <c r="J58" i="5"/>
  <c r="J27" i="5"/>
  <c r="J4" i="5"/>
  <c r="J74" i="5" s="1"/>
  <c r="J73" i="5"/>
  <c r="J43" i="5"/>
  <c r="O65" i="5"/>
  <c r="O53" i="5"/>
  <c r="O19" i="5"/>
  <c r="O11" i="5"/>
  <c r="O48" i="5"/>
  <c r="O58" i="5"/>
  <c r="O27" i="5"/>
  <c r="O43" i="5"/>
  <c r="O4" i="5"/>
  <c r="O74" i="5" s="1"/>
  <c r="O73" i="5"/>
  <c r="P53" i="5"/>
  <c r="P65" i="5"/>
  <c r="P11" i="5"/>
  <c r="P48" i="5"/>
  <c r="P19" i="5"/>
  <c r="P58" i="5"/>
  <c r="P4" i="5"/>
  <c r="P74" i="5" s="1"/>
  <c r="P73" i="5"/>
  <c r="P27" i="5"/>
  <c r="P43" i="5"/>
  <c r="N44" i="1"/>
  <c r="E44" i="1"/>
  <c r="N79" i="1"/>
  <c r="P3" i="7"/>
  <c r="E79" i="1"/>
  <c r="G3" i="7"/>
  <c r="G79" i="1"/>
  <c r="I3" i="7"/>
  <c r="N7" i="8"/>
  <c r="N7" i="9"/>
  <c r="F7" i="9"/>
  <c r="F7" i="8"/>
  <c r="G7" i="9"/>
  <c r="G7" i="8"/>
  <c r="E50" i="1"/>
  <c r="P9" i="5"/>
  <c r="P8" i="5" s="1"/>
  <c r="K9" i="5"/>
  <c r="K8" i="5" s="1"/>
  <c r="G9" i="5"/>
  <c r="G8" i="5" s="1"/>
  <c r="E9" i="5"/>
  <c r="E8" i="5" s="1"/>
  <c r="O9" i="5"/>
  <c r="O8" i="5" s="1"/>
  <c r="J9" i="5"/>
  <c r="J8" i="5" s="1"/>
  <c r="L9" i="5"/>
  <c r="L8" i="5" s="1"/>
  <c r="M9" i="5"/>
  <c r="M8" i="5" s="1"/>
  <c r="F9" i="5"/>
  <c r="F8" i="5" s="1"/>
  <c r="F6" i="5" s="1"/>
  <c r="N9" i="5"/>
  <c r="N8" i="5" s="1"/>
  <c r="N6" i="5" s="1"/>
  <c r="I9" i="5"/>
  <c r="I8" i="5" s="1"/>
  <c r="H9" i="5"/>
  <c r="H8" i="5" s="1"/>
  <c r="E6" i="5" l="1"/>
  <c r="E66" i="5" s="1"/>
  <c r="G6" i="5"/>
  <c r="G75" i="5" s="1"/>
  <c r="G76" i="5" s="1"/>
  <c r="O9" i="7"/>
  <c r="K9" i="7"/>
  <c r="G9" i="7"/>
  <c r="G8" i="7" s="1"/>
  <c r="L9" i="7"/>
  <c r="L8" i="7" s="1"/>
  <c r="N9" i="7"/>
  <c r="J9" i="7"/>
  <c r="J8" i="7" s="1"/>
  <c r="F9" i="7"/>
  <c r="F8" i="7" s="1"/>
  <c r="M9" i="7"/>
  <c r="M8" i="7" s="1"/>
  <c r="I9" i="7"/>
  <c r="E9" i="7"/>
  <c r="E8" i="7" s="1"/>
  <c r="P9" i="7"/>
  <c r="H9" i="7"/>
  <c r="J26" i="8"/>
  <c r="J25" i="8"/>
  <c r="I26" i="7"/>
  <c r="I25" i="7"/>
  <c r="P26" i="7"/>
  <c r="P25" i="7"/>
  <c r="N26" i="7"/>
  <c r="N25" i="7"/>
  <c r="K5" i="5"/>
  <c r="O26" i="7"/>
  <c r="O25" i="7"/>
  <c r="F26" i="7"/>
  <c r="F25" i="7"/>
  <c r="J26" i="7"/>
  <c r="J25" i="7"/>
  <c r="K26" i="7"/>
  <c r="K25" i="7"/>
  <c r="L26" i="8"/>
  <c r="L25" i="8"/>
  <c r="H26" i="7"/>
  <c r="H25" i="7"/>
  <c r="M26" i="7"/>
  <c r="M25" i="7"/>
  <c r="G26" i="7"/>
  <c r="G25" i="7"/>
  <c r="E26" i="7"/>
  <c r="E25" i="7"/>
  <c r="L26" i="7"/>
  <c r="L25" i="7"/>
  <c r="P26" i="8"/>
  <c r="P25" i="8"/>
  <c r="G45" i="1"/>
  <c r="F81" i="1" s="1"/>
  <c r="J45" i="1"/>
  <c r="O45" i="1"/>
  <c r="P3" i="9" s="1"/>
  <c r="H5" i="5"/>
  <c r="H80" i="1"/>
  <c r="H45" i="1"/>
  <c r="I3" i="9" s="1"/>
  <c r="N80" i="1"/>
  <c r="L45" i="1"/>
  <c r="K81" i="1" s="1"/>
  <c r="K46" i="1"/>
  <c r="J82" i="1" s="1"/>
  <c r="F45" i="1"/>
  <c r="E81" i="1" s="1"/>
  <c r="I45" i="1"/>
  <c r="J3" i="9" s="1"/>
  <c r="J5" i="5"/>
  <c r="F50" i="1"/>
  <c r="D45" i="1"/>
  <c r="E3" i="9" s="1"/>
  <c r="M45" i="1"/>
  <c r="N3" i="9" s="1"/>
  <c r="E3" i="8"/>
  <c r="E25" i="8" s="1"/>
  <c r="N45" i="1"/>
  <c r="M81" i="1" s="1"/>
  <c r="E45" i="1"/>
  <c r="F3" i="9" s="1"/>
  <c r="I6" i="5"/>
  <c r="I75" i="5" s="1"/>
  <c r="I76" i="5" s="1"/>
  <c r="C79" i="1"/>
  <c r="N46" i="1"/>
  <c r="M82" i="1" s="1"/>
  <c r="L6" i="5"/>
  <c r="L75" i="5" s="1"/>
  <c r="L76" i="5" s="1"/>
  <c r="E46" i="1"/>
  <c r="D82" i="1" s="1"/>
  <c r="L5" i="5"/>
  <c r="O5" i="5"/>
  <c r="C27" i="5"/>
  <c r="D27" i="5" s="1"/>
  <c r="I5" i="5"/>
  <c r="F82" i="1"/>
  <c r="H3" i="10"/>
  <c r="J81" i="1"/>
  <c r="L3" i="9"/>
  <c r="C43" i="5"/>
  <c r="D43" i="5" s="1"/>
  <c r="C65" i="5"/>
  <c r="C25" i="5"/>
  <c r="D25" i="5" s="1"/>
  <c r="E7" i="9"/>
  <c r="C7" i="9" s="1"/>
  <c r="C29" i="1"/>
  <c r="M30" i="1"/>
  <c r="N7" i="10" s="1"/>
  <c r="I30" i="1"/>
  <c r="J7" i="10" s="1"/>
  <c r="E30" i="1"/>
  <c r="F7" i="10" s="1"/>
  <c r="N30" i="1"/>
  <c r="H30" i="1"/>
  <c r="I7" i="10" s="1"/>
  <c r="L30" i="1"/>
  <c r="M7" i="10" s="1"/>
  <c r="G30" i="1"/>
  <c r="H7" i="10" s="1"/>
  <c r="K30" i="1"/>
  <c r="L7" i="10" s="1"/>
  <c r="F30" i="1"/>
  <c r="G7" i="10" s="1"/>
  <c r="O30" i="1"/>
  <c r="P7" i="10" s="1"/>
  <c r="J30" i="1"/>
  <c r="K7" i="10" s="1"/>
  <c r="D30" i="1"/>
  <c r="E7" i="10" s="1"/>
  <c r="K80" i="1"/>
  <c r="M3" i="8"/>
  <c r="J64" i="7"/>
  <c r="J11" i="7"/>
  <c r="J58" i="7"/>
  <c r="J48" i="7"/>
  <c r="J4" i="7"/>
  <c r="J73" i="7" s="1"/>
  <c r="J53" i="7"/>
  <c r="J19" i="7"/>
  <c r="J72" i="7"/>
  <c r="J27" i="7"/>
  <c r="J43" i="7"/>
  <c r="L80" i="1"/>
  <c r="N3" i="8"/>
  <c r="C7" i="8"/>
  <c r="C44" i="1"/>
  <c r="D46" i="1"/>
  <c r="O82" i="1" s="1"/>
  <c r="I46" i="1"/>
  <c r="O46" i="1"/>
  <c r="O80" i="1"/>
  <c r="J6" i="5"/>
  <c r="J75" i="5" s="1"/>
  <c r="J76" i="5" s="1"/>
  <c r="K6" i="5"/>
  <c r="K75" i="5" s="1"/>
  <c r="K76" i="5" s="1"/>
  <c r="G64" i="7"/>
  <c r="G58" i="7"/>
  <c r="G48" i="7"/>
  <c r="G19" i="7"/>
  <c r="G11" i="7"/>
  <c r="G4" i="7"/>
  <c r="G73" i="7" s="1"/>
  <c r="G43" i="7"/>
  <c r="G72" i="7"/>
  <c r="G53" i="7"/>
  <c r="G27" i="7"/>
  <c r="D80" i="1"/>
  <c r="F3" i="8"/>
  <c r="C58" i="5"/>
  <c r="D58" i="5" s="1"/>
  <c r="C11" i="5"/>
  <c r="D11" i="5" s="1"/>
  <c r="E64" i="7"/>
  <c r="E58" i="7"/>
  <c r="E53" i="7"/>
  <c r="E11" i="7"/>
  <c r="E48" i="7"/>
  <c r="E72" i="7"/>
  <c r="E19" i="7"/>
  <c r="E27" i="7"/>
  <c r="E43" i="7"/>
  <c r="C3" i="7"/>
  <c r="E4" i="7"/>
  <c r="L58" i="7"/>
  <c r="L48" i="7"/>
  <c r="L19" i="7"/>
  <c r="L64" i="7"/>
  <c r="L11" i="7"/>
  <c r="L27" i="7"/>
  <c r="L4" i="7"/>
  <c r="L73" i="7" s="1"/>
  <c r="L53" i="7"/>
  <c r="L43" i="7"/>
  <c r="L72" i="7"/>
  <c r="I80" i="1"/>
  <c r="K3" i="8"/>
  <c r="G80" i="1"/>
  <c r="I3" i="8"/>
  <c r="M72" i="7"/>
  <c r="M58" i="7"/>
  <c r="M19" i="7"/>
  <c r="M64" i="7"/>
  <c r="M11" i="7"/>
  <c r="M48" i="7"/>
  <c r="M4" i="7"/>
  <c r="M73" i="7" s="1"/>
  <c r="M53" i="7"/>
  <c r="M27" i="7"/>
  <c r="M43" i="7"/>
  <c r="F58" i="7"/>
  <c r="F48" i="7"/>
  <c r="F64" i="7"/>
  <c r="F19" i="7"/>
  <c r="F4" i="7"/>
  <c r="F73" i="7" s="1"/>
  <c r="F11" i="7"/>
  <c r="F53" i="7"/>
  <c r="F27" i="7"/>
  <c r="F43" i="7"/>
  <c r="F72" i="7"/>
  <c r="J73" i="8"/>
  <c r="J65" i="8"/>
  <c r="J48" i="8"/>
  <c r="J27" i="8"/>
  <c r="J19" i="8"/>
  <c r="J58" i="8"/>
  <c r="J53" i="8"/>
  <c r="J11" i="8"/>
  <c r="J43" i="8"/>
  <c r="J4" i="8"/>
  <c r="J74" i="8" s="1"/>
  <c r="F46" i="1"/>
  <c r="H46" i="1"/>
  <c r="M46" i="1"/>
  <c r="O6" i="5"/>
  <c r="O75" i="5" s="1"/>
  <c r="O76" i="5" s="1"/>
  <c r="P6" i="5"/>
  <c r="P75" i="5" s="1"/>
  <c r="P76" i="5" s="1"/>
  <c r="M80" i="1"/>
  <c r="O3" i="8"/>
  <c r="C73" i="5"/>
  <c r="C19" i="5"/>
  <c r="D19" i="5" s="1"/>
  <c r="C48" i="5"/>
  <c r="D48" i="5" s="1"/>
  <c r="O64" i="7"/>
  <c r="O58" i="7"/>
  <c r="O48" i="7"/>
  <c r="O19" i="7"/>
  <c r="O11" i="7"/>
  <c r="O53" i="7"/>
  <c r="O4" i="7"/>
  <c r="O73" i="7" s="1"/>
  <c r="O43" i="7"/>
  <c r="O72" i="7"/>
  <c r="O27" i="7"/>
  <c r="H64" i="7"/>
  <c r="H19" i="7"/>
  <c r="H11" i="7"/>
  <c r="H58" i="7"/>
  <c r="H48" i="7"/>
  <c r="H27" i="7"/>
  <c r="H43" i="7"/>
  <c r="H4" i="7"/>
  <c r="H73" i="7" s="1"/>
  <c r="H72" i="7"/>
  <c r="H53" i="7"/>
  <c r="E80" i="1"/>
  <c r="G3" i="8"/>
  <c r="G5" i="5"/>
  <c r="L19" i="8"/>
  <c r="L11" i="8"/>
  <c r="L58" i="8"/>
  <c r="L4" i="8"/>
  <c r="L74" i="8" s="1"/>
  <c r="L48" i="8"/>
  <c r="L65" i="8"/>
  <c r="L27" i="8"/>
  <c r="L53" i="8"/>
  <c r="L43" i="8"/>
  <c r="L73" i="8"/>
  <c r="J46" i="1"/>
  <c r="L46" i="1"/>
  <c r="I81" i="1"/>
  <c r="K3" i="9"/>
  <c r="H6" i="5"/>
  <c r="H75" i="5" s="1"/>
  <c r="H76" i="5" s="1"/>
  <c r="M6" i="5"/>
  <c r="M75" i="5" s="1"/>
  <c r="M76" i="5" s="1"/>
  <c r="I11" i="7"/>
  <c r="I58" i="7"/>
  <c r="I48" i="7"/>
  <c r="I27" i="7"/>
  <c r="I64" i="7"/>
  <c r="I19" i="7"/>
  <c r="I53" i="7"/>
  <c r="I43" i="7"/>
  <c r="I72" i="7"/>
  <c r="I4" i="7"/>
  <c r="I73" i="7" s="1"/>
  <c r="P64" i="7"/>
  <c r="P11" i="7"/>
  <c r="P53" i="7"/>
  <c r="P58" i="7"/>
  <c r="P19" i="7"/>
  <c r="P27" i="7"/>
  <c r="P4" i="7"/>
  <c r="P73" i="7" s="1"/>
  <c r="P72" i="7"/>
  <c r="P43" i="7"/>
  <c r="P48" i="7"/>
  <c r="P5" i="5"/>
  <c r="D3" i="5"/>
  <c r="D7" i="5"/>
  <c r="D10" i="5"/>
  <c r="C26" i="5"/>
  <c r="D26" i="5" s="1"/>
  <c r="C53" i="5"/>
  <c r="D53" i="5" s="1"/>
  <c r="E74" i="5"/>
  <c r="C74" i="5" s="1"/>
  <c r="C4" i="5"/>
  <c r="N64" i="7"/>
  <c r="N53" i="7"/>
  <c r="N11" i="7"/>
  <c r="N48" i="7"/>
  <c r="N58" i="7"/>
  <c r="N19" i="7"/>
  <c r="N4" i="7"/>
  <c r="N73" i="7" s="1"/>
  <c r="N72" i="7"/>
  <c r="N27" i="7"/>
  <c r="N43" i="7"/>
  <c r="F80" i="1"/>
  <c r="H3" i="8"/>
  <c r="M5" i="5"/>
  <c r="K64" i="7"/>
  <c r="K58" i="7"/>
  <c r="K48" i="7"/>
  <c r="K19" i="7"/>
  <c r="K11" i="7"/>
  <c r="K43" i="7"/>
  <c r="K72" i="7"/>
  <c r="K4" i="7"/>
  <c r="K73" i="7" s="1"/>
  <c r="K53" i="7"/>
  <c r="K27" i="7"/>
  <c r="P19" i="8"/>
  <c r="P11" i="8"/>
  <c r="P27" i="8"/>
  <c r="P53" i="8"/>
  <c r="P73" i="8"/>
  <c r="P43" i="8"/>
  <c r="P58" i="8"/>
  <c r="P65" i="8"/>
  <c r="P48" i="8"/>
  <c r="P4" i="8"/>
  <c r="P74" i="8" s="1"/>
  <c r="N75" i="5"/>
  <c r="N76" i="5" s="1"/>
  <c r="N66" i="5"/>
  <c r="N68" i="5" s="1"/>
  <c r="F75" i="5"/>
  <c r="F76" i="5" s="1"/>
  <c r="F66" i="5"/>
  <c r="C9" i="5"/>
  <c r="D9" i="5" s="1"/>
  <c r="N8" i="7"/>
  <c r="O8" i="7"/>
  <c r="I8" i="7"/>
  <c r="K8" i="7"/>
  <c r="P8" i="7"/>
  <c r="H8" i="7"/>
  <c r="O9" i="8" l="1"/>
  <c r="K9" i="8"/>
  <c r="G9" i="8"/>
  <c r="G8" i="8" s="1"/>
  <c r="P9" i="8"/>
  <c r="P8" i="8" s="1"/>
  <c r="P6" i="8" s="1"/>
  <c r="N9" i="8"/>
  <c r="J9" i="8"/>
  <c r="J8" i="8" s="1"/>
  <c r="J6" i="8" s="1"/>
  <c r="F9" i="8"/>
  <c r="F8" i="8" s="1"/>
  <c r="H9" i="8"/>
  <c r="H8" i="8" s="1"/>
  <c r="M9" i="8"/>
  <c r="I9" i="8"/>
  <c r="E9" i="8"/>
  <c r="L9" i="8"/>
  <c r="K26" i="9"/>
  <c r="K25" i="9"/>
  <c r="O26" i="8"/>
  <c r="O25" i="8"/>
  <c r="N26" i="8"/>
  <c r="N25" i="8"/>
  <c r="M26" i="8"/>
  <c r="M25" i="8"/>
  <c r="H26" i="8"/>
  <c r="H25" i="8"/>
  <c r="I26" i="8"/>
  <c r="I25" i="8"/>
  <c r="H26" i="10"/>
  <c r="H25" i="10"/>
  <c r="F26" i="9"/>
  <c r="F25" i="9"/>
  <c r="E26" i="9"/>
  <c r="E25" i="9"/>
  <c r="J26" i="9"/>
  <c r="J25" i="9"/>
  <c r="H3" i="9"/>
  <c r="I26" i="9"/>
  <c r="I25" i="9"/>
  <c r="P26" i="9"/>
  <c r="P25" i="9"/>
  <c r="F26" i="8"/>
  <c r="F25" i="8"/>
  <c r="N26" i="9"/>
  <c r="N25" i="9"/>
  <c r="G26" i="8"/>
  <c r="G25" i="8"/>
  <c r="K26" i="8"/>
  <c r="K25" i="8"/>
  <c r="L26" i="9"/>
  <c r="L25" i="9"/>
  <c r="M3" i="9"/>
  <c r="M4" i="9" s="1"/>
  <c r="M74" i="9" s="1"/>
  <c r="N81" i="1"/>
  <c r="E73" i="8"/>
  <c r="E26" i="8"/>
  <c r="L81" i="1"/>
  <c r="E65" i="8"/>
  <c r="L3" i="10"/>
  <c r="E53" i="8"/>
  <c r="G81" i="1"/>
  <c r="G3" i="9"/>
  <c r="K66" i="5"/>
  <c r="K68" i="5" s="1"/>
  <c r="H81" i="1"/>
  <c r="C45" i="1"/>
  <c r="O3" i="9"/>
  <c r="O25" i="9" s="1"/>
  <c r="E27" i="8"/>
  <c r="E48" i="8"/>
  <c r="E4" i="8"/>
  <c r="E5" i="8" s="1"/>
  <c r="E19" i="8"/>
  <c r="E11" i="8"/>
  <c r="D81" i="1"/>
  <c r="F3" i="10"/>
  <c r="F25" i="10" s="1"/>
  <c r="E43" i="8"/>
  <c r="E58" i="8"/>
  <c r="G66" i="5"/>
  <c r="G68" i="5" s="1"/>
  <c r="L5" i="7"/>
  <c r="I66" i="5"/>
  <c r="I68" i="5" s="1"/>
  <c r="H66" i="5"/>
  <c r="H68" i="5" s="1"/>
  <c r="O3" i="10"/>
  <c r="O25" i="10" s="1"/>
  <c r="M66" i="5"/>
  <c r="M68" i="5" s="1"/>
  <c r="L66" i="5"/>
  <c r="L68" i="5" s="1"/>
  <c r="P66" i="5"/>
  <c r="P68" i="5" s="1"/>
  <c r="F5" i="7"/>
  <c r="N5" i="7"/>
  <c r="O5" i="7"/>
  <c r="J5" i="8"/>
  <c r="M74" i="7"/>
  <c r="M75" i="7" s="1"/>
  <c r="L65" i="7"/>
  <c r="L67" i="7" s="1"/>
  <c r="N74" i="7"/>
  <c r="N75" i="7" s="1"/>
  <c r="J66" i="5"/>
  <c r="J68" i="5" s="1"/>
  <c r="M5" i="7"/>
  <c r="C5" i="5"/>
  <c r="D5" i="5" s="1"/>
  <c r="G82" i="1"/>
  <c r="I3" i="10"/>
  <c r="E73" i="7"/>
  <c r="C73" i="7" s="1"/>
  <c r="C4" i="7"/>
  <c r="C25" i="7"/>
  <c r="D25" i="7" s="1"/>
  <c r="C11" i="7"/>
  <c r="D11" i="7" s="1"/>
  <c r="P73" i="9"/>
  <c r="P4" i="9"/>
  <c r="P74" i="9" s="1"/>
  <c r="P58" i="9"/>
  <c r="P53" i="9"/>
  <c r="P65" i="9"/>
  <c r="P48" i="9"/>
  <c r="P19" i="9"/>
  <c r="P27" i="9"/>
  <c r="P11" i="9"/>
  <c r="P43" i="9"/>
  <c r="H82" i="1"/>
  <c r="J3" i="10"/>
  <c r="N73" i="8"/>
  <c r="N48" i="8"/>
  <c r="N11" i="8"/>
  <c r="N19" i="8"/>
  <c r="N65" i="8"/>
  <c r="N53" i="8"/>
  <c r="N58" i="8"/>
  <c r="N27" i="8"/>
  <c r="N4" i="8"/>
  <c r="N74" i="8" s="1"/>
  <c r="N43" i="8"/>
  <c r="F53" i="9"/>
  <c r="F65" i="9"/>
  <c r="F48" i="9"/>
  <c r="F73" i="9"/>
  <c r="F19" i="9"/>
  <c r="F43" i="9"/>
  <c r="F11" i="9"/>
  <c r="F27" i="9"/>
  <c r="F58" i="9"/>
  <c r="F4" i="9"/>
  <c r="F74" i="9" s="1"/>
  <c r="G74" i="7"/>
  <c r="G75" i="7" s="1"/>
  <c r="P74" i="7"/>
  <c r="P75" i="7" s="1"/>
  <c r="O74" i="7"/>
  <c r="O75" i="7" s="1"/>
  <c r="K5" i="7"/>
  <c r="M43" i="9"/>
  <c r="K82" i="1"/>
  <c r="M3" i="10"/>
  <c r="G73" i="8"/>
  <c r="G11" i="8"/>
  <c r="G19" i="8"/>
  <c r="G4" i="8"/>
  <c r="G74" i="8" s="1"/>
  <c r="G53" i="8"/>
  <c r="G43" i="8"/>
  <c r="G48" i="8"/>
  <c r="G65" i="8"/>
  <c r="G27" i="8"/>
  <c r="G58" i="8"/>
  <c r="O65" i="8"/>
  <c r="O73" i="8"/>
  <c r="O19" i="8"/>
  <c r="O4" i="8"/>
  <c r="O74" i="8" s="1"/>
  <c r="O43" i="8"/>
  <c r="O11" i="8"/>
  <c r="O58" i="8"/>
  <c r="O53" i="8"/>
  <c r="O48" i="8"/>
  <c r="O27" i="8"/>
  <c r="N53" i="9"/>
  <c r="N11" i="9"/>
  <c r="N27" i="9"/>
  <c r="N58" i="9"/>
  <c r="N4" i="9"/>
  <c r="N74" i="9" s="1"/>
  <c r="N65" i="9"/>
  <c r="N48" i="9"/>
  <c r="N73" i="9"/>
  <c r="N19" i="9"/>
  <c r="N43" i="9"/>
  <c r="E82" i="1"/>
  <c r="G3" i="10"/>
  <c r="I11" i="8"/>
  <c r="I27" i="8"/>
  <c r="I19" i="8"/>
  <c r="I58" i="8"/>
  <c r="I43" i="8"/>
  <c r="I65" i="8"/>
  <c r="I4" i="8"/>
  <c r="I74" i="8" s="1"/>
  <c r="I73" i="8"/>
  <c r="I48" i="8"/>
  <c r="I53" i="8"/>
  <c r="D3" i="7"/>
  <c r="D10" i="7"/>
  <c r="D7" i="7"/>
  <c r="C19" i="7"/>
  <c r="D19" i="7" s="1"/>
  <c r="C53" i="7"/>
  <c r="D53" i="7" s="1"/>
  <c r="E53" i="9"/>
  <c r="E19" i="9"/>
  <c r="E4" i="9"/>
  <c r="E43" i="9"/>
  <c r="E11" i="9"/>
  <c r="E27" i="9"/>
  <c r="E58" i="9"/>
  <c r="E65" i="9"/>
  <c r="E73" i="9"/>
  <c r="E48" i="9"/>
  <c r="C46" i="1"/>
  <c r="E3" i="10"/>
  <c r="C30" i="1"/>
  <c r="O7" i="10"/>
  <c r="C7" i="10" s="1"/>
  <c r="K74" i="7"/>
  <c r="K75" i="7" s="1"/>
  <c r="F74" i="7"/>
  <c r="F75" i="7" s="1"/>
  <c r="O66" i="5"/>
  <c r="O68" i="5" s="1"/>
  <c r="C3" i="8"/>
  <c r="P5" i="7"/>
  <c r="I82" i="1"/>
  <c r="K3" i="10"/>
  <c r="E5" i="7"/>
  <c r="C43" i="7"/>
  <c r="D43" i="7" s="1"/>
  <c r="C72" i="7"/>
  <c r="C58" i="7"/>
  <c r="D58" i="7" s="1"/>
  <c r="G5" i="7"/>
  <c r="J53" i="9"/>
  <c r="J4" i="9"/>
  <c r="J74" i="9" s="1"/>
  <c r="J65" i="9"/>
  <c r="J48" i="9"/>
  <c r="J73" i="9"/>
  <c r="J19" i="9"/>
  <c r="J43" i="9"/>
  <c r="J58" i="9"/>
  <c r="J27" i="9"/>
  <c r="J11" i="9"/>
  <c r="C80" i="1"/>
  <c r="L73" i="9"/>
  <c r="L53" i="9"/>
  <c r="L65" i="9"/>
  <c r="L48" i="9"/>
  <c r="L19" i="9"/>
  <c r="L43" i="9"/>
  <c r="L11" i="9"/>
  <c r="L27" i="9"/>
  <c r="L4" i="9"/>
  <c r="L74" i="9" s="1"/>
  <c r="L58" i="9"/>
  <c r="H58" i="10"/>
  <c r="H11" i="10"/>
  <c r="H48" i="10"/>
  <c r="H65" i="10"/>
  <c r="H19" i="10"/>
  <c r="H27" i="10"/>
  <c r="H53" i="10"/>
  <c r="H4" i="10"/>
  <c r="H74" i="10" s="1"/>
  <c r="H73" i="10"/>
  <c r="H43" i="10"/>
  <c r="O81" i="1"/>
  <c r="H74" i="7"/>
  <c r="H75" i="7" s="1"/>
  <c r="I74" i="7"/>
  <c r="I75" i="7" s="1"/>
  <c r="J74" i="7"/>
  <c r="J75" i="7" s="1"/>
  <c r="P5" i="8"/>
  <c r="H19" i="8"/>
  <c r="H11" i="8"/>
  <c r="H27" i="8"/>
  <c r="H4" i="8"/>
  <c r="H74" i="8" s="1"/>
  <c r="H73" i="8"/>
  <c r="H53" i="8"/>
  <c r="H58" i="8"/>
  <c r="H65" i="8"/>
  <c r="H43" i="8"/>
  <c r="H48" i="8"/>
  <c r="I5" i="7"/>
  <c r="H73" i="9"/>
  <c r="H19" i="9"/>
  <c r="H43" i="9"/>
  <c r="H11" i="9"/>
  <c r="H27" i="9"/>
  <c r="H4" i="9"/>
  <c r="H74" i="9" s="1"/>
  <c r="H58" i="9"/>
  <c r="H53" i="9"/>
  <c r="H48" i="9"/>
  <c r="H65" i="9"/>
  <c r="K27" i="9"/>
  <c r="K48" i="9"/>
  <c r="K58" i="9"/>
  <c r="K11" i="9"/>
  <c r="K73" i="9"/>
  <c r="K4" i="9"/>
  <c r="K74" i="9" s="1"/>
  <c r="K19" i="9"/>
  <c r="K43" i="9"/>
  <c r="K65" i="9"/>
  <c r="K53" i="9"/>
  <c r="L5" i="8"/>
  <c r="H5" i="7"/>
  <c r="I53" i="9"/>
  <c r="I4" i="9"/>
  <c r="I74" i="9" s="1"/>
  <c r="I19" i="9"/>
  <c r="I48" i="9"/>
  <c r="I73" i="9"/>
  <c r="I43" i="9"/>
  <c r="I11" i="9"/>
  <c r="I27" i="9"/>
  <c r="I58" i="9"/>
  <c r="I65" i="9"/>
  <c r="L82" i="1"/>
  <c r="N3" i="10"/>
  <c r="K73" i="8"/>
  <c r="K53" i="8"/>
  <c r="K65" i="8"/>
  <c r="K11" i="8"/>
  <c r="K19" i="8"/>
  <c r="K43" i="8"/>
  <c r="K58" i="8"/>
  <c r="K48" i="8"/>
  <c r="K27" i="8"/>
  <c r="K4" i="8"/>
  <c r="K74" i="8" s="1"/>
  <c r="C26" i="7"/>
  <c r="D26" i="7" s="1"/>
  <c r="C27" i="7"/>
  <c r="D27" i="7" s="1"/>
  <c r="C48" i="7"/>
  <c r="D48" i="7" s="1"/>
  <c r="C64" i="7"/>
  <c r="F27" i="8"/>
  <c r="F58" i="8"/>
  <c r="F73" i="8"/>
  <c r="F11" i="8"/>
  <c r="F19" i="8"/>
  <c r="F53" i="8"/>
  <c r="F43" i="8"/>
  <c r="F48" i="8"/>
  <c r="F4" i="8"/>
  <c r="F74" i="8" s="1"/>
  <c r="F65" i="8"/>
  <c r="N82" i="1"/>
  <c r="P3" i="10"/>
  <c r="J5" i="7"/>
  <c r="M48" i="8"/>
  <c r="M11" i="8"/>
  <c r="M19" i="8"/>
  <c r="M73" i="8"/>
  <c r="M53" i="8"/>
  <c r="M43" i="8"/>
  <c r="M58" i="8"/>
  <c r="M27" i="8"/>
  <c r="M65" i="8"/>
  <c r="M4" i="8"/>
  <c r="M74" i="8" s="1"/>
  <c r="C9" i="7"/>
  <c r="D9" i="7" s="1"/>
  <c r="C8" i="5"/>
  <c r="D8" i="5" s="1"/>
  <c r="N8" i="8"/>
  <c r="O8" i="8"/>
  <c r="M8" i="8"/>
  <c r="I8" i="8"/>
  <c r="L8" i="8"/>
  <c r="L6" i="8" s="1"/>
  <c r="K8" i="8"/>
  <c r="O19" i="9" l="1"/>
  <c r="M27" i="9"/>
  <c r="O9" i="9"/>
  <c r="O8" i="9" s="1"/>
  <c r="K9" i="9"/>
  <c r="K8" i="9" s="1"/>
  <c r="K6" i="9" s="1"/>
  <c r="G9" i="9"/>
  <c r="P9" i="9"/>
  <c r="N9" i="9"/>
  <c r="N8" i="9" s="1"/>
  <c r="N6" i="9" s="1"/>
  <c r="J9" i="9"/>
  <c r="J8" i="9" s="1"/>
  <c r="J6" i="9" s="1"/>
  <c r="F9" i="9"/>
  <c r="H9" i="9"/>
  <c r="M9" i="9"/>
  <c r="M8" i="9" s="1"/>
  <c r="I9" i="9"/>
  <c r="I8" i="9" s="1"/>
  <c r="I6" i="9" s="1"/>
  <c r="E9" i="9"/>
  <c r="L9" i="9"/>
  <c r="L8" i="9" s="1"/>
  <c r="L6" i="9" s="1"/>
  <c r="M26" i="9"/>
  <c r="M25" i="9"/>
  <c r="O4" i="9"/>
  <c r="O74" i="9" s="1"/>
  <c r="G26" i="10"/>
  <c r="G25" i="10"/>
  <c r="M26" i="10"/>
  <c r="M25" i="10"/>
  <c r="M65" i="9"/>
  <c r="M73" i="9"/>
  <c r="J26" i="10"/>
  <c r="J25" i="10"/>
  <c r="I26" i="10"/>
  <c r="I25" i="10"/>
  <c r="N26" i="10"/>
  <c r="N25" i="10"/>
  <c r="O11" i="9"/>
  <c r="K26" i="10"/>
  <c r="K25" i="10"/>
  <c r="M58" i="9"/>
  <c r="M48" i="9"/>
  <c r="G4" i="9"/>
  <c r="G74" i="9" s="1"/>
  <c r="G25" i="9"/>
  <c r="L19" i="10"/>
  <c r="L25" i="10"/>
  <c r="P26" i="10"/>
  <c r="P25" i="10"/>
  <c r="O58" i="9"/>
  <c r="E26" i="10"/>
  <c r="E25" i="10"/>
  <c r="M11" i="9"/>
  <c r="M19" i="9"/>
  <c r="M53" i="9"/>
  <c r="H26" i="9"/>
  <c r="H25" i="9"/>
  <c r="G43" i="9"/>
  <c r="L4" i="10"/>
  <c r="L74" i="10" s="1"/>
  <c r="L27" i="10"/>
  <c r="L43" i="10"/>
  <c r="L65" i="10"/>
  <c r="L58" i="10"/>
  <c r="L11" i="10"/>
  <c r="O43" i="10"/>
  <c r="O26" i="10"/>
  <c r="F53" i="10"/>
  <c r="F26" i="10"/>
  <c r="L48" i="10"/>
  <c r="L26" i="10"/>
  <c r="O27" i="9"/>
  <c r="O26" i="9"/>
  <c r="O48" i="9"/>
  <c r="G11" i="9"/>
  <c r="G26" i="9"/>
  <c r="G5" i="8"/>
  <c r="L74" i="7"/>
  <c r="L75" i="7" s="1"/>
  <c r="G73" i="9"/>
  <c r="L73" i="10"/>
  <c r="L53" i="10"/>
  <c r="G53" i="9"/>
  <c r="G19" i="9"/>
  <c r="G48" i="9"/>
  <c r="G27" i="9"/>
  <c r="G65" i="9"/>
  <c r="G58" i="9"/>
  <c r="H5" i="10"/>
  <c r="E74" i="8"/>
  <c r="C74" i="8" s="1"/>
  <c r="O65" i="9"/>
  <c r="O53" i="9"/>
  <c r="O73" i="9"/>
  <c r="C3" i="9"/>
  <c r="D10" i="9" s="1"/>
  <c r="F43" i="10"/>
  <c r="O43" i="9"/>
  <c r="C81" i="1"/>
  <c r="F11" i="10"/>
  <c r="F19" i="10"/>
  <c r="F48" i="10"/>
  <c r="F58" i="10"/>
  <c r="F73" i="10"/>
  <c r="F65" i="10"/>
  <c r="F4" i="10"/>
  <c r="F74" i="10" s="1"/>
  <c r="F27" i="10"/>
  <c r="I5" i="8"/>
  <c r="H50" i="1"/>
  <c r="O65" i="7"/>
  <c r="O67" i="7" s="1"/>
  <c r="O58" i="10"/>
  <c r="O53" i="10"/>
  <c r="M65" i="7"/>
  <c r="M67" i="7" s="1"/>
  <c r="O73" i="10"/>
  <c r="F67" i="7"/>
  <c r="O27" i="10"/>
  <c r="O19" i="10"/>
  <c r="O4" i="10"/>
  <c r="O74" i="10" s="1"/>
  <c r="O48" i="10"/>
  <c r="O11" i="10"/>
  <c r="O65" i="10"/>
  <c r="C48" i="8"/>
  <c r="D48" i="8" s="1"/>
  <c r="I5" i="9"/>
  <c r="P65" i="7"/>
  <c r="P67" i="7" s="1"/>
  <c r="O5" i="8"/>
  <c r="C65" i="8"/>
  <c r="C73" i="8"/>
  <c r="I65" i="7"/>
  <c r="I67" i="7" s="1"/>
  <c r="P5" i="9"/>
  <c r="N65" i="7"/>
  <c r="N67" i="7" s="1"/>
  <c r="H65" i="7"/>
  <c r="H67" i="7" s="1"/>
  <c r="F5" i="8"/>
  <c r="C26" i="8"/>
  <c r="D26" i="8" s="1"/>
  <c r="C11" i="8"/>
  <c r="D11" i="8" s="1"/>
  <c r="C27" i="8"/>
  <c r="D27" i="8" s="1"/>
  <c r="H5" i="9"/>
  <c r="H5" i="8"/>
  <c r="L5" i="9"/>
  <c r="N5" i="9"/>
  <c r="J65" i="7"/>
  <c r="J67" i="7" s="1"/>
  <c r="C43" i="8"/>
  <c r="D43" i="8" s="1"/>
  <c r="C58" i="8"/>
  <c r="D58" i="8" s="1"/>
  <c r="C19" i="8"/>
  <c r="D19" i="8" s="1"/>
  <c r="C82" i="1"/>
  <c r="K6" i="8"/>
  <c r="K75" i="8" s="1"/>
  <c r="K76" i="8" s="1"/>
  <c r="G6" i="8"/>
  <c r="G75" i="8" s="1"/>
  <c r="G76" i="8" s="1"/>
  <c r="O6" i="8"/>
  <c r="O75" i="8" s="1"/>
  <c r="O76" i="8" s="1"/>
  <c r="C53" i="8"/>
  <c r="D53" i="8" s="1"/>
  <c r="C25" i="8"/>
  <c r="D25" i="8" s="1"/>
  <c r="K65" i="7"/>
  <c r="K67" i="7" s="1"/>
  <c r="F5" i="9"/>
  <c r="N5" i="8"/>
  <c r="D3" i="8"/>
  <c r="D64" i="8"/>
  <c r="D10" i="8"/>
  <c r="E58" i="10"/>
  <c r="E73" i="10"/>
  <c r="E48" i="10"/>
  <c r="E11" i="10"/>
  <c r="E27" i="10"/>
  <c r="E4" i="10"/>
  <c r="E5" i="10" s="1"/>
  <c r="E19" i="10"/>
  <c r="E43" i="10"/>
  <c r="C3" i="10"/>
  <c r="E65" i="10"/>
  <c r="E53" i="10"/>
  <c r="E74" i="9"/>
  <c r="H6" i="8"/>
  <c r="H75" i="8" s="1"/>
  <c r="H76" i="8" s="1"/>
  <c r="F6" i="8"/>
  <c r="F75" i="8" s="1"/>
  <c r="F76" i="8" s="1"/>
  <c r="G65" i="7"/>
  <c r="G67" i="7" s="1"/>
  <c r="D7" i="8"/>
  <c r="J5" i="9"/>
  <c r="G19" i="10"/>
  <c r="G4" i="10"/>
  <c r="G74" i="10" s="1"/>
  <c r="G43" i="10"/>
  <c r="G73" i="10"/>
  <c r="G53" i="10"/>
  <c r="G48" i="10"/>
  <c r="G65" i="10"/>
  <c r="G11" i="10"/>
  <c r="G27" i="10"/>
  <c r="G58" i="10"/>
  <c r="J53" i="10"/>
  <c r="J65" i="10"/>
  <c r="J11" i="10"/>
  <c r="J58" i="10"/>
  <c r="J43" i="10"/>
  <c r="J48" i="10"/>
  <c r="J27" i="10"/>
  <c r="J73" i="10"/>
  <c r="J19" i="10"/>
  <c r="J4" i="10"/>
  <c r="J74" i="10" s="1"/>
  <c r="I58" i="10"/>
  <c r="I27" i="10"/>
  <c r="I11" i="10"/>
  <c r="I53" i="10"/>
  <c r="I48" i="10"/>
  <c r="I4" i="10"/>
  <c r="I74" i="10" s="1"/>
  <c r="I73" i="10"/>
  <c r="I19" i="10"/>
  <c r="I43" i="10"/>
  <c r="I65" i="10"/>
  <c r="I6" i="8"/>
  <c r="I75" i="8" s="1"/>
  <c r="I76" i="8" s="1"/>
  <c r="P58" i="10"/>
  <c r="P11" i="10"/>
  <c r="P48" i="10"/>
  <c r="P65" i="10"/>
  <c r="P19" i="10"/>
  <c r="P27" i="10"/>
  <c r="P53" i="10"/>
  <c r="P4" i="10"/>
  <c r="P74" i="10" s="1"/>
  <c r="P43" i="10"/>
  <c r="P73" i="10"/>
  <c r="K5" i="8"/>
  <c r="N65" i="10"/>
  <c r="N53" i="10"/>
  <c r="N4" i="10"/>
  <c r="N74" i="10" s="1"/>
  <c r="N11" i="10"/>
  <c r="N58" i="10"/>
  <c r="N43" i="10"/>
  <c r="N48" i="10"/>
  <c r="N19" i="10"/>
  <c r="N73" i="10"/>
  <c r="N27" i="10"/>
  <c r="C5" i="7"/>
  <c r="D5" i="7" s="1"/>
  <c r="E5" i="9"/>
  <c r="M6" i="8"/>
  <c r="M75" i="8" s="1"/>
  <c r="M76" i="8" s="1"/>
  <c r="N6" i="8"/>
  <c r="N75" i="8" s="1"/>
  <c r="N76" i="8" s="1"/>
  <c r="M5" i="8"/>
  <c r="K5" i="9"/>
  <c r="K53" i="10"/>
  <c r="K4" i="10"/>
  <c r="K74" i="10" s="1"/>
  <c r="K19" i="10"/>
  <c r="K43" i="10"/>
  <c r="K73" i="10"/>
  <c r="K48" i="10"/>
  <c r="K11" i="10"/>
  <c r="K65" i="10"/>
  <c r="K58" i="10"/>
  <c r="K27" i="10"/>
  <c r="G5" i="9"/>
  <c r="M73" i="10"/>
  <c r="M65" i="10"/>
  <c r="M48" i="10"/>
  <c r="M53" i="10"/>
  <c r="M11" i="10"/>
  <c r="M4" i="10"/>
  <c r="M74" i="10" s="1"/>
  <c r="M43" i="10"/>
  <c r="M19" i="10"/>
  <c r="M27" i="10"/>
  <c r="M58" i="10"/>
  <c r="M5" i="9"/>
  <c r="C4" i="8"/>
  <c r="P75" i="8"/>
  <c r="P76" i="8" s="1"/>
  <c r="P66" i="8"/>
  <c r="P68" i="8" s="1"/>
  <c r="E8" i="9"/>
  <c r="E6" i="9" s="1"/>
  <c r="F8" i="9"/>
  <c r="F6" i="9" s="1"/>
  <c r="H8" i="9"/>
  <c r="G8" i="9"/>
  <c r="C8" i="7"/>
  <c r="D8" i="7" s="1"/>
  <c r="C9" i="8"/>
  <c r="D9" i="8" s="1"/>
  <c r="E8" i="8"/>
  <c r="C6" i="5"/>
  <c r="D6" i="5" s="1"/>
  <c r="E75" i="5"/>
  <c r="C66" i="5"/>
  <c r="L75" i="8"/>
  <c r="L76" i="8" s="1"/>
  <c r="L66" i="8"/>
  <c r="L68" i="8" s="1"/>
  <c r="J75" i="8"/>
  <c r="J76" i="8" s="1"/>
  <c r="J66" i="8"/>
  <c r="J68" i="8" s="1"/>
  <c r="H6" i="9" l="1"/>
  <c r="O5" i="9"/>
  <c r="C58" i="9"/>
  <c r="C4" i="9"/>
  <c r="C19" i="9"/>
  <c r="C65" i="7"/>
  <c r="D65" i="7" s="1"/>
  <c r="O9" i="10"/>
  <c r="K9" i="10"/>
  <c r="K8" i="10" s="1"/>
  <c r="K6" i="10" s="1"/>
  <c r="G9" i="10"/>
  <c r="G8" i="10" s="1"/>
  <c r="G6" i="10" s="1"/>
  <c r="P9" i="10"/>
  <c r="P8" i="10" s="1"/>
  <c r="P6" i="10" s="1"/>
  <c r="N9" i="10"/>
  <c r="N8" i="10" s="1"/>
  <c r="N6" i="10" s="1"/>
  <c r="J9" i="10"/>
  <c r="J8" i="10" s="1"/>
  <c r="J6" i="10" s="1"/>
  <c r="F9" i="10"/>
  <c r="F8" i="10" s="1"/>
  <c r="F6" i="10" s="1"/>
  <c r="L9" i="10"/>
  <c r="M9" i="10"/>
  <c r="M8" i="10" s="1"/>
  <c r="M6" i="10" s="1"/>
  <c r="I9" i="10"/>
  <c r="I8" i="10" s="1"/>
  <c r="I6" i="10" s="1"/>
  <c r="E9" i="10"/>
  <c r="H9" i="10"/>
  <c r="C11" i="9"/>
  <c r="C53" i="9"/>
  <c r="D53" i="9" s="1"/>
  <c r="C74" i="9"/>
  <c r="C73" i="9"/>
  <c r="M6" i="9"/>
  <c r="M75" i="9" s="1"/>
  <c r="M76" i="9" s="1"/>
  <c r="C43" i="9"/>
  <c r="D43" i="9" s="1"/>
  <c r="C48" i="9"/>
  <c r="D48" i="9" s="1"/>
  <c r="L5" i="10"/>
  <c r="C27" i="9"/>
  <c r="D27" i="9" s="1"/>
  <c r="C65" i="9"/>
  <c r="C25" i="9"/>
  <c r="D25" i="9" s="1"/>
  <c r="C26" i="9"/>
  <c r="D26" i="9" s="1"/>
  <c r="G6" i="9"/>
  <c r="G75" i="9" s="1"/>
  <c r="G76" i="9" s="1"/>
  <c r="P5" i="10"/>
  <c r="D64" i="9"/>
  <c r="D7" i="9"/>
  <c r="D11" i="9"/>
  <c r="D3" i="9"/>
  <c r="D19" i="9"/>
  <c r="D58" i="9"/>
  <c r="O6" i="9"/>
  <c r="O66" i="9" s="1"/>
  <c r="O68" i="9" s="1"/>
  <c r="F5" i="10"/>
  <c r="O5" i="10"/>
  <c r="O66" i="8"/>
  <c r="O68" i="8" s="1"/>
  <c r="G66" i="8"/>
  <c r="G68" i="8" s="1"/>
  <c r="N66" i="8"/>
  <c r="N68" i="8" s="1"/>
  <c r="J5" i="10"/>
  <c r="C5" i="8"/>
  <c r="D5" i="8" s="1"/>
  <c r="I66" i="8"/>
  <c r="I68" i="8" s="1"/>
  <c r="H66" i="8"/>
  <c r="H68" i="8" s="1"/>
  <c r="K5" i="10"/>
  <c r="N5" i="10"/>
  <c r="I5" i="10"/>
  <c r="F66" i="8"/>
  <c r="G5" i="10"/>
  <c r="C27" i="10"/>
  <c r="D27" i="10" s="1"/>
  <c r="C5" i="9"/>
  <c r="D5" i="9" s="1"/>
  <c r="C26" i="10"/>
  <c r="D26" i="10" s="1"/>
  <c r="C11" i="10"/>
  <c r="D11" i="10" s="1"/>
  <c r="K66" i="8"/>
  <c r="K68" i="8" s="1"/>
  <c r="M66" i="8"/>
  <c r="M68" i="8" s="1"/>
  <c r="M5" i="10"/>
  <c r="C73" i="10"/>
  <c r="C53" i="10"/>
  <c r="D53" i="10" s="1"/>
  <c r="C19" i="10"/>
  <c r="D19" i="10" s="1"/>
  <c r="C25" i="10"/>
  <c r="D25" i="10" s="1"/>
  <c r="D3" i="10"/>
  <c r="D64" i="10"/>
  <c r="D10" i="10"/>
  <c r="C43" i="10"/>
  <c r="D43" i="10" s="1"/>
  <c r="C58" i="10"/>
  <c r="D58" i="10" s="1"/>
  <c r="C65" i="10"/>
  <c r="E74" i="10"/>
  <c r="C74" i="10" s="1"/>
  <c r="C4" i="10"/>
  <c r="C48" i="10"/>
  <c r="D48" i="10" s="1"/>
  <c r="D7" i="10"/>
  <c r="L75" i="9"/>
  <c r="L76" i="9" s="1"/>
  <c r="L66" i="9"/>
  <c r="L68" i="9" s="1"/>
  <c r="E75" i="9"/>
  <c r="E66" i="9"/>
  <c r="E67" i="5"/>
  <c r="E76" i="5"/>
  <c r="C75" i="5"/>
  <c r="C8" i="8"/>
  <c r="D8" i="8" s="1"/>
  <c r="E6" i="8"/>
  <c r="E74" i="7"/>
  <c r="C6" i="7"/>
  <c r="D6" i="7" s="1"/>
  <c r="K75" i="9"/>
  <c r="K76" i="9" s="1"/>
  <c r="K66" i="9"/>
  <c r="K68" i="9" s="1"/>
  <c r="C9" i="9"/>
  <c r="D9" i="9" s="1"/>
  <c r="P8" i="9"/>
  <c r="I75" i="9"/>
  <c r="I76" i="9" s="1"/>
  <c r="I66" i="9"/>
  <c r="I68" i="9" s="1"/>
  <c r="F75" i="9"/>
  <c r="F76" i="9" s="1"/>
  <c r="F66" i="9"/>
  <c r="N75" i="9"/>
  <c r="N76" i="9" s="1"/>
  <c r="N66" i="9"/>
  <c r="N68" i="9" s="1"/>
  <c r="H75" i="9"/>
  <c r="H76" i="9" s="1"/>
  <c r="H66" i="9"/>
  <c r="H68" i="9" s="1"/>
  <c r="J75" i="9"/>
  <c r="J76" i="9" s="1"/>
  <c r="J66" i="9"/>
  <c r="J68" i="9" s="1"/>
  <c r="H8" i="10"/>
  <c r="H6" i="10" s="1"/>
  <c r="L8" i="10"/>
  <c r="L6" i="10" s="1"/>
  <c r="O8" i="10"/>
  <c r="O6" i="10" s="1"/>
  <c r="M66" i="9" l="1"/>
  <c r="M68" i="9" s="1"/>
  <c r="O75" i="9"/>
  <c r="O76" i="9" s="1"/>
  <c r="G66" i="9"/>
  <c r="G68" i="9" s="1"/>
  <c r="F67" i="5"/>
  <c r="E69" i="5"/>
  <c r="F68" i="9"/>
  <c r="F68" i="8"/>
  <c r="C5" i="10"/>
  <c r="D5" i="10" s="1"/>
  <c r="J75" i="10"/>
  <c r="J76" i="10" s="1"/>
  <c r="J66" i="10"/>
  <c r="J68" i="10" s="1"/>
  <c r="P75" i="10"/>
  <c r="P76" i="10" s="1"/>
  <c r="P66" i="10"/>
  <c r="P68" i="10" s="1"/>
  <c r="H75" i="10"/>
  <c r="H76" i="10" s="1"/>
  <c r="H66" i="10"/>
  <c r="H68" i="10" s="1"/>
  <c r="C8" i="9"/>
  <c r="D8" i="9" s="1"/>
  <c r="P6" i="9"/>
  <c r="O75" i="10"/>
  <c r="O76" i="10" s="1"/>
  <c r="O66" i="10"/>
  <c r="O68" i="10" s="1"/>
  <c r="L75" i="10"/>
  <c r="L76" i="10" s="1"/>
  <c r="L66" i="10"/>
  <c r="L68" i="10" s="1"/>
  <c r="M75" i="10"/>
  <c r="M76" i="10" s="1"/>
  <c r="M66" i="10"/>
  <c r="M68" i="10" s="1"/>
  <c r="C74" i="7"/>
  <c r="E75" i="7"/>
  <c r="E67" i="9"/>
  <c r="F67" i="9" s="1"/>
  <c r="E68" i="9"/>
  <c r="F75" i="10"/>
  <c r="F76" i="10" s="1"/>
  <c r="F66" i="10"/>
  <c r="N75" i="10"/>
  <c r="N76" i="10" s="1"/>
  <c r="N66" i="10"/>
  <c r="N68" i="10" s="1"/>
  <c r="G75" i="10"/>
  <c r="G76" i="10" s="1"/>
  <c r="G66" i="10"/>
  <c r="G68" i="10" s="1"/>
  <c r="C9" i="10"/>
  <c r="D9" i="10" s="1"/>
  <c r="E8" i="10"/>
  <c r="E6" i="10" s="1"/>
  <c r="E67" i="7"/>
  <c r="E66" i="7"/>
  <c r="F66" i="7" s="1"/>
  <c r="G66" i="7" s="1"/>
  <c r="H66" i="7" s="1"/>
  <c r="I66" i="7" s="1"/>
  <c r="J66" i="7" s="1"/>
  <c r="K66" i="7" s="1"/>
  <c r="L66" i="7" s="1"/>
  <c r="M66" i="7" s="1"/>
  <c r="N66" i="7" s="1"/>
  <c r="O66" i="7" s="1"/>
  <c r="P66" i="7" s="1"/>
  <c r="C66" i="7" s="1"/>
  <c r="E77" i="5"/>
  <c r="F77" i="5" s="1"/>
  <c r="G77" i="5" s="1"/>
  <c r="H77" i="5" s="1"/>
  <c r="I77" i="5" s="1"/>
  <c r="J77" i="5" s="1"/>
  <c r="K77" i="5" s="1"/>
  <c r="L77" i="5" s="1"/>
  <c r="M77" i="5" s="1"/>
  <c r="N77" i="5" s="1"/>
  <c r="O77" i="5" s="1"/>
  <c r="P77" i="5" s="1"/>
  <c r="C77" i="5" s="1"/>
  <c r="C76" i="5"/>
  <c r="K75" i="10"/>
  <c r="K76" i="10" s="1"/>
  <c r="K66" i="10"/>
  <c r="K68" i="10" s="1"/>
  <c r="I75" i="10"/>
  <c r="I76" i="10" s="1"/>
  <c r="I66" i="10"/>
  <c r="I68" i="10" s="1"/>
  <c r="E66" i="8"/>
  <c r="C6" i="8"/>
  <c r="D6" i="8" s="1"/>
  <c r="E75" i="8"/>
  <c r="D66" i="5"/>
  <c r="C68" i="5"/>
  <c r="E76" i="9"/>
  <c r="G67" i="9" l="1"/>
  <c r="H67" i="9" s="1"/>
  <c r="I67" i="9" s="1"/>
  <c r="J67" i="9" s="1"/>
  <c r="K67" i="9" s="1"/>
  <c r="L67" i="9" s="1"/>
  <c r="M67" i="9" s="1"/>
  <c r="N67" i="9" s="1"/>
  <c r="O67" i="9" s="1"/>
  <c r="G67" i="5"/>
  <c r="F69" i="5"/>
  <c r="F68" i="10"/>
  <c r="E77" i="9"/>
  <c r="F77" i="9" s="1"/>
  <c r="G77" i="9" s="1"/>
  <c r="H77" i="9" s="1"/>
  <c r="I77" i="9" s="1"/>
  <c r="J77" i="9" s="1"/>
  <c r="K77" i="9" s="1"/>
  <c r="L77" i="9" s="1"/>
  <c r="M77" i="9" s="1"/>
  <c r="N77" i="9" s="1"/>
  <c r="O77" i="9" s="1"/>
  <c r="E68" i="8"/>
  <c r="E67" i="8"/>
  <c r="F67" i="8" s="1"/>
  <c r="G67" i="8" s="1"/>
  <c r="H67" i="8" s="1"/>
  <c r="I67" i="8" s="1"/>
  <c r="J67" i="8" s="1"/>
  <c r="K67" i="8" s="1"/>
  <c r="L67" i="8" s="1"/>
  <c r="M67" i="8" s="1"/>
  <c r="N67" i="8" s="1"/>
  <c r="O67" i="8" s="1"/>
  <c r="P67" i="8" s="1"/>
  <c r="C67" i="8" s="1"/>
  <c r="C66" i="8"/>
  <c r="D66" i="8" s="1"/>
  <c r="E76" i="7"/>
  <c r="F76" i="7" s="1"/>
  <c r="G76" i="7" s="1"/>
  <c r="H76" i="7" s="1"/>
  <c r="I76" i="7" s="1"/>
  <c r="J76" i="7" s="1"/>
  <c r="K76" i="7" s="1"/>
  <c r="L76" i="7" s="1"/>
  <c r="M76" i="7" s="1"/>
  <c r="N76" i="7" s="1"/>
  <c r="O76" i="7" s="1"/>
  <c r="P76" i="7" s="1"/>
  <c r="C76" i="7" s="1"/>
  <c r="C75" i="7"/>
  <c r="P75" i="9"/>
  <c r="P66" i="9"/>
  <c r="C6" i="9"/>
  <c r="D6" i="9" s="1"/>
  <c r="C8" i="10"/>
  <c r="D8" i="10" s="1"/>
  <c r="C75" i="8"/>
  <c r="E76" i="8"/>
  <c r="C67" i="7"/>
  <c r="P67" i="9" l="1"/>
  <c r="C67" i="9" s="1"/>
  <c r="H67" i="5"/>
  <c r="G69" i="5"/>
  <c r="C68" i="8"/>
  <c r="P76" i="9"/>
  <c r="C76" i="9" s="1"/>
  <c r="C75" i="9"/>
  <c r="E75" i="10"/>
  <c r="E66" i="10"/>
  <c r="C6" i="10"/>
  <c r="D6" i="10" s="1"/>
  <c r="P68" i="9"/>
  <c r="C66" i="9"/>
  <c r="C76" i="8"/>
  <c r="E77" i="8"/>
  <c r="F77" i="8" s="1"/>
  <c r="G77" i="8" s="1"/>
  <c r="H77" i="8" s="1"/>
  <c r="I77" i="8" s="1"/>
  <c r="J77" i="8" s="1"/>
  <c r="K77" i="8" s="1"/>
  <c r="L77" i="8" s="1"/>
  <c r="M77" i="8" s="1"/>
  <c r="N77" i="8" s="1"/>
  <c r="O77" i="8" s="1"/>
  <c r="P77" i="8" s="1"/>
  <c r="C77" i="8" s="1"/>
  <c r="P77" i="9" l="1"/>
  <c r="C77" i="9" s="1"/>
  <c r="I67" i="5"/>
  <c r="H69" i="5"/>
  <c r="C68" i="9"/>
  <c r="D66" i="9"/>
  <c r="C66" i="10"/>
  <c r="E67" i="10"/>
  <c r="F67" i="10" s="1"/>
  <c r="G67" i="10" s="1"/>
  <c r="H67" i="10" s="1"/>
  <c r="I67" i="10" s="1"/>
  <c r="J67" i="10" s="1"/>
  <c r="K67" i="10" s="1"/>
  <c r="L67" i="10" s="1"/>
  <c r="M67" i="10" s="1"/>
  <c r="N67" i="10" s="1"/>
  <c r="O67" i="10" s="1"/>
  <c r="P67" i="10" s="1"/>
  <c r="C67" i="10" s="1"/>
  <c r="E68" i="10"/>
  <c r="C75" i="10"/>
  <c r="E76" i="10"/>
  <c r="J67" i="5" l="1"/>
  <c r="I69" i="5"/>
  <c r="E77" i="10"/>
  <c r="F77" i="10" s="1"/>
  <c r="G77" i="10" s="1"/>
  <c r="H77" i="10" s="1"/>
  <c r="I77" i="10" s="1"/>
  <c r="J77" i="10" s="1"/>
  <c r="K77" i="10" s="1"/>
  <c r="L77" i="10" s="1"/>
  <c r="M77" i="10" s="1"/>
  <c r="N77" i="10" s="1"/>
  <c r="O77" i="10" s="1"/>
  <c r="P77" i="10" s="1"/>
  <c r="C77" i="10" s="1"/>
  <c r="C76" i="10"/>
  <c r="C68" i="10"/>
  <c r="D66" i="10"/>
  <c r="K67" i="5" l="1"/>
  <c r="J69" i="5"/>
  <c r="L67" i="5" l="1"/>
  <c r="K69" i="5"/>
  <c r="M67" i="5" l="1"/>
  <c r="L69" i="5"/>
  <c r="N67" i="5" l="1"/>
  <c r="M69" i="5"/>
  <c r="O67" i="5" l="1"/>
  <c r="N69" i="5"/>
  <c r="P67" i="5" l="1"/>
  <c r="C67" i="5" s="1"/>
  <c r="O69" i="5"/>
  <c r="P69" i="5" l="1"/>
  <c r="C69" i="5" l="1"/>
  <c r="E68" i="7"/>
  <c r="F68" i="7" s="1"/>
  <c r="G68" i="7" s="1"/>
  <c r="H68" i="7" s="1"/>
  <c r="I68" i="7" s="1"/>
  <c r="J68" i="7" s="1"/>
  <c r="K68" i="7" s="1"/>
  <c r="L68" i="7" s="1"/>
  <c r="M68" i="7" s="1"/>
  <c r="N68" i="7" s="1"/>
  <c r="O68" i="7" s="1"/>
  <c r="P68" i="7" s="1"/>
  <c r="C68" i="7" l="1"/>
  <c r="E69" i="8"/>
  <c r="F69" i="8" s="1"/>
  <c r="G69" i="8" s="1"/>
  <c r="H69" i="8" s="1"/>
  <c r="I69" i="8" s="1"/>
  <c r="J69" i="8" s="1"/>
  <c r="K69" i="8" s="1"/>
  <c r="L69" i="8" s="1"/>
  <c r="M69" i="8" s="1"/>
  <c r="N69" i="8" s="1"/>
  <c r="O69" i="8" s="1"/>
  <c r="P69" i="8" s="1"/>
  <c r="E69" i="9" s="1"/>
  <c r="F69" i="9" s="1"/>
  <c r="G69" i="9" s="1"/>
  <c r="H69" i="9" s="1"/>
  <c r="I69" i="9" s="1"/>
  <c r="J69" i="9" s="1"/>
  <c r="K69" i="9" s="1"/>
  <c r="L69" i="9" s="1"/>
  <c r="M69" i="9" s="1"/>
  <c r="N69" i="9" s="1"/>
  <c r="O69" i="9" s="1"/>
  <c r="P69" i="9" s="1"/>
  <c r="E69" i="10" s="1"/>
  <c r="F69" i="10" s="1"/>
  <c r="G69" i="10" s="1"/>
  <c r="H69" i="10" s="1"/>
  <c r="I69" i="10" s="1"/>
  <c r="J69" i="10" s="1"/>
  <c r="K69" i="10" s="1"/>
  <c r="L69" i="10" s="1"/>
  <c r="M69" i="10" s="1"/>
  <c r="N69" i="10" s="1"/>
  <c r="O69" i="10" s="1"/>
  <c r="P69" i="10" s="1"/>
</calcChain>
</file>

<file path=xl/comments1.xml><?xml version="1.0" encoding="utf-8"?>
<comments xmlns="http://schemas.openxmlformats.org/spreadsheetml/2006/main">
  <authors>
    <author>dbara</author>
  </authors>
  <commentList>
    <comment ref="B6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Дополнительное сопровождение Центрального офиса при имеющейся заинтересованности Франчайзи:
* Консультации Бухгалтерии
* Консультации Юристов
* Консультации Отдела персонала
</t>
        </r>
      </text>
    </comment>
  </commentList>
</comments>
</file>

<file path=xl/comments2.xml><?xml version="1.0" encoding="utf-8"?>
<comments xmlns="http://schemas.openxmlformats.org/spreadsheetml/2006/main">
  <authors>
    <author>dbara</author>
  </authors>
  <commentList>
    <comment ref="B6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Дополнительное сопровождение Центрального офиса при имеющейся заинтересованности Франчайзи:
* Консультации Бухгалтерии
* Консультации Юристов
* Консультации Отдела персонала
</t>
        </r>
      </text>
    </comment>
  </commentList>
</comments>
</file>

<file path=xl/comments3.xml><?xml version="1.0" encoding="utf-8"?>
<comments xmlns="http://schemas.openxmlformats.org/spreadsheetml/2006/main">
  <authors>
    <author>dbara</author>
  </authors>
  <commentList>
    <comment ref="B6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Дополнительное сопровождение Центрального офиса при имеющейся заинтересованности Франчайзи:
* Консультации Бухгалтерии
* Консультации Юристов
* Консультации Отдела персонала
</t>
        </r>
      </text>
    </comment>
  </commentList>
</comments>
</file>

<file path=xl/comments4.xml><?xml version="1.0" encoding="utf-8"?>
<comments xmlns="http://schemas.openxmlformats.org/spreadsheetml/2006/main">
  <authors>
    <author>dbara</author>
  </authors>
  <commentList>
    <comment ref="B6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Дополнительное сопровождение Центрального офиса при имеющейся заинтересованности Франчайзи:
* Консультации Бухгалтерии
* Консультации Юристов
* Консультации Отдела персонала
</t>
        </r>
      </text>
    </comment>
  </commentList>
</comments>
</file>

<file path=xl/comments5.xml><?xml version="1.0" encoding="utf-8"?>
<comments xmlns="http://schemas.openxmlformats.org/spreadsheetml/2006/main">
  <authors>
    <author>dbara</author>
  </authors>
  <commentList>
    <comment ref="B23" authorId="0" shapeId="0">
      <text>
        <r>
          <rPr>
            <b/>
            <sz val="9"/>
            <color indexed="81"/>
            <rFont val="Tahoma"/>
            <family val="2"/>
            <charset val="204"/>
          </rPr>
          <t>если есть в условиях договора аренды</t>
        </r>
      </text>
    </comment>
    <comment ref="D23" authorId="0" shapeId="0">
      <text>
        <r>
          <rPr>
            <b/>
            <sz val="9"/>
            <color indexed="81"/>
            <rFont val="Tahoma"/>
            <family val="2"/>
            <charset val="204"/>
          </rPr>
          <t>если есть в условиях договора аренды</t>
        </r>
      </text>
    </comment>
    <comment ref="D33" authorId="0" shapeId="0">
      <text>
        <r>
          <rPr>
            <b/>
            <sz val="9"/>
            <color indexed="81"/>
            <rFont val="Tahoma"/>
            <family val="2"/>
            <charset val="204"/>
          </rPr>
          <t>из расчета выручки 1 270 000 руб./мес в первый год работы</t>
        </r>
      </text>
    </comment>
    <comment ref="D35" authorId="0" shapeId="0">
      <text>
        <r>
          <rPr>
            <b/>
            <sz val="9"/>
            <color indexed="81"/>
            <rFont val="Tahoma"/>
            <family val="2"/>
            <charset val="204"/>
          </rPr>
          <t>см.расчеты - лист "Unit Coste"</t>
        </r>
      </text>
    </comment>
  </commentList>
</comments>
</file>

<file path=xl/sharedStrings.xml><?xml version="1.0" encoding="utf-8"?>
<sst xmlns="http://schemas.openxmlformats.org/spreadsheetml/2006/main" count="1452" uniqueCount="499">
  <si>
    <t>Магазин Город</t>
  </si>
  <si>
    <t>Адрес</t>
  </si>
  <si>
    <t>Дополнительная информация</t>
  </si>
  <si>
    <t>Дата начала проекта</t>
  </si>
  <si>
    <t>Ноябрь</t>
  </si>
  <si>
    <t>Дата открытия магазина</t>
  </si>
  <si>
    <t>Февраль</t>
  </si>
  <si>
    <t>Площадь</t>
  </si>
  <si>
    <t>ед.изм.</t>
  </si>
  <si>
    <t>Значение</t>
  </si>
  <si>
    <t>Общая</t>
  </si>
  <si>
    <t>кв.м.</t>
  </si>
  <si>
    <t>Складская</t>
  </si>
  <si>
    <t>Административная</t>
  </si>
  <si>
    <t>Размер арендной ставки</t>
  </si>
  <si>
    <t>месячная базовая ставка аренды</t>
  </si>
  <si>
    <t>индексация базовой арендной ставки</t>
  </si>
  <si>
    <t>1 год</t>
  </si>
  <si>
    <t>2 год</t>
  </si>
  <si>
    <t>3 год</t>
  </si>
  <si>
    <t>4 год</t>
  </si>
  <si>
    <t>5 год</t>
  </si>
  <si>
    <t>Общая (средняя по году)</t>
  </si>
  <si>
    <t>%</t>
  </si>
  <si>
    <t>Расчет арендных платежей по месяцам</t>
  </si>
  <si>
    <t>Всего год</t>
  </si>
  <si>
    <t>Январь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</si>
  <si>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</si>
  <si>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</si>
  <si>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</si>
  <si>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</si>
  <si>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</si>
  <si>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</si>
  <si>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</si>
  <si>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</si>
  <si>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Декабрь</t>
  </si>
  <si>
    <t>Расчетные показатели оборота и наценки</t>
  </si>
  <si>
    <t>Средний оборот с кв.м. в год</t>
  </si>
  <si>
    <t>Средний оборот с кв.м. в месяц</t>
  </si>
  <si>
    <t>Себестоимость товара в обороте</t>
  </si>
  <si>
    <t>Средний уровень наценки</t>
  </si>
  <si>
    <t>Расчет оборота по месяцам</t>
  </si>
  <si>
    <t>Распределение оборота по месяцам в %</t>
  </si>
  <si>
    <t>Сезонный коэффициент</t>
  </si>
  <si>
    <t>Наименование статей расходов</t>
  </si>
  <si>
    <t>Всего фонд заработной платы в т.ч. *</t>
  </si>
  <si>
    <t>Процент роста заработной платы в год</t>
  </si>
  <si>
    <t>-</t>
  </si>
  <si>
    <t xml:space="preserve"> </t>
  </si>
  <si>
    <t>* в месяц размер ФОТ определяется согласно штатному расписанию (смотри лист "Штатное расписание")</t>
  </si>
  <si>
    <t>3 и последующие годы</t>
  </si>
  <si>
    <t>Данные по закупке товара</t>
  </si>
  <si>
    <t>Город</t>
  </si>
  <si>
    <t>Внести, в случае необходимости</t>
  </si>
  <si>
    <t>Торговая (вкл.место повара)</t>
  </si>
  <si>
    <t>€ / кв.м.</t>
  </si>
  <si>
    <t>в т.ч. Складская</t>
  </si>
  <si>
    <t>в т.ч. Административная</t>
  </si>
  <si>
    <t>Общая (или процент с оборота)</t>
  </si>
  <si>
    <t>в т.ч. Торговая</t>
  </si>
  <si>
    <t>НДС в Вашей стране</t>
  </si>
  <si>
    <t>№</t>
  </si>
  <si>
    <t>Наименование должности</t>
  </si>
  <si>
    <t>Всего фонд оплаты труда</t>
  </si>
  <si>
    <t>Управляющий</t>
  </si>
  <si>
    <t>Продавец</t>
  </si>
  <si>
    <t xml:space="preserve">Кол-во, чел. </t>
  </si>
  <si>
    <t>- персонал магазина</t>
  </si>
  <si>
    <t>Признак рабочего месяца (для расчета)</t>
  </si>
  <si>
    <t>% от выручки</t>
  </si>
  <si>
    <t>Распределение оплаты товара по месяцам (предоплата)</t>
  </si>
  <si>
    <t>Формат предлагаемого меню</t>
  </si>
  <si>
    <t>Площадь торговой точки</t>
  </si>
  <si>
    <t>Проектная смета на открытие точки</t>
  </si>
  <si>
    <t>Позиция</t>
  </si>
  <si>
    <t>Комментарии к заполнению</t>
  </si>
  <si>
    <t xml:space="preserve">Суммарная стоимость запуска проекта, руб. </t>
  </si>
  <si>
    <t>КАПИТАЛЬНЫЕ   РАСХОДЫ</t>
  </si>
  <si>
    <t>Проектные работы</t>
  </si>
  <si>
    <t>Проектирование</t>
  </si>
  <si>
    <t>Проект Водопровод / Канализация</t>
  </si>
  <si>
    <t>Проект Электрика</t>
  </si>
  <si>
    <t>Проект пожарной безопасности</t>
  </si>
  <si>
    <t>сумма варьируется от "договоренности" с ТЦ</t>
  </si>
  <si>
    <t>Юридическое сопровождение</t>
  </si>
  <si>
    <t>на усмотрение франчайзи</t>
  </si>
  <si>
    <t>Страхование гражданской ответственности</t>
  </si>
  <si>
    <t>Строительные материалы и работы</t>
  </si>
  <si>
    <t>Приобретение строительных материалов</t>
  </si>
  <si>
    <t>и для холодных роллов и для полного асс-та</t>
  </si>
  <si>
    <t>Строительно-монтажные, ремонтные и отделочные работы</t>
  </si>
  <si>
    <t>Вентиляционный (вытяжной) зонт</t>
  </si>
  <si>
    <t>Монтаж вытяжного зонта</t>
  </si>
  <si>
    <t>Изготовление и установка дверей</t>
  </si>
  <si>
    <t xml:space="preserve">Конструкция из прозрачного закаленного стекла </t>
  </si>
  <si>
    <t>Рольставни</t>
  </si>
  <si>
    <t>Приточно - вытяжная вентиляция</t>
  </si>
  <si>
    <t>Оборудование</t>
  </si>
  <si>
    <t>Жироуловитель</t>
  </si>
  <si>
    <t>Водонагреватель</t>
  </si>
  <si>
    <t>Облучатель</t>
  </si>
  <si>
    <t>Вывеска</t>
  </si>
  <si>
    <t>Столешница +</t>
  </si>
  <si>
    <t>IT-оборудование, принтер, картриджи</t>
  </si>
  <si>
    <t>Компьютер, монитор, фискальный аппарат, сканер, принтер, мышь, клавиатура</t>
  </si>
  <si>
    <t>iiko</t>
  </si>
  <si>
    <t>Система видеонаблюдения</t>
  </si>
  <si>
    <t>вкл.установку</t>
  </si>
  <si>
    <t>Бытовая химия и хоз.аксессуары</t>
  </si>
  <si>
    <t>Канцелярия</t>
  </si>
  <si>
    <t xml:space="preserve">Wok-плита (Оборудование для приготовления) </t>
  </si>
  <si>
    <t>Фритюрница (запеченные роллы)</t>
  </si>
  <si>
    <t>Пароварки (рисоварки) для супов</t>
  </si>
  <si>
    <t>Кофемашина</t>
  </si>
  <si>
    <t>Прочие инвестиции</t>
  </si>
  <si>
    <t>Логистика</t>
  </si>
  <si>
    <t>Форма персонала</t>
  </si>
  <si>
    <t>Бюджет на торжественное открытие</t>
  </si>
  <si>
    <r>
      <rPr>
        <b/>
        <sz val="12"/>
        <color rgb="FF000000"/>
        <rFont val="Calibri"/>
        <family val="2"/>
        <charset val="204"/>
      </rPr>
      <t>Итого</t>
    </r>
    <r>
      <rPr>
        <b/>
        <i/>
        <sz val="12"/>
        <color rgb="FF000000"/>
        <rFont val="Calibri"/>
        <family val="2"/>
        <charset val="204"/>
      </rPr>
      <t xml:space="preserve"> КАПИТАЛЬНЫЕ РАСХОДЫ В ЗАПУСК ПРОЕКТА</t>
    </r>
  </si>
  <si>
    <t>ПАУШАЛЬНЫЙ ВЗНОС</t>
  </si>
  <si>
    <t>ОБОРОТНЫЕ  И  ОПЕРАЦИОННЫЕ  РАСХОДЫ</t>
  </si>
  <si>
    <t>не в Суши-Маркет</t>
  </si>
  <si>
    <t>Аренда</t>
  </si>
  <si>
    <t>Итог ОБЩИЕ ИНВЕСТИЦИИ</t>
  </si>
  <si>
    <t>Инвестиции на открытие проекта</t>
  </si>
  <si>
    <t>Холодные + запеченные роллы</t>
  </si>
  <si>
    <t>Холодные роллы + горячие блюда</t>
  </si>
  <si>
    <t>Холодные роллы</t>
  </si>
  <si>
    <t>Параметр</t>
  </si>
  <si>
    <t>За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</si>
  <si>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</si>
  <si>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</si>
  <si>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</si>
  <si>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</si>
  <si>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</si>
  <si>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</si>
  <si>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</si>
  <si>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</si>
  <si>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</si>
  <si>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</si>
  <si>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</si>
  <si>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</si>
  <si>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 Оплата баннеров / навигации в ТЦ</t>
  </si>
  <si>
    <t xml:space="preserve">   Полиграфические услуги</t>
  </si>
  <si>
    <t xml:space="preserve">   Услуги по размещению рекламы в СМИ и соц.сетях</t>
  </si>
  <si>
    <t xml:space="preserve">   Маркетинг</t>
  </si>
  <si>
    <t xml:space="preserve">   Интернет реклама</t>
  </si>
  <si>
    <t xml:space="preserve">   Услуги по обслуживанию сайта</t>
  </si>
  <si>
    <t xml:space="preserve">   Прочая реклама</t>
  </si>
  <si>
    <t xml:space="preserve">   Сан.исследования и утилизация</t>
  </si>
  <si>
    <t xml:space="preserve">   Транспортные услуги по доставке сырья, материалов, оборудования</t>
  </si>
  <si>
    <t xml:space="preserve">   Спецодежда</t>
  </si>
  <si>
    <t xml:space="preserve">   Клининг и химчистка</t>
  </si>
  <si>
    <t xml:space="preserve">   Кухонный инвентарь</t>
  </si>
  <si>
    <t xml:space="preserve">   Приобрет-е и обслуж-е програм-го обеспечения</t>
  </si>
  <si>
    <t xml:space="preserve">   Охрана труда, техника безопасности, аттестация и экология</t>
  </si>
  <si>
    <t xml:space="preserve">   Расходы на обслуживание оргтехники</t>
  </si>
  <si>
    <t xml:space="preserve">   Информационно-консультационные услуги</t>
  </si>
  <si>
    <t xml:space="preserve">   Услуги по охране объектов</t>
  </si>
  <si>
    <t xml:space="preserve">   Командировочные расходы</t>
  </si>
  <si>
    <t xml:space="preserve">   Представительские расходы</t>
  </si>
  <si>
    <t xml:space="preserve">   Подготовка и подбор кадров</t>
  </si>
  <si>
    <t xml:space="preserve">   Канцелярские товары</t>
  </si>
  <si>
    <t xml:space="preserve">   Услуги связи (телефон, интернет)</t>
  </si>
  <si>
    <t xml:space="preserve">   Подписка и пресса</t>
  </si>
  <si>
    <t xml:space="preserve">   Почтовые расходы</t>
  </si>
  <si>
    <t xml:space="preserve">   Обучение</t>
  </si>
  <si>
    <t xml:space="preserve">   Интернет</t>
  </si>
  <si>
    <t xml:space="preserve">   Прочие административные выплаты</t>
  </si>
  <si>
    <t xml:space="preserve">   Корпоративные мероприятия</t>
  </si>
  <si>
    <t xml:space="preserve">   Поощрения и подарки</t>
  </si>
  <si>
    <t xml:space="preserve">   Мед.услуги и медосмотры</t>
  </si>
  <si>
    <t xml:space="preserve">   Доставка сотрудников и ГСМ</t>
  </si>
  <si>
    <t xml:space="preserve">   Штрафы, пени, неустойки </t>
  </si>
  <si>
    <t xml:space="preserve">   Штрафы, пени, неустойки по хоз. договорам</t>
  </si>
  <si>
    <t xml:space="preserve">   Штрафы, пени по налогам и сборам в гос-е  внебюдж-е фонды</t>
  </si>
  <si>
    <t xml:space="preserve">   Штрафы за административные правонарушения</t>
  </si>
  <si>
    <t>Услуги банка</t>
  </si>
  <si>
    <t xml:space="preserve">   Услуги банка</t>
  </si>
  <si>
    <t xml:space="preserve">   Услуги инкассации</t>
  </si>
  <si>
    <t xml:space="preserve">   Госпошлина</t>
  </si>
  <si>
    <t xml:space="preserve">   Эквайринг</t>
  </si>
  <si>
    <t xml:space="preserve">   ЕНВД</t>
  </si>
  <si>
    <t xml:space="preserve">   Торговый сбор</t>
  </si>
  <si>
    <t xml:space="preserve">   Транспортный налог</t>
  </si>
  <si>
    <t xml:space="preserve">   Прочие налоги</t>
  </si>
  <si>
    <t xml:space="preserve">   НДФЛ</t>
  </si>
  <si>
    <t>12.1</t>
  </si>
  <si>
    <t>12.3</t>
  </si>
  <si>
    <t>12.2</t>
  </si>
  <si>
    <t>12.4</t>
  </si>
  <si>
    <t>12.5</t>
  </si>
  <si>
    <t>14.1</t>
  </si>
  <si>
    <t>14.2</t>
  </si>
  <si>
    <t>15.1</t>
  </si>
  <si>
    <t>15.2</t>
  </si>
  <si>
    <t>15.3</t>
  </si>
  <si>
    <t>15.4</t>
  </si>
  <si>
    <t>16.1</t>
  </si>
  <si>
    <t>16.2</t>
  </si>
  <si>
    <t>16.3</t>
  </si>
  <si>
    <t>16.4</t>
  </si>
  <si>
    <t>20</t>
  </si>
  <si>
    <t>21</t>
  </si>
  <si>
    <t>22</t>
  </si>
  <si>
    <t>23</t>
  </si>
  <si>
    <t>24</t>
  </si>
  <si>
    <t>25</t>
  </si>
  <si>
    <t>26</t>
  </si>
  <si>
    <t>Прогноз движения денежных средств</t>
  </si>
  <si>
    <t>6.1</t>
  </si>
  <si>
    <t>9</t>
  </si>
  <si>
    <t>7</t>
  </si>
  <si>
    <t>8</t>
  </si>
  <si>
    <t>8.1</t>
  </si>
  <si>
    <t>8.2</t>
  </si>
  <si>
    <t>8.3</t>
  </si>
  <si>
    <t>8.4</t>
  </si>
  <si>
    <t>8.5</t>
  </si>
  <si>
    <t>8.6</t>
  </si>
  <si>
    <t>8.7</t>
  </si>
  <si>
    <t>9.1</t>
  </si>
  <si>
    <t>9.2</t>
  </si>
  <si>
    <t>9.3</t>
  </si>
  <si>
    <t>9.4</t>
  </si>
  <si>
    <t>9.5</t>
  </si>
  <si>
    <t>10</t>
  </si>
  <si>
    <t>11</t>
  </si>
  <si>
    <t>12</t>
  </si>
  <si>
    <t>12.6</t>
  </si>
  <si>
    <t>12.7</t>
  </si>
  <si>
    <t>12.8</t>
  </si>
  <si>
    <t>12.9</t>
  </si>
  <si>
    <t>12.10</t>
  </si>
  <si>
    <t>12.11</t>
  </si>
  <si>
    <t>12.12</t>
  </si>
  <si>
    <t>12.13</t>
  </si>
  <si>
    <t>12.14</t>
  </si>
  <si>
    <t>12.15</t>
  </si>
  <si>
    <t>13</t>
  </si>
  <si>
    <t>13.1</t>
  </si>
  <si>
    <t>13.2</t>
  </si>
  <si>
    <t>13.3</t>
  </si>
  <si>
    <t>13.4</t>
  </si>
  <si>
    <t>14</t>
  </si>
  <si>
    <t>14.3</t>
  </si>
  <si>
    <t>14.4</t>
  </si>
  <si>
    <t>15</t>
  </si>
  <si>
    <t>16</t>
  </si>
  <si>
    <t>16.5</t>
  </si>
  <si>
    <t>17</t>
  </si>
  <si>
    <t>18</t>
  </si>
  <si>
    <t>19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</si>
  <si>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</si>
  <si>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</si>
  <si>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</si>
  <si>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</si>
  <si>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</si>
  <si>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</si>
  <si>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</si>
  <si>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</si>
  <si>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</si>
  <si>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</si>
  <si>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</si>
  <si>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</si>
  <si>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Техкарта </t>
  </si>
  <si>
    <t>Инвентаризация</t>
  </si>
  <si>
    <t>ИТОГО</t>
  </si>
  <si>
    <t>Фонд оплаты труда, вкл.налоги (% от оборота)</t>
  </si>
  <si>
    <t>Зарплата работникам</t>
  </si>
  <si>
    <t>Зарплата управляющим</t>
  </si>
  <si>
    <t>Доп.начисления (пенс.фонд, страховка)</t>
  </si>
  <si>
    <t>Рекламные затраты  (% от оборота)</t>
  </si>
  <si>
    <t>Оплата баннеров / навигации в ТЦ</t>
  </si>
  <si>
    <t>Полиграфические услуги</t>
  </si>
  <si>
    <t>Услуги по размещению рекламы в СМИ и соц.сетях</t>
  </si>
  <si>
    <t>Маркетинг</t>
  </si>
  <si>
    <t>Интернет реклама</t>
  </si>
  <si>
    <t>Услуги по обслуживанию сайта</t>
  </si>
  <si>
    <t>Прочая реклама</t>
  </si>
  <si>
    <t>Производственные расходы (% от оборота)</t>
  </si>
  <si>
    <t>Сан.исследования и утилизация</t>
  </si>
  <si>
    <t>Транспортные услуги по доставке сырья, материалов, оборудования</t>
  </si>
  <si>
    <t>Спецодежда</t>
  </si>
  <si>
    <t>Клининг и химчистка</t>
  </si>
  <si>
    <t>Кухонный инвентарь</t>
  </si>
  <si>
    <t>Инвентарь и хозяйственные расходы (% от оборота)</t>
  </si>
  <si>
    <t>Выплаты отдела доставки (% от оборота)</t>
  </si>
  <si>
    <t>Оплата услуг систем заказов</t>
  </si>
  <si>
    <t xml:space="preserve">Прочие выплаты </t>
  </si>
  <si>
    <t>Административные выплаты</t>
  </si>
  <si>
    <t>Приобрет-е и обслуж-е програм-го обеспечения</t>
  </si>
  <si>
    <t>Охрана труда, техника безопасности, аттестация и экология</t>
  </si>
  <si>
    <t>Расходы на обслуживание оргтехники</t>
  </si>
  <si>
    <t>Информационно-консультационные услуги</t>
  </si>
  <si>
    <t>Услуги по охране объектов</t>
  </si>
  <si>
    <t>Командировочные расходы</t>
  </si>
  <si>
    <t>Представительские расходы</t>
  </si>
  <si>
    <t>Подготовка и подбор кадров</t>
  </si>
  <si>
    <t>Канцелярские товары</t>
  </si>
  <si>
    <t>Услуги связи (телефон, интернет)</t>
  </si>
  <si>
    <t>Подписка и пресса</t>
  </si>
  <si>
    <t>Почтовые расходы</t>
  </si>
  <si>
    <t>Обучение</t>
  </si>
  <si>
    <t>Интернет</t>
  </si>
  <si>
    <t>Прочие административные выплаты</t>
  </si>
  <si>
    <t>Социальные выплаты</t>
  </si>
  <si>
    <t>Корпоративные мероприятия</t>
  </si>
  <si>
    <t>Поощрения и подарки</t>
  </si>
  <si>
    <t>Мед.услуги и медосмотры</t>
  </si>
  <si>
    <t>Доставка сотрудников и ГСМ</t>
  </si>
  <si>
    <t>Штрафы (% от оборота)</t>
  </si>
  <si>
    <t xml:space="preserve">Штрафы, пени, неустойки </t>
  </si>
  <si>
    <t>Штрафы, пени, неустойки по хоз. договорам</t>
  </si>
  <si>
    <t>Штрафы, пени по налогам и сборам в гос-е  внебюдж-е фонды</t>
  </si>
  <si>
    <t>Штрафы за административные правонарушения</t>
  </si>
  <si>
    <r>
      <rPr>
        <b/>
        <sz val="11"/>
        <color rgb="FF000000"/>
        <rFont val="Calibri"/>
        <family val="2"/>
        <charset val="204"/>
      </rPr>
      <t xml:space="preserve">Услуги банка </t>
    </r>
    <r>
      <rPr>
        <b/>
        <i/>
        <sz val="11"/>
        <color rgb="FF000000"/>
        <rFont val="Calibri"/>
        <family val="2"/>
        <charset val="204"/>
      </rPr>
      <t>(% от оборота)</t>
    </r>
  </si>
  <si>
    <t>Услуги инкассации</t>
  </si>
  <si>
    <t>Госпошлина</t>
  </si>
  <si>
    <t>Эквайринг</t>
  </si>
  <si>
    <t>Налоги (% от оборота)</t>
  </si>
  <si>
    <t>ЕНВД</t>
  </si>
  <si>
    <t>Торговый сбор</t>
  </si>
  <si>
    <t>Транспортный налог</t>
  </si>
  <si>
    <t>Прочие налоги</t>
  </si>
  <si>
    <t>НДФЛ</t>
  </si>
  <si>
    <t>Арендные платежи  (% от оборота)</t>
  </si>
  <si>
    <t>Основная арендная плата</t>
  </si>
  <si>
    <t>Переменная часть</t>
  </si>
  <si>
    <t>Коммунальные платежи</t>
  </si>
  <si>
    <t>Маркетинговые платежи</t>
  </si>
  <si>
    <t>0.0%</t>
  </si>
  <si>
    <t>Страхование</t>
  </si>
  <si>
    <t>Прочие арендные платежи</t>
  </si>
  <si>
    <t>Фактор сезонности продаж</t>
  </si>
  <si>
    <t>Показатель</t>
  </si>
  <si>
    <t>Ремонт и обсуживание оборудования **</t>
  </si>
  <si>
    <t>Рекламные затраты (% от оборота)</t>
  </si>
  <si>
    <t>RUB</t>
  </si>
  <si>
    <t>Выручка</t>
  </si>
  <si>
    <t>FoodCost</t>
  </si>
  <si>
    <t>Категория товара</t>
  </si>
  <si>
    <t>Товар</t>
  </si>
  <si>
    <t>Сумма, руб.</t>
  </si>
  <si>
    <t>Продукты</t>
  </si>
  <si>
    <t>Форель на коже</t>
  </si>
  <si>
    <t>Сыр сливочный</t>
  </si>
  <si>
    <t>Рис суши</t>
  </si>
  <si>
    <t>Икра масаго</t>
  </si>
  <si>
    <t>Угорь жареный</t>
  </si>
  <si>
    <t>Нори водоросли</t>
  </si>
  <si>
    <t>Креветка</t>
  </si>
  <si>
    <t>Огурец</t>
  </si>
  <si>
    <t>Бекон</t>
  </si>
  <si>
    <t>Имитация краба</t>
  </si>
  <si>
    <t>Суши квас готовый</t>
  </si>
  <si>
    <t>Тунец филе</t>
  </si>
  <si>
    <t>Икра лососевая</t>
  </si>
  <si>
    <t xml:space="preserve">Соус Лава </t>
  </si>
  <si>
    <t>Кунжут белый</t>
  </si>
  <si>
    <t>Стружка тунца</t>
  </si>
  <si>
    <t>Такуан</t>
  </si>
  <si>
    <t>Салат Чука</t>
  </si>
  <si>
    <t>Соус унаги для роллов</t>
  </si>
  <si>
    <t>Перец болгарский</t>
  </si>
  <si>
    <t>Капуста пекинская</t>
  </si>
  <si>
    <t>Майонез классика</t>
  </si>
  <si>
    <t>Лук зеленый</t>
  </si>
  <si>
    <t>Соус терияки</t>
  </si>
  <si>
    <t>Укроп севжий</t>
  </si>
  <si>
    <t>Соус Кимчи</t>
  </si>
  <si>
    <t>Одноразовая посуда</t>
  </si>
  <si>
    <t>Контейнер маленький (дно и крышка)</t>
  </si>
  <si>
    <t>Контейнер большой (дно и крышка)</t>
  </si>
  <si>
    <t>Палочки</t>
  </si>
  <si>
    <t>Пакет майка</t>
  </si>
  <si>
    <t>Имбирь заводская фасовка</t>
  </si>
  <si>
    <t>Соус соевый заводская фасовка</t>
  </si>
  <si>
    <t>Васаби заводская фасовка</t>
  </si>
  <si>
    <t>Соус кунжутный заводская фасовка</t>
  </si>
  <si>
    <t>Общий итог</t>
  </si>
  <si>
    <t>Кол-во, кг. (ед.)</t>
  </si>
  <si>
    <t>Соуса, шт.</t>
  </si>
  <si>
    <t>Стоимость, руб/кг. (ед.)</t>
  </si>
  <si>
    <t>переменный показатель (внести свои данные)</t>
  </si>
  <si>
    <t>10.1</t>
  </si>
  <si>
    <t>10.2</t>
  </si>
  <si>
    <t>10.3</t>
  </si>
  <si>
    <t>Показатели контроля производственных и "околопроизводственных" затрат торговой точки</t>
  </si>
  <si>
    <t xml:space="preserve">Операционный бюджет. Магазин / Город / Адрес </t>
  </si>
  <si>
    <t>Административные выплаты **</t>
  </si>
  <si>
    <t>** в месяц согласно расшифровки статей бюджетов (см. лист "Бюджет затрат")</t>
  </si>
  <si>
    <t>Социальные выплаты **</t>
  </si>
  <si>
    <t>Штрафные выплаты **</t>
  </si>
  <si>
    <t>Услуги банка **</t>
  </si>
  <si>
    <t>Налоги **</t>
  </si>
  <si>
    <t>ТВ-панель (4), Чайник, Телефон</t>
  </si>
  <si>
    <t>27</t>
  </si>
  <si>
    <t>Штатаное расписание</t>
  </si>
  <si>
    <t xml:space="preserve">Повар </t>
  </si>
  <si>
    <t>руб / кв.м.</t>
  </si>
  <si>
    <t>руб.</t>
  </si>
  <si>
    <t xml:space="preserve">Оборот по месяцам 1 год, руб. </t>
  </si>
  <si>
    <t xml:space="preserve">Оборот по месяцам 2 год, руб. </t>
  </si>
  <si>
    <t xml:space="preserve">Оборот по месяцам 3 год, руб. </t>
  </si>
  <si>
    <t xml:space="preserve">Оборот по месяцам 4 год, руб. </t>
  </si>
  <si>
    <t xml:space="preserve">Оборот по месяцам 5 год, руб. </t>
  </si>
  <si>
    <t xml:space="preserve">руб. </t>
  </si>
  <si>
    <t>Сумма закупки товара у поставщика, руб.</t>
  </si>
  <si>
    <t>Сумма оплаты товара поставщикам, руб.</t>
  </si>
  <si>
    <t>Первоначальный остаток товара, руб.</t>
  </si>
  <si>
    <t>Первоначальный остаток авансов у поставщиков, руб.</t>
  </si>
  <si>
    <t>1 год, руб.</t>
  </si>
  <si>
    <t>2 год, руб.</t>
  </si>
  <si>
    <t>3 год, руб.</t>
  </si>
  <si>
    <t>4 год, руб.</t>
  </si>
  <si>
    <t>5 год, руб.</t>
  </si>
  <si>
    <t>Ремонт и обслуживание оборудования, вкл. сырье и материалы, руб.</t>
  </si>
  <si>
    <t>Услуги по ремонту и обслуживанию, руб.</t>
  </si>
  <si>
    <t>Сырье и материалы, руб.</t>
  </si>
  <si>
    <t>ИТОГО, руб.</t>
  </si>
  <si>
    <t>База для расчета з/п, руб.</t>
  </si>
  <si>
    <t>За год, руб.</t>
  </si>
  <si>
    <r>
      <t xml:space="preserve">Оборот </t>
    </r>
    <r>
      <rPr>
        <sz val="8"/>
        <rFont val="Arial Cyr"/>
        <charset val="204"/>
      </rPr>
      <t>(</t>
    </r>
    <r>
      <rPr>
        <sz val="8"/>
        <rFont val="Arial Cyr"/>
        <family val="2"/>
        <charset val="204"/>
      </rPr>
      <t>в розничных.ценах), руб.</t>
    </r>
  </si>
  <si>
    <r>
      <t xml:space="preserve">Маржинальный доход магазина </t>
    </r>
    <r>
      <rPr>
        <sz val="8"/>
        <rFont val="Arial Cyr"/>
        <charset val="204"/>
      </rPr>
      <t>(п1-п2), руб.</t>
    </r>
  </si>
  <si>
    <r>
      <t xml:space="preserve">Расходы магазина всего </t>
    </r>
    <r>
      <rPr>
        <sz val="8"/>
        <rFont val="Arial Cyr"/>
        <family val="2"/>
        <charset val="204"/>
      </rPr>
      <t>(п5+п6+п7+...+п18), руб</t>
    </r>
  </si>
  <si>
    <t>Аренда всего, руб</t>
  </si>
  <si>
    <r>
      <t xml:space="preserve">Фонд оплаты труда всего </t>
    </r>
    <r>
      <rPr>
        <sz val="8"/>
        <rFont val="Arial Cyr"/>
        <family val="2"/>
        <charset val="204"/>
      </rPr>
      <t>(п6.1+п6.2+п6.3), руб</t>
    </r>
  </si>
  <si>
    <t>Ремонт и обслуживание оборудования, руб</t>
  </si>
  <si>
    <t>Рекламные затраты, руб</t>
  </si>
  <si>
    <t>Инвентарь и хозяйственные расходы, руб</t>
  </si>
  <si>
    <t>Административные выплаты (прочее), руб</t>
  </si>
  <si>
    <t>Социальные выплаты (прочее), руб</t>
  </si>
  <si>
    <t>Штрафы, руб</t>
  </si>
  <si>
    <t>Услуги банка, руб</t>
  </si>
  <si>
    <t>Налоги, руб</t>
  </si>
  <si>
    <t>Прочие расходы , руб</t>
  </si>
  <si>
    <r>
      <t xml:space="preserve">Прибыль магазина за месяц </t>
    </r>
    <r>
      <rPr>
        <sz val="8"/>
        <rFont val="Arial Cyr"/>
        <charset val="204"/>
      </rPr>
      <t>(п3-п4)</t>
    </r>
    <r>
      <rPr>
        <b/>
        <sz val="8"/>
        <rFont val="Arial Cyr"/>
        <charset val="204"/>
      </rPr>
      <t>, руб</t>
    </r>
  </si>
  <si>
    <t>Прибыль магазина за год нарастающим итогом, руб</t>
  </si>
  <si>
    <r>
      <t xml:space="preserve">Рентабельность оборота </t>
    </r>
    <r>
      <rPr>
        <sz val="8"/>
        <rFont val="Arial Cyr"/>
        <charset val="204"/>
      </rPr>
      <t>(п19/п1)</t>
    </r>
    <r>
      <rPr>
        <b/>
        <sz val="8"/>
        <rFont val="Arial Cyr"/>
        <charset val="204"/>
      </rPr>
      <t>, руб</t>
    </r>
  </si>
  <si>
    <t>Совокупная прибыль за весь период работы, руб</t>
  </si>
  <si>
    <t>Поступление денежных средств, руб</t>
  </si>
  <si>
    <t>Текущие оплачиваемые расходы, руб</t>
  </si>
  <si>
    <t>Всего денежных средств, руб</t>
  </si>
  <si>
    <t>Всего денежных средств нарастающим итогом, руб</t>
  </si>
  <si>
    <t>За год, руб</t>
  </si>
  <si>
    <t>может быть до 100 000 руб. - зависит от габаритов</t>
  </si>
  <si>
    <t>входит в паушальный взнос</t>
  </si>
  <si>
    <t>Проект Архитектурный</t>
  </si>
  <si>
    <t>Проект Отопление / Вентиляция</t>
  </si>
  <si>
    <t>при необходимости (требовании в договоре аренды)</t>
  </si>
  <si>
    <t>Подключение Кассового терминала</t>
  </si>
  <si>
    <t>Витрина холодильная (торговая)</t>
  </si>
  <si>
    <t>Холодильное оборудование на кухню</t>
  </si>
  <si>
    <t>Холодильный шкаф (2), Морозильный ларь</t>
  </si>
  <si>
    <t>Кухонное оборудование</t>
  </si>
  <si>
    <t>Нож, Стол (2), Весы (товарные и порционные), Ванна</t>
  </si>
  <si>
    <t xml:space="preserve">Дополнительное оборудование </t>
  </si>
  <si>
    <t>Мебель для персоснала</t>
  </si>
  <si>
    <t>Cтулья, Стеллаж (2), Шкаф-раздевалка (3)</t>
  </si>
  <si>
    <t xml:space="preserve">Покупка Рисоварки </t>
  </si>
  <si>
    <t>2 ед. (если это фудкорт)</t>
  </si>
  <si>
    <t>3 ед. (если это фудкорт)</t>
  </si>
  <si>
    <t>1 ед. (если это фудкорт)</t>
  </si>
  <si>
    <t>Роялти (% от оборота)</t>
  </si>
  <si>
    <t>1-й год</t>
  </si>
  <si>
    <t>2-й год и далее</t>
  </si>
  <si>
    <t>Роялти, руб</t>
  </si>
  <si>
    <t>первоначальное подключение (первая лицензия)</t>
  </si>
  <si>
    <t>Рекламный материал (на открытие)</t>
  </si>
  <si>
    <t>Услуги "Суши-Маркет", руб</t>
  </si>
  <si>
    <t>Депозит (1 мес.)</t>
  </si>
  <si>
    <t>при открытии первой торговой точки Управляющим (в т.ч. знакомясь с процессами и осуществляя контроль) может выступать собственник. Позиция наёмного Управляющего актуальна после открытия 4 торговых точек (максимальная "нагрузка" на одного управляющего может составлять 7-8 т.т.)</t>
  </si>
  <si>
    <r>
      <t xml:space="preserve">2 сотрудника на </t>
    </r>
    <r>
      <rPr>
        <b/>
        <u/>
        <sz val="11"/>
        <color rgb="FF000000"/>
        <rFont val="Calibri"/>
        <family val="2"/>
        <charset val="204"/>
      </rPr>
      <t>1 месяц</t>
    </r>
  </si>
  <si>
    <r>
      <rPr>
        <b/>
        <sz val="15"/>
        <color theme="1"/>
        <rFont val="Calibri"/>
        <family val="2"/>
        <charset val="204"/>
        <scheme val="minor"/>
      </rPr>
      <t>Бюджет операционных затрат работы торговой точки</t>
    </r>
    <r>
      <rPr>
        <b/>
        <i/>
        <sz val="15"/>
        <color theme="1"/>
        <rFont val="Calibri"/>
        <family val="2"/>
        <charset val="204"/>
        <scheme val="minor"/>
      </rPr>
      <t xml:space="preserve"> </t>
    </r>
    <r>
      <rPr>
        <b/>
        <i/>
        <u/>
        <sz val="15"/>
        <color theme="1"/>
        <rFont val="Calibri"/>
        <family val="2"/>
        <charset val="204"/>
        <scheme val="minor"/>
      </rPr>
      <t xml:space="preserve">(на примере показателей работы действующих торговых точек) </t>
    </r>
  </si>
  <si>
    <r>
      <t>1 управляющий на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b/>
        <u/>
        <sz val="11"/>
        <color rgb="FF000000"/>
        <rFont val="Calibri"/>
        <family val="2"/>
        <charset val="204"/>
      </rPr>
      <t>2 недели</t>
    </r>
  </si>
  <si>
    <t>Командировка персонала (стажировка в Ц.О.)</t>
  </si>
  <si>
    <t>Командировка команды открытия Суши-Маркет</t>
  </si>
  <si>
    <t xml:space="preserve">   Зарплата персонала магазина, руб</t>
  </si>
  <si>
    <t>Аренда (в том числе коммунальные платежи), руб</t>
  </si>
  <si>
    <t>Unit Cost (% от оборота)</t>
  </si>
  <si>
    <t>Первоначальная производственная закупка (Unit Coste)</t>
  </si>
  <si>
    <t>Себестоимость товара в обороте (Unit Сoste)</t>
  </si>
  <si>
    <r>
      <t xml:space="preserve">Оборот </t>
    </r>
    <r>
      <rPr>
        <sz val="8"/>
        <rFont val="Arial Cyr"/>
        <charset val="204"/>
      </rPr>
      <t>(</t>
    </r>
    <r>
      <rPr>
        <sz val="8"/>
        <rFont val="Arial Cyr"/>
        <family val="2"/>
        <charset val="204"/>
      </rPr>
      <t>в розничных.ценах)</t>
    </r>
    <r>
      <rPr>
        <b/>
        <sz val="8"/>
        <rFont val="Arial Cyr"/>
        <charset val="204"/>
      </rPr>
      <t>, руб.</t>
    </r>
  </si>
  <si>
    <r>
      <t xml:space="preserve">Маржинальный доход магазина </t>
    </r>
    <r>
      <rPr>
        <sz val="8"/>
        <rFont val="Arial Cyr"/>
        <charset val="204"/>
      </rPr>
      <t>(п1-п2)</t>
    </r>
    <r>
      <rPr>
        <b/>
        <sz val="8"/>
        <rFont val="Arial Cyr"/>
        <charset val="204"/>
      </rPr>
      <t>, руб.</t>
    </r>
  </si>
  <si>
    <t>Себестоимость товара в обороте (Unit Сoste), руб.</t>
  </si>
  <si>
    <r>
      <t xml:space="preserve">Расходы магазина всего </t>
    </r>
    <r>
      <rPr>
        <sz val="8"/>
        <rFont val="Arial Cyr"/>
        <family val="2"/>
        <charset val="204"/>
      </rPr>
      <t>(п5+п6+п7+...+п18)</t>
    </r>
    <r>
      <rPr>
        <b/>
        <sz val="8"/>
        <rFont val="Arial Cyr"/>
        <charset val="204"/>
      </rPr>
      <t>, руб</t>
    </r>
  </si>
  <si>
    <r>
      <t xml:space="preserve">Фонд оплаты труда всего </t>
    </r>
    <r>
      <rPr>
        <sz val="8"/>
        <rFont val="Arial Cyr"/>
        <family val="2"/>
        <charset val="204"/>
      </rPr>
      <t>(п6.1+п6.2+п6.3)</t>
    </r>
    <r>
      <rPr>
        <b/>
        <sz val="8"/>
        <rFont val="Arial Cyr"/>
        <charset val="204"/>
      </rPr>
      <t>, руб</t>
    </r>
  </si>
  <si>
    <t>Дополнительные производственные расходы (% от оборота)</t>
  </si>
  <si>
    <t>Дополнительные производственные расходы, руб</t>
  </si>
  <si>
    <r>
      <t xml:space="preserve">Выплаты отдела доставки (% от оборота) - </t>
    </r>
    <r>
      <rPr>
        <b/>
        <u/>
        <sz val="11"/>
        <color rgb="FF000000"/>
        <rFont val="Calibri"/>
        <family val="2"/>
        <charset val="204"/>
      </rPr>
      <t>учитывается дополнительно, если внедряется доставка</t>
    </r>
  </si>
  <si>
    <t>Кол-во (кв.м.)</t>
  </si>
  <si>
    <t xml:space="preserve">Стоимость за единицу (на кв.м.), руб. </t>
  </si>
  <si>
    <t>Текущие производственные затраты (Unit Coste), руб</t>
  </si>
  <si>
    <t>1-й год (2021). Расчет прогнозируемой рентабельности</t>
  </si>
  <si>
    <t>2-й год (2022). Расчет прогнозируемой рентабельности</t>
  </si>
  <si>
    <t>3-й год (2023). Расчет прогнозируемой рентабельности</t>
  </si>
  <si>
    <t>4-й год (2024). Расчет прогнозируемой рентабельности</t>
  </si>
  <si>
    <t>5-й год (2025). Расчет прогнозируемой рентабельности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</si>
</sst>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_-;\-* #,##0.00_-;_-* &quot;-&quot;??_-;_-@_-"/>
    <numFmt numFmtId="164" formatCode="_-* #,##0.00_р_._-;\-* #,##0.00_р_._-;_-* &quot;-&quot;??_р_._-;_-@_-"/>
    <numFmt numFmtId="165" formatCode="0.0"/>
    <numFmt numFmtId="166" formatCode="0.0%"/>
    <numFmt numFmtId="167" formatCode="[$-419]mmmm\ yyyy;@"/>
    <numFmt numFmtId="168" formatCode="[$-419]mmmm;@"/>
    <numFmt numFmtId="169" formatCode="_(* #,##0.00_);_(* \(#,##0.00\);_(* \-??_);_(@_)"/>
    <numFmt numFmtId="170" formatCode="mmm\ yy"/>
    <numFmt numFmtId="171" formatCode="_-* #,##0.0_р_._-;\-* #,##0.0_р_._-;_-* &quot;-&quot;??_р_._-;_-@_-"/>
    <numFmt numFmtId="172" formatCode="_-* #,##0_р_._-;\-* #,##0_р_._-;_-* &quot;-&quot;??_р_._-;_-@_-"/>
    <numFmt numFmtId="173" formatCode="#,##0.0;[Red]#,##0.0"/>
    <numFmt numFmtId="174" formatCode="#,##0.0"/>
    <numFmt numFmtId="175" formatCode="#,##0_ ;\-#,##0\ "/>
  </numFmts>
  <fonts count="82" x14ac:knownFonts="1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sz val="10"/>
      <name val="Arial Cyr"/>
      <charset val="204"/>
    </font>
    <font>
      <sz val="10"/>
      <color indexed="12"/>
      <name val="Arial Cyr"/>
      <charset val="204"/>
    </font>
    <font>
      <b/>
      <sz val="11"/>
      <name val="Arial Cyr"/>
      <charset val="204"/>
    </font>
    <font>
      <b/>
      <sz val="10"/>
      <color indexed="12"/>
      <name val="Arial Cyr"/>
      <charset val="204"/>
    </font>
    <font>
      <sz val="6"/>
      <name val="Arial Cyr"/>
      <charset val="204"/>
    </font>
    <font>
      <b/>
      <sz val="10"/>
      <color rgb="FF0000FF"/>
      <name val="Arial Cyr"/>
      <charset val="204"/>
    </font>
    <font>
      <sz val="10"/>
      <color rgb="FF0000FF"/>
      <name val="Arial Cyr"/>
      <charset val="204"/>
    </font>
    <font>
      <b/>
      <sz val="9"/>
      <color indexed="81"/>
      <name val="Tahoma"/>
      <family val="2"/>
      <charset val="204"/>
    </font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 Cyr"/>
      <charset val="204"/>
    </font>
    <font>
      <sz val="8"/>
      <name val="Calibri"/>
      <family val="2"/>
      <charset val="204"/>
      <scheme val="minor"/>
    </font>
    <font>
      <b/>
      <sz val="9"/>
      <name val="Arial Cyr"/>
      <charset val="204"/>
    </font>
    <font>
      <b/>
      <i/>
      <sz val="10"/>
      <name val="Calibri"/>
      <family val="2"/>
      <charset val="204"/>
    </font>
    <font>
      <sz val="10"/>
      <name val="Calibri"/>
      <family val="2"/>
      <charset val="204"/>
    </font>
    <font>
      <sz val="10"/>
      <color rgb="FF888888"/>
      <name val="Calibri"/>
      <family val="2"/>
      <charset val="1"/>
    </font>
    <font>
      <b/>
      <sz val="18"/>
      <name val="Calibri"/>
      <family val="2"/>
      <charset val="204"/>
    </font>
    <font>
      <b/>
      <u/>
      <sz val="10"/>
      <name val="Calibri"/>
      <family val="2"/>
      <charset val="204"/>
    </font>
    <font>
      <b/>
      <sz val="10"/>
      <name val="Calibri"/>
      <family val="2"/>
      <charset val="204"/>
    </font>
    <font>
      <b/>
      <sz val="12"/>
      <name val="Calibri"/>
      <family val="2"/>
      <charset val="204"/>
    </font>
    <font>
      <b/>
      <sz val="10"/>
      <color rgb="FF000000"/>
      <name val="Calibri"/>
      <family val="2"/>
      <charset val="1"/>
    </font>
    <font>
      <b/>
      <u/>
      <sz val="18"/>
      <name val="Calibri"/>
      <family val="2"/>
      <charset val="204"/>
    </font>
    <font>
      <b/>
      <sz val="10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8.5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i/>
      <sz val="11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b/>
      <sz val="12"/>
      <color rgb="FF000000"/>
      <name val="Calibri"/>
      <family val="2"/>
      <charset val="204"/>
    </font>
    <font>
      <b/>
      <i/>
      <sz val="12"/>
      <color rgb="FF000000"/>
      <name val="Calibri"/>
      <family val="2"/>
      <charset val="204"/>
    </font>
    <font>
      <b/>
      <i/>
      <sz val="12"/>
      <name val="Calibri"/>
      <family val="2"/>
      <charset val="204"/>
    </font>
    <font>
      <u/>
      <sz val="18"/>
      <color rgb="FF000000"/>
      <name val="Calibri"/>
      <family val="2"/>
      <charset val="204"/>
    </font>
    <font>
      <sz val="11"/>
      <color rgb="FF000000"/>
      <name val="Calibri"/>
      <family val="2"/>
    </font>
    <font>
      <b/>
      <sz val="20"/>
      <color rgb="FFFF0000"/>
      <name val="Calibri"/>
      <family val="2"/>
      <charset val="204"/>
    </font>
    <font>
      <sz val="12"/>
      <name val="Arial Cyr"/>
      <family val="2"/>
      <charset val="204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b/>
      <sz val="8"/>
      <name val="Arial Cyr"/>
      <charset val="204"/>
    </font>
    <font>
      <sz val="8"/>
      <color theme="0"/>
      <name val="Arial Cyr"/>
      <family val="2"/>
      <charset val="204"/>
    </font>
    <font>
      <i/>
      <sz val="7"/>
      <name val="Arial"/>
      <family val="2"/>
      <charset val="204"/>
    </font>
    <font>
      <i/>
      <sz val="7"/>
      <color theme="1"/>
      <name val="Arial"/>
      <family val="2"/>
      <charset val="204"/>
    </font>
    <font>
      <i/>
      <sz val="7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7"/>
      <name val="Arial"/>
      <family val="2"/>
      <charset val="204"/>
    </font>
    <font>
      <sz val="7"/>
      <name val="Arial Cyr"/>
      <family val="2"/>
      <charset val="204"/>
    </font>
    <font>
      <b/>
      <i/>
      <sz val="11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i/>
      <u/>
      <sz val="11"/>
      <color rgb="FF000000"/>
      <name val="Calibri"/>
      <family val="2"/>
      <charset val="204"/>
    </font>
    <font>
      <b/>
      <i/>
      <sz val="10"/>
      <color rgb="FF000000"/>
      <name val="Calibri"/>
      <family val="2"/>
      <charset val="204"/>
    </font>
    <font>
      <b/>
      <sz val="11"/>
      <color rgb="FF000000"/>
      <name val="Calibri"/>
      <family val="2"/>
      <charset val="1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  <charset val="204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8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8.5"/>
      <color theme="1"/>
      <name val="Calibri"/>
      <family val="2"/>
      <charset val="204"/>
      <scheme val="minor"/>
    </font>
    <font>
      <b/>
      <i/>
      <sz val="18"/>
      <name val="Calibri"/>
      <family val="2"/>
      <charset val="204"/>
      <scheme val="minor"/>
    </font>
    <font>
      <b/>
      <i/>
      <sz val="15"/>
      <color theme="1"/>
      <name val="Calibri"/>
      <family val="2"/>
      <charset val="204"/>
      <scheme val="minor"/>
    </font>
    <font>
      <b/>
      <i/>
      <u/>
      <sz val="11"/>
      <color rgb="FFFF0000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b/>
      <i/>
      <u/>
      <sz val="15"/>
      <color theme="1"/>
      <name val="Calibri"/>
      <family val="2"/>
      <charset val="204"/>
      <scheme val="minor"/>
    </font>
    <font>
      <i/>
      <sz val="7"/>
      <name val="Arial Cyr"/>
      <family val="2"/>
      <charset val="204"/>
    </font>
    <font>
      <u/>
      <sz val="11"/>
      <color theme="10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6A6A6"/>
        <bgColor rgb="FFBEBEBE"/>
      </patternFill>
    </fill>
    <fill>
      <patternFill patternType="solid">
        <fgColor rgb="FFD9D9D9"/>
        <bgColor rgb="FFEEBEC0"/>
      </patternFill>
    </fill>
    <fill>
      <patternFill patternType="solid">
        <fgColor rgb="FFFFFF09"/>
        <bgColor indexed="64"/>
      </patternFill>
    </fill>
    <fill>
      <patternFill patternType="solid">
        <fgColor rgb="FFFFFFC5"/>
        <bgColor indexed="64"/>
      </patternFill>
    </fill>
    <fill>
      <patternFill patternType="solid">
        <fgColor rgb="FFE5FFF4"/>
        <bgColor indexed="64"/>
      </patternFill>
    </fill>
    <fill>
      <patternFill patternType="solid">
        <fgColor rgb="FFBEBEBE"/>
        <bgColor rgb="FFBFBFBF"/>
      </patternFill>
    </fill>
    <fill>
      <patternFill patternType="solid">
        <fgColor rgb="FFBFBFBF"/>
        <bgColor rgb="FFBEBEBE"/>
      </patternFill>
    </fill>
    <fill>
      <patternFill patternType="solid">
        <fgColor rgb="FFFFFFE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</patternFill>
    </fill>
    <fill>
      <patternFill patternType="solid">
        <fgColor theme="7" tint="0.39997558519241921"/>
        <bgColor rgb="FFD9D9D9"/>
      </patternFill>
    </fill>
    <fill>
      <patternFill patternType="solid">
        <fgColor theme="8" tint="0.79998168889431442"/>
        <bgColor rgb="FFFFFF00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5">
    <xf numFmtId="0" fontId="0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4" fillId="0" borderId="0"/>
    <xf numFmtId="169" fontId="14" fillId="0" borderId="0" applyBorder="0" applyProtection="0"/>
    <xf numFmtId="9" fontId="14" fillId="0" borderId="0" applyBorder="0" applyProtection="0"/>
    <xf numFmtId="43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59" fillId="0" borderId="0"/>
    <xf numFmtId="0" fontId="59" fillId="0" borderId="0"/>
    <xf numFmtId="0" fontId="61" fillId="0" borderId="0"/>
    <xf numFmtId="9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0" fontId="81" fillId="0" borderId="0" applyNumberFormat="0" applyFill="0" applyBorder="0" applyAlignment="0" applyProtection="0"/>
  </cellStyleXfs>
  <cellXfs count="549">
    <xf numFmtId="0" fontId="0" fillId="0" borderId="0" xfId="0"/>
    <xf numFmtId="0" fontId="4" fillId="0" borderId="0" xfId="1" applyFont="1" applyFill="1" applyBorder="1" applyAlignment="1" applyProtection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7" fillId="0" borderId="0" xfId="0" applyFont="1" applyBorder="1" applyAlignment="1" applyProtection="1">
      <alignment vertical="center"/>
      <protection locked="0"/>
    </xf>
    <xf numFmtId="3" fontId="7" fillId="0" borderId="0" xfId="0" applyNumberFormat="1" applyFont="1" applyBorder="1" applyAlignment="1" applyProtection="1">
      <alignment vertical="center"/>
      <protection locked="0"/>
    </xf>
    <xf numFmtId="3" fontId="0" fillId="0" borderId="7" xfId="0" applyNumberFormat="1" applyBorder="1" applyAlignment="1">
      <alignment vertical="center"/>
    </xf>
    <xf numFmtId="0" fontId="7" fillId="0" borderId="0" xfId="0" applyFont="1" applyAlignment="1" applyProtection="1">
      <alignment vertical="center"/>
      <protection locked="0"/>
    </xf>
    <xf numFmtId="3" fontId="20" fillId="0" borderId="0" xfId="0" applyNumberFormat="1" applyFont="1" applyAlignment="1">
      <alignment vertical="center"/>
    </xf>
    <xf numFmtId="3" fontId="20" fillId="0" borderId="0" xfId="0" applyNumberFormat="1" applyFont="1" applyAlignment="1">
      <alignment horizontal="center" vertical="center"/>
    </xf>
    <xf numFmtId="3" fontId="21" fillId="0" borderId="0" xfId="0" applyNumberFormat="1" applyFont="1" applyAlignment="1">
      <alignment vertical="center"/>
    </xf>
    <xf numFmtId="3" fontId="22" fillId="0" borderId="0" xfId="0" applyNumberFormat="1" applyFont="1" applyAlignment="1">
      <alignment vertical="center"/>
    </xf>
    <xf numFmtId="3" fontId="23" fillId="0" borderId="52" xfId="0" applyNumberFormat="1" applyFont="1" applyBorder="1" applyAlignment="1">
      <alignment vertical="center"/>
    </xf>
    <xf numFmtId="3" fontId="19" fillId="4" borderId="0" xfId="0" applyNumberFormat="1" applyFont="1" applyFill="1" applyAlignment="1">
      <alignment vertical="center"/>
    </xf>
    <xf numFmtId="3" fontId="20" fillId="4" borderId="0" xfId="0" applyNumberFormat="1" applyFont="1" applyFill="1" applyAlignment="1">
      <alignment vertical="center"/>
    </xf>
    <xf numFmtId="3" fontId="20" fillId="4" borderId="0" xfId="0" applyNumberFormat="1" applyFont="1" applyFill="1" applyAlignment="1">
      <alignment horizontal="center" vertical="center"/>
    </xf>
    <xf numFmtId="3" fontId="24" fillId="0" borderId="27" xfId="0" applyNumberFormat="1" applyFont="1" applyBorder="1" applyAlignment="1">
      <alignment vertical="center" wrapText="1"/>
    </xf>
    <xf numFmtId="3" fontId="24" fillId="0" borderId="27" xfId="0" applyNumberFormat="1" applyFont="1" applyBorder="1" applyAlignment="1">
      <alignment horizontal="center" vertical="center" wrapText="1"/>
    </xf>
    <xf numFmtId="3" fontId="26" fillId="0" borderId="27" xfId="0" applyNumberFormat="1" applyFont="1" applyBorder="1" applyAlignment="1">
      <alignment horizontal="center" vertical="center" wrapText="1"/>
    </xf>
    <xf numFmtId="3" fontId="28" fillId="5" borderId="56" xfId="0" applyNumberFormat="1" applyFont="1" applyFill="1" applyBorder="1" applyAlignment="1">
      <alignment vertical="center"/>
    </xf>
    <xf numFmtId="3" fontId="0" fillId="5" borderId="17" xfId="0" applyNumberFormat="1" applyFill="1" applyBorder="1" applyAlignment="1">
      <alignment vertical="center"/>
    </xf>
    <xf numFmtId="3" fontId="0" fillId="5" borderId="16" xfId="0" applyNumberFormat="1" applyFill="1" applyBorder="1" applyAlignment="1">
      <alignment vertical="center"/>
    </xf>
    <xf numFmtId="3" fontId="29" fillId="5" borderId="16" xfId="0" applyNumberFormat="1" applyFont="1" applyFill="1" applyBorder="1" applyAlignment="1">
      <alignment vertical="center"/>
    </xf>
    <xf numFmtId="3" fontId="30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3" fontId="31" fillId="0" borderId="0" xfId="0" applyNumberFormat="1" applyFont="1" applyAlignment="1">
      <alignment vertical="center"/>
    </xf>
    <xf numFmtId="3" fontId="0" fillId="0" borderId="16" xfId="0" applyNumberFormat="1" applyBorder="1" applyAlignment="1">
      <alignment vertical="center"/>
    </xf>
    <xf numFmtId="3" fontId="24" fillId="5" borderId="56" xfId="0" applyNumberFormat="1" applyFont="1" applyFill="1" applyBorder="1" applyAlignment="1">
      <alignment vertical="center"/>
    </xf>
    <xf numFmtId="3" fontId="29" fillId="5" borderId="17" xfId="0" applyNumberFormat="1" applyFont="1" applyFill="1" applyBorder="1" applyAlignment="1">
      <alignment vertical="center"/>
    </xf>
    <xf numFmtId="3" fontId="0" fillId="6" borderId="0" xfId="0" applyNumberFormat="1" applyFill="1" applyAlignment="1">
      <alignment vertical="center"/>
    </xf>
    <xf numFmtId="3" fontId="32" fillId="0" borderId="0" xfId="0" applyNumberFormat="1" applyFont="1" applyAlignment="1">
      <alignment vertical="center"/>
    </xf>
    <xf numFmtId="3" fontId="0" fillId="7" borderId="0" xfId="0" applyNumberFormat="1" applyFill="1" applyAlignment="1">
      <alignment vertical="center"/>
    </xf>
    <xf numFmtId="3" fontId="0" fillId="0" borderId="57" xfId="0" applyNumberFormat="1" applyBorder="1" applyAlignment="1">
      <alignment vertical="center"/>
    </xf>
    <xf numFmtId="3" fontId="30" fillId="0" borderId="57" xfId="0" applyNumberFormat="1" applyFont="1" applyBorder="1" applyAlignment="1">
      <alignment vertical="center"/>
    </xf>
    <xf numFmtId="3" fontId="0" fillId="8" borderId="58" xfId="0" applyNumberFormat="1" applyFill="1" applyBorder="1" applyAlignment="1">
      <alignment vertical="center"/>
    </xf>
    <xf numFmtId="3" fontId="30" fillId="0" borderId="58" xfId="0" applyNumberFormat="1" applyFont="1" applyBorder="1" applyAlignment="1">
      <alignment vertical="center"/>
    </xf>
    <xf numFmtId="3" fontId="0" fillId="7" borderId="58" xfId="0" applyNumberFormat="1" applyFill="1" applyBorder="1" applyAlignment="1">
      <alignment vertical="center"/>
    </xf>
    <xf numFmtId="3" fontId="0" fillId="0" borderId="58" xfId="0" applyNumberFormat="1" applyBorder="1" applyAlignment="1">
      <alignment vertical="center"/>
    </xf>
    <xf numFmtId="3" fontId="24" fillId="5" borderId="55" xfId="0" applyNumberFormat="1" applyFont="1" applyFill="1" applyBorder="1" applyAlignment="1">
      <alignment vertical="center"/>
    </xf>
    <xf numFmtId="3" fontId="0" fillId="0" borderId="31" xfId="0" applyNumberFormat="1" applyBorder="1" applyAlignment="1">
      <alignment vertical="center"/>
    </xf>
    <xf numFmtId="3" fontId="0" fillId="7" borderId="57" xfId="0" applyNumberFormat="1" applyFill="1" applyBorder="1" applyAlignment="1">
      <alignment vertical="center"/>
    </xf>
    <xf numFmtId="3" fontId="0" fillId="8" borderId="0" xfId="0" applyNumberFormat="1" applyFill="1" applyAlignment="1">
      <alignment vertical="center"/>
    </xf>
    <xf numFmtId="3" fontId="0" fillId="7" borderId="16" xfId="0" applyNumberFormat="1" applyFill="1" applyBorder="1" applyAlignment="1">
      <alignment vertical="center"/>
    </xf>
    <xf numFmtId="3" fontId="20" fillId="0" borderId="57" xfId="0" applyNumberFormat="1" applyFont="1" applyBorder="1" applyAlignment="1">
      <alignment vertical="center"/>
    </xf>
    <xf numFmtId="3" fontId="20" fillId="0" borderId="57" xfId="0" applyNumberFormat="1" applyFont="1" applyBorder="1" applyAlignment="1">
      <alignment horizontal="center" vertical="center"/>
    </xf>
    <xf numFmtId="3" fontId="34" fillId="0" borderId="0" xfId="0" applyNumberFormat="1" applyFont="1" applyAlignment="1">
      <alignment vertical="center"/>
    </xf>
    <xf numFmtId="3" fontId="35" fillId="5" borderId="59" xfId="0" applyNumberFormat="1" applyFont="1" applyFill="1" applyBorder="1" applyAlignment="1">
      <alignment vertical="center"/>
    </xf>
    <xf numFmtId="3" fontId="0" fillId="5" borderId="60" xfId="0" applyNumberFormat="1" applyFill="1" applyBorder="1" applyAlignment="1">
      <alignment vertical="center"/>
    </xf>
    <xf numFmtId="3" fontId="35" fillId="5" borderId="60" xfId="0" applyNumberFormat="1" applyFont="1" applyFill="1" applyBorder="1" applyAlignment="1">
      <alignment vertical="center"/>
    </xf>
    <xf numFmtId="3" fontId="20" fillId="0" borderId="60" xfId="0" applyNumberFormat="1" applyFont="1" applyBorder="1" applyAlignment="1">
      <alignment vertical="center"/>
    </xf>
    <xf numFmtId="3" fontId="0" fillId="0" borderId="60" xfId="0" applyNumberFormat="1" applyBorder="1" applyAlignment="1">
      <alignment vertical="center"/>
    </xf>
    <xf numFmtId="3" fontId="37" fillId="5" borderId="59" xfId="0" applyNumberFormat="1" applyFont="1" applyFill="1" applyBorder="1" applyAlignment="1">
      <alignment vertical="center"/>
    </xf>
    <xf numFmtId="3" fontId="0" fillId="0" borderId="61" xfId="0" applyNumberFormat="1" applyBorder="1" applyAlignment="1">
      <alignment vertical="center"/>
    </xf>
    <xf numFmtId="3" fontId="37" fillId="5" borderId="62" xfId="0" applyNumberFormat="1" applyFont="1" applyFill="1" applyBorder="1" applyAlignment="1">
      <alignment vertical="center"/>
    </xf>
    <xf numFmtId="3" fontId="0" fillId="5" borderId="60" xfId="0" applyNumberFormat="1" applyFill="1" applyBorder="1" applyAlignment="1">
      <alignment horizontal="center" vertical="center" wrapText="1"/>
    </xf>
    <xf numFmtId="3" fontId="35" fillId="5" borderId="60" xfId="0" applyNumberFormat="1" applyFont="1" applyFill="1" applyBorder="1" applyAlignment="1">
      <alignment horizontal="right" vertical="center" wrapText="1"/>
    </xf>
    <xf numFmtId="3" fontId="38" fillId="0" borderId="60" xfId="0" applyNumberFormat="1" applyFont="1" applyBorder="1" applyAlignment="1">
      <alignment horizontal="center" vertical="center" wrapText="1"/>
    </xf>
    <xf numFmtId="3" fontId="37" fillId="5" borderId="64" xfId="0" applyNumberFormat="1" applyFont="1" applyFill="1" applyBorder="1" applyAlignment="1">
      <alignment vertical="center"/>
    </xf>
    <xf numFmtId="3" fontId="38" fillId="5" borderId="65" xfId="0" applyNumberFormat="1" applyFont="1" applyFill="1" applyBorder="1" applyAlignment="1">
      <alignment horizontal="center" vertical="center" wrapText="1"/>
    </xf>
    <xf numFmtId="3" fontId="38" fillId="5" borderId="58" xfId="0" applyNumberFormat="1" applyFont="1" applyFill="1" applyBorder="1" applyAlignment="1">
      <alignment horizontal="center" vertical="center" wrapText="1"/>
    </xf>
    <xf numFmtId="3" fontId="35" fillId="5" borderId="58" xfId="0" applyNumberFormat="1" applyFont="1" applyFill="1" applyBorder="1" applyAlignment="1">
      <alignment horizontal="right" vertical="center" wrapText="1"/>
    </xf>
    <xf numFmtId="3" fontId="39" fillId="0" borderId="27" xfId="0" applyNumberFormat="1" applyFont="1" applyBorder="1" applyAlignment="1">
      <alignment vertical="center"/>
    </xf>
    <xf numFmtId="3" fontId="0" fillId="0" borderId="66" xfId="0" applyNumberFormat="1" applyBorder="1" applyAlignment="1">
      <alignment vertical="center"/>
    </xf>
    <xf numFmtId="3" fontId="39" fillId="0" borderId="67" xfId="0" applyNumberFormat="1" applyFont="1" applyBorder="1" applyAlignment="1">
      <alignment vertical="center"/>
    </xf>
    <xf numFmtId="3" fontId="0" fillId="0" borderId="59" xfId="0" applyNumberFormat="1" applyBorder="1" applyAlignment="1">
      <alignment vertical="center"/>
    </xf>
    <xf numFmtId="3" fontId="0" fillId="0" borderId="57" xfId="0" applyNumberFormat="1" applyBorder="1" applyAlignment="1">
      <alignment horizontal="center" vertical="center"/>
    </xf>
    <xf numFmtId="3" fontId="37" fillId="0" borderId="0" xfId="0" applyNumberFormat="1" applyFont="1" applyAlignment="1">
      <alignment vertical="center"/>
    </xf>
    <xf numFmtId="3" fontId="40" fillId="9" borderId="0" xfId="0" applyNumberFormat="1" applyFont="1" applyFill="1" applyAlignment="1">
      <alignment vertical="center"/>
    </xf>
    <xf numFmtId="3" fontId="0" fillId="10" borderId="0" xfId="0" applyNumberFormat="1" applyFill="1" applyAlignment="1">
      <alignment vertical="center"/>
    </xf>
    <xf numFmtId="3" fontId="40" fillId="10" borderId="0" xfId="0" applyNumberFormat="1" applyFont="1" applyFill="1" applyAlignment="1">
      <alignment horizontal="right" vertical="center"/>
    </xf>
    <xf numFmtId="3" fontId="20" fillId="0" borderId="8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3" fontId="20" fillId="0" borderId="12" xfId="0" applyNumberFormat="1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42" fillId="0" borderId="69" xfId="0" applyFont="1" applyBorder="1" applyAlignment="1">
      <alignment horizontal="left" vertical="center" wrapText="1"/>
    </xf>
    <xf numFmtId="170" fontId="42" fillId="0" borderId="69" xfId="0" applyNumberFormat="1" applyFont="1" applyBorder="1" applyAlignment="1">
      <alignment horizontal="center" vertical="center"/>
    </xf>
    <xf numFmtId="170" fontId="42" fillId="0" borderId="70" xfId="0" applyNumberFormat="1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3" fillId="0" borderId="1" xfId="0" applyFont="1" applyBorder="1" applyAlignment="1">
      <alignment horizontal="left" vertical="center" wrapText="1"/>
    </xf>
    <xf numFmtId="0" fontId="43" fillId="0" borderId="64" xfId="0" applyFont="1" applyBorder="1" applyAlignment="1">
      <alignment horizontal="left" vertical="center" wrapText="1"/>
    </xf>
    <xf numFmtId="0" fontId="44" fillId="0" borderId="1" xfId="0" applyFont="1" applyBorder="1" applyAlignment="1">
      <alignment horizontal="left" vertical="center" wrapText="1"/>
    </xf>
    <xf numFmtId="49" fontId="42" fillId="0" borderId="68" xfId="0" applyNumberFormat="1" applyFont="1" applyBorder="1" applyAlignment="1">
      <alignment horizontal="right" vertical="center"/>
    </xf>
    <xf numFmtId="0" fontId="43" fillId="11" borderId="1" xfId="0" applyFont="1" applyFill="1" applyBorder="1" applyAlignment="1">
      <alignment horizontal="left" vertical="center"/>
    </xf>
    <xf numFmtId="0" fontId="43" fillId="11" borderId="1" xfId="0" applyFont="1" applyFill="1" applyBorder="1" applyAlignment="1">
      <alignment horizontal="left" vertical="center" wrapText="1"/>
    </xf>
    <xf numFmtId="0" fontId="44" fillId="11" borderId="1" xfId="0" applyFont="1" applyFill="1" applyBorder="1" applyAlignment="1">
      <alignment horizontal="left" vertical="center" wrapText="1"/>
    </xf>
    <xf numFmtId="0" fontId="43" fillId="11" borderId="64" xfId="0" applyFont="1" applyFill="1" applyBorder="1" applyAlignment="1">
      <alignment horizontal="left" vertical="center" wrapText="1"/>
    </xf>
    <xf numFmtId="0" fontId="46" fillId="0" borderId="0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49" fontId="44" fillId="11" borderId="2" xfId="0" applyNumberFormat="1" applyFont="1" applyFill="1" applyBorder="1" applyAlignment="1">
      <alignment horizontal="right" vertical="center"/>
    </xf>
    <xf numFmtId="3" fontId="43" fillId="11" borderId="24" xfId="3" applyNumberFormat="1" applyFont="1" applyFill="1" applyBorder="1" applyAlignment="1">
      <alignment horizontal="right" vertical="center"/>
    </xf>
    <xf numFmtId="10" fontId="43" fillId="11" borderId="24" xfId="2" applyNumberFormat="1" applyFont="1" applyFill="1" applyBorder="1" applyAlignment="1">
      <alignment horizontal="right" vertical="center"/>
    </xf>
    <xf numFmtId="3" fontId="43" fillId="11" borderId="0" xfId="0" applyNumberFormat="1" applyFont="1" applyFill="1" applyBorder="1" applyAlignment="1">
      <alignment vertical="center"/>
    </xf>
    <xf numFmtId="3" fontId="43" fillId="11" borderId="7" xfId="0" applyNumberFormat="1" applyFont="1" applyFill="1" applyBorder="1" applyAlignment="1">
      <alignment vertical="center"/>
    </xf>
    <xf numFmtId="0" fontId="0" fillId="11" borderId="0" xfId="0" applyFill="1" applyAlignment="1">
      <alignment vertical="center"/>
    </xf>
    <xf numFmtId="0" fontId="42" fillId="11" borderId="0" xfId="0" applyFont="1" applyFill="1" applyAlignment="1">
      <alignment vertical="center"/>
    </xf>
    <xf numFmtId="3" fontId="44" fillId="11" borderId="1" xfId="3" applyNumberFormat="1" applyFont="1" applyFill="1" applyBorder="1" applyAlignment="1">
      <alignment horizontal="right" vertical="center"/>
    </xf>
    <xf numFmtId="10" fontId="44" fillId="11" borderId="1" xfId="2" applyNumberFormat="1" applyFont="1" applyFill="1" applyBorder="1" applyAlignment="1">
      <alignment horizontal="right" vertical="center"/>
    </xf>
    <xf numFmtId="0" fontId="15" fillId="11" borderId="0" xfId="0" applyFont="1" applyFill="1" applyAlignment="1">
      <alignment vertical="center"/>
    </xf>
    <xf numFmtId="0" fontId="43" fillId="11" borderId="0" xfId="0" applyFont="1" applyFill="1" applyAlignment="1">
      <alignment vertical="center"/>
    </xf>
    <xf numFmtId="49" fontId="44" fillId="11" borderId="3" xfId="0" applyNumberFormat="1" applyFont="1" applyFill="1" applyBorder="1" applyAlignment="1">
      <alignment horizontal="right" vertical="center"/>
    </xf>
    <xf numFmtId="3" fontId="43" fillId="11" borderId="64" xfId="3" applyNumberFormat="1" applyFont="1" applyFill="1" applyBorder="1" applyAlignment="1">
      <alignment horizontal="right" vertical="center"/>
    </xf>
    <xf numFmtId="10" fontId="43" fillId="11" borderId="64" xfId="2" applyNumberFormat="1" applyFont="1" applyFill="1" applyBorder="1" applyAlignment="1">
      <alignment horizontal="right" vertical="center"/>
    </xf>
    <xf numFmtId="3" fontId="43" fillId="11" borderId="16" xfId="0" applyNumberFormat="1" applyFont="1" applyFill="1" applyBorder="1" applyAlignment="1">
      <alignment vertical="center"/>
    </xf>
    <xf numFmtId="3" fontId="43" fillId="11" borderId="22" xfId="0" applyNumberFormat="1" applyFont="1" applyFill="1" applyBorder="1" applyAlignment="1">
      <alignment vertical="center"/>
    </xf>
    <xf numFmtId="3" fontId="43" fillId="11" borderId="1" xfId="3" applyNumberFormat="1" applyFont="1" applyFill="1" applyBorder="1" applyAlignment="1">
      <alignment horizontal="right" vertical="center"/>
    </xf>
    <xf numFmtId="10" fontId="43" fillId="11" borderId="1" xfId="2" applyNumberFormat="1" applyFont="1" applyFill="1" applyBorder="1" applyAlignment="1">
      <alignment horizontal="right" vertical="center"/>
    </xf>
    <xf numFmtId="49" fontId="44" fillId="0" borderId="2" xfId="0" applyNumberFormat="1" applyFont="1" applyBorder="1" applyAlignment="1">
      <alignment horizontal="right" vertical="center"/>
    </xf>
    <xf numFmtId="3" fontId="43" fillId="0" borderId="1" xfId="3" applyNumberFormat="1" applyFont="1" applyFill="1" applyBorder="1" applyAlignment="1">
      <alignment horizontal="right" vertical="center"/>
    </xf>
    <xf numFmtId="10" fontId="43" fillId="0" borderId="1" xfId="2" applyNumberFormat="1" applyFont="1" applyFill="1" applyBorder="1" applyAlignment="1">
      <alignment horizontal="right" vertical="center"/>
    </xf>
    <xf numFmtId="3" fontId="43" fillId="0" borderId="0" xfId="0" applyNumberFormat="1" applyFont="1" applyBorder="1" applyAlignment="1">
      <alignment horizontal="right" vertical="center"/>
    </xf>
    <xf numFmtId="3" fontId="43" fillId="0" borderId="7" xfId="0" applyNumberFormat="1" applyFont="1" applyBorder="1" applyAlignment="1">
      <alignment horizontal="right" vertical="center"/>
    </xf>
    <xf numFmtId="0" fontId="43" fillId="0" borderId="0" xfId="0" applyFont="1" applyAlignment="1">
      <alignment vertical="center"/>
    </xf>
    <xf numFmtId="49" fontId="42" fillId="0" borderId="2" xfId="0" applyNumberFormat="1" applyFont="1" applyBorder="1" applyAlignment="1">
      <alignment horizontal="right" vertical="center"/>
    </xf>
    <xf numFmtId="3" fontId="44" fillId="0" borderId="1" xfId="3" applyNumberFormat="1" applyFont="1" applyFill="1" applyBorder="1" applyAlignment="1">
      <alignment horizontal="right" vertical="center"/>
    </xf>
    <xf numFmtId="10" fontId="44" fillId="0" borderId="1" xfId="2" applyNumberFormat="1" applyFont="1" applyFill="1" applyBorder="1" applyAlignment="1">
      <alignment horizontal="right" vertical="center"/>
    </xf>
    <xf numFmtId="3" fontId="44" fillId="0" borderId="0" xfId="0" applyNumberFormat="1" applyFont="1" applyBorder="1" applyAlignment="1">
      <alignment horizontal="right" vertical="center"/>
    </xf>
    <xf numFmtId="3" fontId="44" fillId="0" borderId="7" xfId="0" applyNumberFormat="1" applyFont="1" applyBorder="1" applyAlignment="1">
      <alignment horizontal="right" vertical="center"/>
    </xf>
    <xf numFmtId="49" fontId="43" fillId="0" borderId="2" xfId="0" applyNumberFormat="1" applyFont="1" applyBorder="1" applyAlignment="1">
      <alignment horizontal="right" vertical="center"/>
    </xf>
    <xf numFmtId="3" fontId="49" fillId="0" borderId="0" xfId="0" applyNumberFormat="1" applyFont="1" applyBorder="1" applyAlignment="1">
      <alignment horizontal="right" vertical="center"/>
    </xf>
    <xf numFmtId="3" fontId="49" fillId="0" borderId="7" xfId="0" applyNumberFormat="1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49" fontId="51" fillId="0" borderId="2" xfId="0" applyNumberFormat="1" applyFont="1" applyBorder="1" applyAlignment="1">
      <alignment horizontal="right" vertical="center"/>
    </xf>
    <xf numFmtId="10" fontId="48" fillId="0" borderId="0" xfId="0" applyNumberFormat="1" applyFont="1" applyBorder="1" applyAlignment="1">
      <alignment horizontal="right" vertical="center"/>
    </xf>
    <xf numFmtId="10" fontId="48" fillId="0" borderId="7" xfId="0" applyNumberFormat="1" applyFont="1" applyBorder="1" applyAlignment="1">
      <alignment horizontal="right" vertical="center"/>
    </xf>
    <xf numFmtId="0" fontId="47" fillId="0" borderId="0" xfId="0" applyFont="1" applyBorder="1" applyAlignment="1">
      <alignment vertical="center"/>
    </xf>
    <xf numFmtId="10" fontId="48" fillId="0" borderId="0" xfId="0" applyNumberFormat="1" applyFont="1" applyBorder="1" applyAlignment="1">
      <alignment vertical="center"/>
    </xf>
    <xf numFmtId="10" fontId="48" fillId="0" borderId="7" xfId="0" applyNumberFormat="1" applyFont="1" applyBorder="1" applyAlignment="1">
      <alignment vertical="center"/>
    </xf>
    <xf numFmtId="3" fontId="49" fillId="0" borderId="0" xfId="0" applyNumberFormat="1" applyFont="1" applyBorder="1" applyAlignment="1">
      <alignment vertical="center"/>
    </xf>
    <xf numFmtId="3" fontId="49" fillId="0" borderId="7" xfId="0" applyNumberFormat="1" applyFont="1" applyBorder="1" applyAlignment="1">
      <alignment vertical="center"/>
    </xf>
    <xf numFmtId="49" fontId="44" fillId="0" borderId="3" xfId="0" applyNumberFormat="1" applyFont="1" applyBorder="1" applyAlignment="1">
      <alignment horizontal="right" vertical="center"/>
    </xf>
    <xf numFmtId="3" fontId="44" fillId="0" borderId="64" xfId="3" applyNumberFormat="1" applyFont="1" applyFill="1" applyBorder="1" applyAlignment="1">
      <alignment horizontal="right" vertical="center"/>
    </xf>
    <xf numFmtId="10" fontId="44" fillId="0" borderId="64" xfId="2" applyNumberFormat="1" applyFont="1" applyFill="1" applyBorder="1" applyAlignment="1">
      <alignment horizontal="right" vertical="center"/>
    </xf>
    <xf numFmtId="3" fontId="44" fillId="0" borderId="16" xfId="0" applyNumberFormat="1" applyFont="1" applyBorder="1" applyAlignment="1">
      <alignment horizontal="right" vertical="center"/>
    </xf>
    <xf numFmtId="3" fontId="44" fillId="0" borderId="22" xfId="0" applyNumberFormat="1" applyFont="1" applyBorder="1" applyAlignment="1">
      <alignment horizontal="right" vertical="center"/>
    </xf>
    <xf numFmtId="3" fontId="43" fillId="11" borderId="27" xfId="3" applyNumberFormat="1" applyFont="1" applyFill="1" applyBorder="1" applyAlignment="1">
      <alignment horizontal="right" vertical="center"/>
    </xf>
    <xf numFmtId="10" fontId="43" fillId="11" borderId="27" xfId="2" applyNumberFormat="1" applyFont="1" applyFill="1" applyBorder="1" applyAlignment="1">
      <alignment horizontal="right" vertical="center"/>
    </xf>
    <xf numFmtId="3" fontId="43" fillId="11" borderId="17" xfId="0" applyNumberFormat="1" applyFont="1" applyFill="1" applyBorder="1" applyAlignment="1">
      <alignment horizontal="right" vertical="center"/>
    </xf>
    <xf numFmtId="3" fontId="43" fillId="11" borderId="20" xfId="0" applyNumberFormat="1" applyFont="1" applyFill="1" applyBorder="1" applyAlignment="1">
      <alignment horizontal="right" vertical="center"/>
    </xf>
    <xf numFmtId="3" fontId="44" fillId="11" borderId="0" xfId="0" applyNumberFormat="1" applyFont="1" applyFill="1" applyBorder="1" applyAlignment="1">
      <alignment vertical="center"/>
    </xf>
    <xf numFmtId="3" fontId="44" fillId="11" borderId="7" xfId="0" applyNumberFormat="1" applyFont="1" applyFill="1" applyBorder="1" applyAlignment="1">
      <alignment vertical="center"/>
    </xf>
    <xf numFmtId="49" fontId="44" fillId="11" borderId="4" xfId="0" applyNumberFormat="1" applyFont="1" applyFill="1" applyBorder="1" applyAlignment="1">
      <alignment horizontal="right" vertical="center"/>
    </xf>
    <xf numFmtId="166" fontId="44" fillId="11" borderId="13" xfId="2" applyNumberFormat="1" applyFont="1" applyFill="1" applyBorder="1" applyAlignment="1">
      <alignment horizontal="right" vertical="center"/>
    </xf>
    <xf numFmtId="166" fontId="44" fillId="11" borderId="8" xfId="2" applyNumberFormat="1" applyFont="1" applyFill="1" applyBorder="1" applyAlignment="1">
      <alignment horizontal="right" vertical="center"/>
    </xf>
    <xf numFmtId="49" fontId="8" fillId="0" borderId="0" xfId="0" applyNumberFormat="1" applyFont="1" applyAlignment="1">
      <alignment horizontal="left" vertical="center"/>
    </xf>
    <xf numFmtId="171" fontId="42" fillId="0" borderId="0" xfId="3" applyNumberFormat="1" applyFont="1" applyFill="1" applyBorder="1" applyAlignment="1">
      <alignment horizontal="center" vertical="center"/>
    </xf>
    <xf numFmtId="49" fontId="42" fillId="0" borderId="6" xfId="0" applyNumberFormat="1" applyFont="1" applyBorder="1" applyAlignment="1">
      <alignment horizontal="right" vertical="center"/>
    </xf>
    <xf numFmtId="0" fontId="42" fillId="0" borderId="16" xfId="0" applyFont="1" applyBorder="1" applyAlignment="1">
      <alignment vertical="center"/>
    </xf>
    <xf numFmtId="3" fontId="42" fillId="0" borderId="16" xfId="0" applyNumberFormat="1" applyFont="1" applyBorder="1" applyAlignment="1">
      <alignment vertical="center"/>
    </xf>
    <xf numFmtId="3" fontId="42" fillId="0" borderId="22" xfId="0" applyNumberFormat="1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3" fontId="42" fillId="0" borderId="0" xfId="0" applyNumberFormat="1" applyFont="1" applyBorder="1" applyAlignment="1">
      <alignment vertical="center"/>
    </xf>
    <xf numFmtId="3" fontId="42" fillId="0" borderId="7" xfId="0" applyNumberFormat="1" applyFont="1" applyBorder="1" applyAlignment="1">
      <alignment vertical="center"/>
    </xf>
    <xf numFmtId="49" fontId="42" fillId="0" borderId="3" xfId="0" applyNumberFormat="1" applyFont="1" applyBorder="1" applyAlignment="1">
      <alignment horizontal="right" vertical="center"/>
    </xf>
    <xf numFmtId="0" fontId="42" fillId="0" borderId="53" xfId="0" applyFont="1" applyBorder="1" applyAlignment="1">
      <alignment vertical="center"/>
    </xf>
    <xf numFmtId="49" fontId="42" fillId="0" borderId="4" xfId="0" applyNumberFormat="1" applyFont="1" applyBorder="1" applyAlignment="1">
      <alignment horizontal="right" vertical="center"/>
    </xf>
    <xf numFmtId="0" fontId="42" fillId="0" borderId="36" xfId="0" applyFont="1" applyBorder="1" applyAlignment="1">
      <alignment vertical="center"/>
    </xf>
    <xf numFmtId="3" fontId="42" fillId="0" borderId="13" xfId="0" applyNumberFormat="1" applyFont="1" applyBorder="1" applyAlignment="1">
      <alignment vertical="center"/>
    </xf>
    <xf numFmtId="3" fontId="42" fillId="0" borderId="8" xfId="0" applyNumberFormat="1" applyFont="1" applyBorder="1" applyAlignment="1">
      <alignment vertical="center"/>
    </xf>
    <xf numFmtId="49" fontId="42" fillId="0" borderId="0" xfId="0" applyNumberFormat="1" applyFont="1" applyAlignment="1">
      <alignment horizontal="right" vertical="center"/>
    </xf>
    <xf numFmtId="49" fontId="42" fillId="0" borderId="47" xfId="0" applyNumberFormat="1" applyFont="1" applyBorder="1" applyAlignment="1">
      <alignment horizontal="right" vertical="center"/>
    </xf>
    <xf numFmtId="0" fontId="19" fillId="0" borderId="0" xfId="0" applyFont="1" applyAlignment="1">
      <alignment horizontal="left" vertical="center"/>
    </xf>
    <xf numFmtId="17" fontId="24" fillId="0" borderId="0" xfId="0" applyNumberFormat="1" applyFont="1" applyAlignment="1">
      <alignment horizontal="center" vertical="center"/>
    </xf>
    <xf numFmtId="0" fontId="54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172" fontId="0" fillId="0" borderId="0" xfId="7" applyNumberFormat="1" applyFont="1" applyAlignment="1">
      <alignment vertical="center"/>
    </xf>
    <xf numFmtId="4" fontId="0" fillId="0" borderId="0" xfId="0" applyNumberFormat="1" applyAlignment="1">
      <alignment vertical="center"/>
    </xf>
    <xf numFmtId="4" fontId="59" fillId="0" borderId="0" xfId="0" applyNumberFormat="1" applyFont="1" applyAlignment="1">
      <alignment vertical="center"/>
    </xf>
    <xf numFmtId="172" fontId="0" fillId="0" borderId="0" xfId="7" applyNumberFormat="1" applyFont="1" applyBorder="1" applyAlignment="1">
      <alignment vertical="center"/>
    </xf>
    <xf numFmtId="10" fontId="59" fillId="12" borderId="0" xfId="8" applyNumberFormat="1" applyFont="1" applyFill="1" applyAlignment="1">
      <alignment vertical="center"/>
    </xf>
    <xf numFmtId="0" fontId="59" fillId="0" borderId="0" xfId="0" applyFont="1" applyAlignment="1">
      <alignment vertical="center"/>
    </xf>
    <xf numFmtId="0" fontId="60" fillId="0" borderId="56" xfId="0" applyFont="1" applyBorder="1" applyAlignment="1">
      <alignment horizontal="center" vertical="center" wrapText="1"/>
    </xf>
    <xf numFmtId="0" fontId="60" fillId="0" borderId="17" xfId="0" applyFont="1" applyBorder="1" applyAlignment="1">
      <alignment horizontal="center" vertical="center" wrapText="1"/>
    </xf>
    <xf numFmtId="172" fontId="60" fillId="0" borderId="17" xfId="7" applyNumberFormat="1" applyFont="1" applyBorder="1" applyAlignment="1">
      <alignment horizontal="center" vertical="center" wrapText="1"/>
    </xf>
    <xf numFmtId="4" fontId="60" fillId="0" borderId="17" xfId="7" applyNumberFormat="1" applyFont="1" applyFill="1" applyBorder="1" applyAlignment="1">
      <alignment horizontal="center" vertical="center" wrapText="1"/>
    </xf>
    <xf numFmtId="172" fontId="60" fillId="0" borderId="75" xfId="7" applyNumberFormat="1" applyFont="1" applyFill="1" applyBorder="1" applyAlignment="1">
      <alignment horizontal="center" vertical="center" wrapText="1"/>
    </xf>
    <xf numFmtId="172" fontId="60" fillId="0" borderId="16" xfId="7" applyNumberFormat="1" applyFont="1" applyFill="1" applyBorder="1" applyAlignment="1">
      <alignment vertical="center"/>
    </xf>
    <xf numFmtId="4" fontId="60" fillId="0" borderId="16" xfId="0" applyNumberFormat="1" applyFont="1" applyBorder="1" applyAlignment="1">
      <alignment vertical="center"/>
    </xf>
    <xf numFmtId="0" fontId="60" fillId="0" borderId="77" xfId="0" applyFont="1" applyBorder="1" applyAlignment="1">
      <alignment vertical="center"/>
    </xf>
    <xf numFmtId="4" fontId="60" fillId="0" borderId="77" xfId="0" applyNumberFormat="1" applyFont="1" applyBorder="1" applyAlignment="1">
      <alignment vertical="center"/>
    </xf>
    <xf numFmtId="0" fontId="62" fillId="13" borderId="76" xfId="4" applyFont="1" applyFill="1" applyBorder="1" applyAlignment="1">
      <alignment horizontal="left" vertical="center" readingOrder="1"/>
    </xf>
    <xf numFmtId="0" fontId="63" fillId="0" borderId="16" xfId="0" applyFont="1" applyBorder="1" applyAlignment="1">
      <alignment vertical="center"/>
    </xf>
    <xf numFmtId="0" fontId="63" fillId="0" borderId="0" xfId="0" applyFont="1" applyAlignment="1">
      <alignment vertical="center"/>
    </xf>
    <xf numFmtId="0" fontId="64" fillId="0" borderId="16" xfId="0" applyFont="1" applyBorder="1" applyAlignment="1">
      <alignment vertical="center"/>
    </xf>
    <xf numFmtId="0" fontId="65" fillId="0" borderId="77" xfId="0" applyFont="1" applyBorder="1" applyAlignment="1">
      <alignment vertical="center"/>
    </xf>
    <xf numFmtId="173" fontId="59" fillId="0" borderId="0" xfId="7" applyNumberFormat="1" applyFont="1" applyFill="1" applyBorder="1" applyAlignment="1">
      <alignment vertical="center"/>
    </xf>
    <xf numFmtId="173" fontId="60" fillId="0" borderId="16" xfId="7" applyNumberFormat="1" applyFont="1" applyFill="1" applyBorder="1" applyAlignment="1">
      <alignment vertical="center"/>
    </xf>
    <xf numFmtId="174" fontId="59" fillId="0" borderId="0" xfId="0" applyNumberFormat="1" applyFont="1" applyAlignment="1">
      <alignment vertical="center"/>
    </xf>
    <xf numFmtId="174" fontId="59" fillId="0" borderId="23" xfId="7" applyNumberFormat="1" applyFont="1" applyBorder="1" applyAlignment="1">
      <alignment vertical="center"/>
    </xf>
    <xf numFmtId="174" fontId="60" fillId="0" borderId="16" xfId="0" applyNumberFormat="1" applyFont="1" applyBorder="1" applyAlignment="1">
      <alignment vertical="center"/>
    </xf>
    <xf numFmtId="174" fontId="60" fillId="0" borderId="39" xfId="7" applyNumberFormat="1" applyFont="1" applyBorder="1" applyAlignment="1">
      <alignment vertical="center"/>
    </xf>
    <xf numFmtId="174" fontId="60" fillId="0" borderId="16" xfId="7" applyNumberFormat="1" applyFont="1" applyBorder="1" applyAlignment="1">
      <alignment vertical="center"/>
    </xf>
    <xf numFmtId="174" fontId="60" fillId="0" borderId="77" xfId="7" applyNumberFormat="1" applyFont="1" applyBorder="1" applyAlignment="1">
      <alignment vertical="center"/>
    </xf>
    <xf numFmtId="0" fontId="0" fillId="0" borderId="61" xfId="0" applyBorder="1" applyAlignment="1">
      <alignment vertical="center"/>
    </xf>
    <xf numFmtId="0" fontId="66" fillId="0" borderId="0" xfId="0" applyFont="1" applyFill="1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4" fillId="0" borderId="0" xfId="1" applyFont="1" applyFill="1" applyBorder="1" applyAlignment="1" applyProtection="1">
      <alignment horizontal="center" vertical="center" wrapText="1"/>
    </xf>
    <xf numFmtId="0" fontId="4" fillId="0" borderId="78" xfId="1" applyFont="1" applyFill="1" applyBorder="1" applyAlignment="1" applyProtection="1">
      <alignment horizontal="center" vertical="center" wrapText="1"/>
    </xf>
    <xf numFmtId="0" fontId="4" fillId="0" borderId="57" xfId="1" applyFont="1" applyFill="1" applyBorder="1" applyAlignment="1" applyProtection="1">
      <alignment horizontal="center" vertical="center" wrapText="1"/>
    </xf>
    <xf numFmtId="0" fontId="4" fillId="0" borderId="79" xfId="1" applyFont="1" applyFill="1" applyBorder="1" applyAlignment="1" applyProtection="1">
      <alignment horizontal="center" vertical="center" wrapText="1"/>
    </xf>
    <xf numFmtId="0" fontId="66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2" fillId="0" borderId="9" xfId="1" applyFill="1" applyBorder="1" applyAlignment="1" applyProtection="1">
      <alignment vertical="center"/>
    </xf>
    <xf numFmtId="0" fontId="2" fillId="0" borderId="15" xfId="1" applyFill="1" applyBorder="1" applyAlignment="1" applyProtection="1">
      <alignment vertical="center"/>
    </xf>
    <xf numFmtId="0" fontId="2" fillId="0" borderId="0" xfId="1" applyAlignment="1">
      <alignment vertical="center"/>
    </xf>
    <xf numFmtId="0" fontId="2" fillId="0" borderId="11" xfId="1" applyFill="1" applyBorder="1" applyAlignment="1" applyProtection="1">
      <alignment vertical="center"/>
    </xf>
    <xf numFmtId="0" fontId="2" fillId="0" borderId="0" xfId="1" applyFill="1" applyBorder="1" applyAlignment="1" applyProtection="1">
      <alignment vertical="center"/>
    </xf>
    <xf numFmtId="1" fontId="9" fillId="3" borderId="15" xfId="1" applyNumberFormat="1" applyFont="1" applyFill="1" applyBorder="1" applyAlignment="1" applyProtection="1">
      <alignment horizontal="center" vertical="center"/>
      <protection locked="0"/>
    </xf>
    <xf numFmtId="167" fontId="2" fillId="0" borderId="0" xfId="1" applyNumberFormat="1" applyFill="1" applyBorder="1" applyAlignment="1" applyProtection="1">
      <alignment horizontal="left" vertical="center"/>
    </xf>
    <xf numFmtId="0" fontId="2" fillId="0" borderId="7" xfId="1" applyFill="1" applyBorder="1" applyAlignment="1" applyProtection="1">
      <alignment vertical="center"/>
    </xf>
    <xf numFmtId="0" fontId="2" fillId="0" borderId="12" xfId="1" applyFill="1" applyBorder="1" applyAlignment="1" applyProtection="1">
      <alignment vertical="center"/>
    </xf>
    <xf numFmtId="0" fontId="2" fillId="0" borderId="13" xfId="1" applyFill="1" applyBorder="1" applyAlignment="1" applyProtection="1">
      <alignment vertical="center"/>
    </xf>
    <xf numFmtId="1" fontId="11" fillId="3" borderId="8" xfId="1" applyNumberFormat="1" applyFont="1" applyFill="1" applyBorder="1" applyAlignment="1" applyProtection="1">
      <alignment horizontal="center" vertical="center"/>
      <protection locked="0"/>
    </xf>
    <xf numFmtId="167" fontId="2" fillId="0" borderId="13" xfId="1" applyNumberFormat="1" applyFill="1" applyBorder="1" applyAlignment="1" applyProtection="1">
      <alignment horizontal="left" vertical="center"/>
    </xf>
    <xf numFmtId="0" fontId="2" fillId="0" borderId="8" xfId="1" applyFill="1" applyBorder="1" applyAlignment="1" applyProtection="1">
      <alignment vertical="center"/>
    </xf>
    <xf numFmtId="0" fontId="6" fillId="0" borderId="40" xfId="1" applyFont="1" applyFill="1" applyBorder="1" applyAlignment="1" applyProtection="1">
      <alignment horizontal="center" vertical="center"/>
    </xf>
    <xf numFmtId="0" fontId="6" fillId="0" borderId="26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vertical="center"/>
    </xf>
    <xf numFmtId="0" fontId="2" fillId="0" borderId="37" xfId="1" applyFill="1" applyBorder="1" applyAlignment="1" applyProtection="1">
      <alignment vertical="center"/>
    </xf>
    <xf numFmtId="0" fontId="11" fillId="3" borderId="7" xfId="1" applyFont="1" applyFill="1" applyBorder="1" applyAlignment="1" applyProtection="1">
      <alignment vertical="center"/>
    </xf>
    <xf numFmtId="9" fontId="11" fillId="3" borderId="38" xfId="1" applyNumberFormat="1" applyFont="1" applyFill="1" applyBorder="1" applyAlignment="1">
      <alignment vertical="center"/>
    </xf>
    <xf numFmtId="0" fontId="2" fillId="0" borderId="11" xfId="1" applyBorder="1" applyAlignment="1">
      <alignment vertical="center"/>
    </xf>
    <xf numFmtId="0" fontId="11" fillId="3" borderId="7" xfId="1" applyFont="1" applyFill="1" applyBorder="1" applyAlignment="1" applyProtection="1">
      <alignment vertical="center"/>
      <protection locked="0"/>
    </xf>
    <xf numFmtId="0" fontId="11" fillId="0" borderId="7" xfId="1" applyFont="1" applyFill="1" applyBorder="1" applyAlignment="1" applyProtection="1">
      <alignment vertical="center"/>
      <protection locked="0"/>
    </xf>
    <xf numFmtId="0" fontId="2" fillId="0" borderId="38" xfId="1" applyFill="1" applyBorder="1" applyAlignment="1" applyProtection="1">
      <alignment vertical="center"/>
    </xf>
    <xf numFmtId="0" fontId="11" fillId="0" borderId="8" xfId="1" applyFont="1" applyFill="1" applyBorder="1" applyAlignment="1" applyProtection="1">
      <alignment vertical="center"/>
      <protection locked="0"/>
    </xf>
    <xf numFmtId="0" fontId="7" fillId="0" borderId="0" xfId="1" applyFont="1" applyFill="1" applyBorder="1" applyAlignment="1" applyProtection="1">
      <alignment vertical="center"/>
      <protection locked="0"/>
    </xf>
    <xf numFmtId="0" fontId="6" fillId="0" borderId="44" xfId="1" applyFont="1" applyFill="1" applyBorder="1" applyAlignment="1" applyProtection="1">
      <alignment horizontal="center" vertical="center"/>
    </xf>
    <xf numFmtId="0" fontId="6" fillId="0" borderId="27" xfId="1" applyFont="1" applyFill="1" applyBorder="1" applyAlignment="1" applyProtection="1">
      <alignment horizontal="center" vertical="center"/>
    </xf>
    <xf numFmtId="0" fontId="6" fillId="0" borderId="22" xfId="1" applyFont="1" applyFill="1" applyBorder="1" applyAlignment="1" applyProtection="1">
      <alignment horizontal="center" vertical="center"/>
    </xf>
    <xf numFmtId="0" fontId="6" fillId="0" borderId="45" xfId="1" applyFont="1" applyFill="1" applyBorder="1" applyAlignment="1" applyProtection="1">
      <alignment horizontal="center" vertical="center"/>
    </xf>
    <xf numFmtId="0" fontId="6" fillId="0" borderId="7" xfId="1" applyFont="1" applyFill="1" applyBorder="1" applyAlignment="1" applyProtection="1">
      <alignment vertical="center"/>
    </xf>
    <xf numFmtId="165" fontId="12" fillId="0" borderId="7" xfId="1" applyNumberFormat="1" applyFont="1" applyFill="1" applyBorder="1" applyAlignment="1" applyProtection="1">
      <alignment vertical="center"/>
    </xf>
    <xf numFmtId="166" fontId="2" fillId="2" borderId="12" xfId="2" applyNumberFormat="1" applyFont="1" applyFill="1" applyBorder="1" applyAlignment="1" applyProtection="1">
      <alignment vertical="center"/>
    </xf>
    <xf numFmtId="166" fontId="9" fillId="3" borderId="13" xfId="2" applyNumberFormat="1" applyFont="1" applyFill="1" applyBorder="1" applyAlignment="1" applyProtection="1">
      <alignment vertical="center"/>
      <protection locked="0"/>
    </xf>
    <xf numFmtId="166" fontId="9" fillId="3" borderId="8" xfId="2" applyNumberFormat="1" applyFont="1" applyFill="1" applyBorder="1" applyAlignment="1" applyProtection="1">
      <alignment vertical="center"/>
      <protection locked="0"/>
    </xf>
    <xf numFmtId="49" fontId="3" fillId="0" borderId="11" xfId="1" applyNumberFormat="1" applyFont="1" applyFill="1" applyBorder="1" applyAlignment="1" applyProtection="1">
      <alignment horizontal="right" vertical="center"/>
    </xf>
    <xf numFmtId="0" fontId="3" fillId="0" borderId="7" xfId="1" applyFont="1" applyFill="1" applyBorder="1" applyAlignment="1" applyProtection="1">
      <alignment vertical="center"/>
    </xf>
    <xf numFmtId="165" fontId="7" fillId="0" borderId="2" xfId="1" applyNumberFormat="1" applyFont="1" applyFill="1" applyBorder="1" applyAlignment="1" applyProtection="1">
      <alignment vertical="center"/>
      <protection locked="0"/>
    </xf>
    <xf numFmtId="165" fontId="12" fillId="0" borderId="1" xfId="1" applyNumberFormat="1" applyFont="1" applyFill="1" applyBorder="1" applyAlignment="1" applyProtection="1">
      <alignment vertical="center"/>
    </xf>
    <xf numFmtId="49" fontId="3" fillId="0" borderId="12" xfId="1" applyNumberFormat="1" applyFont="1" applyFill="1" applyBorder="1" applyAlignment="1" applyProtection="1">
      <alignment horizontal="right" vertical="center"/>
    </xf>
    <xf numFmtId="0" fontId="3" fillId="0" borderId="8" xfId="1" applyFont="1" applyFill="1" applyBorder="1" applyAlignment="1" applyProtection="1">
      <alignment vertical="center"/>
    </xf>
    <xf numFmtId="165" fontId="7" fillId="0" borderId="4" xfId="1" applyNumberFormat="1" applyFont="1" applyFill="1" applyBorder="1" applyAlignment="1" applyProtection="1">
      <alignment vertical="center"/>
      <protection locked="0"/>
    </xf>
    <xf numFmtId="165" fontId="12" fillId="0" borderId="5" xfId="1" applyNumberFormat="1" applyFont="1" applyFill="1" applyBorder="1" applyAlignment="1" applyProtection="1">
      <alignment vertical="center"/>
    </xf>
    <xf numFmtId="165" fontId="12" fillId="0" borderId="8" xfId="1" applyNumberFormat="1" applyFont="1" applyFill="1" applyBorder="1" applyAlignment="1" applyProtection="1">
      <alignment vertical="center"/>
    </xf>
    <xf numFmtId="166" fontId="7" fillId="3" borderId="4" xfId="2" applyNumberFormat="1" applyFont="1" applyFill="1" applyBorder="1" applyAlignment="1" applyProtection="1">
      <alignment vertical="center"/>
      <protection locked="0"/>
    </xf>
    <xf numFmtId="166" fontId="7" fillId="0" borderId="5" xfId="2" applyNumberFormat="1" applyFont="1" applyFill="1" applyBorder="1" applyAlignment="1" applyProtection="1">
      <alignment vertical="center"/>
      <protection locked="0"/>
    </xf>
    <xf numFmtId="166" fontId="7" fillId="0" borderId="8" xfId="2" applyNumberFormat="1" applyFont="1" applyFill="1" applyBorder="1" applyAlignment="1" applyProtection="1">
      <alignment vertical="center"/>
      <protection locked="0"/>
    </xf>
    <xf numFmtId="168" fontId="6" fillId="0" borderId="35" xfId="1" applyNumberFormat="1" applyFont="1" applyFill="1" applyBorder="1" applyAlignment="1" applyProtection="1">
      <alignment horizontal="center" vertical="center"/>
    </xf>
    <xf numFmtId="168" fontId="6" fillId="0" borderId="26" xfId="1" applyNumberFormat="1" applyFont="1" applyFill="1" applyBorder="1" applyAlignment="1" applyProtection="1">
      <alignment horizontal="center" vertical="center"/>
    </xf>
    <xf numFmtId="3" fontId="2" fillId="0" borderId="7" xfId="1" applyNumberFormat="1" applyFill="1" applyBorder="1" applyAlignment="1" applyProtection="1">
      <alignment vertical="center"/>
    </xf>
    <xf numFmtId="3" fontId="2" fillId="0" borderId="23" xfId="1" applyNumberFormat="1" applyFill="1" applyBorder="1" applyAlignment="1" applyProtection="1">
      <alignment vertical="center"/>
    </xf>
    <xf numFmtId="0" fontId="0" fillId="0" borderId="0" xfId="0" applyFill="1" applyAlignment="1">
      <alignment vertical="center"/>
    </xf>
    <xf numFmtId="3" fontId="2" fillId="0" borderId="8" xfId="1" applyNumberFormat="1" applyFill="1" applyBorder="1" applyAlignment="1" applyProtection="1">
      <alignment vertical="center"/>
    </xf>
    <xf numFmtId="3" fontId="2" fillId="0" borderId="36" xfId="1" applyNumberFormat="1" applyFill="1" applyBorder="1" applyAlignment="1" applyProtection="1">
      <alignment vertical="center"/>
    </xf>
    <xf numFmtId="0" fontId="6" fillId="0" borderId="6" xfId="1" applyFont="1" applyFill="1" applyBorder="1" applyAlignment="1" applyProtection="1">
      <alignment horizontal="center" vertical="center"/>
    </xf>
    <xf numFmtId="0" fontId="6" fillId="0" borderId="35" xfId="1" applyFont="1" applyFill="1" applyBorder="1" applyAlignment="1" applyProtection="1">
      <alignment horizontal="center" vertical="center"/>
    </xf>
    <xf numFmtId="3" fontId="9" fillId="0" borderId="2" xfId="1" applyNumberFormat="1" applyFont="1" applyFill="1" applyBorder="1" applyAlignment="1" applyProtection="1">
      <alignment vertical="center"/>
      <protection locked="0"/>
    </xf>
    <xf numFmtId="3" fontId="9" fillId="0" borderId="23" xfId="1" applyNumberFormat="1" applyFont="1" applyFill="1" applyBorder="1" applyAlignment="1" applyProtection="1">
      <alignment vertical="center"/>
      <protection locked="0"/>
    </xf>
    <xf numFmtId="3" fontId="9" fillId="0" borderId="7" xfId="1" applyNumberFormat="1" applyFont="1" applyFill="1" applyBorder="1" applyAlignment="1" applyProtection="1">
      <alignment vertical="center"/>
      <protection locked="0"/>
    </xf>
    <xf numFmtId="166" fontId="12" fillId="3" borderId="2" xfId="2" applyNumberFormat="1" applyFont="1" applyFill="1" applyBorder="1" applyAlignment="1" applyProtection="1">
      <alignment vertical="center"/>
    </xf>
    <xf numFmtId="166" fontId="12" fillId="3" borderId="23" xfId="2" applyNumberFormat="1" applyFont="1" applyFill="1" applyBorder="1" applyAlignment="1" applyProtection="1">
      <alignment vertical="center"/>
    </xf>
    <xf numFmtId="166" fontId="12" fillId="3" borderId="7" xfId="2" applyNumberFormat="1" applyFont="1" applyFill="1" applyBorder="1" applyAlignment="1" applyProtection="1">
      <alignment vertical="center"/>
    </xf>
    <xf numFmtId="9" fontId="2" fillId="0" borderId="4" xfId="2" applyNumberFormat="1" applyFont="1" applyFill="1" applyBorder="1" applyAlignment="1" applyProtection="1">
      <alignment vertical="center"/>
    </xf>
    <xf numFmtId="9" fontId="2" fillId="0" borderId="36" xfId="2" applyNumberFormat="1" applyFont="1" applyFill="1" applyBorder="1" applyAlignment="1" applyProtection="1">
      <alignment vertical="center"/>
    </xf>
    <xf numFmtId="9" fontId="2" fillId="0" borderId="8" xfId="2" applyNumberFormat="1" applyFont="1" applyFill="1" applyBorder="1" applyAlignment="1" applyProtection="1">
      <alignment vertical="center"/>
    </xf>
    <xf numFmtId="166" fontId="7" fillId="0" borderId="0" xfId="2" applyNumberFormat="1" applyFont="1" applyFill="1" applyBorder="1" applyAlignment="1" applyProtection="1">
      <alignment vertical="center"/>
      <protection locked="0"/>
    </xf>
    <xf numFmtId="0" fontId="2" fillId="0" borderId="26" xfId="1" applyFill="1" applyBorder="1" applyAlignment="1" applyProtection="1">
      <alignment horizontal="center" vertical="center"/>
    </xf>
    <xf numFmtId="168" fontId="2" fillId="0" borderId="6" xfId="1" applyNumberFormat="1" applyFill="1" applyBorder="1" applyAlignment="1" applyProtection="1">
      <alignment horizontal="center" vertical="center"/>
    </xf>
    <xf numFmtId="168" fontId="2" fillId="0" borderId="35" xfId="1" applyNumberFormat="1" applyFill="1" applyBorder="1" applyAlignment="1" applyProtection="1">
      <alignment horizontal="center" vertical="center"/>
    </xf>
    <xf numFmtId="168" fontId="2" fillId="0" borderId="26" xfId="1" applyNumberFormat="1" applyFill="1" applyBorder="1" applyAlignment="1" applyProtection="1">
      <alignment horizontal="center" vertical="center"/>
    </xf>
    <xf numFmtId="0" fontId="2" fillId="0" borderId="19" xfId="1" applyFill="1" applyBorder="1" applyAlignment="1" applyProtection="1">
      <alignment vertical="center"/>
    </xf>
    <xf numFmtId="0" fontId="2" fillId="0" borderId="20" xfId="1" applyFill="1" applyBorder="1" applyAlignment="1" applyProtection="1">
      <alignment vertical="center"/>
    </xf>
    <xf numFmtId="10" fontId="2" fillId="0" borderId="22" xfId="1" applyNumberFormat="1" applyFill="1" applyBorder="1" applyAlignment="1" applyProtection="1">
      <alignment vertical="center"/>
    </xf>
    <xf numFmtId="10" fontId="7" fillId="0" borderId="3" xfId="1" applyNumberFormat="1" applyFont="1" applyFill="1" applyBorder="1" applyAlignment="1" applyProtection="1">
      <alignment vertical="center"/>
      <protection locked="0"/>
    </xf>
    <xf numFmtId="10" fontId="7" fillId="0" borderId="39" xfId="1" applyNumberFormat="1" applyFont="1" applyFill="1" applyBorder="1" applyAlignment="1" applyProtection="1">
      <alignment vertical="center"/>
      <protection locked="0"/>
    </xf>
    <xf numFmtId="10" fontId="7" fillId="0" borderId="22" xfId="1" applyNumberFormat="1" applyFont="1" applyFill="1" applyBorder="1" applyAlignment="1" applyProtection="1">
      <alignment vertical="center"/>
      <protection locked="0"/>
    </xf>
    <xf numFmtId="10" fontId="0" fillId="0" borderId="0" xfId="0" applyNumberFormat="1" applyAlignment="1">
      <alignment vertical="center"/>
    </xf>
    <xf numFmtId="2" fontId="2" fillId="0" borderId="7" xfId="1" applyNumberFormat="1" applyFill="1" applyBorder="1" applyAlignment="1" applyProtection="1">
      <alignment vertical="center"/>
    </xf>
    <xf numFmtId="2" fontId="2" fillId="3" borderId="2" xfId="1" applyNumberFormat="1" applyFill="1" applyBorder="1" applyAlignment="1" applyProtection="1">
      <alignment vertical="center"/>
    </xf>
    <xf numFmtId="2" fontId="2" fillId="3" borderId="23" xfId="1" applyNumberFormat="1" applyFill="1" applyBorder="1" applyAlignment="1" applyProtection="1">
      <alignment vertical="center"/>
    </xf>
    <xf numFmtId="2" fontId="2" fillId="3" borderId="7" xfId="1" applyNumberFormat="1" applyFill="1" applyBorder="1" applyAlignment="1" applyProtection="1">
      <alignment vertical="center"/>
    </xf>
    <xf numFmtId="0" fontId="2" fillId="0" borderId="2" xfId="1" applyFill="1" applyBorder="1" applyAlignment="1" applyProtection="1">
      <alignment vertical="center"/>
    </xf>
    <xf numFmtId="0" fontId="2" fillId="0" borderId="23" xfId="1" applyFill="1" applyBorder="1" applyAlignment="1" applyProtection="1">
      <alignment vertical="center"/>
    </xf>
    <xf numFmtId="3" fontId="2" fillId="0" borderId="2" xfId="1" applyNumberFormat="1" applyFill="1" applyBorder="1" applyAlignment="1" applyProtection="1">
      <alignment vertical="center"/>
    </xf>
    <xf numFmtId="3" fontId="2" fillId="0" borderId="1" xfId="1" applyNumberFormat="1" applyFill="1" applyBorder="1" applyAlignment="1" applyProtection="1">
      <alignment vertical="center"/>
    </xf>
    <xf numFmtId="3" fontId="2" fillId="0" borderId="38" xfId="1" applyNumberFormat="1" applyFill="1" applyBorder="1" applyAlignment="1" applyProtection="1">
      <alignment vertical="center"/>
    </xf>
    <xf numFmtId="3" fontId="2" fillId="0" borderId="4" xfId="1" applyNumberFormat="1" applyFill="1" applyBorder="1" applyAlignment="1" applyProtection="1">
      <alignment vertical="center"/>
    </xf>
    <xf numFmtId="3" fontId="2" fillId="0" borderId="5" xfId="1" applyNumberFormat="1" applyFill="1" applyBorder="1" applyAlignment="1" applyProtection="1">
      <alignment vertical="center"/>
    </xf>
    <xf numFmtId="0" fontId="6" fillId="0" borderId="33" xfId="1" applyFont="1" applyFill="1" applyBorder="1" applyAlignment="1" applyProtection="1">
      <alignment horizontal="center" vertical="center"/>
    </xf>
    <xf numFmtId="0" fontId="6" fillId="0" borderId="14" xfId="1" applyFont="1" applyFill="1" applyBorder="1" applyAlignment="1" applyProtection="1">
      <alignment horizontal="center" vertical="center"/>
    </xf>
    <xf numFmtId="0" fontId="6" fillId="0" borderId="18" xfId="1" applyFont="1" applyFill="1" applyBorder="1" applyAlignment="1" applyProtection="1">
      <alignment horizontal="center" vertical="center"/>
    </xf>
    <xf numFmtId="3" fontId="2" fillId="0" borderId="2" xfId="1" applyNumberFormat="1" applyFont="1" applyFill="1" applyBorder="1" applyAlignment="1" applyProtection="1">
      <alignment vertical="center"/>
    </xf>
    <xf numFmtId="3" fontId="2" fillId="0" borderId="42" xfId="1" applyNumberFormat="1" applyFont="1" applyFill="1" applyBorder="1" applyAlignment="1" applyProtection="1">
      <alignment vertical="center"/>
    </xf>
    <xf numFmtId="49" fontId="2" fillId="0" borderId="7" xfId="1" quotePrefix="1" applyNumberFormat="1" applyFill="1" applyBorder="1" applyAlignment="1" applyProtection="1">
      <alignment vertical="center"/>
    </xf>
    <xf numFmtId="3" fontId="2" fillId="0" borderId="1" xfId="1" applyNumberFormat="1" applyFont="1" applyFill="1" applyBorder="1" applyAlignment="1" applyProtection="1">
      <alignment vertical="center"/>
    </xf>
    <xf numFmtId="3" fontId="2" fillId="0" borderId="29" xfId="1" applyNumberFormat="1" applyFont="1" applyFill="1" applyBorder="1" applyAlignment="1" applyProtection="1">
      <alignment vertical="center"/>
    </xf>
    <xf numFmtId="10" fontId="2" fillId="0" borderId="4" xfId="1" quotePrefix="1" applyNumberFormat="1" applyFont="1" applyFill="1" applyBorder="1" applyAlignment="1" applyProtection="1">
      <alignment horizontal="center" vertical="center"/>
    </xf>
    <xf numFmtId="10" fontId="7" fillId="3" borderId="13" xfId="1" applyNumberFormat="1" applyFont="1" applyFill="1" applyBorder="1" applyAlignment="1" applyProtection="1">
      <alignment vertical="center"/>
      <protection locked="0"/>
    </xf>
    <xf numFmtId="10" fontId="7" fillId="3" borderId="5" xfId="1" applyNumberFormat="1" applyFont="1" applyFill="1" applyBorder="1" applyAlignment="1" applyProtection="1">
      <alignment vertical="center"/>
      <protection locked="0"/>
    </xf>
    <xf numFmtId="10" fontId="7" fillId="3" borderId="25" xfId="1" applyNumberFormat="1" applyFont="1" applyFill="1" applyBorder="1" applyAlignment="1" applyProtection="1">
      <alignment vertical="center"/>
      <protection locked="0"/>
    </xf>
    <xf numFmtId="0" fontId="10" fillId="0" borderId="0" xfId="1" applyFont="1" applyFill="1" applyBorder="1" applyAlignment="1" applyProtection="1">
      <alignment vertical="center"/>
    </xf>
    <xf numFmtId="10" fontId="10" fillId="0" borderId="0" xfId="1" applyNumberFormat="1" applyFont="1" applyFill="1" applyBorder="1" applyAlignment="1" applyProtection="1">
      <alignment vertical="center"/>
    </xf>
    <xf numFmtId="0" fontId="2" fillId="0" borderId="1" xfId="1" applyFill="1" applyBorder="1" applyAlignment="1" applyProtection="1">
      <alignment vertical="center"/>
    </xf>
    <xf numFmtId="0" fontId="2" fillId="0" borderId="0" xfId="1" applyFill="1" applyAlignment="1" applyProtection="1">
      <alignment vertical="center"/>
    </xf>
    <xf numFmtId="0" fontId="2" fillId="0" borderId="0" xfId="1" applyFill="1" applyAlignment="1">
      <alignment vertical="center"/>
    </xf>
    <xf numFmtId="10" fontId="2" fillId="0" borderId="0" xfId="1" applyNumberFormat="1" applyFill="1" applyBorder="1" applyAlignment="1" applyProtection="1">
      <alignment vertical="center"/>
    </xf>
    <xf numFmtId="168" fontId="6" fillId="0" borderId="33" xfId="1" applyNumberFormat="1" applyFont="1" applyFill="1" applyBorder="1" applyAlignment="1" applyProtection="1">
      <alignment horizontal="center" vertical="center"/>
    </xf>
    <xf numFmtId="168" fontId="6" fillId="0" borderId="14" xfId="1" applyNumberFormat="1" applyFont="1" applyFill="1" applyBorder="1" applyAlignment="1" applyProtection="1">
      <alignment horizontal="center" vertical="center"/>
    </xf>
    <xf numFmtId="168" fontId="6" fillId="0" borderId="18" xfId="1" applyNumberFormat="1" applyFont="1" applyFill="1" applyBorder="1" applyAlignment="1" applyProtection="1">
      <alignment horizontal="center" vertical="center"/>
    </xf>
    <xf numFmtId="0" fontId="2" fillId="0" borderId="28" xfId="1" applyFill="1" applyBorder="1" applyAlignment="1" applyProtection="1">
      <alignment vertical="center"/>
    </xf>
    <xf numFmtId="0" fontId="2" fillId="0" borderId="31" xfId="1" applyFill="1" applyBorder="1" applyAlignment="1" applyProtection="1">
      <alignment vertical="center"/>
    </xf>
    <xf numFmtId="3" fontId="2" fillId="0" borderId="37" xfId="1" applyNumberFormat="1" applyFill="1" applyBorder="1" applyAlignment="1" applyProtection="1">
      <alignment vertical="center"/>
    </xf>
    <xf numFmtId="3" fontId="7" fillId="3" borderId="31" xfId="1" applyNumberFormat="1" applyFont="1" applyFill="1" applyBorder="1" applyAlignment="1" applyProtection="1">
      <alignment vertical="center"/>
      <protection locked="0"/>
    </xf>
    <xf numFmtId="3" fontId="7" fillId="3" borderId="42" xfId="1" applyNumberFormat="1" applyFont="1" applyFill="1" applyBorder="1" applyAlignment="1" applyProtection="1">
      <alignment vertical="center"/>
      <protection locked="0"/>
    </xf>
    <xf numFmtId="3" fontId="9" fillId="3" borderId="31" xfId="1" applyNumberFormat="1" applyFont="1" applyFill="1" applyBorder="1" applyAlignment="1" applyProtection="1">
      <alignment vertical="center"/>
      <protection locked="0"/>
    </xf>
    <xf numFmtId="3" fontId="9" fillId="3" borderId="42" xfId="1" applyNumberFormat="1" applyFont="1" applyFill="1" applyBorder="1" applyAlignment="1" applyProtection="1">
      <alignment vertical="center"/>
      <protection locked="0"/>
    </xf>
    <xf numFmtId="3" fontId="9" fillId="3" borderId="43" xfId="1" applyNumberFormat="1" applyFont="1" applyFill="1" applyBorder="1" applyAlignment="1" applyProtection="1">
      <alignment vertical="center"/>
      <protection locked="0"/>
    </xf>
    <xf numFmtId="3" fontId="9" fillId="3" borderId="0" xfId="1" applyNumberFormat="1" applyFont="1" applyFill="1" applyBorder="1" applyAlignment="1" applyProtection="1">
      <alignment vertical="center"/>
      <protection locked="0"/>
    </xf>
    <xf numFmtId="3" fontId="9" fillId="3" borderId="1" xfId="1" applyNumberFormat="1" applyFont="1" applyFill="1" applyBorder="1" applyAlignment="1" applyProtection="1">
      <alignment vertical="center"/>
      <protection locked="0"/>
    </xf>
    <xf numFmtId="3" fontId="9" fillId="3" borderId="29" xfId="1" applyNumberFormat="1" applyFont="1" applyFill="1" applyBorder="1" applyAlignment="1" applyProtection="1">
      <alignment vertical="center"/>
      <protection locked="0"/>
    </xf>
    <xf numFmtId="3" fontId="9" fillId="3" borderId="13" xfId="1" applyNumberFormat="1" applyFont="1" applyFill="1" applyBorder="1" applyAlignment="1" applyProtection="1">
      <alignment vertical="center"/>
      <protection locked="0"/>
    </xf>
    <xf numFmtId="3" fontId="9" fillId="3" borderId="5" xfId="1" applyNumberFormat="1" applyFont="1" applyFill="1" applyBorder="1" applyAlignment="1" applyProtection="1">
      <alignment vertical="center"/>
      <protection locked="0"/>
    </xf>
    <xf numFmtId="3" fontId="9" fillId="3" borderId="25" xfId="1" applyNumberFormat="1" applyFont="1" applyFill="1" applyBorder="1" applyAlignment="1" applyProtection="1">
      <alignment vertical="center"/>
      <protection locked="0"/>
    </xf>
    <xf numFmtId="0" fontId="6" fillId="0" borderId="15" xfId="1" applyFont="1" applyFill="1" applyBorder="1" applyAlignment="1" applyProtection="1">
      <alignment horizontal="left" vertical="center"/>
    </xf>
    <xf numFmtId="0" fontId="6" fillId="0" borderId="10" xfId="1" applyFont="1" applyFill="1" applyBorder="1" applyAlignment="1" applyProtection="1">
      <alignment horizontal="center" vertical="center"/>
    </xf>
    <xf numFmtId="0" fontId="6" fillId="0" borderId="24" xfId="1" applyFont="1" applyFill="1" applyBorder="1" applyAlignment="1" applyProtection="1">
      <alignment horizontal="center" vertical="center"/>
    </xf>
    <xf numFmtId="0" fontId="6" fillId="0" borderId="30" xfId="1" applyFont="1" applyFill="1" applyBorder="1" applyAlignment="1" applyProtection="1">
      <alignment horizontal="center" vertical="center"/>
    </xf>
    <xf numFmtId="166" fontId="11" fillId="0" borderId="32" xfId="1" applyNumberFormat="1" applyFont="1" applyFill="1" applyBorder="1" applyAlignment="1" applyProtection="1">
      <alignment vertical="center"/>
    </xf>
    <xf numFmtId="3" fontId="16" fillId="0" borderId="53" xfId="1" applyNumberFormat="1" applyFont="1" applyFill="1" applyBorder="1" applyAlignment="1" applyProtection="1">
      <alignment vertical="center"/>
      <protection locked="0"/>
    </xf>
    <xf numFmtId="166" fontId="2" fillId="0" borderId="7" xfId="1" applyNumberFormat="1" applyFill="1" applyBorder="1" applyAlignment="1" applyProtection="1">
      <alignment vertical="center"/>
    </xf>
    <xf numFmtId="3" fontId="16" fillId="0" borderId="23" xfId="1" applyNumberFormat="1" applyFont="1" applyFill="1" applyBorder="1" applyAlignment="1" applyProtection="1">
      <alignment vertical="center"/>
      <protection locked="0"/>
    </xf>
    <xf numFmtId="3" fontId="16" fillId="0" borderId="36" xfId="1" applyNumberFormat="1" applyFont="1" applyFill="1" applyBorder="1" applyAlignment="1" applyProtection="1">
      <alignment vertical="center"/>
      <protection locked="0"/>
    </xf>
    <xf numFmtId="3" fontId="16" fillId="0" borderId="13" xfId="1" applyNumberFormat="1" applyFont="1" applyFill="1" applyBorder="1" applyAlignment="1" applyProtection="1">
      <alignment vertical="center"/>
      <protection locked="0"/>
    </xf>
    <xf numFmtId="3" fontId="16" fillId="0" borderId="5" xfId="1" applyNumberFormat="1" applyFont="1" applyFill="1" applyBorder="1" applyAlignment="1" applyProtection="1">
      <alignment vertical="center"/>
      <protection locked="0"/>
    </xf>
    <xf numFmtId="3" fontId="16" fillId="0" borderId="25" xfId="1" applyNumberFormat="1" applyFont="1" applyFill="1" applyBorder="1" applyAlignment="1" applyProtection="1">
      <alignment vertical="center"/>
      <protection locked="0"/>
    </xf>
    <xf numFmtId="0" fontId="16" fillId="0" borderId="7" xfId="1" applyFont="1" applyFill="1" applyBorder="1" applyAlignment="1" applyProtection="1">
      <alignment vertical="center"/>
      <protection locked="0"/>
    </xf>
    <xf numFmtId="166" fontId="2" fillId="0" borderId="8" xfId="1" applyNumberFormat="1" applyFill="1" applyBorder="1" applyAlignment="1" applyProtection="1">
      <alignment vertical="center"/>
    </xf>
    <xf numFmtId="0" fontId="16" fillId="0" borderId="8" xfId="1" applyFont="1" applyFill="1" applyBorder="1" applyAlignment="1" applyProtection="1">
      <alignment vertical="center"/>
      <protection locked="0"/>
    </xf>
    <xf numFmtId="3" fontId="2" fillId="0" borderId="42" xfId="1" applyNumberFormat="1" applyFill="1" applyBorder="1" applyAlignment="1" applyProtection="1">
      <alignment vertical="center"/>
    </xf>
    <xf numFmtId="165" fontId="7" fillId="0" borderId="42" xfId="2" applyNumberFormat="1" applyFont="1" applyFill="1" applyBorder="1" applyAlignment="1" applyProtection="1">
      <alignment vertical="center"/>
      <protection locked="0"/>
    </xf>
    <xf numFmtId="3" fontId="7" fillId="0" borderId="42" xfId="2" applyNumberFormat="1" applyFont="1" applyFill="1" applyBorder="1" applyAlignment="1" applyProtection="1">
      <alignment vertical="center"/>
      <protection locked="0"/>
    </xf>
    <xf numFmtId="3" fontId="7" fillId="0" borderId="32" xfId="2" applyNumberFormat="1" applyFont="1" applyFill="1" applyBorder="1" applyAlignment="1" applyProtection="1">
      <alignment vertical="center"/>
      <protection locked="0"/>
    </xf>
    <xf numFmtId="3" fontId="7" fillId="0" borderId="1" xfId="2" applyNumberFormat="1" applyFont="1" applyFill="1" applyBorder="1" applyAlignment="1" applyProtection="1">
      <alignment vertical="center"/>
      <protection locked="0"/>
    </xf>
    <xf numFmtId="3" fontId="7" fillId="0" borderId="7" xfId="2" applyNumberFormat="1" applyFont="1" applyFill="1" applyBorder="1" applyAlignment="1" applyProtection="1">
      <alignment vertical="center"/>
      <protection locked="0"/>
    </xf>
    <xf numFmtId="3" fontId="7" fillId="0" borderId="5" xfId="2" applyNumberFormat="1" applyFont="1" applyFill="1" applyBorder="1" applyAlignment="1" applyProtection="1">
      <alignment vertical="center"/>
      <protection locked="0"/>
    </xf>
    <xf numFmtId="3" fontId="7" fillId="0" borderId="8" xfId="2" applyNumberFormat="1" applyFont="1" applyFill="1" applyBorder="1" applyAlignment="1" applyProtection="1">
      <alignment vertical="center"/>
      <protection locked="0"/>
    </xf>
    <xf numFmtId="3" fontId="16" fillId="0" borderId="10" xfId="1" applyNumberFormat="1" applyFont="1" applyFill="1" applyBorder="1" applyAlignment="1" applyProtection="1">
      <alignment vertical="center"/>
    </xf>
    <xf numFmtId="3" fontId="16" fillId="0" borderId="24" xfId="1" applyNumberFormat="1" applyFont="1" applyFill="1" applyBorder="1" applyAlignment="1" applyProtection="1">
      <alignment vertical="center"/>
    </xf>
    <xf numFmtId="3" fontId="16" fillId="0" borderId="15" xfId="1" applyNumberFormat="1" applyFont="1" applyFill="1" applyBorder="1" applyAlignment="1" applyProtection="1">
      <alignment vertical="center"/>
    </xf>
    <xf numFmtId="10" fontId="16" fillId="0" borderId="0" xfId="1" applyNumberFormat="1" applyFont="1" applyFill="1" applyBorder="1" applyAlignment="1" applyProtection="1">
      <alignment vertical="center"/>
      <protection locked="0"/>
    </xf>
    <xf numFmtId="10" fontId="16" fillId="0" borderId="1" xfId="2" applyNumberFormat="1" applyFont="1" applyFill="1" applyBorder="1" applyAlignment="1" applyProtection="1">
      <alignment vertical="center"/>
      <protection locked="0"/>
    </xf>
    <xf numFmtId="10" fontId="16" fillId="0" borderId="0" xfId="2" applyNumberFormat="1" applyFont="1" applyFill="1" applyBorder="1" applyAlignment="1" applyProtection="1">
      <alignment vertical="center"/>
      <protection locked="0"/>
    </xf>
    <xf numFmtId="10" fontId="16" fillId="0" borderId="7" xfId="2" applyNumberFormat="1" applyFont="1" applyFill="1" applyBorder="1" applyAlignment="1" applyProtection="1">
      <alignment vertical="center"/>
      <protection locked="0"/>
    </xf>
    <xf numFmtId="3" fontId="16" fillId="0" borderId="43" xfId="1" applyNumberFormat="1" applyFont="1" applyFill="1" applyBorder="1" applyAlignment="1" applyProtection="1">
      <alignment vertical="center"/>
      <protection locked="0"/>
    </xf>
    <xf numFmtId="0" fontId="32" fillId="0" borderId="0" xfId="0" applyFont="1" applyAlignment="1">
      <alignment vertical="center"/>
    </xf>
    <xf numFmtId="10" fontId="34" fillId="0" borderId="0" xfId="0" applyNumberFormat="1" applyFont="1" applyAlignment="1">
      <alignment vertical="center"/>
    </xf>
    <xf numFmtId="0" fontId="53" fillId="0" borderId="0" xfId="0" applyFont="1" applyAlignment="1">
      <alignment vertical="center"/>
    </xf>
    <xf numFmtId="10" fontId="29" fillId="0" borderId="0" xfId="0" applyNumberFormat="1" applyFont="1" applyAlignment="1">
      <alignment vertical="center"/>
    </xf>
    <xf numFmtId="3" fontId="29" fillId="0" borderId="0" xfId="0" applyNumberFormat="1" applyFont="1" applyAlignment="1">
      <alignment vertical="center"/>
    </xf>
    <xf numFmtId="10" fontId="34" fillId="0" borderId="0" xfId="0" applyNumberFormat="1" applyFont="1" applyAlignment="1">
      <alignment horizontal="right" vertical="center"/>
    </xf>
    <xf numFmtId="0" fontId="55" fillId="0" borderId="0" xfId="0" applyFont="1" applyAlignment="1">
      <alignment vertical="center"/>
    </xf>
    <xf numFmtId="3" fontId="28" fillId="0" borderId="0" xfId="0" applyNumberFormat="1" applyFont="1" applyAlignment="1">
      <alignment vertical="center"/>
    </xf>
    <xf numFmtId="0" fontId="56" fillId="14" borderId="0" xfId="0" applyFont="1" applyFill="1" applyAlignment="1">
      <alignment vertical="center"/>
    </xf>
    <xf numFmtId="0" fontId="5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" fontId="0" fillId="0" borderId="57" xfId="0" applyNumberFormat="1" applyBorder="1" applyAlignment="1">
      <alignment vertical="center"/>
    </xf>
    <xf numFmtId="3" fontId="22" fillId="0" borderId="57" xfId="0" applyNumberFormat="1" applyFont="1" applyBorder="1" applyAlignment="1">
      <alignment vertical="center"/>
    </xf>
    <xf numFmtId="3" fontId="25" fillId="3" borderId="12" xfId="0" applyNumberFormat="1" applyFont="1" applyFill="1" applyBorder="1" applyAlignment="1">
      <alignment vertical="center"/>
    </xf>
    <xf numFmtId="3" fontId="0" fillId="3" borderId="0" xfId="0" applyNumberFormat="1" applyFill="1" applyAlignment="1">
      <alignment vertical="center"/>
    </xf>
    <xf numFmtId="3" fontId="33" fillId="5" borderId="63" xfId="0" applyNumberFormat="1" applyFont="1" applyFill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/>
    </xf>
    <xf numFmtId="172" fontId="71" fillId="0" borderId="0" xfId="7" applyNumberFormat="1" applyFont="1" applyAlignment="1">
      <alignment vertical="center"/>
    </xf>
    <xf numFmtId="173" fontId="70" fillId="0" borderId="0" xfId="7" applyNumberFormat="1" applyFont="1" applyFill="1" applyBorder="1" applyAlignment="1">
      <alignment vertical="center"/>
    </xf>
    <xf numFmtId="174" fontId="70" fillId="0" borderId="0" xfId="0" applyNumberFormat="1" applyFont="1" applyAlignment="1">
      <alignment vertical="center"/>
    </xf>
    <xf numFmtId="174" fontId="70" fillId="0" borderId="23" xfId="7" applyNumberFormat="1" applyFont="1" applyBorder="1" applyAlignment="1">
      <alignment vertical="center"/>
    </xf>
    <xf numFmtId="0" fontId="44" fillId="11" borderId="69" xfId="0" applyFont="1" applyFill="1" applyBorder="1" applyAlignment="1">
      <alignment horizontal="left" vertical="center" wrapText="1"/>
    </xf>
    <xf numFmtId="0" fontId="42" fillId="11" borderId="0" xfId="0" applyFont="1" applyFill="1" applyBorder="1" applyAlignment="1">
      <alignment vertical="center"/>
    </xf>
    <xf numFmtId="175" fontId="44" fillId="11" borderId="71" xfId="2" applyNumberFormat="1" applyFont="1" applyFill="1" applyBorder="1" applyAlignment="1">
      <alignment horizontal="right" vertical="center"/>
    </xf>
    <xf numFmtId="175" fontId="44" fillId="11" borderId="48" xfId="2" applyNumberFormat="1" applyFont="1" applyFill="1" applyBorder="1" applyAlignment="1">
      <alignment horizontal="right" vertical="center"/>
    </xf>
    <xf numFmtId="175" fontId="44" fillId="11" borderId="46" xfId="2" applyNumberFormat="1" applyFont="1" applyFill="1" applyBorder="1" applyAlignment="1">
      <alignment horizontal="right" vertical="center"/>
    </xf>
    <xf numFmtId="49" fontId="42" fillId="0" borderId="10" xfId="0" applyNumberFormat="1" applyFont="1" applyBorder="1" applyAlignment="1">
      <alignment horizontal="right" vertical="center"/>
    </xf>
    <xf numFmtId="49" fontId="42" fillId="0" borderId="0" xfId="0" applyNumberFormat="1" applyFont="1" applyFill="1" applyBorder="1" applyAlignment="1">
      <alignment horizontal="right" vertical="center"/>
    </xf>
    <xf numFmtId="0" fontId="44" fillId="0" borderId="0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" fontId="44" fillId="11" borderId="71" xfId="2" applyNumberFormat="1" applyFont="1" applyFill="1" applyBorder="1" applyAlignment="1">
      <alignment horizontal="right" vertical="center"/>
    </xf>
    <xf numFmtId="0" fontId="43" fillId="11" borderId="75" xfId="0" applyFont="1" applyFill="1" applyBorder="1" applyAlignment="1">
      <alignment horizontal="left" vertical="center" wrapText="1"/>
    </xf>
    <xf numFmtId="0" fontId="44" fillId="11" borderId="23" xfId="0" applyFont="1" applyFill="1" applyBorder="1" applyAlignment="1">
      <alignment horizontal="left" vertical="center" wrapText="1"/>
    </xf>
    <xf numFmtId="0" fontId="44" fillId="11" borderId="36" xfId="0" applyFont="1" applyFill="1" applyBorder="1" applyAlignment="1">
      <alignment horizontal="left" vertical="center" wrapText="1"/>
    </xf>
    <xf numFmtId="49" fontId="44" fillId="11" borderId="41" xfId="0" applyNumberFormat="1" applyFont="1" applyFill="1" applyBorder="1" applyAlignment="1">
      <alignment horizontal="right" vertical="center"/>
    </xf>
    <xf numFmtId="2" fontId="72" fillId="0" borderId="0" xfId="1" applyNumberFormat="1" applyFont="1" applyFill="1" applyBorder="1" applyAlignment="1" applyProtection="1">
      <alignment horizontal="center"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3" fontId="12" fillId="3" borderId="41" xfId="1" applyNumberFormat="1" applyFont="1" applyFill="1" applyBorder="1" applyAlignment="1" applyProtection="1">
      <alignment vertical="center"/>
    </xf>
    <xf numFmtId="3" fontId="12" fillId="0" borderId="42" xfId="1" applyNumberFormat="1" applyFont="1" applyFill="1" applyBorder="1" applyAlignment="1" applyProtection="1">
      <alignment vertical="center"/>
    </xf>
    <xf numFmtId="3" fontId="12" fillId="0" borderId="7" xfId="1" applyNumberFormat="1" applyFont="1" applyFill="1" applyBorder="1" applyAlignment="1" applyProtection="1">
      <alignment vertical="center"/>
    </xf>
    <xf numFmtId="3" fontId="73" fillId="0" borderId="0" xfId="0" applyNumberFormat="1" applyFont="1" applyAlignment="1">
      <alignment vertical="center"/>
    </xf>
    <xf numFmtId="3" fontId="73" fillId="0" borderId="57" xfId="0" applyNumberFormat="1" applyFont="1" applyBorder="1" applyAlignment="1">
      <alignment vertical="center"/>
    </xf>
    <xf numFmtId="17" fontId="24" fillId="0" borderId="0" xfId="0" applyNumberFormat="1" applyFont="1" applyAlignment="1">
      <alignment horizontal="left" vertical="center"/>
    </xf>
    <xf numFmtId="3" fontId="20" fillId="3" borderId="9" xfId="0" applyNumberFormat="1" applyFont="1" applyFill="1" applyBorder="1" applyAlignment="1">
      <alignment vertical="center"/>
    </xf>
    <xf numFmtId="3" fontId="20" fillId="3" borderId="11" xfId="0" applyNumberFormat="1" applyFont="1" applyFill="1" applyBorder="1" applyAlignment="1">
      <alignment vertical="center"/>
    </xf>
    <xf numFmtId="49" fontId="44" fillId="11" borderId="68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57" xfId="0" applyBorder="1" applyAlignment="1">
      <alignment horizontal="center" vertical="center"/>
    </xf>
    <xf numFmtId="3" fontId="44" fillId="11" borderId="48" xfId="2" applyNumberFormat="1" applyFont="1" applyFill="1" applyBorder="1" applyAlignment="1">
      <alignment horizontal="right" vertical="center"/>
    </xf>
    <xf numFmtId="3" fontId="44" fillId="11" borderId="46" xfId="2" applyNumberFormat="1" applyFont="1" applyFill="1" applyBorder="1" applyAlignment="1">
      <alignment horizontal="right" vertical="center"/>
    </xf>
    <xf numFmtId="10" fontId="44" fillId="11" borderId="48" xfId="2" applyNumberFormat="1" applyFont="1" applyFill="1" applyBorder="1" applyAlignment="1">
      <alignment horizontal="center" vertical="center"/>
    </xf>
    <xf numFmtId="3" fontId="76" fillId="0" borderId="0" xfId="0" applyNumberFormat="1" applyFont="1" applyAlignment="1">
      <alignment vertical="center"/>
    </xf>
    <xf numFmtId="0" fontId="77" fillId="0" borderId="0" xfId="0" applyFont="1" applyAlignment="1">
      <alignment vertical="center"/>
    </xf>
    <xf numFmtId="3" fontId="80" fillId="0" borderId="1" xfId="3" applyNumberFormat="1" applyFont="1" applyFill="1" applyBorder="1" applyAlignment="1">
      <alignment horizontal="right" vertical="center"/>
    </xf>
    <xf numFmtId="10" fontId="80" fillId="0" borderId="1" xfId="2" applyNumberFormat="1" applyFont="1" applyFill="1" applyBorder="1" applyAlignment="1">
      <alignment horizontal="right" vertical="center"/>
    </xf>
    <xf numFmtId="3" fontId="80" fillId="0" borderId="0" xfId="0" applyNumberFormat="1" applyFont="1" applyBorder="1" applyAlignment="1">
      <alignment horizontal="right" vertical="center"/>
    </xf>
    <xf numFmtId="3" fontId="80" fillId="0" borderId="7" xfId="0" applyNumberFormat="1" applyFont="1" applyBorder="1" applyAlignment="1">
      <alignment horizontal="right" vertical="center"/>
    </xf>
    <xf numFmtId="0" fontId="46" fillId="0" borderId="1" xfId="0" applyFont="1" applyBorder="1" applyAlignment="1">
      <alignment horizontal="left" vertical="center" wrapText="1"/>
    </xf>
    <xf numFmtId="3" fontId="46" fillId="0" borderId="1" xfId="3" applyNumberFormat="1" applyFont="1" applyFill="1" applyBorder="1" applyAlignment="1">
      <alignment horizontal="right" vertical="center"/>
    </xf>
    <xf numFmtId="10" fontId="46" fillId="0" borderId="1" xfId="2" applyNumberFormat="1" applyFont="1" applyFill="1" applyBorder="1" applyAlignment="1">
      <alignment horizontal="right" vertical="center"/>
    </xf>
    <xf numFmtId="3" fontId="46" fillId="0" borderId="0" xfId="0" applyNumberFormat="1" applyFont="1" applyBorder="1" applyAlignment="1">
      <alignment horizontal="right" vertical="center"/>
    </xf>
    <xf numFmtId="3" fontId="46" fillId="0" borderId="7" xfId="0" applyNumberFormat="1" applyFont="1" applyBorder="1" applyAlignment="1">
      <alignment horizontal="right" vertical="center"/>
    </xf>
    <xf numFmtId="0" fontId="43" fillId="11" borderId="23" xfId="0" applyFont="1" applyFill="1" applyBorder="1" applyAlignment="1">
      <alignment horizontal="left" vertical="center" wrapText="1"/>
    </xf>
    <xf numFmtId="0" fontId="43" fillId="11" borderId="39" xfId="0" applyFont="1" applyFill="1" applyBorder="1" applyAlignment="1">
      <alignment horizontal="left" vertical="center" wrapText="1"/>
    </xf>
    <xf numFmtId="0" fontId="43" fillId="11" borderId="23" xfId="0" applyFont="1" applyFill="1" applyBorder="1" applyAlignment="1">
      <alignment horizontal="left" vertical="center"/>
    </xf>
    <xf numFmtId="0" fontId="43" fillId="0" borderId="23" xfId="0" applyFont="1" applyBorder="1" applyAlignment="1">
      <alignment horizontal="left" vertical="center" wrapText="1"/>
    </xf>
    <xf numFmtId="0" fontId="46" fillId="0" borderId="23" xfId="0" applyFont="1" applyBorder="1" applyAlignment="1">
      <alignment horizontal="left" vertical="center" wrapText="1"/>
    </xf>
    <xf numFmtId="0" fontId="44" fillId="0" borderId="23" xfId="0" applyFont="1" applyBorder="1" applyAlignment="1">
      <alignment horizontal="left" vertical="center" wrapText="1"/>
    </xf>
    <xf numFmtId="0" fontId="43" fillId="0" borderId="39" xfId="0" applyFont="1" applyBorder="1" applyAlignment="1">
      <alignment horizontal="left" vertical="center" wrapText="1"/>
    </xf>
    <xf numFmtId="49" fontId="44" fillId="11" borderId="8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44" fillId="11" borderId="27" xfId="0" applyFont="1" applyFill="1" applyBorder="1" applyAlignment="1">
      <alignment horizontal="left" vertical="center" wrapText="1"/>
    </xf>
    <xf numFmtId="0" fontId="52" fillId="15" borderId="0" xfId="0" applyFont="1" applyFill="1" applyAlignment="1">
      <alignment horizontal="left" vertical="center"/>
    </xf>
    <xf numFmtId="0" fontId="53" fillId="15" borderId="0" xfId="0" applyFont="1" applyFill="1" applyAlignment="1">
      <alignment vertical="center"/>
    </xf>
    <xf numFmtId="0" fontId="53" fillId="15" borderId="0" xfId="0" applyFont="1" applyFill="1" applyAlignment="1">
      <alignment vertical="center" wrapText="1"/>
    </xf>
    <xf numFmtId="0" fontId="55" fillId="15" borderId="0" xfId="0" applyFont="1" applyFill="1" applyAlignment="1">
      <alignment vertical="center"/>
    </xf>
    <xf numFmtId="0" fontId="29" fillId="15" borderId="0" xfId="0" applyFont="1" applyFill="1" applyAlignment="1">
      <alignment vertical="center"/>
    </xf>
    <xf numFmtId="166" fontId="29" fillId="0" borderId="0" xfId="0" applyNumberFormat="1" applyFont="1" applyAlignment="1">
      <alignment vertical="center"/>
    </xf>
    <xf numFmtId="9" fontId="29" fillId="0" borderId="0" xfId="0" applyNumberFormat="1" applyFont="1" applyAlignment="1">
      <alignment vertical="center"/>
    </xf>
    <xf numFmtId="0" fontId="81" fillId="15" borderId="0" xfId="14" applyFill="1" applyAlignment="1">
      <alignment horizontal="left" vertical="center"/>
    </xf>
    <xf numFmtId="3" fontId="68" fillId="0" borderId="0" xfId="0" applyNumberFormat="1" applyFont="1" applyAlignment="1">
      <alignment horizontal="center" vertical="center"/>
    </xf>
    <xf numFmtId="0" fontId="69" fillId="0" borderId="0" xfId="0" applyFont="1" applyAlignment="1">
      <alignment horizontal="center" vertical="center"/>
    </xf>
    <xf numFmtId="3" fontId="27" fillId="0" borderId="57" xfId="0" applyNumberFormat="1" applyFont="1" applyBorder="1" applyAlignment="1">
      <alignment horizontal="center" vertical="center" wrapText="1"/>
    </xf>
    <xf numFmtId="3" fontId="23" fillId="0" borderId="9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3" fontId="27" fillId="0" borderId="17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3" fontId="30" fillId="0" borderId="31" xfId="0" applyNumberFormat="1" applyFont="1" applyBorder="1" applyAlignment="1">
      <alignment vertical="center"/>
    </xf>
    <xf numFmtId="3" fontId="42" fillId="0" borderId="54" xfId="0" applyNumberFormat="1" applyFont="1" applyBorder="1" applyAlignment="1">
      <alignment horizontal="center" vertical="center"/>
    </xf>
    <xf numFmtId="3" fontId="42" fillId="0" borderId="53" xfId="0" applyNumberFormat="1" applyFont="1" applyBorder="1" applyAlignment="1">
      <alignment horizontal="center" vertical="center"/>
    </xf>
    <xf numFmtId="3" fontId="42" fillId="0" borderId="74" xfId="0" applyNumberFormat="1" applyFont="1" applyBorder="1" applyAlignment="1">
      <alignment horizontal="center" vertical="center"/>
    </xf>
    <xf numFmtId="3" fontId="42" fillId="0" borderId="36" xfId="0" applyNumberFormat="1" applyFont="1" applyBorder="1" applyAlignment="1">
      <alignment horizontal="center" vertical="center"/>
    </xf>
    <xf numFmtId="3" fontId="42" fillId="0" borderId="66" xfId="0" applyNumberFormat="1" applyFont="1" applyBorder="1" applyAlignment="1">
      <alignment horizontal="center" vertical="center"/>
    </xf>
    <xf numFmtId="3" fontId="42" fillId="0" borderId="39" xfId="0" applyNumberFormat="1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3" fontId="44" fillId="11" borderId="27" xfId="3" applyNumberFormat="1" applyFont="1" applyFill="1" applyBorder="1" applyAlignment="1">
      <alignment horizontal="center" vertical="center"/>
    </xf>
    <xf numFmtId="0" fontId="0" fillId="11" borderId="27" xfId="0" applyFill="1" applyBorder="1" applyAlignment="1">
      <alignment horizontal="center" vertical="center"/>
    </xf>
    <xf numFmtId="10" fontId="44" fillId="11" borderId="74" xfId="2" applyNumberFormat="1" applyFont="1" applyFill="1" applyBorder="1" applyAlignment="1">
      <alignment horizontal="center" vertical="center"/>
    </xf>
    <xf numFmtId="10" fontId="44" fillId="11" borderId="36" xfId="2" applyNumberFormat="1" applyFont="1" applyFill="1" applyBorder="1" applyAlignment="1">
      <alignment horizontal="center" vertical="center"/>
    </xf>
    <xf numFmtId="170" fontId="42" fillId="0" borderId="71" xfId="0" applyNumberFormat="1" applyFont="1" applyBorder="1" applyAlignment="1">
      <alignment horizontal="center" vertical="center"/>
    </xf>
    <xf numFmtId="170" fontId="42" fillId="0" borderId="72" xfId="0" applyNumberFormat="1" applyFont="1" applyBorder="1" applyAlignment="1">
      <alignment horizontal="center" vertical="center"/>
    </xf>
    <xf numFmtId="3" fontId="42" fillId="0" borderId="73" xfId="0" applyNumberFormat="1" applyFont="1" applyBorder="1" applyAlignment="1">
      <alignment horizontal="center" vertical="center"/>
    </xf>
    <xf numFmtId="3" fontId="42" fillId="0" borderId="35" xfId="0" applyNumberFormat="1" applyFont="1" applyBorder="1" applyAlignment="1">
      <alignment horizontal="center" vertical="center"/>
    </xf>
    <xf numFmtId="3" fontId="43" fillId="11" borderId="71" xfId="3" applyNumberFormat="1" applyFont="1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3" fontId="44" fillId="11" borderId="71" xfId="2" applyNumberFormat="1" applyFont="1" applyFill="1" applyBorder="1" applyAlignment="1">
      <alignment horizontal="center" vertical="center"/>
    </xf>
    <xf numFmtId="3" fontId="0" fillId="0" borderId="72" xfId="0" applyNumberFormat="1" applyBorder="1" applyAlignment="1">
      <alignment horizontal="center" vertical="center"/>
    </xf>
    <xf numFmtId="3" fontId="44" fillId="11" borderId="55" xfId="3" applyNumberFormat="1" applyFont="1" applyFill="1" applyBorder="1" applyAlignment="1">
      <alignment horizontal="center" vertical="center"/>
    </xf>
    <xf numFmtId="0" fontId="0" fillId="11" borderId="23" xfId="0" applyFill="1" applyBorder="1" applyAlignment="1">
      <alignment horizontal="center" vertical="center"/>
    </xf>
    <xf numFmtId="0" fontId="75" fillId="0" borderId="0" xfId="0" applyFont="1" applyBorder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59" fillId="0" borderId="54" xfId="0" applyFont="1" applyBorder="1" applyAlignment="1">
      <alignment vertical="center" wrapText="1"/>
    </xf>
    <xf numFmtId="0" fontId="70" fillId="0" borderId="55" xfId="0" applyFont="1" applyBorder="1" applyAlignment="1">
      <alignment vertical="center" wrapText="1"/>
    </xf>
    <xf numFmtId="0" fontId="70" fillId="0" borderId="66" xfId="0" applyFont="1" applyBorder="1" applyAlignment="1">
      <alignment vertical="center" wrapText="1"/>
    </xf>
    <xf numFmtId="0" fontId="71" fillId="0" borderId="54" xfId="0" applyFont="1" applyBorder="1" applyAlignment="1">
      <alignment vertical="center" wrapText="1"/>
    </xf>
    <xf numFmtId="0" fontId="71" fillId="0" borderId="55" xfId="0" applyFont="1" applyBorder="1" applyAlignment="1">
      <alignment vertical="center" wrapText="1"/>
    </xf>
    <xf numFmtId="0" fontId="71" fillId="0" borderId="66" xfId="0" applyFont="1" applyBorder="1" applyAlignment="1">
      <alignment vertical="center" wrapText="1"/>
    </xf>
    <xf numFmtId="0" fontId="67" fillId="0" borderId="47" xfId="0" applyFont="1" applyBorder="1" applyAlignment="1">
      <alignment horizontal="center" vertical="center" wrapText="1"/>
    </xf>
    <xf numFmtId="0" fontId="67" fillId="0" borderId="48" xfId="0" applyFont="1" applyBorder="1" applyAlignment="1">
      <alignment horizontal="center" vertical="center" wrapText="1"/>
    </xf>
    <xf numFmtId="0" fontId="67" fillId="0" borderId="46" xfId="0" applyFont="1" applyBorder="1" applyAlignment="1">
      <alignment horizontal="center" vertical="center" wrapText="1"/>
    </xf>
    <xf numFmtId="172" fontId="60" fillId="0" borderId="61" xfId="7" applyNumberFormat="1" applyFont="1" applyBorder="1" applyAlignment="1">
      <alignment horizontal="center" vertical="center"/>
    </xf>
    <xf numFmtId="0" fontId="7" fillId="0" borderId="15" xfId="1" applyFont="1" applyFill="1" applyBorder="1" applyAlignment="1" applyProtection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6" fillId="0" borderId="50" xfId="1" applyFont="1" applyFill="1" applyBorder="1" applyAlignment="1" applyProtection="1">
      <alignment horizontal="center" vertical="center"/>
    </xf>
    <xf numFmtId="0" fontId="6" fillId="0" borderId="51" xfId="1" applyFont="1" applyFill="1" applyBorder="1" applyAlignment="1" applyProtection="1">
      <alignment horizontal="center" vertical="center"/>
    </xf>
    <xf numFmtId="0" fontId="6" fillId="0" borderId="34" xfId="1" applyFont="1" applyFill="1" applyBorder="1" applyAlignment="1" applyProtection="1">
      <alignment horizontal="center" vertical="center"/>
    </xf>
    <xf numFmtId="0" fontId="6" fillId="0" borderId="33" xfId="1" applyFont="1" applyFill="1" applyBorder="1" applyAlignment="1" applyProtection="1">
      <alignment horizontal="center" vertical="center"/>
    </xf>
    <xf numFmtId="0" fontId="6" fillId="0" borderId="26" xfId="1" applyFont="1" applyFill="1" applyBorder="1" applyAlignment="1" applyProtection="1">
      <alignment horizontal="center" vertical="center"/>
    </xf>
    <xf numFmtId="0" fontId="18" fillId="2" borderId="34" xfId="1" applyFont="1" applyFill="1" applyBorder="1" applyAlignment="1" applyProtection="1">
      <alignment horizontal="left" vertical="center"/>
    </xf>
    <xf numFmtId="0" fontId="18" fillId="2" borderId="26" xfId="1" applyFont="1" applyFill="1" applyBorder="1" applyAlignment="1" applyProtection="1">
      <alignment horizontal="left" vertical="center"/>
    </xf>
    <xf numFmtId="0" fontId="6" fillId="2" borderId="34" xfId="1" applyFont="1" applyFill="1" applyBorder="1" applyAlignment="1" applyProtection="1">
      <alignment horizontal="left" vertical="center"/>
    </xf>
    <xf numFmtId="0" fontId="6" fillId="2" borderId="26" xfId="1" applyFont="1" applyFill="1" applyBorder="1" applyAlignment="1" applyProtection="1">
      <alignment horizontal="left" vertical="center"/>
    </xf>
    <xf numFmtId="0" fontId="6" fillId="2" borderId="34" xfId="1" applyFont="1" applyFill="1" applyBorder="1" applyAlignment="1" applyProtection="1">
      <alignment vertical="center"/>
    </xf>
    <xf numFmtId="0" fontId="6" fillId="2" borderId="26" xfId="1" applyFont="1" applyFill="1" applyBorder="1" applyAlignment="1" applyProtection="1">
      <alignment vertical="center"/>
    </xf>
    <xf numFmtId="0" fontId="2" fillId="0" borderId="0" xfId="1" applyFill="1" applyBorder="1" applyAlignment="1" applyProtection="1">
      <alignment vertical="center"/>
    </xf>
    <xf numFmtId="0" fontId="0" fillId="0" borderId="0" xfId="0" applyFill="1" applyAlignment="1">
      <alignment vertical="center"/>
    </xf>
    <xf numFmtId="0" fontId="66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5" fillId="3" borderId="47" xfId="0" applyFont="1" applyFill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168" fontId="9" fillId="3" borderId="12" xfId="1" applyNumberFormat="1" applyFont="1" applyFill="1" applyBorder="1" applyAlignment="1" applyProtection="1">
      <alignment horizontal="center" vertical="center"/>
      <protection locked="0"/>
    </xf>
    <xf numFmtId="168" fontId="9" fillId="3" borderId="13" xfId="1" applyNumberFormat="1" applyFont="1" applyFill="1" applyBorder="1" applyAlignment="1" applyProtection="1">
      <alignment horizontal="center" vertical="center"/>
      <protection locked="0"/>
    </xf>
    <xf numFmtId="0" fontId="6" fillId="2" borderId="33" xfId="1" applyFont="1" applyFill="1" applyBorder="1" applyAlignment="1" applyProtection="1">
      <alignment horizontal="left" vertical="center"/>
    </xf>
    <xf numFmtId="0" fontId="6" fillId="2" borderId="9" xfId="1" applyFont="1" applyFill="1" applyBorder="1" applyAlignment="1" applyProtection="1">
      <alignment horizontal="left" vertical="center"/>
    </xf>
    <xf numFmtId="0" fontId="6" fillId="2" borderId="15" xfId="1" applyFont="1" applyFill="1" applyBorder="1" applyAlignment="1" applyProtection="1">
      <alignment horizontal="left" vertical="center"/>
    </xf>
    <xf numFmtId="0" fontId="6" fillId="2" borderId="21" xfId="1" applyFont="1" applyFill="1" applyBorder="1" applyAlignment="1" applyProtection="1">
      <alignment horizontal="left" vertical="center"/>
    </xf>
    <xf numFmtId="0" fontId="6" fillId="2" borderId="22" xfId="1" applyFont="1" applyFill="1" applyBorder="1" applyAlignment="1" applyProtection="1">
      <alignment horizontal="left" vertical="center"/>
    </xf>
    <xf numFmtId="0" fontId="6" fillId="3" borderId="47" xfId="1" applyFont="1" applyFill="1" applyBorder="1" applyAlignment="1">
      <alignment vertical="center"/>
    </xf>
    <xf numFmtId="0" fontId="0" fillId="3" borderId="48" xfId="0" applyFill="1" applyBorder="1" applyAlignment="1">
      <alignment vertical="center"/>
    </xf>
    <xf numFmtId="0" fontId="0" fillId="3" borderId="46" xfId="0" applyFill="1" applyBorder="1" applyAlignment="1">
      <alignment vertical="center"/>
    </xf>
    <xf numFmtId="0" fontId="9" fillId="3" borderId="34" xfId="1" applyFont="1" applyFill="1" applyBorder="1" applyAlignment="1" applyProtection="1">
      <alignment horizontal="left" vertical="center"/>
      <protection locked="0"/>
    </xf>
    <xf numFmtId="0" fontId="9" fillId="3" borderId="33" xfId="1" applyFont="1" applyFill="1" applyBorder="1" applyAlignment="1" applyProtection="1">
      <alignment horizontal="left" vertical="center"/>
      <protection locked="0"/>
    </xf>
    <xf numFmtId="0" fontId="0" fillId="3" borderId="33" xfId="0" applyFill="1" applyBorder="1" applyAlignment="1">
      <alignment vertical="center"/>
    </xf>
    <xf numFmtId="0" fontId="0" fillId="3" borderId="26" xfId="0" applyFill="1" applyBorder="1" applyAlignment="1">
      <alignment vertical="center"/>
    </xf>
    <xf numFmtId="0" fontId="9" fillId="3" borderId="19" xfId="1" applyFont="1" applyFill="1" applyBorder="1" applyAlignment="1" applyProtection="1">
      <alignment horizontal="left" vertical="center"/>
      <protection locked="0"/>
    </xf>
    <xf numFmtId="0" fontId="9" fillId="3" borderId="17" xfId="1" applyFont="1" applyFill="1" applyBorder="1" applyAlignment="1" applyProtection="1">
      <alignment horizontal="left" vertical="center"/>
      <protection locked="0"/>
    </xf>
    <xf numFmtId="0" fontId="0" fillId="3" borderId="17" xfId="0" applyFill="1" applyBorder="1" applyAlignment="1">
      <alignment vertical="center"/>
    </xf>
    <xf numFmtId="0" fontId="0" fillId="3" borderId="20" xfId="0" applyFill="1" applyBorder="1" applyAlignment="1">
      <alignment vertical="center"/>
    </xf>
    <xf numFmtId="0" fontId="74" fillId="0" borderId="0" xfId="1" applyFont="1" applyFill="1" applyBorder="1" applyAlignment="1" applyProtection="1">
      <alignment horizontal="center" vertical="center" wrapText="1"/>
    </xf>
    <xf numFmtId="168" fontId="9" fillId="3" borderId="9" xfId="1" applyNumberFormat="1" applyFont="1" applyFill="1" applyBorder="1" applyAlignment="1" applyProtection="1">
      <alignment horizontal="center" vertical="center"/>
      <protection locked="0"/>
    </xf>
    <xf numFmtId="168" fontId="9" fillId="3" borderId="10" xfId="1" applyNumberFormat="1" applyFont="1" applyFill="1" applyBorder="1" applyAlignment="1" applyProtection="1">
      <alignment horizontal="center" vertical="center"/>
      <protection locked="0"/>
    </xf>
    <xf numFmtId="0" fontId="9" fillId="3" borderId="12" xfId="1" applyFont="1" applyFill="1" applyBorder="1" applyAlignment="1" applyProtection="1">
      <alignment horizontal="left" vertical="center"/>
      <protection locked="0"/>
    </xf>
    <xf numFmtId="0" fontId="9" fillId="3" borderId="13" xfId="1" applyFont="1" applyFill="1" applyBorder="1" applyAlignment="1" applyProtection="1">
      <alignment horizontal="left" vertical="center"/>
      <protection locked="0"/>
    </xf>
    <xf numFmtId="0" fontId="9" fillId="3" borderId="8" xfId="1" applyFont="1" applyFill="1" applyBorder="1" applyAlignment="1" applyProtection="1">
      <alignment horizontal="left" vertical="center"/>
      <protection locked="0"/>
    </xf>
    <xf numFmtId="167" fontId="2" fillId="0" borderId="9" xfId="1" applyNumberFormat="1" applyFill="1" applyBorder="1" applyAlignment="1" applyProtection="1">
      <alignment horizontal="left" vertical="center" wrapText="1"/>
    </xf>
    <xf numFmtId="0" fontId="2" fillId="0" borderId="10" xfId="1" applyBorder="1" applyAlignment="1">
      <alignment horizontal="left" vertical="center" wrapText="1"/>
    </xf>
    <xf numFmtId="0" fontId="2" fillId="0" borderId="49" xfId="1" applyBorder="1" applyAlignment="1">
      <alignment horizontal="left" vertical="center" wrapText="1"/>
    </xf>
    <xf numFmtId="0" fontId="2" fillId="0" borderId="12" xfId="1" applyBorder="1" applyAlignment="1">
      <alignment horizontal="left" vertical="center" wrapText="1"/>
    </xf>
    <xf numFmtId="0" fontId="2" fillId="0" borderId="13" xfId="1" applyBorder="1" applyAlignment="1">
      <alignment horizontal="left" vertical="center" wrapText="1"/>
    </xf>
    <xf numFmtId="0" fontId="2" fillId="0" borderId="36" xfId="1" applyBorder="1" applyAlignment="1">
      <alignment horizontal="left" vertical="center" wrapText="1"/>
    </xf>
  </cellXfs>
  <cellStyles count="15">
    <cellStyle name="Гиперссылка" xfId="14" builtinId="8"/>
    <cellStyle name="Обычный" xfId="0" builtinId="0"/>
    <cellStyle name="Обычный 2" xfId="1"/>
    <cellStyle name="Обычный 2 2" xfId="10"/>
    <cellStyle name="Обычный 3" xfId="4"/>
    <cellStyle name="Обычный 3 2" xfId="11"/>
    <cellStyle name="Обычный 4" xfId="9"/>
    <cellStyle name="Процентный" xfId="8" builtinId="5"/>
    <cellStyle name="Процентный 2" xfId="2"/>
    <cellStyle name="Процентный 3" xfId="6"/>
    <cellStyle name="Процентный 4" xfId="12"/>
    <cellStyle name="Финансовый" xfId="7" builtinId="3"/>
    <cellStyle name="Финансовый 2" xfId="3"/>
    <cellStyle name="Финансовый 3" xfId="5"/>
    <cellStyle name="Финансовый 4" xfId="13"/>
  </cellStyles>
  <dxfs count="0"/>
  <tableStyles count="0" defaultTableStyle="TableStyleMedium2" defaultPivotStyle="PivotStyleLight16"/>
  <colors>
    <mruColors>
      <color rgb="FFFFA3A3"/>
      <color rgb="FFFFFFC5"/>
      <color rgb="FFFFFFE5"/>
      <color rgb="FFFF9393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198437</xdr:colOff>
      <xdr:row>0</xdr:row>
      <xdr:rowOff>222250</xdr:rowOff>
    </xdr:from>
    <xdr:to>
      <xdr:col>8</xdr:col>
      <xdr:colOff>578466</xdr:colOff>
      <xdr:row>3</xdr:row>
      <xdr:rowOff>116363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F354D3A-5DEF-40F1-A5B8-3A615B79F5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29687" y="222250"/>
          <a:ext cx="1845291" cy="6799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214312</xdr:colOff>
      <xdr:row>0</xdr:row>
      <xdr:rowOff>198438</xdr:rowOff>
    </xdr:from>
    <xdr:to>
      <xdr:col>18</xdr:col>
      <xdr:colOff>298361</xdr:colOff>
      <xdr:row>4</xdr:row>
      <xdr:rowOff>5238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4B2A02E2-A983-4729-9517-36D1A2E3E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18875" y="198438"/>
          <a:ext cx="1846174" cy="68786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212725</xdr:colOff>
      <xdr:row>0</xdr:row>
      <xdr:rowOff>158750</xdr:rowOff>
    </xdr:from>
    <xdr:to>
      <xdr:col>8</xdr:col>
      <xdr:colOff>229216</xdr:colOff>
      <xdr:row>3</xdr:row>
      <xdr:rowOff>127476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7FF7E700-2E9D-4608-9548-82AAE5ABAE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38850" y="158750"/>
          <a:ext cx="1850054" cy="68310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199939</xdr:colOff>
      <xdr:row>0</xdr:row>
      <xdr:rowOff>211665</xdr:rowOff>
    </xdr:from>
    <xdr:to>
      <xdr:col>6</xdr:col>
      <xdr:colOff>529168</xdr:colOff>
      <xdr:row>3</xdr:row>
      <xdr:rowOff>74028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E35C4067-DCC0-4D11-A562-80FE361266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93772" y="211665"/>
          <a:ext cx="1846174" cy="68786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190499</xdr:colOff>
      <xdr:row>0</xdr:row>
      <xdr:rowOff>238125</xdr:rowOff>
    </xdr:from>
    <xdr:to>
      <xdr:col>18</xdr:col>
      <xdr:colOff>203112</xdr:colOff>
      <xdr:row>3</xdr:row>
      <xdr:rowOff>92550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D7AC2262-36E1-450E-9405-DACF562E8A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295312" y="238125"/>
          <a:ext cx="1846174" cy="6878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5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K70"/>
  <sheetViews>
    <sheetView zoomScale="80" zoomScaleNormal="80" workbookViewId="0">
      <selection activeCell="F42" sqref="F42"/>
    </sheetView>
  </sheetViews>
  <sheetFormatPr defaultColWidth="8.7265625" defaultRowHeight="14.5" x14ac:dyDescent="0.35"/>
  <cols>
    <col min="1" max="1" width="1.1796875" style="179" customWidth="1"/>
    <col min="2" max="2" width="53.81640625" style="178" customWidth="1"/>
    <col min="3" max="3" width="35.453125" style="178" customWidth="1"/>
    <col min="4" max="4" width="6.26953125" style="178" bestFit="1" customWidth="1"/>
    <col min="5" max="5" width="15.81640625" style="178" bestFit="1" customWidth="1"/>
    <col min="6" max="6" width="20.54296875" style="178" customWidth="1"/>
    <col min="7" max="7" width="11.81640625" style="178" customWidth="1"/>
    <col min="8" max="1025" width="8.7265625" style="178"/>
    <col min="1026" max="16384" width="8.7265625" style="179"/>
  </cols>
  <sheetData>
    <row r="1" spans="2:6" ht="30.65" customHeight="1" x14ac:dyDescent="0.35">
      <c r="B1" s="455" t="s">
        <v>124</v>
      </c>
      <c r="C1" s="456"/>
      <c r="D1" s="456"/>
      <c r="E1" s="456"/>
      <c r="F1" s="456"/>
    </row>
    <row r="2" spans="2:6" ht="15.65" customHeight="1" thickBot="1" x14ac:dyDescent="0.4">
      <c r="B2" s="383"/>
      <c r="C2" s="52"/>
      <c r="D2" s="53"/>
      <c r="E2" s="52"/>
      <c r="F2" s="52"/>
    </row>
    <row r="3" spans="2:6" ht="15.65" customHeight="1" thickTop="1" thickBot="1" x14ac:dyDescent="0.4">
      <c r="B3" s="20"/>
      <c r="C3" s="17"/>
      <c r="D3" s="18"/>
      <c r="E3" s="17"/>
      <c r="F3" s="17"/>
    </row>
    <row r="4" spans="2:6" ht="18" customHeight="1" x14ac:dyDescent="0.35">
      <c r="B4" s="458" t="s">
        <v>71</v>
      </c>
      <c r="C4" s="416" t="s">
        <v>127</v>
      </c>
      <c r="D4" s="81"/>
      <c r="E4" s="80"/>
      <c r="F4" s="80"/>
    </row>
    <row r="5" spans="2:6" ht="18" customHeight="1" x14ac:dyDescent="0.35">
      <c r="B5" s="459"/>
      <c r="C5" s="417" t="s">
        <v>125</v>
      </c>
      <c r="D5" s="82"/>
      <c r="E5" s="80"/>
      <c r="F5" s="80"/>
    </row>
    <row r="6" spans="2:6" ht="18" customHeight="1" thickBot="1" x14ac:dyDescent="0.4">
      <c r="B6" s="460"/>
      <c r="C6" s="83" t="s">
        <v>126</v>
      </c>
      <c r="D6" s="84"/>
      <c r="E6" s="80"/>
      <c r="F6" s="80"/>
    </row>
    <row r="7" spans="2:6" ht="18" customHeight="1" thickBot="1" x14ac:dyDescent="0.4">
      <c r="B7" s="21" t="s">
        <v>72</v>
      </c>
      <c r="C7" s="384">
        <f>Операционный!D13</f>
        <v>25</v>
      </c>
      <c r="D7" s="79" t="s">
        <v>11</v>
      </c>
      <c r="E7" s="17"/>
      <c r="F7" s="17"/>
    </row>
    <row r="8" spans="2:6" x14ac:dyDescent="0.35">
      <c r="B8" s="22" t="s">
        <v>73</v>
      </c>
      <c r="C8" s="23"/>
      <c r="D8" s="24"/>
      <c r="E8" s="23"/>
      <c r="F8" s="23"/>
    </row>
    <row r="9" spans="2:6" ht="47.15" customHeight="1" x14ac:dyDescent="0.35">
      <c r="B9" s="25" t="s">
        <v>74</v>
      </c>
      <c r="C9" s="25" t="s">
        <v>75</v>
      </c>
      <c r="D9" s="26" t="s">
        <v>491</v>
      </c>
      <c r="E9" s="26" t="s">
        <v>492</v>
      </c>
      <c r="F9" s="27" t="s">
        <v>76</v>
      </c>
    </row>
    <row r="10" spans="2:6" ht="23.5" customHeight="1" x14ac:dyDescent="0.35">
      <c r="B10" s="461" t="s">
        <v>77</v>
      </c>
      <c r="C10" s="461"/>
      <c r="D10" s="461"/>
      <c r="E10" s="461"/>
      <c r="F10" s="461"/>
    </row>
    <row r="11" spans="2:6" x14ac:dyDescent="0.35">
      <c r="B11" s="28" t="s">
        <v>78</v>
      </c>
      <c r="C11" s="29"/>
      <c r="D11" s="30"/>
      <c r="E11" s="31"/>
      <c r="F11" s="31">
        <f>SUM(F12:F19)</f>
        <v>115000</v>
      </c>
    </row>
    <row r="12" spans="2:6" x14ac:dyDescent="0.35">
      <c r="B12" s="408" t="s">
        <v>79</v>
      </c>
      <c r="C12" s="464" t="s">
        <v>447</v>
      </c>
      <c r="D12" s="408"/>
      <c r="E12" s="408">
        <v>0</v>
      </c>
      <c r="F12" s="408">
        <f>D12*E12</f>
        <v>0</v>
      </c>
    </row>
    <row r="13" spans="2:6" x14ac:dyDescent="0.35">
      <c r="B13" s="33" t="s">
        <v>448</v>
      </c>
      <c r="C13" s="463"/>
      <c r="D13" s="462">
        <v>1</v>
      </c>
      <c r="E13" s="462">
        <v>0</v>
      </c>
      <c r="F13" s="462">
        <f>D13*E13</f>
        <v>0</v>
      </c>
    </row>
    <row r="14" spans="2:6" x14ac:dyDescent="0.35">
      <c r="B14" s="33" t="s">
        <v>449</v>
      </c>
      <c r="C14" s="463"/>
      <c r="D14" s="463"/>
      <c r="E14" s="463"/>
      <c r="F14" s="463"/>
    </row>
    <row r="15" spans="2:6" x14ac:dyDescent="0.35">
      <c r="B15" s="33" t="s">
        <v>80</v>
      </c>
      <c r="C15" s="463"/>
      <c r="D15" s="463"/>
      <c r="E15" s="463"/>
      <c r="F15" s="463"/>
    </row>
    <row r="16" spans="2:6" x14ac:dyDescent="0.35">
      <c r="B16" s="33" t="s">
        <v>81</v>
      </c>
      <c r="C16" s="463"/>
      <c r="D16" s="463"/>
      <c r="E16" s="463"/>
      <c r="F16" s="463"/>
    </row>
    <row r="17" spans="2:6" x14ac:dyDescent="0.35">
      <c r="B17" s="33" t="s">
        <v>82</v>
      </c>
      <c r="C17" s="32" t="s">
        <v>83</v>
      </c>
      <c r="D17" s="408">
        <v>1</v>
      </c>
      <c r="E17" s="408">
        <v>100000</v>
      </c>
      <c r="F17" s="408">
        <f>D17*E17</f>
        <v>100000</v>
      </c>
    </row>
    <row r="18" spans="2:6" x14ac:dyDescent="0.35">
      <c r="B18" s="33" t="s">
        <v>84</v>
      </c>
      <c r="C18" s="32" t="s">
        <v>85</v>
      </c>
      <c r="D18" s="40"/>
      <c r="E18" s="408">
        <v>20000</v>
      </c>
      <c r="F18" s="408">
        <f t="shared" ref="F18:F19" si="0">D18*E18</f>
        <v>0</v>
      </c>
    </row>
    <row r="19" spans="2:6" x14ac:dyDescent="0.35">
      <c r="B19" s="34" t="s">
        <v>86</v>
      </c>
      <c r="C19" s="413" t="s">
        <v>450</v>
      </c>
      <c r="D19" s="35">
        <v>1</v>
      </c>
      <c r="E19" s="35">
        <v>15000</v>
      </c>
      <c r="F19" s="408">
        <f t="shared" si="0"/>
        <v>15000</v>
      </c>
    </row>
    <row r="20" spans="2:6" x14ac:dyDescent="0.35">
      <c r="B20" s="36" t="s">
        <v>87</v>
      </c>
      <c r="C20" s="29"/>
      <c r="D20" s="29"/>
      <c r="E20" s="37"/>
      <c r="F20" s="37">
        <f>SUM(F21:F28)</f>
        <v>720000</v>
      </c>
    </row>
    <row r="21" spans="2:6" x14ac:dyDescent="0.35">
      <c r="B21" s="178" t="s">
        <v>88</v>
      </c>
      <c r="C21" s="32" t="s">
        <v>89</v>
      </c>
      <c r="D21" s="385">
        <f>C7</f>
        <v>25</v>
      </c>
      <c r="E21" s="178">
        <v>10000</v>
      </c>
      <c r="F21" s="178">
        <f>D21*E21</f>
        <v>250000</v>
      </c>
    </row>
    <row r="22" spans="2:6" x14ac:dyDescent="0.35">
      <c r="B22" s="178" t="s">
        <v>90</v>
      </c>
      <c r="C22" s="32" t="s">
        <v>89</v>
      </c>
      <c r="D22" s="385">
        <f>C7</f>
        <v>25</v>
      </c>
      <c r="E22" s="178">
        <v>10000</v>
      </c>
      <c r="F22" s="178">
        <f t="shared" ref="F22:F28" si="1">D22*E22</f>
        <v>250000</v>
      </c>
    </row>
    <row r="23" spans="2:6" x14ac:dyDescent="0.35">
      <c r="B23" s="39" t="s">
        <v>91</v>
      </c>
      <c r="C23" s="32"/>
      <c r="D23" s="40">
        <v>1</v>
      </c>
      <c r="E23" s="178">
        <v>30000</v>
      </c>
      <c r="F23" s="178">
        <f t="shared" si="1"/>
        <v>30000</v>
      </c>
    </row>
    <row r="24" spans="2:6" x14ac:dyDescent="0.35">
      <c r="B24" s="39" t="s">
        <v>92</v>
      </c>
      <c r="D24" s="40">
        <v>1</v>
      </c>
      <c r="E24" s="178">
        <v>25000</v>
      </c>
      <c r="F24" s="178">
        <f t="shared" si="1"/>
        <v>25000</v>
      </c>
    </row>
    <row r="25" spans="2:6" x14ac:dyDescent="0.35">
      <c r="B25" s="178" t="s">
        <v>93</v>
      </c>
      <c r="D25" s="40">
        <v>1</v>
      </c>
      <c r="E25" s="178">
        <v>25000</v>
      </c>
      <c r="F25" s="178">
        <f t="shared" si="1"/>
        <v>25000</v>
      </c>
    </row>
    <row r="26" spans="2:6" x14ac:dyDescent="0.35">
      <c r="B26" s="178" t="s">
        <v>94</v>
      </c>
      <c r="D26" s="178">
        <v>1</v>
      </c>
      <c r="E26" s="178">
        <v>60000</v>
      </c>
      <c r="F26" s="178">
        <f t="shared" si="1"/>
        <v>60000</v>
      </c>
    </row>
    <row r="27" spans="2:6" ht="15" thickBot="1" x14ac:dyDescent="0.4">
      <c r="B27" s="41" t="s">
        <v>95</v>
      </c>
      <c r="C27" s="42" t="s">
        <v>446</v>
      </c>
      <c r="D27" s="41">
        <v>1</v>
      </c>
      <c r="E27" s="41">
        <v>30000</v>
      </c>
      <c r="F27" s="178">
        <f t="shared" si="1"/>
        <v>30000</v>
      </c>
    </row>
    <row r="28" spans="2:6" ht="15" thickTop="1" x14ac:dyDescent="0.35">
      <c r="B28" s="43" t="s">
        <v>96</v>
      </c>
      <c r="C28" s="44"/>
      <c r="D28" s="45">
        <v>1</v>
      </c>
      <c r="E28" s="46">
        <v>50000</v>
      </c>
      <c r="F28" s="46">
        <f t="shared" si="1"/>
        <v>50000</v>
      </c>
    </row>
    <row r="29" spans="2:6" x14ac:dyDescent="0.35">
      <c r="B29" s="47" t="s">
        <v>97</v>
      </c>
      <c r="C29" s="30"/>
      <c r="D29" s="30"/>
      <c r="E29" s="31"/>
      <c r="F29" s="31">
        <f>SUM(F30:F50)</f>
        <v>954000</v>
      </c>
    </row>
    <row r="30" spans="2:6" x14ac:dyDescent="0.35">
      <c r="B30" s="48" t="s">
        <v>451</v>
      </c>
      <c r="C30" s="413"/>
      <c r="D30" s="408">
        <v>1</v>
      </c>
      <c r="E30" s="408">
        <v>35000</v>
      </c>
      <c r="F30" s="408">
        <f>D30*E30</f>
        <v>35000</v>
      </c>
    </row>
    <row r="31" spans="2:6" x14ac:dyDescent="0.35">
      <c r="B31" s="408" t="s">
        <v>452</v>
      </c>
      <c r="C31" s="413"/>
      <c r="D31" s="408">
        <v>1</v>
      </c>
      <c r="E31" s="408">
        <v>85000</v>
      </c>
      <c r="F31" s="408">
        <f t="shared" ref="F31:F46" si="2">D31*E31</f>
        <v>85000</v>
      </c>
    </row>
    <row r="32" spans="2:6" x14ac:dyDescent="0.35">
      <c r="B32" s="408" t="s">
        <v>453</v>
      </c>
      <c r="C32" s="413" t="s">
        <v>454</v>
      </c>
      <c r="D32" s="408">
        <v>1</v>
      </c>
      <c r="E32" s="408">
        <f>(40000+15000)+30000</f>
        <v>85000</v>
      </c>
      <c r="F32" s="408">
        <f t="shared" si="2"/>
        <v>85000</v>
      </c>
    </row>
    <row r="33" spans="2:1025" x14ac:dyDescent="0.35">
      <c r="B33" s="408" t="s">
        <v>455</v>
      </c>
      <c r="C33" s="413" t="s">
        <v>456</v>
      </c>
      <c r="D33" s="408">
        <v>1</v>
      </c>
      <c r="E33" s="408">
        <f>10000+(2*5000)+(17000+5000)+25000</f>
        <v>67000</v>
      </c>
      <c r="F33" s="408">
        <f t="shared" si="2"/>
        <v>67000</v>
      </c>
    </row>
    <row r="34" spans="2:1025" x14ac:dyDescent="0.35">
      <c r="B34" s="408" t="s">
        <v>457</v>
      </c>
      <c r="C34" s="413" t="s">
        <v>396</v>
      </c>
      <c r="D34" s="408">
        <v>1</v>
      </c>
      <c r="E34" s="408">
        <f>(4*23000)+5000+5000</f>
        <v>102000</v>
      </c>
      <c r="F34" s="408">
        <f>D34*E34</f>
        <v>102000</v>
      </c>
    </row>
    <row r="35" spans="2:1025" x14ac:dyDescent="0.35">
      <c r="B35" s="408" t="s">
        <v>458</v>
      </c>
      <c r="C35" s="413" t="s">
        <v>459</v>
      </c>
      <c r="D35" s="408">
        <v>1</v>
      </c>
      <c r="E35" s="408">
        <f>10000+(2*5000)+(3*10000)</f>
        <v>50000</v>
      </c>
      <c r="F35" s="408">
        <f>D35*E35</f>
        <v>50000</v>
      </c>
    </row>
    <row r="36" spans="2:1025" x14ac:dyDescent="0.35">
      <c r="B36" s="408" t="s">
        <v>102</v>
      </c>
      <c r="C36" s="413"/>
      <c r="D36" s="38">
        <f>C7</f>
        <v>25</v>
      </c>
      <c r="E36" s="408">
        <v>2500</v>
      </c>
      <c r="F36" s="408">
        <f>D36*E36</f>
        <v>62500</v>
      </c>
    </row>
    <row r="37" spans="2:1025" x14ac:dyDescent="0.35">
      <c r="B37" s="408" t="s">
        <v>99</v>
      </c>
      <c r="C37" s="413"/>
      <c r="D37" s="408">
        <v>1</v>
      </c>
      <c r="E37" s="408">
        <v>15000</v>
      </c>
      <c r="F37" s="408">
        <f>D37*E37</f>
        <v>15000</v>
      </c>
    </row>
    <row r="38" spans="2:1025" x14ac:dyDescent="0.35">
      <c r="B38" s="408" t="s">
        <v>98</v>
      </c>
      <c r="C38" s="413"/>
      <c r="D38" s="408">
        <v>1</v>
      </c>
      <c r="E38" s="408">
        <v>10000</v>
      </c>
      <c r="F38" s="408">
        <f t="shared" si="2"/>
        <v>10000</v>
      </c>
    </row>
    <row r="39" spans="2:1025" x14ac:dyDescent="0.35">
      <c r="B39" s="408" t="s">
        <v>100</v>
      </c>
      <c r="C39" s="413"/>
      <c r="D39" s="408">
        <v>1</v>
      </c>
      <c r="E39" s="408">
        <v>6500</v>
      </c>
      <c r="F39" s="408">
        <f t="shared" si="2"/>
        <v>6500</v>
      </c>
    </row>
    <row r="40" spans="2:1025" x14ac:dyDescent="0.35">
      <c r="B40" s="408" t="s">
        <v>101</v>
      </c>
      <c r="C40" s="413"/>
      <c r="D40" s="408">
        <v>1</v>
      </c>
      <c r="E40" s="408">
        <v>60000</v>
      </c>
      <c r="F40" s="408">
        <f t="shared" si="2"/>
        <v>60000</v>
      </c>
    </row>
    <row r="41" spans="2:1025" x14ac:dyDescent="0.35">
      <c r="B41" s="408" t="s">
        <v>103</v>
      </c>
      <c r="C41" s="413" t="s">
        <v>104</v>
      </c>
      <c r="D41" s="408">
        <v>1</v>
      </c>
      <c r="E41" s="408">
        <f>120000</f>
        <v>120000</v>
      </c>
      <c r="F41" s="408">
        <f t="shared" si="2"/>
        <v>120000</v>
      </c>
    </row>
    <row r="42" spans="2:1025" x14ac:dyDescent="0.35">
      <c r="B42" s="33" t="s">
        <v>105</v>
      </c>
      <c r="C42" s="413" t="s">
        <v>468</v>
      </c>
      <c r="D42" s="408">
        <v>1</v>
      </c>
      <c r="E42" s="408">
        <v>180000</v>
      </c>
      <c r="F42" s="408">
        <f t="shared" si="2"/>
        <v>180000</v>
      </c>
    </row>
    <row r="43" spans="2:1025" x14ac:dyDescent="0.35">
      <c r="B43" s="408" t="s">
        <v>106</v>
      </c>
      <c r="C43" s="413" t="s">
        <v>107</v>
      </c>
      <c r="D43" s="408">
        <v>4</v>
      </c>
      <c r="E43" s="408">
        <f>4000+4000</f>
        <v>8000</v>
      </c>
      <c r="F43" s="408">
        <f t="shared" si="2"/>
        <v>32000</v>
      </c>
    </row>
    <row r="44" spans="2:1025" s="409" customFormat="1" x14ac:dyDescent="0.35">
      <c r="B44" s="408" t="s">
        <v>108</v>
      </c>
      <c r="C44" s="413"/>
      <c r="D44" s="408">
        <v>1</v>
      </c>
      <c r="E44" s="408">
        <v>5000</v>
      </c>
      <c r="F44" s="408">
        <f t="shared" si="2"/>
        <v>5000</v>
      </c>
      <c r="G44" s="408"/>
      <c r="H44" s="408"/>
      <c r="I44" s="408"/>
      <c r="J44" s="408"/>
      <c r="K44" s="408"/>
      <c r="L44" s="408"/>
      <c r="M44" s="408"/>
      <c r="N44" s="408"/>
      <c r="O44" s="408"/>
      <c r="P44" s="408"/>
      <c r="Q44" s="408"/>
      <c r="R44" s="408"/>
      <c r="S44" s="408"/>
      <c r="T44" s="408"/>
      <c r="U44" s="408"/>
      <c r="V44" s="408"/>
      <c r="W44" s="408"/>
      <c r="X44" s="408"/>
      <c r="Y44" s="408"/>
      <c r="Z44" s="408"/>
      <c r="AA44" s="408"/>
      <c r="AB44" s="408"/>
      <c r="AC44" s="408"/>
      <c r="AD44" s="408"/>
      <c r="AE44" s="408"/>
      <c r="AF44" s="408"/>
      <c r="AG44" s="408"/>
      <c r="AH44" s="408"/>
      <c r="AI44" s="408"/>
      <c r="AJ44" s="408"/>
      <c r="AK44" s="408"/>
      <c r="AL44" s="408"/>
      <c r="AM44" s="408"/>
      <c r="AN44" s="408"/>
      <c r="AO44" s="408"/>
      <c r="AP44" s="408"/>
      <c r="AQ44" s="408"/>
      <c r="AR44" s="408"/>
      <c r="AS44" s="408"/>
      <c r="AT44" s="408"/>
      <c r="AU44" s="408"/>
      <c r="AV44" s="408"/>
      <c r="AW44" s="408"/>
      <c r="AX44" s="408"/>
      <c r="AY44" s="408"/>
      <c r="AZ44" s="408"/>
      <c r="BA44" s="408"/>
      <c r="BB44" s="408"/>
      <c r="BC44" s="408"/>
      <c r="BD44" s="408"/>
      <c r="BE44" s="408"/>
      <c r="BF44" s="408"/>
      <c r="BG44" s="408"/>
      <c r="BH44" s="408"/>
      <c r="BI44" s="408"/>
      <c r="BJ44" s="408"/>
      <c r="BK44" s="408"/>
      <c r="BL44" s="408"/>
      <c r="BM44" s="408"/>
      <c r="BN44" s="408"/>
      <c r="BO44" s="408"/>
      <c r="BP44" s="408"/>
      <c r="BQ44" s="408"/>
      <c r="BR44" s="408"/>
      <c r="BS44" s="408"/>
      <c r="BT44" s="408"/>
      <c r="BU44" s="408"/>
      <c r="BV44" s="408"/>
      <c r="BW44" s="408"/>
      <c r="BX44" s="408"/>
      <c r="BY44" s="408"/>
      <c r="BZ44" s="408"/>
      <c r="CA44" s="408"/>
      <c r="CB44" s="408"/>
      <c r="CC44" s="408"/>
      <c r="CD44" s="408"/>
      <c r="CE44" s="408"/>
      <c r="CF44" s="408"/>
      <c r="CG44" s="408"/>
      <c r="CH44" s="408"/>
      <c r="CI44" s="408"/>
      <c r="CJ44" s="408"/>
      <c r="CK44" s="408"/>
      <c r="CL44" s="408"/>
      <c r="CM44" s="408"/>
      <c r="CN44" s="408"/>
      <c r="CO44" s="408"/>
      <c r="CP44" s="408"/>
      <c r="CQ44" s="408"/>
      <c r="CR44" s="408"/>
      <c r="CS44" s="408"/>
      <c r="CT44" s="408"/>
      <c r="CU44" s="408"/>
      <c r="CV44" s="408"/>
      <c r="CW44" s="408"/>
      <c r="CX44" s="408"/>
      <c r="CY44" s="408"/>
      <c r="CZ44" s="408"/>
      <c r="DA44" s="408"/>
      <c r="DB44" s="408"/>
      <c r="DC44" s="408"/>
      <c r="DD44" s="408"/>
      <c r="DE44" s="408"/>
      <c r="DF44" s="408"/>
      <c r="DG44" s="408"/>
      <c r="DH44" s="408"/>
      <c r="DI44" s="408"/>
      <c r="DJ44" s="408"/>
      <c r="DK44" s="408"/>
      <c r="DL44" s="408"/>
      <c r="DM44" s="408"/>
      <c r="DN44" s="408"/>
      <c r="DO44" s="408"/>
      <c r="DP44" s="408"/>
      <c r="DQ44" s="408"/>
      <c r="DR44" s="408"/>
      <c r="DS44" s="408"/>
      <c r="DT44" s="408"/>
      <c r="DU44" s="408"/>
      <c r="DV44" s="408"/>
      <c r="DW44" s="408"/>
      <c r="DX44" s="408"/>
      <c r="DY44" s="408"/>
      <c r="DZ44" s="408"/>
      <c r="EA44" s="408"/>
      <c r="EB44" s="408"/>
      <c r="EC44" s="408"/>
      <c r="ED44" s="408"/>
      <c r="EE44" s="408"/>
      <c r="EF44" s="408"/>
      <c r="EG44" s="408"/>
      <c r="EH44" s="408"/>
      <c r="EI44" s="408"/>
      <c r="EJ44" s="408"/>
      <c r="EK44" s="408"/>
      <c r="EL44" s="408"/>
      <c r="EM44" s="408"/>
      <c r="EN44" s="408"/>
      <c r="EO44" s="408"/>
      <c r="EP44" s="408"/>
      <c r="EQ44" s="408"/>
      <c r="ER44" s="408"/>
      <c r="ES44" s="408"/>
      <c r="ET44" s="408"/>
      <c r="EU44" s="408"/>
      <c r="EV44" s="408"/>
      <c r="EW44" s="408"/>
      <c r="EX44" s="408"/>
      <c r="EY44" s="408"/>
      <c r="EZ44" s="408"/>
      <c r="FA44" s="408"/>
      <c r="FB44" s="408"/>
      <c r="FC44" s="408"/>
      <c r="FD44" s="408"/>
      <c r="FE44" s="408"/>
      <c r="FF44" s="408"/>
      <c r="FG44" s="408"/>
      <c r="FH44" s="408"/>
      <c r="FI44" s="408"/>
      <c r="FJ44" s="408"/>
      <c r="FK44" s="408"/>
      <c r="FL44" s="408"/>
      <c r="FM44" s="408"/>
      <c r="FN44" s="408"/>
      <c r="FO44" s="408"/>
      <c r="FP44" s="408"/>
      <c r="FQ44" s="408"/>
      <c r="FR44" s="408"/>
      <c r="FS44" s="408"/>
      <c r="FT44" s="408"/>
      <c r="FU44" s="408"/>
      <c r="FV44" s="408"/>
      <c r="FW44" s="408"/>
      <c r="FX44" s="408"/>
      <c r="FY44" s="408"/>
      <c r="FZ44" s="408"/>
      <c r="GA44" s="408"/>
      <c r="GB44" s="408"/>
      <c r="GC44" s="408"/>
      <c r="GD44" s="408"/>
      <c r="GE44" s="408"/>
      <c r="GF44" s="408"/>
      <c r="GG44" s="408"/>
      <c r="GH44" s="408"/>
      <c r="GI44" s="408"/>
      <c r="GJ44" s="408"/>
      <c r="GK44" s="408"/>
      <c r="GL44" s="408"/>
      <c r="GM44" s="408"/>
      <c r="GN44" s="408"/>
      <c r="GO44" s="408"/>
      <c r="GP44" s="408"/>
      <c r="GQ44" s="408"/>
      <c r="GR44" s="408"/>
      <c r="GS44" s="408"/>
      <c r="GT44" s="408"/>
      <c r="GU44" s="408"/>
      <c r="GV44" s="408"/>
      <c r="GW44" s="408"/>
      <c r="GX44" s="408"/>
      <c r="GY44" s="408"/>
      <c r="GZ44" s="408"/>
      <c r="HA44" s="408"/>
      <c r="HB44" s="408"/>
      <c r="HC44" s="408"/>
      <c r="HD44" s="408"/>
      <c r="HE44" s="408"/>
      <c r="HF44" s="408"/>
      <c r="HG44" s="408"/>
      <c r="HH44" s="408"/>
      <c r="HI44" s="408"/>
      <c r="HJ44" s="408"/>
      <c r="HK44" s="408"/>
      <c r="HL44" s="408"/>
      <c r="HM44" s="408"/>
      <c r="HN44" s="408"/>
      <c r="HO44" s="408"/>
      <c r="HP44" s="408"/>
      <c r="HQ44" s="408"/>
      <c r="HR44" s="408"/>
      <c r="HS44" s="408"/>
      <c r="HT44" s="408"/>
      <c r="HU44" s="408"/>
      <c r="HV44" s="408"/>
      <c r="HW44" s="408"/>
      <c r="HX44" s="408"/>
      <c r="HY44" s="408"/>
      <c r="HZ44" s="408"/>
      <c r="IA44" s="408"/>
      <c r="IB44" s="408"/>
      <c r="IC44" s="408"/>
      <c r="ID44" s="408"/>
      <c r="IE44" s="408"/>
      <c r="IF44" s="408"/>
      <c r="IG44" s="408"/>
      <c r="IH44" s="408"/>
      <c r="II44" s="408"/>
      <c r="IJ44" s="408"/>
      <c r="IK44" s="408"/>
      <c r="IL44" s="408"/>
      <c r="IM44" s="408"/>
      <c r="IN44" s="408"/>
      <c r="IO44" s="408"/>
      <c r="IP44" s="408"/>
      <c r="IQ44" s="408"/>
      <c r="IR44" s="408"/>
      <c r="IS44" s="408"/>
      <c r="IT44" s="408"/>
      <c r="IU44" s="408"/>
      <c r="IV44" s="408"/>
      <c r="IW44" s="408"/>
      <c r="IX44" s="408"/>
      <c r="IY44" s="408"/>
      <c r="IZ44" s="408"/>
      <c r="JA44" s="408"/>
      <c r="JB44" s="408"/>
      <c r="JC44" s="408"/>
      <c r="JD44" s="408"/>
      <c r="JE44" s="408"/>
      <c r="JF44" s="408"/>
      <c r="JG44" s="408"/>
      <c r="JH44" s="408"/>
      <c r="JI44" s="408"/>
      <c r="JJ44" s="408"/>
      <c r="JK44" s="408"/>
      <c r="JL44" s="408"/>
      <c r="JM44" s="408"/>
      <c r="JN44" s="408"/>
      <c r="JO44" s="408"/>
      <c r="JP44" s="408"/>
      <c r="JQ44" s="408"/>
      <c r="JR44" s="408"/>
      <c r="JS44" s="408"/>
      <c r="JT44" s="408"/>
      <c r="JU44" s="408"/>
      <c r="JV44" s="408"/>
      <c r="JW44" s="408"/>
      <c r="JX44" s="408"/>
      <c r="JY44" s="408"/>
      <c r="JZ44" s="408"/>
      <c r="KA44" s="408"/>
      <c r="KB44" s="408"/>
      <c r="KC44" s="408"/>
      <c r="KD44" s="408"/>
      <c r="KE44" s="408"/>
      <c r="KF44" s="408"/>
      <c r="KG44" s="408"/>
      <c r="KH44" s="408"/>
      <c r="KI44" s="408"/>
      <c r="KJ44" s="408"/>
      <c r="KK44" s="408"/>
      <c r="KL44" s="408"/>
      <c r="KM44" s="408"/>
      <c r="KN44" s="408"/>
      <c r="KO44" s="408"/>
      <c r="KP44" s="408"/>
      <c r="KQ44" s="408"/>
      <c r="KR44" s="408"/>
      <c r="KS44" s="408"/>
      <c r="KT44" s="408"/>
      <c r="KU44" s="408"/>
      <c r="KV44" s="408"/>
      <c r="KW44" s="408"/>
      <c r="KX44" s="408"/>
      <c r="KY44" s="408"/>
      <c r="KZ44" s="408"/>
      <c r="LA44" s="408"/>
      <c r="LB44" s="408"/>
      <c r="LC44" s="408"/>
      <c r="LD44" s="408"/>
      <c r="LE44" s="408"/>
      <c r="LF44" s="408"/>
      <c r="LG44" s="408"/>
      <c r="LH44" s="408"/>
      <c r="LI44" s="408"/>
      <c r="LJ44" s="408"/>
      <c r="LK44" s="408"/>
      <c r="LL44" s="408"/>
      <c r="LM44" s="408"/>
      <c r="LN44" s="408"/>
      <c r="LO44" s="408"/>
      <c r="LP44" s="408"/>
      <c r="LQ44" s="408"/>
      <c r="LR44" s="408"/>
      <c r="LS44" s="408"/>
      <c r="LT44" s="408"/>
      <c r="LU44" s="408"/>
      <c r="LV44" s="408"/>
      <c r="LW44" s="408"/>
      <c r="LX44" s="408"/>
      <c r="LY44" s="408"/>
      <c r="LZ44" s="408"/>
      <c r="MA44" s="408"/>
      <c r="MB44" s="408"/>
      <c r="MC44" s="408"/>
      <c r="MD44" s="408"/>
      <c r="ME44" s="408"/>
      <c r="MF44" s="408"/>
      <c r="MG44" s="408"/>
      <c r="MH44" s="408"/>
      <c r="MI44" s="408"/>
      <c r="MJ44" s="408"/>
      <c r="MK44" s="408"/>
      <c r="ML44" s="408"/>
      <c r="MM44" s="408"/>
      <c r="MN44" s="408"/>
      <c r="MO44" s="408"/>
      <c r="MP44" s="408"/>
      <c r="MQ44" s="408"/>
      <c r="MR44" s="408"/>
      <c r="MS44" s="408"/>
      <c r="MT44" s="408"/>
      <c r="MU44" s="408"/>
      <c r="MV44" s="408"/>
      <c r="MW44" s="408"/>
      <c r="MX44" s="408"/>
      <c r="MY44" s="408"/>
      <c r="MZ44" s="408"/>
      <c r="NA44" s="408"/>
      <c r="NB44" s="408"/>
      <c r="NC44" s="408"/>
      <c r="ND44" s="408"/>
      <c r="NE44" s="408"/>
      <c r="NF44" s="408"/>
      <c r="NG44" s="408"/>
      <c r="NH44" s="408"/>
      <c r="NI44" s="408"/>
      <c r="NJ44" s="408"/>
      <c r="NK44" s="408"/>
      <c r="NL44" s="408"/>
      <c r="NM44" s="408"/>
      <c r="NN44" s="408"/>
      <c r="NO44" s="408"/>
      <c r="NP44" s="408"/>
      <c r="NQ44" s="408"/>
      <c r="NR44" s="408"/>
      <c r="NS44" s="408"/>
      <c r="NT44" s="408"/>
      <c r="NU44" s="408"/>
      <c r="NV44" s="408"/>
      <c r="NW44" s="408"/>
      <c r="NX44" s="408"/>
      <c r="NY44" s="408"/>
      <c r="NZ44" s="408"/>
      <c r="OA44" s="408"/>
      <c r="OB44" s="408"/>
      <c r="OC44" s="408"/>
      <c r="OD44" s="408"/>
      <c r="OE44" s="408"/>
      <c r="OF44" s="408"/>
      <c r="OG44" s="408"/>
      <c r="OH44" s="408"/>
      <c r="OI44" s="408"/>
      <c r="OJ44" s="408"/>
      <c r="OK44" s="408"/>
      <c r="OL44" s="408"/>
      <c r="OM44" s="408"/>
      <c r="ON44" s="408"/>
      <c r="OO44" s="408"/>
      <c r="OP44" s="408"/>
      <c r="OQ44" s="408"/>
      <c r="OR44" s="408"/>
      <c r="OS44" s="408"/>
      <c r="OT44" s="408"/>
      <c r="OU44" s="408"/>
      <c r="OV44" s="408"/>
      <c r="OW44" s="408"/>
      <c r="OX44" s="408"/>
      <c r="OY44" s="408"/>
      <c r="OZ44" s="408"/>
      <c r="PA44" s="408"/>
      <c r="PB44" s="408"/>
      <c r="PC44" s="408"/>
      <c r="PD44" s="408"/>
      <c r="PE44" s="408"/>
      <c r="PF44" s="408"/>
      <c r="PG44" s="408"/>
      <c r="PH44" s="408"/>
      <c r="PI44" s="408"/>
      <c r="PJ44" s="408"/>
      <c r="PK44" s="408"/>
      <c r="PL44" s="408"/>
      <c r="PM44" s="408"/>
      <c r="PN44" s="408"/>
      <c r="PO44" s="408"/>
      <c r="PP44" s="408"/>
      <c r="PQ44" s="408"/>
      <c r="PR44" s="408"/>
      <c r="PS44" s="408"/>
      <c r="PT44" s="408"/>
      <c r="PU44" s="408"/>
      <c r="PV44" s="408"/>
      <c r="PW44" s="408"/>
      <c r="PX44" s="408"/>
      <c r="PY44" s="408"/>
      <c r="PZ44" s="408"/>
      <c r="QA44" s="408"/>
      <c r="QB44" s="408"/>
      <c r="QC44" s="408"/>
      <c r="QD44" s="408"/>
      <c r="QE44" s="408"/>
      <c r="QF44" s="408"/>
      <c r="QG44" s="408"/>
      <c r="QH44" s="408"/>
      <c r="QI44" s="408"/>
      <c r="QJ44" s="408"/>
      <c r="QK44" s="408"/>
      <c r="QL44" s="408"/>
      <c r="QM44" s="408"/>
      <c r="QN44" s="408"/>
      <c r="QO44" s="408"/>
      <c r="QP44" s="408"/>
      <c r="QQ44" s="408"/>
      <c r="QR44" s="408"/>
      <c r="QS44" s="408"/>
      <c r="QT44" s="408"/>
      <c r="QU44" s="408"/>
      <c r="QV44" s="408"/>
      <c r="QW44" s="408"/>
      <c r="QX44" s="408"/>
      <c r="QY44" s="408"/>
      <c r="QZ44" s="408"/>
      <c r="RA44" s="408"/>
      <c r="RB44" s="408"/>
      <c r="RC44" s="408"/>
      <c r="RD44" s="408"/>
      <c r="RE44" s="408"/>
      <c r="RF44" s="408"/>
      <c r="RG44" s="408"/>
      <c r="RH44" s="408"/>
      <c r="RI44" s="408"/>
      <c r="RJ44" s="408"/>
      <c r="RK44" s="408"/>
      <c r="RL44" s="408"/>
      <c r="RM44" s="408"/>
      <c r="RN44" s="408"/>
      <c r="RO44" s="408"/>
      <c r="RP44" s="408"/>
      <c r="RQ44" s="408"/>
      <c r="RR44" s="408"/>
      <c r="RS44" s="408"/>
      <c r="RT44" s="408"/>
      <c r="RU44" s="408"/>
      <c r="RV44" s="408"/>
      <c r="RW44" s="408"/>
      <c r="RX44" s="408"/>
      <c r="RY44" s="408"/>
      <c r="RZ44" s="408"/>
      <c r="SA44" s="408"/>
      <c r="SB44" s="408"/>
      <c r="SC44" s="408"/>
      <c r="SD44" s="408"/>
      <c r="SE44" s="408"/>
      <c r="SF44" s="408"/>
      <c r="SG44" s="408"/>
      <c r="SH44" s="408"/>
      <c r="SI44" s="408"/>
      <c r="SJ44" s="408"/>
      <c r="SK44" s="408"/>
      <c r="SL44" s="408"/>
      <c r="SM44" s="408"/>
      <c r="SN44" s="408"/>
      <c r="SO44" s="408"/>
      <c r="SP44" s="408"/>
      <c r="SQ44" s="408"/>
      <c r="SR44" s="408"/>
      <c r="SS44" s="408"/>
      <c r="ST44" s="408"/>
      <c r="SU44" s="408"/>
      <c r="SV44" s="408"/>
      <c r="SW44" s="408"/>
      <c r="SX44" s="408"/>
      <c r="SY44" s="408"/>
      <c r="SZ44" s="408"/>
      <c r="TA44" s="408"/>
      <c r="TB44" s="408"/>
      <c r="TC44" s="408"/>
      <c r="TD44" s="408"/>
      <c r="TE44" s="408"/>
      <c r="TF44" s="408"/>
      <c r="TG44" s="408"/>
      <c r="TH44" s="408"/>
      <c r="TI44" s="408"/>
      <c r="TJ44" s="408"/>
      <c r="TK44" s="408"/>
      <c r="TL44" s="408"/>
      <c r="TM44" s="408"/>
      <c r="TN44" s="408"/>
      <c r="TO44" s="408"/>
      <c r="TP44" s="408"/>
      <c r="TQ44" s="408"/>
      <c r="TR44" s="408"/>
      <c r="TS44" s="408"/>
      <c r="TT44" s="408"/>
      <c r="TU44" s="408"/>
      <c r="TV44" s="408"/>
      <c r="TW44" s="408"/>
      <c r="TX44" s="408"/>
      <c r="TY44" s="408"/>
      <c r="TZ44" s="408"/>
      <c r="UA44" s="408"/>
      <c r="UB44" s="408"/>
      <c r="UC44" s="408"/>
      <c r="UD44" s="408"/>
      <c r="UE44" s="408"/>
      <c r="UF44" s="408"/>
      <c r="UG44" s="408"/>
      <c r="UH44" s="408"/>
      <c r="UI44" s="408"/>
      <c r="UJ44" s="408"/>
      <c r="UK44" s="408"/>
      <c r="UL44" s="408"/>
      <c r="UM44" s="408"/>
      <c r="UN44" s="408"/>
      <c r="UO44" s="408"/>
      <c r="UP44" s="408"/>
      <c r="UQ44" s="408"/>
      <c r="UR44" s="408"/>
      <c r="US44" s="408"/>
      <c r="UT44" s="408"/>
      <c r="UU44" s="408"/>
      <c r="UV44" s="408"/>
      <c r="UW44" s="408"/>
      <c r="UX44" s="408"/>
      <c r="UY44" s="408"/>
      <c r="UZ44" s="408"/>
      <c r="VA44" s="408"/>
      <c r="VB44" s="408"/>
      <c r="VC44" s="408"/>
      <c r="VD44" s="408"/>
      <c r="VE44" s="408"/>
      <c r="VF44" s="408"/>
      <c r="VG44" s="408"/>
      <c r="VH44" s="408"/>
      <c r="VI44" s="408"/>
      <c r="VJ44" s="408"/>
      <c r="VK44" s="408"/>
      <c r="VL44" s="408"/>
      <c r="VM44" s="408"/>
      <c r="VN44" s="408"/>
      <c r="VO44" s="408"/>
      <c r="VP44" s="408"/>
      <c r="VQ44" s="408"/>
      <c r="VR44" s="408"/>
      <c r="VS44" s="408"/>
      <c r="VT44" s="408"/>
      <c r="VU44" s="408"/>
      <c r="VV44" s="408"/>
      <c r="VW44" s="408"/>
      <c r="VX44" s="408"/>
      <c r="VY44" s="408"/>
      <c r="VZ44" s="408"/>
      <c r="WA44" s="408"/>
      <c r="WB44" s="408"/>
      <c r="WC44" s="408"/>
      <c r="WD44" s="408"/>
      <c r="WE44" s="408"/>
      <c r="WF44" s="408"/>
      <c r="WG44" s="408"/>
      <c r="WH44" s="408"/>
      <c r="WI44" s="408"/>
      <c r="WJ44" s="408"/>
      <c r="WK44" s="408"/>
      <c r="WL44" s="408"/>
      <c r="WM44" s="408"/>
      <c r="WN44" s="408"/>
      <c r="WO44" s="408"/>
      <c r="WP44" s="408"/>
      <c r="WQ44" s="408"/>
      <c r="WR44" s="408"/>
      <c r="WS44" s="408"/>
      <c r="WT44" s="408"/>
      <c r="WU44" s="408"/>
      <c r="WV44" s="408"/>
      <c r="WW44" s="408"/>
      <c r="WX44" s="408"/>
      <c r="WY44" s="408"/>
      <c r="WZ44" s="408"/>
      <c r="XA44" s="408"/>
      <c r="XB44" s="408"/>
      <c r="XC44" s="408"/>
      <c r="XD44" s="408"/>
      <c r="XE44" s="408"/>
      <c r="XF44" s="408"/>
      <c r="XG44" s="408"/>
      <c r="XH44" s="408"/>
      <c r="XI44" s="408"/>
      <c r="XJ44" s="408"/>
      <c r="XK44" s="408"/>
      <c r="XL44" s="408"/>
      <c r="XM44" s="408"/>
      <c r="XN44" s="408"/>
      <c r="XO44" s="408"/>
      <c r="XP44" s="408"/>
      <c r="XQ44" s="408"/>
      <c r="XR44" s="408"/>
      <c r="XS44" s="408"/>
      <c r="XT44" s="408"/>
      <c r="XU44" s="408"/>
      <c r="XV44" s="408"/>
      <c r="XW44" s="408"/>
      <c r="XX44" s="408"/>
      <c r="XY44" s="408"/>
      <c r="XZ44" s="408"/>
      <c r="YA44" s="408"/>
      <c r="YB44" s="408"/>
      <c r="YC44" s="408"/>
      <c r="YD44" s="408"/>
      <c r="YE44" s="408"/>
      <c r="YF44" s="408"/>
      <c r="YG44" s="408"/>
      <c r="YH44" s="408"/>
      <c r="YI44" s="408"/>
      <c r="YJ44" s="408"/>
      <c r="YK44" s="408"/>
      <c r="YL44" s="408"/>
      <c r="YM44" s="408"/>
      <c r="YN44" s="408"/>
      <c r="YO44" s="408"/>
      <c r="YP44" s="408"/>
      <c r="YQ44" s="408"/>
      <c r="YR44" s="408"/>
      <c r="YS44" s="408"/>
      <c r="YT44" s="408"/>
      <c r="YU44" s="408"/>
      <c r="YV44" s="408"/>
      <c r="YW44" s="408"/>
      <c r="YX44" s="408"/>
      <c r="YY44" s="408"/>
      <c r="YZ44" s="408"/>
      <c r="ZA44" s="408"/>
      <c r="ZB44" s="408"/>
      <c r="ZC44" s="408"/>
      <c r="ZD44" s="408"/>
      <c r="ZE44" s="408"/>
      <c r="ZF44" s="408"/>
      <c r="ZG44" s="408"/>
      <c r="ZH44" s="408"/>
      <c r="ZI44" s="408"/>
      <c r="ZJ44" s="408"/>
      <c r="ZK44" s="408"/>
      <c r="ZL44" s="408"/>
      <c r="ZM44" s="408"/>
      <c r="ZN44" s="408"/>
      <c r="ZO44" s="408"/>
      <c r="ZP44" s="408"/>
      <c r="ZQ44" s="408"/>
      <c r="ZR44" s="408"/>
      <c r="ZS44" s="408"/>
      <c r="ZT44" s="408"/>
      <c r="ZU44" s="408"/>
      <c r="ZV44" s="408"/>
      <c r="ZW44" s="408"/>
      <c r="ZX44" s="408"/>
      <c r="ZY44" s="408"/>
      <c r="ZZ44" s="408"/>
      <c r="AAA44" s="408"/>
      <c r="AAB44" s="408"/>
      <c r="AAC44" s="408"/>
      <c r="AAD44" s="408"/>
      <c r="AAE44" s="408"/>
      <c r="AAF44" s="408"/>
      <c r="AAG44" s="408"/>
      <c r="AAH44" s="408"/>
      <c r="AAI44" s="408"/>
      <c r="AAJ44" s="408"/>
      <c r="AAK44" s="408"/>
      <c r="AAL44" s="408"/>
      <c r="AAM44" s="408"/>
      <c r="AAN44" s="408"/>
      <c r="AAO44" s="408"/>
      <c r="AAP44" s="408"/>
      <c r="AAQ44" s="408"/>
      <c r="AAR44" s="408"/>
      <c r="AAS44" s="408"/>
      <c r="AAT44" s="408"/>
      <c r="AAU44" s="408"/>
      <c r="AAV44" s="408"/>
      <c r="AAW44" s="408"/>
      <c r="AAX44" s="408"/>
      <c r="AAY44" s="408"/>
      <c r="AAZ44" s="408"/>
      <c r="ABA44" s="408"/>
      <c r="ABB44" s="408"/>
      <c r="ABC44" s="408"/>
      <c r="ABD44" s="408"/>
      <c r="ABE44" s="408"/>
      <c r="ABF44" s="408"/>
      <c r="ABG44" s="408"/>
      <c r="ABH44" s="408"/>
      <c r="ABI44" s="408"/>
      <c r="ABJ44" s="408"/>
      <c r="ABK44" s="408"/>
      <c r="ABL44" s="408"/>
      <c r="ABM44" s="408"/>
      <c r="ABN44" s="408"/>
      <c r="ABO44" s="408"/>
      <c r="ABP44" s="408"/>
      <c r="ABQ44" s="408"/>
      <c r="ABR44" s="408"/>
      <c r="ABS44" s="408"/>
      <c r="ABT44" s="408"/>
      <c r="ABU44" s="408"/>
      <c r="ABV44" s="408"/>
      <c r="ABW44" s="408"/>
      <c r="ABX44" s="408"/>
      <c r="ABY44" s="408"/>
      <c r="ABZ44" s="408"/>
      <c r="ACA44" s="408"/>
      <c r="ACB44" s="408"/>
      <c r="ACC44" s="408"/>
      <c r="ACD44" s="408"/>
      <c r="ACE44" s="408"/>
      <c r="ACF44" s="408"/>
      <c r="ACG44" s="408"/>
      <c r="ACH44" s="408"/>
      <c r="ACI44" s="408"/>
      <c r="ACJ44" s="408"/>
      <c r="ACK44" s="408"/>
      <c r="ACL44" s="408"/>
      <c r="ACM44" s="408"/>
      <c r="ACN44" s="408"/>
      <c r="ACO44" s="408"/>
      <c r="ACP44" s="408"/>
      <c r="ACQ44" s="408"/>
      <c r="ACR44" s="408"/>
      <c r="ACS44" s="408"/>
      <c r="ACT44" s="408"/>
      <c r="ACU44" s="408"/>
      <c r="ACV44" s="408"/>
      <c r="ACW44" s="408"/>
      <c r="ACX44" s="408"/>
      <c r="ACY44" s="408"/>
      <c r="ACZ44" s="408"/>
      <c r="ADA44" s="408"/>
      <c r="ADB44" s="408"/>
      <c r="ADC44" s="408"/>
      <c r="ADD44" s="408"/>
      <c r="ADE44" s="408"/>
      <c r="ADF44" s="408"/>
      <c r="ADG44" s="408"/>
      <c r="ADH44" s="408"/>
      <c r="ADI44" s="408"/>
      <c r="ADJ44" s="408"/>
      <c r="ADK44" s="408"/>
      <c r="ADL44" s="408"/>
      <c r="ADM44" s="408"/>
      <c r="ADN44" s="408"/>
      <c r="ADO44" s="408"/>
      <c r="ADP44" s="408"/>
      <c r="ADQ44" s="408"/>
      <c r="ADR44" s="408"/>
      <c r="ADS44" s="408"/>
      <c r="ADT44" s="408"/>
      <c r="ADU44" s="408"/>
      <c r="ADV44" s="408"/>
      <c r="ADW44" s="408"/>
      <c r="ADX44" s="408"/>
      <c r="ADY44" s="408"/>
      <c r="ADZ44" s="408"/>
      <c r="AEA44" s="408"/>
      <c r="AEB44" s="408"/>
      <c r="AEC44" s="408"/>
      <c r="AED44" s="408"/>
      <c r="AEE44" s="408"/>
      <c r="AEF44" s="408"/>
      <c r="AEG44" s="408"/>
      <c r="AEH44" s="408"/>
      <c r="AEI44" s="408"/>
      <c r="AEJ44" s="408"/>
      <c r="AEK44" s="408"/>
      <c r="AEL44" s="408"/>
      <c r="AEM44" s="408"/>
      <c r="AEN44" s="408"/>
      <c r="AEO44" s="408"/>
      <c r="AEP44" s="408"/>
      <c r="AEQ44" s="408"/>
      <c r="AER44" s="408"/>
      <c r="AES44" s="408"/>
      <c r="AET44" s="408"/>
      <c r="AEU44" s="408"/>
      <c r="AEV44" s="408"/>
      <c r="AEW44" s="408"/>
      <c r="AEX44" s="408"/>
      <c r="AEY44" s="408"/>
      <c r="AEZ44" s="408"/>
      <c r="AFA44" s="408"/>
      <c r="AFB44" s="408"/>
      <c r="AFC44" s="408"/>
      <c r="AFD44" s="408"/>
      <c r="AFE44" s="408"/>
      <c r="AFF44" s="408"/>
      <c r="AFG44" s="408"/>
      <c r="AFH44" s="408"/>
      <c r="AFI44" s="408"/>
      <c r="AFJ44" s="408"/>
      <c r="AFK44" s="408"/>
      <c r="AFL44" s="408"/>
      <c r="AFM44" s="408"/>
      <c r="AFN44" s="408"/>
      <c r="AFO44" s="408"/>
      <c r="AFP44" s="408"/>
      <c r="AFQ44" s="408"/>
      <c r="AFR44" s="408"/>
      <c r="AFS44" s="408"/>
      <c r="AFT44" s="408"/>
      <c r="AFU44" s="408"/>
      <c r="AFV44" s="408"/>
      <c r="AFW44" s="408"/>
      <c r="AFX44" s="408"/>
      <c r="AFY44" s="408"/>
      <c r="AFZ44" s="408"/>
      <c r="AGA44" s="408"/>
      <c r="AGB44" s="408"/>
      <c r="AGC44" s="408"/>
      <c r="AGD44" s="408"/>
      <c r="AGE44" s="408"/>
      <c r="AGF44" s="408"/>
      <c r="AGG44" s="408"/>
      <c r="AGH44" s="408"/>
      <c r="AGI44" s="408"/>
      <c r="AGJ44" s="408"/>
      <c r="AGK44" s="408"/>
      <c r="AGL44" s="408"/>
      <c r="AGM44" s="408"/>
      <c r="AGN44" s="408"/>
      <c r="AGO44" s="408"/>
      <c r="AGP44" s="408"/>
      <c r="AGQ44" s="408"/>
      <c r="AGR44" s="408"/>
      <c r="AGS44" s="408"/>
      <c r="AGT44" s="408"/>
      <c r="AGU44" s="408"/>
      <c r="AGV44" s="408"/>
      <c r="AGW44" s="408"/>
      <c r="AGX44" s="408"/>
      <c r="AGY44" s="408"/>
      <c r="AGZ44" s="408"/>
      <c r="AHA44" s="408"/>
      <c r="AHB44" s="408"/>
      <c r="AHC44" s="408"/>
      <c r="AHD44" s="408"/>
      <c r="AHE44" s="408"/>
      <c r="AHF44" s="408"/>
      <c r="AHG44" s="408"/>
      <c r="AHH44" s="408"/>
      <c r="AHI44" s="408"/>
      <c r="AHJ44" s="408"/>
      <c r="AHK44" s="408"/>
      <c r="AHL44" s="408"/>
      <c r="AHM44" s="408"/>
      <c r="AHN44" s="408"/>
      <c r="AHO44" s="408"/>
      <c r="AHP44" s="408"/>
      <c r="AHQ44" s="408"/>
      <c r="AHR44" s="408"/>
      <c r="AHS44" s="408"/>
      <c r="AHT44" s="408"/>
      <c r="AHU44" s="408"/>
      <c r="AHV44" s="408"/>
      <c r="AHW44" s="408"/>
      <c r="AHX44" s="408"/>
      <c r="AHY44" s="408"/>
      <c r="AHZ44" s="408"/>
      <c r="AIA44" s="408"/>
      <c r="AIB44" s="408"/>
      <c r="AIC44" s="408"/>
      <c r="AID44" s="408"/>
      <c r="AIE44" s="408"/>
      <c r="AIF44" s="408"/>
      <c r="AIG44" s="408"/>
      <c r="AIH44" s="408"/>
      <c r="AII44" s="408"/>
      <c r="AIJ44" s="408"/>
      <c r="AIK44" s="408"/>
      <c r="AIL44" s="408"/>
      <c r="AIM44" s="408"/>
      <c r="AIN44" s="408"/>
      <c r="AIO44" s="408"/>
      <c r="AIP44" s="408"/>
      <c r="AIQ44" s="408"/>
      <c r="AIR44" s="408"/>
      <c r="AIS44" s="408"/>
      <c r="AIT44" s="408"/>
      <c r="AIU44" s="408"/>
      <c r="AIV44" s="408"/>
      <c r="AIW44" s="408"/>
      <c r="AIX44" s="408"/>
      <c r="AIY44" s="408"/>
      <c r="AIZ44" s="408"/>
      <c r="AJA44" s="408"/>
      <c r="AJB44" s="408"/>
      <c r="AJC44" s="408"/>
      <c r="AJD44" s="408"/>
      <c r="AJE44" s="408"/>
      <c r="AJF44" s="408"/>
      <c r="AJG44" s="408"/>
      <c r="AJH44" s="408"/>
      <c r="AJI44" s="408"/>
      <c r="AJJ44" s="408"/>
      <c r="AJK44" s="408"/>
      <c r="AJL44" s="408"/>
      <c r="AJM44" s="408"/>
      <c r="AJN44" s="408"/>
      <c r="AJO44" s="408"/>
      <c r="AJP44" s="408"/>
      <c r="AJQ44" s="408"/>
      <c r="AJR44" s="408"/>
      <c r="AJS44" s="408"/>
      <c r="AJT44" s="408"/>
      <c r="AJU44" s="408"/>
      <c r="AJV44" s="408"/>
      <c r="AJW44" s="408"/>
      <c r="AJX44" s="408"/>
      <c r="AJY44" s="408"/>
      <c r="AJZ44" s="408"/>
      <c r="AKA44" s="408"/>
      <c r="AKB44" s="408"/>
      <c r="AKC44" s="408"/>
      <c r="AKD44" s="408"/>
      <c r="AKE44" s="408"/>
      <c r="AKF44" s="408"/>
      <c r="AKG44" s="408"/>
      <c r="AKH44" s="408"/>
      <c r="AKI44" s="408"/>
      <c r="AKJ44" s="408"/>
      <c r="AKK44" s="408"/>
      <c r="AKL44" s="408"/>
      <c r="AKM44" s="408"/>
      <c r="AKN44" s="408"/>
      <c r="AKO44" s="408"/>
      <c r="AKP44" s="408"/>
      <c r="AKQ44" s="408"/>
      <c r="AKR44" s="408"/>
      <c r="AKS44" s="408"/>
      <c r="AKT44" s="408"/>
      <c r="AKU44" s="408"/>
      <c r="AKV44" s="408"/>
      <c r="AKW44" s="408"/>
      <c r="AKX44" s="408"/>
      <c r="AKY44" s="408"/>
      <c r="AKZ44" s="408"/>
      <c r="ALA44" s="408"/>
      <c r="ALB44" s="408"/>
      <c r="ALC44" s="408"/>
      <c r="ALD44" s="408"/>
      <c r="ALE44" s="408"/>
      <c r="ALF44" s="408"/>
      <c r="ALG44" s="408"/>
      <c r="ALH44" s="408"/>
      <c r="ALI44" s="408"/>
      <c r="ALJ44" s="408"/>
      <c r="ALK44" s="408"/>
      <c r="ALL44" s="408"/>
      <c r="ALM44" s="408"/>
      <c r="ALN44" s="408"/>
      <c r="ALO44" s="408"/>
      <c r="ALP44" s="408"/>
      <c r="ALQ44" s="408"/>
      <c r="ALR44" s="408"/>
      <c r="ALS44" s="408"/>
      <c r="ALT44" s="408"/>
      <c r="ALU44" s="408"/>
      <c r="ALV44" s="408"/>
      <c r="ALW44" s="408"/>
      <c r="ALX44" s="408"/>
      <c r="ALY44" s="408"/>
      <c r="ALZ44" s="408"/>
      <c r="AMA44" s="408"/>
      <c r="AMB44" s="408"/>
      <c r="AMC44" s="408"/>
      <c r="AMD44" s="408"/>
      <c r="AME44" s="408"/>
      <c r="AMF44" s="408"/>
      <c r="AMG44" s="408"/>
      <c r="AMH44" s="408"/>
      <c r="AMI44" s="408"/>
      <c r="AMJ44" s="408"/>
      <c r="AMK44" s="408"/>
    </row>
    <row r="45" spans="2:1025" x14ac:dyDescent="0.35">
      <c r="B45" s="408" t="s">
        <v>109</v>
      </c>
      <c r="C45" s="413"/>
      <c r="D45" s="408">
        <v>1</v>
      </c>
      <c r="E45" s="408">
        <v>3000</v>
      </c>
      <c r="F45" s="408">
        <f t="shared" si="2"/>
        <v>3000</v>
      </c>
    </row>
    <row r="46" spans="2:1025" ht="15" thickBot="1" x14ac:dyDescent="0.4">
      <c r="B46" s="41" t="s">
        <v>460</v>
      </c>
      <c r="C46" s="414"/>
      <c r="D46" s="49">
        <v>2</v>
      </c>
      <c r="E46" s="41">
        <f>18000</f>
        <v>18000</v>
      </c>
      <c r="F46" s="41">
        <f t="shared" si="2"/>
        <v>36000</v>
      </c>
    </row>
    <row r="47" spans="2:1025" ht="15" thickTop="1" x14ac:dyDescent="0.35">
      <c r="B47" s="50" t="s">
        <v>110</v>
      </c>
      <c r="C47" s="413" t="s">
        <v>461</v>
      </c>
      <c r="D47" s="40"/>
      <c r="E47" s="408">
        <v>20000</v>
      </c>
      <c r="F47" s="408">
        <f>D47*E47</f>
        <v>0</v>
      </c>
    </row>
    <row r="48" spans="2:1025" x14ac:dyDescent="0.35">
      <c r="B48" s="50" t="s">
        <v>111</v>
      </c>
      <c r="C48" s="413" t="s">
        <v>461</v>
      </c>
      <c r="D48" s="40"/>
      <c r="E48" s="408">
        <v>15000</v>
      </c>
      <c r="F48" s="408">
        <f t="shared" ref="F48:F50" si="3">D48*E48</f>
        <v>0</v>
      </c>
    </row>
    <row r="49" spans="2:1025" x14ac:dyDescent="0.35">
      <c r="B49" s="50" t="s">
        <v>112</v>
      </c>
      <c r="C49" s="413" t="s">
        <v>462</v>
      </c>
      <c r="D49" s="40"/>
      <c r="E49" s="408">
        <v>6000</v>
      </c>
      <c r="F49" s="408">
        <f t="shared" si="3"/>
        <v>0</v>
      </c>
    </row>
    <row r="50" spans="2:1025" x14ac:dyDescent="0.35">
      <c r="B50" s="50" t="s">
        <v>113</v>
      </c>
      <c r="C50" s="413" t="s">
        <v>463</v>
      </c>
      <c r="D50" s="51"/>
      <c r="E50" s="35">
        <v>120000</v>
      </c>
      <c r="F50" s="35">
        <f t="shared" si="3"/>
        <v>0</v>
      </c>
    </row>
    <row r="51" spans="2:1025" x14ac:dyDescent="0.35">
      <c r="B51" s="36" t="s">
        <v>114</v>
      </c>
      <c r="C51" s="29"/>
      <c r="D51" s="30"/>
      <c r="E51" s="31"/>
      <c r="F51" s="31">
        <f>SUM(F52:F57)</f>
        <v>290000</v>
      </c>
    </row>
    <row r="52" spans="2:1025" x14ac:dyDescent="0.35">
      <c r="B52" s="178" t="s">
        <v>115</v>
      </c>
      <c r="D52" s="178">
        <v>1</v>
      </c>
      <c r="E52" s="178">
        <v>50000</v>
      </c>
      <c r="F52" s="178">
        <f>D52*E52</f>
        <v>50000</v>
      </c>
    </row>
    <row r="53" spans="2:1025" x14ac:dyDescent="0.35">
      <c r="B53" s="178" t="s">
        <v>116</v>
      </c>
      <c r="D53" s="178">
        <v>1</v>
      </c>
      <c r="E53" s="178">
        <v>30000</v>
      </c>
      <c r="F53" s="178">
        <f t="shared" ref="F53:F57" si="4">D53*E53</f>
        <v>30000</v>
      </c>
    </row>
    <row r="54" spans="2:1025" s="420" customFormat="1" x14ac:dyDescent="0.35">
      <c r="B54" s="419" t="s">
        <v>469</v>
      </c>
      <c r="C54" s="419"/>
      <c r="D54" s="419">
        <v>1</v>
      </c>
      <c r="E54" s="419">
        <v>25000</v>
      </c>
      <c r="F54" s="419">
        <f t="shared" si="4"/>
        <v>25000</v>
      </c>
      <c r="G54" s="419"/>
      <c r="H54" s="419"/>
      <c r="I54" s="419"/>
      <c r="J54" s="419"/>
      <c r="K54" s="419"/>
      <c r="L54" s="419"/>
      <c r="M54" s="419"/>
      <c r="N54" s="419"/>
      <c r="O54" s="419"/>
      <c r="P54" s="419"/>
      <c r="Q54" s="419"/>
      <c r="R54" s="419"/>
      <c r="S54" s="419"/>
      <c r="T54" s="419"/>
      <c r="U54" s="419"/>
      <c r="V54" s="419"/>
      <c r="W54" s="419"/>
      <c r="X54" s="419"/>
      <c r="Y54" s="419"/>
      <c r="Z54" s="419"/>
      <c r="AA54" s="419"/>
      <c r="AB54" s="419"/>
      <c r="AC54" s="419"/>
      <c r="AD54" s="419"/>
      <c r="AE54" s="419"/>
      <c r="AF54" s="419"/>
      <c r="AG54" s="419"/>
      <c r="AH54" s="419"/>
      <c r="AI54" s="419"/>
      <c r="AJ54" s="419"/>
      <c r="AK54" s="419"/>
      <c r="AL54" s="419"/>
      <c r="AM54" s="419"/>
      <c r="AN54" s="419"/>
      <c r="AO54" s="419"/>
      <c r="AP54" s="419"/>
      <c r="AQ54" s="419"/>
      <c r="AR54" s="419"/>
      <c r="AS54" s="419"/>
      <c r="AT54" s="419"/>
      <c r="AU54" s="419"/>
      <c r="AV54" s="419"/>
      <c r="AW54" s="419"/>
      <c r="AX54" s="419"/>
      <c r="AY54" s="419"/>
      <c r="AZ54" s="419"/>
      <c r="BA54" s="419"/>
      <c r="BB54" s="419"/>
      <c r="BC54" s="419"/>
      <c r="BD54" s="419"/>
      <c r="BE54" s="419"/>
      <c r="BF54" s="419"/>
      <c r="BG54" s="419"/>
      <c r="BH54" s="419"/>
      <c r="BI54" s="419"/>
      <c r="BJ54" s="419"/>
      <c r="BK54" s="419"/>
      <c r="BL54" s="419"/>
      <c r="BM54" s="419"/>
      <c r="BN54" s="419"/>
      <c r="BO54" s="419"/>
      <c r="BP54" s="419"/>
      <c r="BQ54" s="419"/>
      <c r="BR54" s="419"/>
      <c r="BS54" s="419"/>
      <c r="BT54" s="419"/>
      <c r="BU54" s="419"/>
      <c r="BV54" s="419"/>
      <c r="BW54" s="419"/>
      <c r="BX54" s="419"/>
      <c r="BY54" s="419"/>
      <c r="BZ54" s="419"/>
      <c r="CA54" s="419"/>
      <c r="CB54" s="419"/>
      <c r="CC54" s="419"/>
      <c r="CD54" s="419"/>
      <c r="CE54" s="419"/>
      <c r="CF54" s="419"/>
      <c r="CG54" s="419"/>
      <c r="CH54" s="419"/>
      <c r="CI54" s="419"/>
      <c r="CJ54" s="419"/>
      <c r="CK54" s="419"/>
      <c r="CL54" s="419"/>
      <c r="CM54" s="419"/>
      <c r="CN54" s="419"/>
      <c r="CO54" s="419"/>
      <c r="CP54" s="419"/>
      <c r="CQ54" s="419"/>
      <c r="CR54" s="419"/>
      <c r="CS54" s="419"/>
      <c r="CT54" s="419"/>
      <c r="CU54" s="419"/>
      <c r="CV54" s="419"/>
      <c r="CW54" s="419"/>
      <c r="CX54" s="419"/>
      <c r="CY54" s="419"/>
      <c r="CZ54" s="419"/>
      <c r="DA54" s="419"/>
      <c r="DB54" s="419"/>
      <c r="DC54" s="419"/>
      <c r="DD54" s="419"/>
      <c r="DE54" s="419"/>
      <c r="DF54" s="419"/>
      <c r="DG54" s="419"/>
      <c r="DH54" s="419"/>
      <c r="DI54" s="419"/>
      <c r="DJ54" s="419"/>
      <c r="DK54" s="419"/>
      <c r="DL54" s="419"/>
      <c r="DM54" s="419"/>
      <c r="DN54" s="419"/>
      <c r="DO54" s="419"/>
      <c r="DP54" s="419"/>
      <c r="DQ54" s="419"/>
      <c r="DR54" s="419"/>
      <c r="DS54" s="419"/>
      <c r="DT54" s="419"/>
      <c r="DU54" s="419"/>
      <c r="DV54" s="419"/>
      <c r="DW54" s="419"/>
      <c r="DX54" s="419"/>
      <c r="DY54" s="419"/>
      <c r="DZ54" s="419"/>
      <c r="EA54" s="419"/>
      <c r="EB54" s="419"/>
      <c r="EC54" s="419"/>
      <c r="ED54" s="419"/>
      <c r="EE54" s="419"/>
      <c r="EF54" s="419"/>
      <c r="EG54" s="419"/>
      <c r="EH54" s="419"/>
      <c r="EI54" s="419"/>
      <c r="EJ54" s="419"/>
      <c r="EK54" s="419"/>
      <c r="EL54" s="419"/>
      <c r="EM54" s="419"/>
      <c r="EN54" s="419"/>
      <c r="EO54" s="419"/>
      <c r="EP54" s="419"/>
      <c r="EQ54" s="419"/>
      <c r="ER54" s="419"/>
      <c r="ES54" s="419"/>
      <c r="ET54" s="419"/>
      <c r="EU54" s="419"/>
      <c r="EV54" s="419"/>
      <c r="EW54" s="419"/>
      <c r="EX54" s="419"/>
      <c r="EY54" s="419"/>
      <c r="EZ54" s="419"/>
      <c r="FA54" s="419"/>
      <c r="FB54" s="419"/>
      <c r="FC54" s="419"/>
      <c r="FD54" s="419"/>
      <c r="FE54" s="419"/>
      <c r="FF54" s="419"/>
      <c r="FG54" s="419"/>
      <c r="FH54" s="419"/>
      <c r="FI54" s="419"/>
      <c r="FJ54" s="419"/>
      <c r="FK54" s="419"/>
      <c r="FL54" s="419"/>
      <c r="FM54" s="419"/>
      <c r="FN54" s="419"/>
      <c r="FO54" s="419"/>
      <c r="FP54" s="419"/>
      <c r="FQ54" s="419"/>
      <c r="FR54" s="419"/>
      <c r="FS54" s="419"/>
      <c r="FT54" s="419"/>
      <c r="FU54" s="419"/>
      <c r="FV54" s="419"/>
      <c r="FW54" s="419"/>
      <c r="FX54" s="419"/>
      <c r="FY54" s="419"/>
      <c r="FZ54" s="419"/>
      <c r="GA54" s="419"/>
      <c r="GB54" s="419"/>
      <c r="GC54" s="419"/>
      <c r="GD54" s="419"/>
      <c r="GE54" s="419"/>
      <c r="GF54" s="419"/>
      <c r="GG54" s="419"/>
      <c r="GH54" s="419"/>
      <c r="GI54" s="419"/>
      <c r="GJ54" s="419"/>
      <c r="GK54" s="419"/>
      <c r="GL54" s="419"/>
      <c r="GM54" s="419"/>
      <c r="GN54" s="419"/>
      <c r="GO54" s="419"/>
      <c r="GP54" s="419"/>
      <c r="GQ54" s="419"/>
      <c r="GR54" s="419"/>
      <c r="GS54" s="419"/>
      <c r="GT54" s="419"/>
      <c r="GU54" s="419"/>
      <c r="GV54" s="419"/>
      <c r="GW54" s="419"/>
      <c r="GX54" s="419"/>
      <c r="GY54" s="419"/>
      <c r="GZ54" s="419"/>
      <c r="HA54" s="419"/>
      <c r="HB54" s="419"/>
      <c r="HC54" s="419"/>
      <c r="HD54" s="419"/>
      <c r="HE54" s="419"/>
      <c r="HF54" s="419"/>
      <c r="HG54" s="419"/>
      <c r="HH54" s="419"/>
      <c r="HI54" s="419"/>
      <c r="HJ54" s="419"/>
      <c r="HK54" s="419"/>
      <c r="HL54" s="419"/>
      <c r="HM54" s="419"/>
      <c r="HN54" s="419"/>
      <c r="HO54" s="419"/>
      <c r="HP54" s="419"/>
      <c r="HQ54" s="419"/>
      <c r="HR54" s="419"/>
      <c r="HS54" s="419"/>
      <c r="HT54" s="419"/>
      <c r="HU54" s="419"/>
      <c r="HV54" s="419"/>
      <c r="HW54" s="419"/>
      <c r="HX54" s="419"/>
      <c r="HY54" s="419"/>
      <c r="HZ54" s="419"/>
      <c r="IA54" s="419"/>
      <c r="IB54" s="419"/>
      <c r="IC54" s="419"/>
      <c r="ID54" s="419"/>
      <c r="IE54" s="419"/>
      <c r="IF54" s="419"/>
      <c r="IG54" s="419"/>
      <c r="IH54" s="419"/>
      <c r="II54" s="419"/>
      <c r="IJ54" s="419"/>
      <c r="IK54" s="419"/>
      <c r="IL54" s="419"/>
      <c r="IM54" s="419"/>
      <c r="IN54" s="419"/>
      <c r="IO54" s="419"/>
      <c r="IP54" s="419"/>
      <c r="IQ54" s="419"/>
      <c r="IR54" s="419"/>
      <c r="IS54" s="419"/>
      <c r="IT54" s="419"/>
      <c r="IU54" s="419"/>
      <c r="IV54" s="419"/>
      <c r="IW54" s="419"/>
      <c r="IX54" s="419"/>
      <c r="IY54" s="419"/>
      <c r="IZ54" s="419"/>
      <c r="JA54" s="419"/>
      <c r="JB54" s="419"/>
      <c r="JC54" s="419"/>
      <c r="JD54" s="419"/>
      <c r="JE54" s="419"/>
      <c r="JF54" s="419"/>
      <c r="JG54" s="419"/>
      <c r="JH54" s="419"/>
      <c r="JI54" s="419"/>
      <c r="JJ54" s="419"/>
      <c r="JK54" s="419"/>
      <c r="JL54" s="419"/>
      <c r="JM54" s="419"/>
      <c r="JN54" s="419"/>
      <c r="JO54" s="419"/>
      <c r="JP54" s="419"/>
      <c r="JQ54" s="419"/>
      <c r="JR54" s="419"/>
      <c r="JS54" s="419"/>
      <c r="JT54" s="419"/>
      <c r="JU54" s="419"/>
      <c r="JV54" s="419"/>
      <c r="JW54" s="419"/>
      <c r="JX54" s="419"/>
      <c r="JY54" s="419"/>
      <c r="JZ54" s="419"/>
      <c r="KA54" s="419"/>
      <c r="KB54" s="419"/>
      <c r="KC54" s="419"/>
      <c r="KD54" s="419"/>
      <c r="KE54" s="419"/>
      <c r="KF54" s="419"/>
      <c r="KG54" s="419"/>
      <c r="KH54" s="419"/>
      <c r="KI54" s="419"/>
      <c r="KJ54" s="419"/>
      <c r="KK54" s="419"/>
      <c r="KL54" s="419"/>
      <c r="KM54" s="419"/>
      <c r="KN54" s="419"/>
      <c r="KO54" s="419"/>
      <c r="KP54" s="419"/>
      <c r="KQ54" s="419"/>
      <c r="KR54" s="419"/>
      <c r="KS54" s="419"/>
      <c r="KT54" s="419"/>
      <c r="KU54" s="419"/>
      <c r="KV54" s="419"/>
      <c r="KW54" s="419"/>
      <c r="KX54" s="419"/>
      <c r="KY54" s="419"/>
      <c r="KZ54" s="419"/>
      <c r="LA54" s="419"/>
      <c r="LB54" s="419"/>
      <c r="LC54" s="419"/>
      <c r="LD54" s="419"/>
      <c r="LE54" s="419"/>
      <c r="LF54" s="419"/>
      <c r="LG54" s="419"/>
      <c r="LH54" s="419"/>
      <c r="LI54" s="419"/>
      <c r="LJ54" s="419"/>
      <c r="LK54" s="419"/>
      <c r="LL54" s="419"/>
      <c r="LM54" s="419"/>
      <c r="LN54" s="419"/>
      <c r="LO54" s="419"/>
      <c r="LP54" s="419"/>
      <c r="LQ54" s="419"/>
      <c r="LR54" s="419"/>
      <c r="LS54" s="419"/>
      <c r="LT54" s="419"/>
      <c r="LU54" s="419"/>
      <c r="LV54" s="419"/>
      <c r="LW54" s="419"/>
      <c r="LX54" s="419"/>
      <c r="LY54" s="419"/>
      <c r="LZ54" s="419"/>
      <c r="MA54" s="419"/>
      <c r="MB54" s="419"/>
      <c r="MC54" s="419"/>
      <c r="MD54" s="419"/>
      <c r="ME54" s="419"/>
      <c r="MF54" s="419"/>
      <c r="MG54" s="419"/>
      <c r="MH54" s="419"/>
      <c r="MI54" s="419"/>
      <c r="MJ54" s="419"/>
      <c r="MK54" s="419"/>
      <c r="ML54" s="419"/>
      <c r="MM54" s="419"/>
      <c r="MN54" s="419"/>
      <c r="MO54" s="419"/>
      <c r="MP54" s="419"/>
      <c r="MQ54" s="419"/>
      <c r="MR54" s="419"/>
      <c r="MS54" s="419"/>
      <c r="MT54" s="419"/>
      <c r="MU54" s="419"/>
      <c r="MV54" s="419"/>
      <c r="MW54" s="419"/>
      <c r="MX54" s="419"/>
      <c r="MY54" s="419"/>
      <c r="MZ54" s="419"/>
      <c r="NA54" s="419"/>
      <c r="NB54" s="419"/>
      <c r="NC54" s="419"/>
      <c r="ND54" s="419"/>
      <c r="NE54" s="419"/>
      <c r="NF54" s="419"/>
      <c r="NG54" s="419"/>
      <c r="NH54" s="419"/>
      <c r="NI54" s="419"/>
      <c r="NJ54" s="419"/>
      <c r="NK54" s="419"/>
      <c r="NL54" s="419"/>
      <c r="NM54" s="419"/>
      <c r="NN54" s="419"/>
      <c r="NO54" s="419"/>
      <c r="NP54" s="419"/>
      <c r="NQ54" s="419"/>
      <c r="NR54" s="419"/>
      <c r="NS54" s="419"/>
      <c r="NT54" s="419"/>
      <c r="NU54" s="419"/>
      <c r="NV54" s="419"/>
      <c r="NW54" s="419"/>
      <c r="NX54" s="419"/>
      <c r="NY54" s="419"/>
      <c r="NZ54" s="419"/>
      <c r="OA54" s="419"/>
      <c r="OB54" s="419"/>
      <c r="OC54" s="419"/>
      <c r="OD54" s="419"/>
      <c r="OE54" s="419"/>
      <c r="OF54" s="419"/>
      <c r="OG54" s="419"/>
      <c r="OH54" s="419"/>
      <c r="OI54" s="419"/>
      <c r="OJ54" s="419"/>
      <c r="OK54" s="419"/>
      <c r="OL54" s="419"/>
      <c r="OM54" s="419"/>
      <c r="ON54" s="419"/>
      <c r="OO54" s="419"/>
      <c r="OP54" s="419"/>
      <c r="OQ54" s="419"/>
      <c r="OR54" s="419"/>
      <c r="OS54" s="419"/>
      <c r="OT54" s="419"/>
      <c r="OU54" s="419"/>
      <c r="OV54" s="419"/>
      <c r="OW54" s="419"/>
      <c r="OX54" s="419"/>
      <c r="OY54" s="419"/>
      <c r="OZ54" s="419"/>
      <c r="PA54" s="419"/>
      <c r="PB54" s="419"/>
      <c r="PC54" s="419"/>
      <c r="PD54" s="419"/>
      <c r="PE54" s="419"/>
      <c r="PF54" s="419"/>
      <c r="PG54" s="419"/>
      <c r="PH54" s="419"/>
      <c r="PI54" s="419"/>
      <c r="PJ54" s="419"/>
      <c r="PK54" s="419"/>
      <c r="PL54" s="419"/>
      <c r="PM54" s="419"/>
      <c r="PN54" s="419"/>
      <c r="PO54" s="419"/>
      <c r="PP54" s="419"/>
      <c r="PQ54" s="419"/>
      <c r="PR54" s="419"/>
      <c r="PS54" s="419"/>
      <c r="PT54" s="419"/>
      <c r="PU54" s="419"/>
      <c r="PV54" s="419"/>
      <c r="PW54" s="419"/>
      <c r="PX54" s="419"/>
      <c r="PY54" s="419"/>
      <c r="PZ54" s="419"/>
      <c r="QA54" s="419"/>
      <c r="QB54" s="419"/>
      <c r="QC54" s="419"/>
      <c r="QD54" s="419"/>
      <c r="QE54" s="419"/>
      <c r="QF54" s="419"/>
      <c r="QG54" s="419"/>
      <c r="QH54" s="419"/>
      <c r="QI54" s="419"/>
      <c r="QJ54" s="419"/>
      <c r="QK54" s="419"/>
      <c r="QL54" s="419"/>
      <c r="QM54" s="419"/>
      <c r="QN54" s="419"/>
      <c r="QO54" s="419"/>
      <c r="QP54" s="419"/>
      <c r="QQ54" s="419"/>
      <c r="QR54" s="419"/>
      <c r="QS54" s="419"/>
      <c r="QT54" s="419"/>
      <c r="QU54" s="419"/>
      <c r="QV54" s="419"/>
      <c r="QW54" s="419"/>
      <c r="QX54" s="419"/>
      <c r="QY54" s="419"/>
      <c r="QZ54" s="419"/>
      <c r="RA54" s="419"/>
      <c r="RB54" s="419"/>
      <c r="RC54" s="419"/>
      <c r="RD54" s="419"/>
      <c r="RE54" s="419"/>
      <c r="RF54" s="419"/>
      <c r="RG54" s="419"/>
      <c r="RH54" s="419"/>
      <c r="RI54" s="419"/>
      <c r="RJ54" s="419"/>
      <c r="RK54" s="419"/>
      <c r="RL54" s="419"/>
      <c r="RM54" s="419"/>
      <c r="RN54" s="419"/>
      <c r="RO54" s="419"/>
      <c r="RP54" s="419"/>
      <c r="RQ54" s="419"/>
      <c r="RR54" s="419"/>
      <c r="RS54" s="419"/>
      <c r="RT54" s="419"/>
      <c r="RU54" s="419"/>
      <c r="RV54" s="419"/>
      <c r="RW54" s="419"/>
      <c r="RX54" s="419"/>
      <c r="RY54" s="419"/>
      <c r="RZ54" s="419"/>
      <c r="SA54" s="419"/>
      <c r="SB54" s="419"/>
      <c r="SC54" s="419"/>
      <c r="SD54" s="419"/>
      <c r="SE54" s="419"/>
      <c r="SF54" s="419"/>
      <c r="SG54" s="419"/>
      <c r="SH54" s="419"/>
      <c r="SI54" s="419"/>
      <c r="SJ54" s="419"/>
      <c r="SK54" s="419"/>
      <c r="SL54" s="419"/>
      <c r="SM54" s="419"/>
      <c r="SN54" s="419"/>
      <c r="SO54" s="419"/>
      <c r="SP54" s="419"/>
      <c r="SQ54" s="419"/>
      <c r="SR54" s="419"/>
      <c r="SS54" s="419"/>
      <c r="ST54" s="419"/>
      <c r="SU54" s="419"/>
      <c r="SV54" s="419"/>
      <c r="SW54" s="419"/>
      <c r="SX54" s="419"/>
      <c r="SY54" s="419"/>
      <c r="SZ54" s="419"/>
      <c r="TA54" s="419"/>
      <c r="TB54" s="419"/>
      <c r="TC54" s="419"/>
      <c r="TD54" s="419"/>
      <c r="TE54" s="419"/>
      <c r="TF54" s="419"/>
      <c r="TG54" s="419"/>
      <c r="TH54" s="419"/>
      <c r="TI54" s="419"/>
      <c r="TJ54" s="419"/>
      <c r="TK54" s="419"/>
      <c r="TL54" s="419"/>
      <c r="TM54" s="419"/>
      <c r="TN54" s="419"/>
      <c r="TO54" s="419"/>
      <c r="TP54" s="419"/>
      <c r="TQ54" s="419"/>
      <c r="TR54" s="419"/>
      <c r="TS54" s="419"/>
      <c r="TT54" s="419"/>
      <c r="TU54" s="419"/>
      <c r="TV54" s="419"/>
      <c r="TW54" s="419"/>
      <c r="TX54" s="419"/>
      <c r="TY54" s="419"/>
      <c r="TZ54" s="419"/>
      <c r="UA54" s="419"/>
      <c r="UB54" s="419"/>
      <c r="UC54" s="419"/>
      <c r="UD54" s="419"/>
      <c r="UE54" s="419"/>
      <c r="UF54" s="419"/>
      <c r="UG54" s="419"/>
      <c r="UH54" s="419"/>
      <c r="UI54" s="419"/>
      <c r="UJ54" s="419"/>
      <c r="UK54" s="419"/>
      <c r="UL54" s="419"/>
      <c r="UM54" s="419"/>
      <c r="UN54" s="419"/>
      <c r="UO54" s="419"/>
      <c r="UP54" s="419"/>
      <c r="UQ54" s="419"/>
      <c r="UR54" s="419"/>
      <c r="US54" s="419"/>
      <c r="UT54" s="419"/>
      <c r="UU54" s="419"/>
      <c r="UV54" s="419"/>
      <c r="UW54" s="419"/>
      <c r="UX54" s="419"/>
      <c r="UY54" s="419"/>
      <c r="UZ54" s="419"/>
      <c r="VA54" s="419"/>
      <c r="VB54" s="419"/>
      <c r="VC54" s="419"/>
      <c r="VD54" s="419"/>
      <c r="VE54" s="419"/>
      <c r="VF54" s="419"/>
      <c r="VG54" s="419"/>
      <c r="VH54" s="419"/>
      <c r="VI54" s="419"/>
      <c r="VJ54" s="419"/>
      <c r="VK54" s="419"/>
      <c r="VL54" s="419"/>
      <c r="VM54" s="419"/>
      <c r="VN54" s="419"/>
      <c r="VO54" s="419"/>
      <c r="VP54" s="419"/>
      <c r="VQ54" s="419"/>
      <c r="VR54" s="419"/>
      <c r="VS54" s="419"/>
      <c r="VT54" s="419"/>
      <c r="VU54" s="419"/>
      <c r="VV54" s="419"/>
      <c r="VW54" s="419"/>
      <c r="VX54" s="419"/>
      <c r="VY54" s="419"/>
      <c r="VZ54" s="419"/>
      <c r="WA54" s="419"/>
      <c r="WB54" s="419"/>
      <c r="WC54" s="419"/>
      <c r="WD54" s="419"/>
      <c r="WE54" s="419"/>
      <c r="WF54" s="419"/>
      <c r="WG54" s="419"/>
      <c r="WH54" s="419"/>
      <c r="WI54" s="419"/>
      <c r="WJ54" s="419"/>
      <c r="WK54" s="419"/>
      <c r="WL54" s="419"/>
      <c r="WM54" s="419"/>
      <c r="WN54" s="419"/>
      <c r="WO54" s="419"/>
      <c r="WP54" s="419"/>
      <c r="WQ54" s="419"/>
      <c r="WR54" s="419"/>
      <c r="WS54" s="419"/>
      <c r="WT54" s="419"/>
      <c r="WU54" s="419"/>
      <c r="WV54" s="419"/>
      <c r="WW54" s="419"/>
      <c r="WX54" s="419"/>
      <c r="WY54" s="419"/>
      <c r="WZ54" s="419"/>
      <c r="XA54" s="419"/>
      <c r="XB54" s="419"/>
      <c r="XC54" s="419"/>
      <c r="XD54" s="419"/>
      <c r="XE54" s="419"/>
      <c r="XF54" s="419"/>
      <c r="XG54" s="419"/>
      <c r="XH54" s="419"/>
      <c r="XI54" s="419"/>
      <c r="XJ54" s="419"/>
      <c r="XK54" s="419"/>
      <c r="XL54" s="419"/>
      <c r="XM54" s="419"/>
      <c r="XN54" s="419"/>
      <c r="XO54" s="419"/>
      <c r="XP54" s="419"/>
      <c r="XQ54" s="419"/>
      <c r="XR54" s="419"/>
      <c r="XS54" s="419"/>
      <c r="XT54" s="419"/>
      <c r="XU54" s="419"/>
      <c r="XV54" s="419"/>
      <c r="XW54" s="419"/>
      <c r="XX54" s="419"/>
      <c r="XY54" s="419"/>
      <c r="XZ54" s="419"/>
      <c r="YA54" s="419"/>
      <c r="YB54" s="419"/>
      <c r="YC54" s="419"/>
      <c r="YD54" s="419"/>
      <c r="YE54" s="419"/>
      <c r="YF54" s="419"/>
      <c r="YG54" s="419"/>
      <c r="YH54" s="419"/>
      <c r="YI54" s="419"/>
      <c r="YJ54" s="419"/>
      <c r="YK54" s="419"/>
      <c r="YL54" s="419"/>
      <c r="YM54" s="419"/>
      <c r="YN54" s="419"/>
      <c r="YO54" s="419"/>
      <c r="YP54" s="419"/>
      <c r="YQ54" s="419"/>
      <c r="YR54" s="419"/>
      <c r="YS54" s="419"/>
      <c r="YT54" s="419"/>
      <c r="YU54" s="419"/>
      <c r="YV54" s="419"/>
      <c r="YW54" s="419"/>
      <c r="YX54" s="419"/>
      <c r="YY54" s="419"/>
      <c r="YZ54" s="419"/>
      <c r="ZA54" s="419"/>
      <c r="ZB54" s="419"/>
      <c r="ZC54" s="419"/>
      <c r="ZD54" s="419"/>
      <c r="ZE54" s="419"/>
      <c r="ZF54" s="419"/>
      <c r="ZG54" s="419"/>
      <c r="ZH54" s="419"/>
      <c r="ZI54" s="419"/>
      <c r="ZJ54" s="419"/>
      <c r="ZK54" s="419"/>
      <c r="ZL54" s="419"/>
      <c r="ZM54" s="419"/>
      <c r="ZN54" s="419"/>
      <c r="ZO54" s="419"/>
      <c r="ZP54" s="419"/>
      <c r="ZQ54" s="419"/>
      <c r="ZR54" s="419"/>
      <c r="ZS54" s="419"/>
      <c r="ZT54" s="419"/>
      <c r="ZU54" s="419"/>
      <c r="ZV54" s="419"/>
      <c r="ZW54" s="419"/>
      <c r="ZX54" s="419"/>
      <c r="ZY54" s="419"/>
      <c r="ZZ54" s="419"/>
      <c r="AAA54" s="419"/>
      <c r="AAB54" s="419"/>
      <c r="AAC54" s="419"/>
      <c r="AAD54" s="419"/>
      <c r="AAE54" s="419"/>
      <c r="AAF54" s="419"/>
      <c r="AAG54" s="419"/>
      <c r="AAH54" s="419"/>
      <c r="AAI54" s="419"/>
      <c r="AAJ54" s="419"/>
      <c r="AAK54" s="419"/>
      <c r="AAL54" s="419"/>
      <c r="AAM54" s="419"/>
      <c r="AAN54" s="419"/>
      <c r="AAO54" s="419"/>
      <c r="AAP54" s="419"/>
      <c r="AAQ54" s="419"/>
      <c r="AAR54" s="419"/>
      <c r="AAS54" s="419"/>
      <c r="AAT54" s="419"/>
      <c r="AAU54" s="419"/>
      <c r="AAV54" s="419"/>
      <c r="AAW54" s="419"/>
      <c r="AAX54" s="419"/>
      <c r="AAY54" s="419"/>
      <c r="AAZ54" s="419"/>
      <c r="ABA54" s="419"/>
      <c r="ABB54" s="419"/>
      <c r="ABC54" s="419"/>
      <c r="ABD54" s="419"/>
      <c r="ABE54" s="419"/>
      <c r="ABF54" s="419"/>
      <c r="ABG54" s="419"/>
      <c r="ABH54" s="419"/>
      <c r="ABI54" s="419"/>
      <c r="ABJ54" s="419"/>
      <c r="ABK54" s="419"/>
      <c r="ABL54" s="419"/>
      <c r="ABM54" s="419"/>
      <c r="ABN54" s="419"/>
      <c r="ABO54" s="419"/>
      <c r="ABP54" s="419"/>
      <c r="ABQ54" s="419"/>
      <c r="ABR54" s="419"/>
      <c r="ABS54" s="419"/>
      <c r="ABT54" s="419"/>
      <c r="ABU54" s="419"/>
      <c r="ABV54" s="419"/>
      <c r="ABW54" s="419"/>
      <c r="ABX54" s="419"/>
      <c r="ABY54" s="419"/>
      <c r="ABZ54" s="419"/>
      <c r="ACA54" s="419"/>
      <c r="ACB54" s="419"/>
      <c r="ACC54" s="419"/>
      <c r="ACD54" s="419"/>
      <c r="ACE54" s="419"/>
      <c r="ACF54" s="419"/>
      <c r="ACG54" s="419"/>
      <c r="ACH54" s="419"/>
      <c r="ACI54" s="419"/>
      <c r="ACJ54" s="419"/>
      <c r="ACK54" s="419"/>
      <c r="ACL54" s="419"/>
      <c r="ACM54" s="419"/>
      <c r="ACN54" s="419"/>
      <c r="ACO54" s="419"/>
      <c r="ACP54" s="419"/>
      <c r="ACQ54" s="419"/>
      <c r="ACR54" s="419"/>
      <c r="ACS54" s="419"/>
      <c r="ACT54" s="419"/>
      <c r="ACU54" s="419"/>
      <c r="ACV54" s="419"/>
      <c r="ACW54" s="419"/>
      <c r="ACX54" s="419"/>
      <c r="ACY54" s="419"/>
      <c r="ACZ54" s="419"/>
      <c r="ADA54" s="419"/>
      <c r="ADB54" s="419"/>
      <c r="ADC54" s="419"/>
      <c r="ADD54" s="419"/>
      <c r="ADE54" s="419"/>
      <c r="ADF54" s="419"/>
      <c r="ADG54" s="419"/>
      <c r="ADH54" s="419"/>
      <c r="ADI54" s="419"/>
      <c r="ADJ54" s="419"/>
      <c r="ADK54" s="419"/>
      <c r="ADL54" s="419"/>
      <c r="ADM54" s="419"/>
      <c r="ADN54" s="419"/>
      <c r="ADO54" s="419"/>
      <c r="ADP54" s="419"/>
      <c r="ADQ54" s="419"/>
      <c r="ADR54" s="419"/>
      <c r="ADS54" s="419"/>
      <c r="ADT54" s="419"/>
      <c r="ADU54" s="419"/>
      <c r="ADV54" s="419"/>
      <c r="ADW54" s="419"/>
      <c r="ADX54" s="419"/>
      <c r="ADY54" s="419"/>
      <c r="ADZ54" s="419"/>
      <c r="AEA54" s="419"/>
      <c r="AEB54" s="419"/>
      <c r="AEC54" s="419"/>
      <c r="AED54" s="419"/>
      <c r="AEE54" s="419"/>
      <c r="AEF54" s="419"/>
      <c r="AEG54" s="419"/>
      <c r="AEH54" s="419"/>
      <c r="AEI54" s="419"/>
      <c r="AEJ54" s="419"/>
      <c r="AEK54" s="419"/>
      <c r="AEL54" s="419"/>
      <c r="AEM54" s="419"/>
      <c r="AEN54" s="419"/>
      <c r="AEO54" s="419"/>
      <c r="AEP54" s="419"/>
      <c r="AEQ54" s="419"/>
      <c r="AER54" s="419"/>
      <c r="AES54" s="419"/>
      <c r="AET54" s="419"/>
      <c r="AEU54" s="419"/>
      <c r="AEV54" s="419"/>
      <c r="AEW54" s="419"/>
      <c r="AEX54" s="419"/>
      <c r="AEY54" s="419"/>
      <c r="AEZ54" s="419"/>
      <c r="AFA54" s="419"/>
      <c r="AFB54" s="419"/>
      <c r="AFC54" s="419"/>
      <c r="AFD54" s="419"/>
      <c r="AFE54" s="419"/>
      <c r="AFF54" s="419"/>
      <c r="AFG54" s="419"/>
      <c r="AFH54" s="419"/>
      <c r="AFI54" s="419"/>
      <c r="AFJ54" s="419"/>
      <c r="AFK54" s="419"/>
      <c r="AFL54" s="419"/>
      <c r="AFM54" s="419"/>
      <c r="AFN54" s="419"/>
      <c r="AFO54" s="419"/>
      <c r="AFP54" s="419"/>
      <c r="AFQ54" s="419"/>
      <c r="AFR54" s="419"/>
      <c r="AFS54" s="419"/>
      <c r="AFT54" s="419"/>
      <c r="AFU54" s="419"/>
      <c r="AFV54" s="419"/>
      <c r="AFW54" s="419"/>
      <c r="AFX54" s="419"/>
      <c r="AFY54" s="419"/>
      <c r="AFZ54" s="419"/>
      <c r="AGA54" s="419"/>
      <c r="AGB54" s="419"/>
      <c r="AGC54" s="419"/>
      <c r="AGD54" s="419"/>
      <c r="AGE54" s="419"/>
      <c r="AGF54" s="419"/>
      <c r="AGG54" s="419"/>
      <c r="AGH54" s="419"/>
      <c r="AGI54" s="419"/>
      <c r="AGJ54" s="419"/>
      <c r="AGK54" s="419"/>
      <c r="AGL54" s="419"/>
      <c r="AGM54" s="419"/>
      <c r="AGN54" s="419"/>
      <c r="AGO54" s="419"/>
      <c r="AGP54" s="419"/>
      <c r="AGQ54" s="419"/>
      <c r="AGR54" s="419"/>
      <c r="AGS54" s="419"/>
      <c r="AGT54" s="419"/>
      <c r="AGU54" s="419"/>
      <c r="AGV54" s="419"/>
      <c r="AGW54" s="419"/>
      <c r="AGX54" s="419"/>
      <c r="AGY54" s="419"/>
      <c r="AGZ54" s="419"/>
      <c r="AHA54" s="419"/>
      <c r="AHB54" s="419"/>
      <c r="AHC54" s="419"/>
      <c r="AHD54" s="419"/>
      <c r="AHE54" s="419"/>
      <c r="AHF54" s="419"/>
      <c r="AHG54" s="419"/>
      <c r="AHH54" s="419"/>
      <c r="AHI54" s="419"/>
      <c r="AHJ54" s="419"/>
      <c r="AHK54" s="419"/>
      <c r="AHL54" s="419"/>
      <c r="AHM54" s="419"/>
      <c r="AHN54" s="419"/>
      <c r="AHO54" s="419"/>
      <c r="AHP54" s="419"/>
      <c r="AHQ54" s="419"/>
      <c r="AHR54" s="419"/>
      <c r="AHS54" s="419"/>
      <c r="AHT54" s="419"/>
      <c r="AHU54" s="419"/>
      <c r="AHV54" s="419"/>
      <c r="AHW54" s="419"/>
      <c r="AHX54" s="419"/>
      <c r="AHY54" s="419"/>
      <c r="AHZ54" s="419"/>
      <c r="AIA54" s="419"/>
      <c r="AIB54" s="419"/>
      <c r="AIC54" s="419"/>
      <c r="AID54" s="419"/>
      <c r="AIE54" s="419"/>
      <c r="AIF54" s="419"/>
      <c r="AIG54" s="419"/>
      <c r="AIH54" s="419"/>
      <c r="AII54" s="419"/>
      <c r="AIJ54" s="419"/>
      <c r="AIK54" s="419"/>
      <c r="AIL54" s="419"/>
      <c r="AIM54" s="419"/>
      <c r="AIN54" s="419"/>
      <c r="AIO54" s="419"/>
      <c r="AIP54" s="419"/>
      <c r="AIQ54" s="419"/>
      <c r="AIR54" s="419"/>
      <c r="AIS54" s="419"/>
      <c r="AIT54" s="419"/>
      <c r="AIU54" s="419"/>
      <c r="AIV54" s="419"/>
      <c r="AIW54" s="419"/>
      <c r="AIX54" s="419"/>
      <c r="AIY54" s="419"/>
      <c r="AIZ54" s="419"/>
      <c r="AJA54" s="419"/>
      <c r="AJB54" s="419"/>
      <c r="AJC54" s="419"/>
      <c r="AJD54" s="419"/>
      <c r="AJE54" s="419"/>
      <c r="AJF54" s="419"/>
      <c r="AJG54" s="419"/>
      <c r="AJH54" s="419"/>
      <c r="AJI54" s="419"/>
      <c r="AJJ54" s="419"/>
      <c r="AJK54" s="419"/>
      <c r="AJL54" s="419"/>
      <c r="AJM54" s="419"/>
      <c r="AJN54" s="419"/>
      <c r="AJO54" s="419"/>
      <c r="AJP54" s="419"/>
      <c r="AJQ54" s="419"/>
      <c r="AJR54" s="419"/>
      <c r="AJS54" s="419"/>
      <c r="AJT54" s="419"/>
      <c r="AJU54" s="419"/>
      <c r="AJV54" s="419"/>
      <c r="AJW54" s="419"/>
      <c r="AJX54" s="419"/>
      <c r="AJY54" s="419"/>
      <c r="AJZ54" s="419"/>
      <c r="AKA54" s="419"/>
      <c r="AKB54" s="419"/>
      <c r="AKC54" s="419"/>
      <c r="AKD54" s="419"/>
      <c r="AKE54" s="419"/>
      <c r="AKF54" s="419"/>
      <c r="AKG54" s="419"/>
      <c r="AKH54" s="419"/>
      <c r="AKI54" s="419"/>
      <c r="AKJ54" s="419"/>
      <c r="AKK54" s="419"/>
      <c r="AKL54" s="419"/>
      <c r="AKM54" s="419"/>
      <c r="AKN54" s="419"/>
      <c r="AKO54" s="419"/>
      <c r="AKP54" s="419"/>
      <c r="AKQ54" s="419"/>
      <c r="AKR54" s="419"/>
      <c r="AKS54" s="419"/>
      <c r="AKT54" s="419"/>
      <c r="AKU54" s="419"/>
      <c r="AKV54" s="419"/>
      <c r="AKW54" s="419"/>
      <c r="AKX54" s="419"/>
      <c r="AKY54" s="419"/>
      <c r="AKZ54" s="419"/>
      <c r="ALA54" s="419"/>
      <c r="ALB54" s="419"/>
      <c r="ALC54" s="419"/>
      <c r="ALD54" s="419"/>
      <c r="ALE54" s="419"/>
      <c r="ALF54" s="419"/>
      <c r="ALG54" s="419"/>
      <c r="ALH54" s="419"/>
      <c r="ALI54" s="419"/>
      <c r="ALJ54" s="419"/>
      <c r="ALK54" s="419"/>
      <c r="ALL54" s="419"/>
      <c r="ALM54" s="419"/>
      <c r="ALN54" s="419"/>
      <c r="ALO54" s="419"/>
      <c r="ALP54" s="419"/>
      <c r="ALQ54" s="419"/>
      <c r="ALR54" s="419"/>
      <c r="ALS54" s="419"/>
      <c r="ALT54" s="419"/>
      <c r="ALU54" s="419"/>
      <c r="ALV54" s="419"/>
      <c r="ALW54" s="419"/>
      <c r="ALX54" s="419"/>
      <c r="ALY54" s="419"/>
      <c r="ALZ54" s="419"/>
      <c r="AMA54" s="419"/>
      <c r="AMB54" s="419"/>
      <c r="AMC54" s="419"/>
      <c r="AMD54" s="419"/>
      <c r="AME54" s="419"/>
      <c r="AMF54" s="419"/>
      <c r="AMG54" s="419"/>
      <c r="AMH54" s="419"/>
      <c r="AMI54" s="419"/>
      <c r="AMJ54" s="419"/>
      <c r="AMK54" s="419"/>
    </row>
    <row r="55" spans="2:1025" x14ac:dyDescent="0.35">
      <c r="B55" s="178" t="s">
        <v>476</v>
      </c>
      <c r="C55" s="178" t="s">
        <v>475</v>
      </c>
      <c r="D55" s="40">
        <v>1</v>
      </c>
      <c r="E55" s="178">
        <v>40000</v>
      </c>
      <c r="F55" s="178">
        <f t="shared" si="4"/>
        <v>40000</v>
      </c>
    </row>
    <row r="56" spans="2:1025" x14ac:dyDescent="0.35">
      <c r="B56" s="178" t="s">
        <v>477</v>
      </c>
      <c r="C56" s="178" t="s">
        <v>473</v>
      </c>
      <c r="D56" s="40">
        <v>1</v>
      </c>
      <c r="E56" s="178">
        <f>(E55+E55)+(1*10000+1*20000)</f>
        <v>110000</v>
      </c>
      <c r="F56" s="178">
        <f t="shared" si="4"/>
        <v>110000</v>
      </c>
    </row>
    <row r="57" spans="2:1025" x14ac:dyDescent="0.35">
      <c r="B57" s="178" t="s">
        <v>117</v>
      </c>
      <c r="D57" s="178">
        <v>1</v>
      </c>
      <c r="E57" s="178">
        <v>35000</v>
      </c>
      <c r="F57" s="178">
        <f t="shared" si="4"/>
        <v>35000</v>
      </c>
    </row>
    <row r="58" spans="2:1025" s="17" customFormat="1" ht="9" customHeight="1" thickBot="1" x14ac:dyDescent="0.4">
      <c r="B58" s="52"/>
      <c r="C58" s="52"/>
      <c r="D58" s="52"/>
      <c r="E58" s="53"/>
      <c r="F58" s="53"/>
      <c r="G58" s="19"/>
      <c r="H58" s="54"/>
    </row>
    <row r="59" spans="2:1025" ht="19.5" customHeight="1" thickTop="1" thickBot="1" x14ac:dyDescent="0.4">
      <c r="B59" s="55" t="s">
        <v>118</v>
      </c>
      <c r="C59" s="56"/>
      <c r="D59" s="56"/>
      <c r="E59" s="57"/>
      <c r="F59" s="57">
        <f>F11+F20+F29+F51</f>
        <v>2079000</v>
      </c>
    </row>
    <row r="60" spans="2:1025" ht="10.5" customHeight="1" thickTop="1" thickBot="1" x14ac:dyDescent="0.4">
      <c r="B60" s="58"/>
      <c r="C60" s="59"/>
      <c r="D60" s="59"/>
      <c r="E60" s="59"/>
      <c r="F60" s="59"/>
    </row>
    <row r="61" spans="2:1025" ht="21" customHeight="1" thickTop="1" thickBot="1" x14ac:dyDescent="0.4">
      <c r="B61" s="60" t="s">
        <v>119</v>
      </c>
      <c r="C61" s="56"/>
      <c r="D61" s="56">
        <v>1</v>
      </c>
      <c r="E61" s="57">
        <v>400000</v>
      </c>
      <c r="F61" s="57">
        <f>D61*E61</f>
        <v>400000</v>
      </c>
      <c r="G61" s="426"/>
    </row>
    <row r="62" spans="2:1025" ht="15" thickTop="1" x14ac:dyDescent="0.35">
      <c r="B62" s="61"/>
      <c r="C62" s="61"/>
      <c r="D62" s="61"/>
      <c r="E62" s="61"/>
      <c r="F62" s="61"/>
    </row>
    <row r="63" spans="2:1025" ht="25.5" customHeight="1" thickBot="1" x14ac:dyDescent="0.4">
      <c r="B63" s="457" t="s">
        <v>120</v>
      </c>
      <c r="C63" s="457"/>
      <c r="D63" s="457"/>
      <c r="E63" s="457"/>
      <c r="F63" s="457"/>
    </row>
    <row r="64" spans="2:1025" ht="18.649999999999999" customHeight="1" thickTop="1" thickBot="1" x14ac:dyDescent="0.4">
      <c r="B64" s="62" t="s">
        <v>481</v>
      </c>
      <c r="C64" s="386" t="s">
        <v>121</v>
      </c>
      <c r="D64" s="63">
        <v>1</v>
      </c>
      <c r="E64" s="64">
        <f>D64*250000</f>
        <v>250000</v>
      </c>
      <c r="F64" s="64">
        <f>D64*E64</f>
        <v>250000</v>
      </c>
    </row>
    <row r="65" spans="2:6" ht="16" customHeight="1" thickTop="1" thickBot="1" x14ac:dyDescent="0.4">
      <c r="B65" s="58"/>
      <c r="C65" s="65"/>
      <c r="D65" s="65"/>
      <c r="E65" s="65"/>
      <c r="F65" s="65"/>
    </row>
    <row r="66" spans="2:6" ht="19" customHeight="1" thickTop="1" x14ac:dyDescent="0.35">
      <c r="B66" s="66" t="s">
        <v>122</v>
      </c>
      <c r="C66" s="67"/>
      <c r="D66" s="68"/>
      <c r="E66" s="69">
        <f>E67+E68</f>
        <v>175000</v>
      </c>
      <c r="F66" s="69">
        <f>E66</f>
        <v>175000</v>
      </c>
    </row>
    <row r="67" spans="2:6" ht="16" customHeight="1" x14ac:dyDescent="0.35">
      <c r="B67" s="70" t="s">
        <v>122</v>
      </c>
      <c r="C67" s="71"/>
      <c r="D67" s="35"/>
      <c r="E67" s="35">
        <f>Операционный!F26</f>
        <v>87500</v>
      </c>
      <c r="F67" s="35">
        <f>E67</f>
        <v>87500</v>
      </c>
    </row>
    <row r="68" spans="2:6" ht="16" customHeight="1" thickBot="1" x14ac:dyDescent="0.4">
      <c r="B68" s="72" t="s">
        <v>471</v>
      </c>
      <c r="C68" s="73"/>
      <c r="D68" s="74">
        <v>1</v>
      </c>
      <c r="E68" s="41">
        <f>D68*E67</f>
        <v>87500</v>
      </c>
      <c r="F68" s="41">
        <f>E68</f>
        <v>87500</v>
      </c>
    </row>
    <row r="69" spans="2:6" ht="16" thickTop="1" x14ac:dyDescent="0.35">
      <c r="B69" s="75"/>
    </row>
    <row r="70" spans="2:6" ht="26" x14ac:dyDescent="0.35">
      <c r="B70" s="76" t="s">
        <v>123</v>
      </c>
      <c r="C70" s="77"/>
      <c r="D70" s="77"/>
      <c r="E70" s="78"/>
      <c r="F70" s="78">
        <f>F59+F61+F64+F66</f>
        <v>2904000</v>
      </c>
    </row>
  </sheetData>
  <mergeCells count="8">
    <mergeCell ref="B1:F1"/>
    <mergeCell ref="B63:F63"/>
    <mergeCell ref="B4:B6"/>
    <mergeCell ref="B10:F10"/>
    <mergeCell ref="D13:D16"/>
    <mergeCell ref="E13:E16"/>
    <mergeCell ref="F13:F16"/>
    <mergeCell ref="C12:C16"/>
  </mergeCells>
  <pageMargins left="0.7" right="0.7" top="0.75" bottom="0.75" header="0.3" footer="0.3"/>
  <pageSetup paperSize="9" orientation="portrait" r:id="rId1"/>
  <ignoredErrors>
    <ignoredError sqref="F51:F52 F20:F29" formula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83"/>
  <sheetViews>
    <sheetView tabSelected="1" zoomScale="80" zoomScaleNormal="80" workbookViewId="0">
      <selection activeCell="K52" sqref="K52"/>
    </sheetView>
  </sheetViews>
  <sheetFormatPr defaultColWidth="8.7265625" defaultRowHeight="14.5" x14ac:dyDescent="0.35"/>
  <cols>
    <col min="1" max="1" width="4.81640625" style="179" customWidth="1"/>
    <col min="2" max="2" width="46.453125" style="179" customWidth="1"/>
    <col min="3" max="3" width="11" style="179" customWidth="1"/>
    <col min="4" max="4" width="10.453125" style="179" customWidth="1"/>
    <col min="5" max="5" width="12.36328125" style="179" customWidth="1"/>
    <col min="6" max="15" width="10.453125" style="179" customWidth="1"/>
    <col min="16" max="16384" width="8.7265625" style="179"/>
  </cols>
  <sheetData>
    <row r="1" spans="1:20" ht="26.5" customHeight="1" thickBot="1" x14ac:dyDescent="0.4">
      <c r="A1" s="537" t="s">
        <v>389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1"/>
      <c r="Q1" s="515"/>
      <c r="R1" s="516"/>
      <c r="S1" s="516"/>
      <c r="T1" s="516"/>
    </row>
    <row r="2" spans="1:20" ht="25.5" customHeight="1" thickBot="1" x14ac:dyDescent="0.4">
      <c r="A2" s="517" t="s">
        <v>384</v>
      </c>
      <c r="B2" s="518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1"/>
      <c r="Q2" s="216"/>
      <c r="R2" s="217"/>
      <c r="S2" s="217"/>
      <c r="T2" s="217"/>
    </row>
    <row r="3" spans="1:20" ht="13.5" customHeight="1" thickBot="1" x14ac:dyDescent="0.4">
      <c r="A3" s="213"/>
      <c r="B3" s="213"/>
      <c r="C3" s="214"/>
      <c r="D3" s="212"/>
      <c r="E3" s="212"/>
      <c r="F3" s="214"/>
      <c r="G3" s="212"/>
      <c r="H3" s="214"/>
      <c r="I3" s="212"/>
      <c r="J3" s="212"/>
      <c r="K3" s="212"/>
      <c r="L3" s="214"/>
      <c r="M3" s="212"/>
      <c r="N3" s="212"/>
      <c r="O3" s="212"/>
      <c r="P3" s="1"/>
      <c r="Q3" s="216"/>
      <c r="R3" s="217"/>
      <c r="S3" s="217"/>
      <c r="T3" s="217"/>
    </row>
    <row r="4" spans="1:20" ht="15.65" customHeight="1" thickTop="1" thickBot="1" x14ac:dyDescent="0.4">
      <c r="A4" s="212"/>
      <c r="B4" s="212"/>
      <c r="C4" s="212"/>
      <c r="D4" s="215"/>
      <c r="E4" s="215"/>
      <c r="F4" s="212"/>
      <c r="G4" s="215"/>
      <c r="H4" s="212"/>
      <c r="I4" s="215"/>
      <c r="J4" s="215"/>
      <c r="K4" s="215"/>
      <c r="L4" s="212"/>
      <c r="M4" s="215"/>
      <c r="N4" s="215"/>
      <c r="O4" s="215"/>
      <c r="P4" s="1"/>
      <c r="Q4" s="216"/>
      <c r="R4" s="217"/>
      <c r="S4" s="217"/>
      <c r="T4" s="217"/>
    </row>
    <row r="5" spans="1:20" x14ac:dyDescent="0.35">
      <c r="A5" s="218">
        <v>1</v>
      </c>
      <c r="B5" s="219" t="s">
        <v>52</v>
      </c>
      <c r="C5" s="529" t="s">
        <v>0</v>
      </c>
      <c r="D5" s="530"/>
      <c r="E5" s="530"/>
      <c r="F5" s="530"/>
      <c r="G5" s="530"/>
      <c r="H5" s="530"/>
      <c r="I5" s="530"/>
      <c r="J5" s="530"/>
      <c r="K5" s="531"/>
      <c r="L5" s="531"/>
      <c r="M5" s="531"/>
      <c r="N5" s="531"/>
      <c r="O5" s="532"/>
      <c r="P5" s="220"/>
      <c r="Q5" s="220"/>
    </row>
    <row r="6" spans="1:20" x14ac:dyDescent="0.35">
      <c r="A6" s="221">
        <v>2</v>
      </c>
      <c r="B6" s="222" t="s">
        <v>1</v>
      </c>
      <c r="C6" s="533" t="s">
        <v>1</v>
      </c>
      <c r="D6" s="534"/>
      <c r="E6" s="534"/>
      <c r="F6" s="534"/>
      <c r="G6" s="534"/>
      <c r="H6" s="534"/>
      <c r="I6" s="534"/>
      <c r="J6" s="534"/>
      <c r="K6" s="535"/>
      <c r="L6" s="535"/>
      <c r="M6" s="535"/>
      <c r="N6" s="535"/>
      <c r="O6" s="536"/>
      <c r="P6" s="220"/>
      <c r="Q6" s="220"/>
    </row>
    <row r="7" spans="1:20" ht="15" thickBot="1" x14ac:dyDescent="0.4">
      <c r="A7" s="221">
        <v>3</v>
      </c>
      <c r="B7" s="222" t="s">
        <v>2</v>
      </c>
      <c r="C7" s="540" t="s">
        <v>53</v>
      </c>
      <c r="D7" s="541"/>
      <c r="E7" s="541"/>
      <c r="F7" s="541"/>
      <c r="G7" s="541"/>
      <c r="H7" s="541"/>
      <c r="I7" s="541"/>
      <c r="J7" s="541"/>
      <c r="K7" s="541"/>
      <c r="L7" s="541"/>
      <c r="M7" s="541"/>
      <c r="N7" s="541"/>
      <c r="O7" s="542"/>
      <c r="P7" s="220"/>
      <c r="Q7" s="220"/>
    </row>
    <row r="8" spans="1:20" x14ac:dyDescent="0.35">
      <c r="A8" s="221">
        <v>4</v>
      </c>
      <c r="B8" s="222" t="s">
        <v>3</v>
      </c>
      <c r="C8" s="538" t="s">
        <v>26</v>
      </c>
      <c r="D8" s="539"/>
      <c r="E8" s="223">
        <v>2021</v>
      </c>
      <c r="F8" s="224"/>
      <c r="G8" s="543"/>
      <c r="H8" s="544"/>
      <c r="I8" s="544"/>
      <c r="J8" s="545"/>
      <c r="K8" s="500"/>
      <c r="L8" s="222"/>
      <c r="M8" s="222"/>
      <c r="N8" s="222"/>
      <c r="O8" s="225"/>
      <c r="P8" s="220"/>
      <c r="Q8" s="220"/>
    </row>
    <row r="9" spans="1:20" ht="15" thickBot="1" x14ac:dyDescent="0.4">
      <c r="A9" s="226">
        <v>5</v>
      </c>
      <c r="B9" s="227" t="s">
        <v>5</v>
      </c>
      <c r="C9" s="519" t="s">
        <v>27</v>
      </c>
      <c r="D9" s="520"/>
      <c r="E9" s="228">
        <v>2021</v>
      </c>
      <c r="F9" s="229"/>
      <c r="G9" s="546"/>
      <c r="H9" s="547"/>
      <c r="I9" s="547"/>
      <c r="J9" s="548"/>
      <c r="K9" s="501"/>
      <c r="L9" s="227"/>
      <c r="M9" s="227"/>
      <c r="N9" s="227"/>
      <c r="O9" s="230"/>
      <c r="P9" s="220"/>
      <c r="Q9" s="220"/>
    </row>
    <row r="10" spans="1:20" ht="15" thickBot="1" x14ac:dyDescent="0.4">
      <c r="A10" s="222"/>
      <c r="B10" s="222"/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0"/>
      <c r="Q10" s="220"/>
    </row>
    <row r="11" spans="1:20" ht="15" thickBot="1" x14ac:dyDescent="0.4">
      <c r="A11" s="509" t="s">
        <v>7</v>
      </c>
      <c r="B11" s="521"/>
      <c r="C11" s="231" t="s">
        <v>8</v>
      </c>
      <c r="D11" s="232" t="s">
        <v>9</v>
      </c>
      <c r="E11" s="220"/>
      <c r="F11" s="526" t="s">
        <v>60</v>
      </c>
      <c r="G11" s="527"/>
      <c r="H11" s="528"/>
      <c r="I11" s="220"/>
      <c r="J11" s="220"/>
      <c r="K11" s="220"/>
      <c r="L11" s="220"/>
      <c r="M11" s="220"/>
      <c r="N11" s="220"/>
      <c r="O11" s="220"/>
      <c r="P11" s="220"/>
      <c r="Q11" s="220"/>
    </row>
    <row r="12" spans="1:20" ht="15" thickBot="1" x14ac:dyDescent="0.4">
      <c r="A12" s="221">
        <v>6</v>
      </c>
      <c r="B12" s="233" t="s">
        <v>10</v>
      </c>
      <c r="C12" s="234" t="s">
        <v>11</v>
      </c>
      <c r="D12" s="235">
        <v>25</v>
      </c>
      <c r="E12" s="220"/>
      <c r="F12" s="236">
        <v>0.2</v>
      </c>
      <c r="G12" s="237"/>
      <c r="H12" s="220"/>
      <c r="I12" s="220"/>
      <c r="J12" s="220"/>
      <c r="K12" s="220"/>
      <c r="L12" s="220"/>
      <c r="M12" s="220"/>
      <c r="N12" s="220"/>
      <c r="O12" s="220"/>
      <c r="P12" s="220"/>
      <c r="Q12" s="220"/>
    </row>
    <row r="13" spans="1:20" x14ac:dyDescent="0.35">
      <c r="A13" s="221">
        <v>7</v>
      </c>
      <c r="B13" s="222" t="s">
        <v>54</v>
      </c>
      <c r="C13" s="234" t="s">
        <v>11</v>
      </c>
      <c r="D13" s="238">
        <f>D12*100%</f>
        <v>25</v>
      </c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</row>
    <row r="14" spans="1:20" x14ac:dyDescent="0.35">
      <c r="A14" s="221">
        <v>8</v>
      </c>
      <c r="B14" s="222" t="s">
        <v>12</v>
      </c>
      <c r="C14" s="234" t="s">
        <v>11</v>
      </c>
      <c r="D14" s="239">
        <f>D12*0%</f>
        <v>0</v>
      </c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</row>
    <row r="15" spans="1:20" ht="15" thickBot="1" x14ac:dyDescent="0.4">
      <c r="A15" s="226">
        <v>9</v>
      </c>
      <c r="B15" s="227" t="s">
        <v>13</v>
      </c>
      <c r="C15" s="240" t="s">
        <v>11</v>
      </c>
      <c r="D15" s="241">
        <f>D12*0%</f>
        <v>0</v>
      </c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</row>
    <row r="16" spans="1:20" ht="15" thickBot="1" x14ac:dyDescent="0.4">
      <c r="A16" s="220"/>
      <c r="B16" s="222"/>
      <c r="C16" s="222"/>
      <c r="D16" s="242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</row>
    <row r="17" spans="1:17" x14ac:dyDescent="0.35">
      <c r="A17" s="522" t="s">
        <v>14</v>
      </c>
      <c r="B17" s="523"/>
      <c r="C17" s="502" t="s">
        <v>8</v>
      </c>
      <c r="D17" s="504" t="s">
        <v>15</v>
      </c>
      <c r="E17" s="505"/>
      <c r="F17" s="505"/>
      <c r="G17" s="505"/>
      <c r="H17" s="506"/>
      <c r="I17" s="220"/>
      <c r="J17" s="504" t="s">
        <v>16</v>
      </c>
      <c r="K17" s="505"/>
      <c r="L17" s="505"/>
      <c r="M17" s="505"/>
      <c r="N17" s="506"/>
      <c r="O17" s="220"/>
      <c r="P17" s="220"/>
      <c r="Q17" s="220"/>
    </row>
    <row r="18" spans="1:17" x14ac:dyDescent="0.35">
      <c r="A18" s="524"/>
      <c r="B18" s="525"/>
      <c r="C18" s="503"/>
      <c r="D18" s="243" t="s">
        <v>17</v>
      </c>
      <c r="E18" s="244" t="s">
        <v>18</v>
      </c>
      <c r="F18" s="244" t="s">
        <v>19</v>
      </c>
      <c r="G18" s="244" t="s">
        <v>20</v>
      </c>
      <c r="H18" s="245" t="s">
        <v>21</v>
      </c>
      <c r="I18" s="220"/>
      <c r="J18" s="243" t="s">
        <v>17</v>
      </c>
      <c r="K18" s="244" t="s">
        <v>18</v>
      </c>
      <c r="L18" s="244" t="s">
        <v>19</v>
      </c>
      <c r="M18" s="244" t="s">
        <v>20</v>
      </c>
      <c r="N18" s="246" t="s">
        <v>21</v>
      </c>
      <c r="O18" s="220"/>
      <c r="P18" s="220"/>
      <c r="Q18" s="220"/>
    </row>
    <row r="19" spans="1:17" ht="15" thickBot="1" x14ac:dyDescent="0.4">
      <c r="A19" s="221">
        <v>10</v>
      </c>
      <c r="B19" s="247" t="s">
        <v>22</v>
      </c>
      <c r="C19" s="234" t="s">
        <v>400</v>
      </c>
      <c r="D19" s="410">
        <v>3500</v>
      </c>
      <c r="E19" s="411">
        <f>D19+D19*K19</f>
        <v>3710</v>
      </c>
      <c r="F19" s="411">
        <f>E19+E19*L19</f>
        <v>3932.6</v>
      </c>
      <c r="G19" s="411">
        <f>F19+F19*M19</f>
        <v>4168.5559999999996</v>
      </c>
      <c r="H19" s="412">
        <f>G19+G19*N19</f>
        <v>4418.6693599999999</v>
      </c>
      <c r="I19" s="220"/>
      <c r="J19" s="249"/>
      <c r="K19" s="250">
        <v>0.06</v>
      </c>
      <c r="L19" s="250">
        <v>0.06</v>
      </c>
      <c r="M19" s="250">
        <v>0.06</v>
      </c>
      <c r="N19" s="251">
        <v>0.06</v>
      </c>
      <c r="O19" s="220"/>
      <c r="P19" s="220"/>
      <c r="Q19" s="220"/>
    </row>
    <row r="20" spans="1:17" hidden="1" x14ac:dyDescent="0.35">
      <c r="A20" s="252" t="s">
        <v>385</v>
      </c>
      <c r="B20" s="253" t="s">
        <v>59</v>
      </c>
      <c r="C20" s="234" t="s">
        <v>55</v>
      </c>
      <c r="D20" s="254">
        <f>D19*100%</f>
        <v>3500</v>
      </c>
      <c r="E20" s="255">
        <f>D20+D20*K19</f>
        <v>3710</v>
      </c>
      <c r="F20" s="255">
        <f>E20+E20*L19</f>
        <v>3932.6</v>
      </c>
      <c r="G20" s="255">
        <f>F20+F20*M19</f>
        <v>4168.5559999999996</v>
      </c>
      <c r="H20" s="248">
        <f>G20+G20*N19</f>
        <v>4418.6693599999999</v>
      </c>
      <c r="I20" s="220"/>
      <c r="J20" s="220"/>
      <c r="K20" s="220"/>
      <c r="L20" s="220"/>
      <c r="M20" s="220"/>
      <c r="N20" s="220"/>
      <c r="O20" s="220"/>
    </row>
    <row r="21" spans="1:17" hidden="1" x14ac:dyDescent="0.35">
      <c r="A21" s="252" t="s">
        <v>386</v>
      </c>
      <c r="B21" s="253" t="s">
        <v>56</v>
      </c>
      <c r="C21" s="234" t="s">
        <v>55</v>
      </c>
      <c r="D21" s="254">
        <f>D19*0%</f>
        <v>0</v>
      </c>
      <c r="E21" s="255">
        <f>D21+D21*K19</f>
        <v>0</v>
      </c>
      <c r="F21" s="255">
        <f>E21+E21*L19</f>
        <v>0</v>
      </c>
      <c r="G21" s="255">
        <f>F21+F21*M19</f>
        <v>0</v>
      </c>
      <c r="H21" s="248">
        <f>G21+G21*N19</f>
        <v>0</v>
      </c>
      <c r="I21" s="220"/>
      <c r="J21" s="220"/>
      <c r="K21" s="220"/>
      <c r="L21" s="220"/>
      <c r="M21" s="220"/>
      <c r="N21" s="220"/>
      <c r="O21" s="220"/>
    </row>
    <row r="22" spans="1:17" ht="15" hidden="1" thickBot="1" x14ac:dyDescent="0.4">
      <c r="A22" s="256" t="s">
        <v>387</v>
      </c>
      <c r="B22" s="257" t="s">
        <v>57</v>
      </c>
      <c r="C22" s="240" t="s">
        <v>55</v>
      </c>
      <c r="D22" s="258">
        <f>D19*0%</f>
        <v>0</v>
      </c>
      <c r="E22" s="259">
        <f>D22+D22*K19</f>
        <v>0</v>
      </c>
      <c r="F22" s="259">
        <f>E22+E22*L19</f>
        <v>0</v>
      </c>
      <c r="G22" s="259">
        <f>F22+F22*M19</f>
        <v>0</v>
      </c>
      <c r="H22" s="260">
        <f>G22+G22*N19</f>
        <v>0</v>
      </c>
      <c r="I22" s="220"/>
      <c r="J22" s="220"/>
      <c r="K22" s="220"/>
      <c r="L22" s="220"/>
      <c r="M22" s="220"/>
      <c r="N22" s="220"/>
      <c r="O22" s="220"/>
    </row>
    <row r="23" spans="1:17" ht="15" thickBot="1" x14ac:dyDescent="0.4">
      <c r="A23" s="226">
        <v>11</v>
      </c>
      <c r="B23" s="230" t="s">
        <v>58</v>
      </c>
      <c r="C23" s="240" t="s">
        <v>23</v>
      </c>
      <c r="D23" s="261">
        <v>0.12</v>
      </c>
      <c r="E23" s="262">
        <v>0.12</v>
      </c>
      <c r="F23" s="262">
        <v>0.12</v>
      </c>
      <c r="G23" s="262">
        <v>0.12</v>
      </c>
      <c r="H23" s="263">
        <v>0.12</v>
      </c>
      <c r="I23" s="220"/>
      <c r="J23" s="220"/>
      <c r="K23" s="220"/>
      <c r="L23" s="220"/>
      <c r="M23" s="220"/>
      <c r="N23" s="220"/>
      <c r="O23" s="220"/>
    </row>
    <row r="24" spans="1:17" ht="15" thickBot="1" x14ac:dyDescent="0.4">
      <c r="A24" s="220"/>
      <c r="B24" s="222"/>
      <c r="C24" s="222"/>
      <c r="D24" s="242"/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</row>
    <row r="25" spans="1:17" x14ac:dyDescent="0.35">
      <c r="A25" s="509" t="s">
        <v>24</v>
      </c>
      <c r="B25" s="510"/>
      <c r="C25" s="232" t="s">
        <v>25</v>
      </c>
      <c r="D25" s="264" t="s">
        <v>26</v>
      </c>
      <c r="E25" s="264" t="s">
        <v>6</v>
      </c>
      <c r="F25" s="264" t="s">
        <v>27</v>
      </c>
      <c r="G25" s="264" t="s">
        <v>28</v>
      </c>
      <c r="H25" s="264" t="s">
        <v>29</v>
      </c>
      <c r="I25" s="264" t="s">
        <v>30</v>
      </c>
      <c r="J25" s="264" t="s">
        <v>31</v>
      </c>
      <c r="K25" s="264" t="s">
        <v>32</v>
      </c>
      <c r="L25" s="264" t="s">
        <v>33</v>
      </c>
      <c r="M25" s="264" t="s">
        <v>34</v>
      </c>
      <c r="N25" s="264" t="s">
        <v>4</v>
      </c>
      <c r="O25" s="265" t="s">
        <v>35</v>
      </c>
    </row>
    <row r="26" spans="1:17" x14ac:dyDescent="0.35">
      <c r="A26" s="221">
        <v>12</v>
      </c>
      <c r="B26" s="225" t="s">
        <v>17</v>
      </c>
      <c r="C26" s="266">
        <f>SUM(D26:O26)</f>
        <v>875000</v>
      </c>
      <c r="D26" s="267">
        <f>D19*D12*D66</f>
        <v>0</v>
      </c>
      <c r="E26" s="267">
        <f>D19*D12*E66</f>
        <v>0</v>
      </c>
      <c r="F26" s="267">
        <f>D19*D12*F66</f>
        <v>87500</v>
      </c>
      <c r="G26" s="267">
        <f>D19*D12*G66</f>
        <v>87500</v>
      </c>
      <c r="H26" s="267">
        <f>D19*D12*H66</f>
        <v>87500</v>
      </c>
      <c r="I26" s="267">
        <f>D19*D12*I66</f>
        <v>87500</v>
      </c>
      <c r="J26" s="267">
        <f>D19*D12*J66</f>
        <v>87500</v>
      </c>
      <c r="K26" s="267">
        <f>D19*D12*K66</f>
        <v>87500</v>
      </c>
      <c r="L26" s="267">
        <f>D19*D12*L66</f>
        <v>87500</v>
      </c>
      <c r="M26" s="267">
        <f>D19*D12*M66</f>
        <v>87500</v>
      </c>
      <c r="N26" s="267">
        <f>D19*D12*N66</f>
        <v>87500</v>
      </c>
      <c r="O26" s="266">
        <f>D19*D12*O66</f>
        <v>87500</v>
      </c>
      <c r="P26" s="268"/>
    </row>
    <row r="27" spans="1:17" x14ac:dyDescent="0.35">
      <c r="A27" s="221">
        <v>13</v>
      </c>
      <c r="B27" s="225" t="s">
        <v>18</v>
      </c>
      <c r="C27" s="266">
        <f t="shared" ref="C27:C30" si="0">SUM(D27:O27)</f>
        <v>1113000</v>
      </c>
      <c r="D27" s="267">
        <f>E19*D12*D67</f>
        <v>92750</v>
      </c>
      <c r="E27" s="267">
        <f>E19*D12*E67</f>
        <v>92750</v>
      </c>
      <c r="F27" s="267">
        <f>E19*D12*F67</f>
        <v>92750</v>
      </c>
      <c r="G27" s="267">
        <f>E19*D12*G67</f>
        <v>92750</v>
      </c>
      <c r="H27" s="267">
        <f>E19*D12*H67</f>
        <v>92750</v>
      </c>
      <c r="I27" s="267">
        <f>E19*D12*I67</f>
        <v>92750</v>
      </c>
      <c r="J27" s="267">
        <f>E19*D12*J67</f>
        <v>92750</v>
      </c>
      <c r="K27" s="267">
        <f>E19*D12*K67</f>
        <v>92750</v>
      </c>
      <c r="L27" s="267">
        <f>E19*D12*L67</f>
        <v>92750</v>
      </c>
      <c r="M27" s="267">
        <f>E19*D12*M67</f>
        <v>92750</v>
      </c>
      <c r="N27" s="267">
        <f>E19*D12*N67</f>
        <v>92750</v>
      </c>
      <c r="O27" s="266">
        <f>E19*D12*O67</f>
        <v>92750</v>
      </c>
    </row>
    <row r="28" spans="1:17" x14ac:dyDescent="0.35">
      <c r="A28" s="221">
        <v>14</v>
      </c>
      <c r="B28" s="225" t="s">
        <v>19</v>
      </c>
      <c r="C28" s="266">
        <f t="shared" si="0"/>
        <v>1179780</v>
      </c>
      <c r="D28" s="267">
        <f>F19*D12*D68</f>
        <v>98315</v>
      </c>
      <c r="E28" s="267">
        <f>F19*D12*E68</f>
        <v>98315</v>
      </c>
      <c r="F28" s="267">
        <f>F19*D12*F68</f>
        <v>98315</v>
      </c>
      <c r="G28" s="267">
        <f>F19*D12*G68</f>
        <v>98315</v>
      </c>
      <c r="H28" s="267">
        <f>F19*D12*H68</f>
        <v>98315</v>
      </c>
      <c r="I28" s="267">
        <f>F19*D12*I68</f>
        <v>98315</v>
      </c>
      <c r="J28" s="267">
        <f>F19*D12*J68</f>
        <v>98315</v>
      </c>
      <c r="K28" s="267">
        <f>F19*D12*K68</f>
        <v>98315</v>
      </c>
      <c r="L28" s="267">
        <f>F19*D12*L68</f>
        <v>98315</v>
      </c>
      <c r="M28" s="267">
        <f>F19*D12*M68</f>
        <v>98315</v>
      </c>
      <c r="N28" s="267">
        <f>F19*D12*N68</f>
        <v>98315</v>
      </c>
      <c r="O28" s="266">
        <f>F19*D12*O68</f>
        <v>98315</v>
      </c>
    </row>
    <row r="29" spans="1:17" x14ac:dyDescent="0.35">
      <c r="A29" s="221">
        <v>15</v>
      </c>
      <c r="B29" s="225" t="s">
        <v>20</v>
      </c>
      <c r="C29" s="266">
        <f t="shared" si="0"/>
        <v>1250566.8</v>
      </c>
      <c r="D29" s="267">
        <f>G19*D12*D68</f>
        <v>104213.9</v>
      </c>
      <c r="E29" s="267">
        <f>G19*D12*E68</f>
        <v>104213.9</v>
      </c>
      <c r="F29" s="267">
        <f>G19*D12*F68</f>
        <v>104213.9</v>
      </c>
      <c r="G29" s="267">
        <f>G19*D12*G68</f>
        <v>104213.9</v>
      </c>
      <c r="H29" s="267">
        <f>G19*D12*H68</f>
        <v>104213.9</v>
      </c>
      <c r="I29" s="267">
        <f>G19*D12*I68</f>
        <v>104213.9</v>
      </c>
      <c r="J29" s="267">
        <f>G19*D12*J68</f>
        <v>104213.9</v>
      </c>
      <c r="K29" s="267">
        <f>G19*D12*K68</f>
        <v>104213.9</v>
      </c>
      <c r="L29" s="267">
        <f>G19*D12*L68</f>
        <v>104213.9</v>
      </c>
      <c r="M29" s="267">
        <f>G19*D12*M68</f>
        <v>104213.9</v>
      </c>
      <c r="N29" s="267">
        <f>G19*D12*N68</f>
        <v>104213.9</v>
      </c>
      <c r="O29" s="266">
        <f>G19*D12*O68</f>
        <v>104213.9</v>
      </c>
    </row>
    <row r="30" spans="1:17" ht="15" thickBot="1" x14ac:dyDescent="0.4">
      <c r="A30" s="226">
        <v>16</v>
      </c>
      <c r="B30" s="230" t="s">
        <v>21</v>
      </c>
      <c r="C30" s="269">
        <f t="shared" si="0"/>
        <v>1325600.8079999995</v>
      </c>
      <c r="D30" s="270">
        <f>H19*D12*D68</f>
        <v>110466.734</v>
      </c>
      <c r="E30" s="270">
        <f>H19*D12*E68</f>
        <v>110466.734</v>
      </c>
      <c r="F30" s="270">
        <f>H19*D12*F68</f>
        <v>110466.734</v>
      </c>
      <c r="G30" s="270">
        <f>H19*D12*G68</f>
        <v>110466.734</v>
      </c>
      <c r="H30" s="270">
        <f>H19*D12*H68</f>
        <v>110466.734</v>
      </c>
      <c r="I30" s="270">
        <f>H19*D12*I68</f>
        <v>110466.734</v>
      </c>
      <c r="J30" s="270">
        <f>H19*D12*J68</f>
        <v>110466.734</v>
      </c>
      <c r="K30" s="270">
        <f>H19*D12*K68</f>
        <v>110466.734</v>
      </c>
      <c r="L30" s="270">
        <f>H19*D12*L68</f>
        <v>110466.734</v>
      </c>
      <c r="M30" s="270">
        <f>H19*D12*M68</f>
        <v>110466.734</v>
      </c>
      <c r="N30" s="270">
        <f>H19*D12*N68</f>
        <v>110466.734</v>
      </c>
      <c r="O30" s="269">
        <f>H19*D12*O68</f>
        <v>110466.734</v>
      </c>
    </row>
    <row r="31" spans="1:17" ht="15" thickBot="1" x14ac:dyDescent="0.4"/>
    <row r="32" spans="1:17" x14ac:dyDescent="0.35">
      <c r="A32" s="511" t="s">
        <v>36</v>
      </c>
      <c r="B32" s="512"/>
      <c r="C32" s="232" t="s">
        <v>8</v>
      </c>
      <c r="D32" s="271" t="s">
        <v>17</v>
      </c>
      <c r="E32" s="272" t="s">
        <v>18</v>
      </c>
      <c r="F32" s="272" t="s">
        <v>19</v>
      </c>
      <c r="G32" s="272" t="s">
        <v>20</v>
      </c>
      <c r="H32" s="232" t="s">
        <v>21</v>
      </c>
      <c r="I32" s="220"/>
      <c r="J32" s="220"/>
      <c r="K32" s="220"/>
      <c r="L32" s="220"/>
      <c r="M32" s="220"/>
      <c r="N32" s="220"/>
      <c r="O32" s="220"/>
    </row>
    <row r="33" spans="1:16" x14ac:dyDescent="0.35">
      <c r="A33" s="221">
        <v>17</v>
      </c>
      <c r="B33" s="225" t="s">
        <v>37</v>
      </c>
      <c r="C33" s="225" t="s">
        <v>401</v>
      </c>
      <c r="D33" s="273">
        <f>1270000*12/D12</f>
        <v>609600</v>
      </c>
      <c r="E33" s="274">
        <f>D33*1.2</f>
        <v>731520</v>
      </c>
      <c r="F33" s="274">
        <f>E33*1.06</f>
        <v>775411.20000000007</v>
      </c>
      <c r="G33" s="274">
        <f>F33*1.06</f>
        <v>821935.87200000009</v>
      </c>
      <c r="H33" s="275">
        <f>G33*1.06</f>
        <v>871252.02432000008</v>
      </c>
      <c r="I33" s="220"/>
      <c r="J33" s="220"/>
      <c r="K33" s="220"/>
      <c r="L33" s="220"/>
      <c r="M33" s="220"/>
      <c r="N33" s="220"/>
      <c r="O33" s="220"/>
    </row>
    <row r="34" spans="1:16" x14ac:dyDescent="0.35">
      <c r="A34" s="221">
        <v>18</v>
      </c>
      <c r="B34" s="225" t="s">
        <v>38</v>
      </c>
      <c r="C34" s="225" t="s">
        <v>401</v>
      </c>
      <c r="D34" s="300">
        <f>D33/12</f>
        <v>50800</v>
      </c>
      <c r="E34" s="267">
        <f>E33/12</f>
        <v>60960</v>
      </c>
      <c r="F34" s="267">
        <f>F33/12</f>
        <v>64617.600000000006</v>
      </c>
      <c r="G34" s="267">
        <f>G33/12</f>
        <v>68494.656000000003</v>
      </c>
      <c r="H34" s="266">
        <f>H33/12</f>
        <v>72604.335360000012</v>
      </c>
      <c r="I34" s="220"/>
      <c r="J34" s="220"/>
      <c r="K34" s="220"/>
      <c r="L34" s="220"/>
      <c r="M34" s="220"/>
      <c r="N34" s="220"/>
      <c r="O34" s="220"/>
    </row>
    <row r="35" spans="1:16" x14ac:dyDescent="0.35">
      <c r="A35" s="221">
        <v>19</v>
      </c>
      <c r="B35" s="225" t="s">
        <v>39</v>
      </c>
      <c r="C35" s="225" t="s">
        <v>23</v>
      </c>
      <c r="D35" s="276">
        <f>'Unit Сoste '!E6</f>
        <v>0.4329142747100001</v>
      </c>
      <c r="E35" s="277">
        <f>D35</f>
        <v>0.4329142747100001</v>
      </c>
      <c r="F35" s="277">
        <f>D35</f>
        <v>0.4329142747100001</v>
      </c>
      <c r="G35" s="277">
        <f>D35</f>
        <v>0.4329142747100001</v>
      </c>
      <c r="H35" s="278">
        <f>D35</f>
        <v>0.4329142747100001</v>
      </c>
      <c r="I35" s="220"/>
      <c r="J35" s="220"/>
      <c r="K35" s="220"/>
      <c r="L35" s="220"/>
      <c r="M35" s="220"/>
      <c r="N35" s="220"/>
      <c r="O35" s="220"/>
    </row>
    <row r="36" spans="1:16" ht="15" thickBot="1" x14ac:dyDescent="0.4">
      <c r="A36" s="226">
        <v>20</v>
      </c>
      <c r="B36" s="230" t="s">
        <v>40</v>
      </c>
      <c r="C36" s="230" t="s">
        <v>23</v>
      </c>
      <c r="D36" s="279">
        <f>(D33*D12)/(D33*D12*D35)-1</f>
        <v>1.3099261410815766</v>
      </c>
      <c r="E36" s="280">
        <f>(E33*D12)/(E33*D12*E35)-1</f>
        <v>1.3099261410815766</v>
      </c>
      <c r="F36" s="280">
        <f>(F33*D12)/(F33*D12*F35)-1</f>
        <v>1.3099261410815766</v>
      </c>
      <c r="G36" s="280">
        <f>(G33*D12)/(G33*D12*G35)-1</f>
        <v>1.3099261410815766</v>
      </c>
      <c r="H36" s="281">
        <f>(H33*D12)/(H33*D12*H35)-1</f>
        <v>1.3099261410815761</v>
      </c>
      <c r="I36" s="220"/>
      <c r="J36" s="220"/>
      <c r="K36" s="220"/>
      <c r="L36" s="220"/>
      <c r="M36" s="220"/>
      <c r="N36" s="220"/>
      <c r="O36" s="220"/>
    </row>
    <row r="37" spans="1:16" ht="15" thickBot="1" x14ac:dyDescent="0.4">
      <c r="A37" s="220"/>
      <c r="B37" s="222"/>
      <c r="C37" s="222"/>
      <c r="D37" s="282"/>
      <c r="E37" s="282"/>
      <c r="F37" s="282"/>
      <c r="G37" s="282"/>
      <c r="H37" s="282"/>
      <c r="I37" s="220"/>
      <c r="J37" s="220"/>
      <c r="K37" s="220"/>
      <c r="L37" s="220"/>
      <c r="M37" s="220"/>
      <c r="N37" s="220"/>
      <c r="O37" s="220"/>
    </row>
    <row r="38" spans="1:16" x14ac:dyDescent="0.35">
      <c r="A38" s="511" t="s">
        <v>41</v>
      </c>
      <c r="B38" s="512"/>
      <c r="C38" s="283" t="s">
        <v>25</v>
      </c>
      <c r="D38" s="284" t="s">
        <v>26</v>
      </c>
      <c r="E38" s="285" t="s">
        <v>6</v>
      </c>
      <c r="F38" s="285" t="s">
        <v>27</v>
      </c>
      <c r="G38" s="285" t="s">
        <v>28</v>
      </c>
      <c r="H38" s="285" t="s">
        <v>29</v>
      </c>
      <c r="I38" s="285" t="s">
        <v>30</v>
      </c>
      <c r="J38" s="285" t="s">
        <v>31</v>
      </c>
      <c r="K38" s="285" t="s">
        <v>32</v>
      </c>
      <c r="L38" s="285" t="s">
        <v>33</v>
      </c>
      <c r="M38" s="285" t="s">
        <v>34</v>
      </c>
      <c r="N38" s="285" t="s">
        <v>4</v>
      </c>
      <c r="O38" s="286" t="s">
        <v>35</v>
      </c>
    </row>
    <row r="39" spans="1:16" x14ac:dyDescent="0.35">
      <c r="A39" s="287">
        <v>21</v>
      </c>
      <c r="B39" s="288" t="s">
        <v>42</v>
      </c>
      <c r="C39" s="289">
        <v>1</v>
      </c>
      <c r="D39" s="290">
        <f>C39/12*D40</f>
        <v>9.5833333333333326E-2</v>
      </c>
      <c r="E39" s="291">
        <f>C39/12*E40</f>
        <v>7.4166666666666659E-2</v>
      </c>
      <c r="F39" s="291">
        <f>C39/12*F40</f>
        <v>9.9166666666666653E-2</v>
      </c>
      <c r="G39" s="291">
        <f>C39/12*G40</f>
        <v>8.3333333333333329E-2</v>
      </c>
      <c r="H39" s="291">
        <f>C39/12*H40</f>
        <v>7.6666666666666661E-2</v>
      </c>
      <c r="I39" s="291">
        <f>C39/12*I40</f>
        <v>7.4166666666666659E-2</v>
      </c>
      <c r="J39" s="291">
        <f>C39/12*J40</f>
        <v>7.2499999999999995E-2</v>
      </c>
      <c r="K39" s="291">
        <f>C39/12*K40</f>
        <v>8.1666666666666665E-2</v>
      </c>
      <c r="L39" s="291">
        <f>C39/12*L40</f>
        <v>7.6666666666666661E-2</v>
      </c>
      <c r="M39" s="291">
        <f>C39/12*M40</f>
        <v>7.9166666666666663E-2</v>
      </c>
      <c r="N39" s="291">
        <f>C39/12*N40</f>
        <v>8.249999999999999E-2</v>
      </c>
      <c r="O39" s="292">
        <f>C39/12*O40</f>
        <v>0.10416666666666666</v>
      </c>
      <c r="P39" s="293"/>
    </row>
    <row r="40" spans="1:16" x14ac:dyDescent="0.35">
      <c r="A40" s="221"/>
      <c r="B40" s="225" t="s">
        <v>43</v>
      </c>
      <c r="C40" s="294"/>
      <c r="D40" s="295">
        <v>1.1499999999999999</v>
      </c>
      <c r="E40" s="296">
        <v>0.89</v>
      </c>
      <c r="F40" s="296">
        <v>1.19</v>
      </c>
      <c r="G40" s="296">
        <v>1</v>
      </c>
      <c r="H40" s="296">
        <v>0.92</v>
      </c>
      <c r="I40" s="296">
        <v>0.89</v>
      </c>
      <c r="J40" s="296">
        <v>0.87</v>
      </c>
      <c r="K40" s="296">
        <v>0.98</v>
      </c>
      <c r="L40" s="296">
        <v>0.92</v>
      </c>
      <c r="M40" s="296">
        <v>0.95</v>
      </c>
      <c r="N40" s="296">
        <v>0.99</v>
      </c>
      <c r="O40" s="297">
        <v>1.25</v>
      </c>
      <c r="P40" s="268"/>
    </row>
    <row r="41" spans="1:16" ht="6" customHeight="1" x14ac:dyDescent="0.35">
      <c r="A41" s="221"/>
      <c r="B41" s="225"/>
      <c r="C41" s="225"/>
      <c r="D41" s="298"/>
      <c r="E41" s="299"/>
      <c r="F41" s="299"/>
      <c r="G41" s="299"/>
      <c r="H41" s="299"/>
      <c r="I41" s="299"/>
      <c r="J41" s="299"/>
      <c r="K41" s="299"/>
      <c r="L41" s="299"/>
      <c r="M41" s="299"/>
      <c r="N41" s="299"/>
      <c r="O41" s="225"/>
    </row>
    <row r="42" spans="1:16" x14ac:dyDescent="0.35">
      <c r="A42" s="221">
        <v>22</v>
      </c>
      <c r="B42" s="225" t="s">
        <v>402</v>
      </c>
      <c r="C42" s="266">
        <f>SUM(D42:O42)</f>
        <v>12649200</v>
      </c>
      <c r="D42" s="300">
        <f>D12*D34*D40*D66</f>
        <v>0</v>
      </c>
      <c r="E42" s="301">
        <f>D12*D34*E40*E66</f>
        <v>0</v>
      </c>
      <c r="F42" s="267">
        <f>D12*D34*F40*F66</f>
        <v>1511300</v>
      </c>
      <c r="G42" s="301">
        <f>D12*D34*G40*G66</f>
        <v>1270000</v>
      </c>
      <c r="H42" s="301">
        <f>D12*D34*H40*H66</f>
        <v>1168400</v>
      </c>
      <c r="I42" s="301">
        <f>D12*D34*I40*I66</f>
        <v>1130300</v>
      </c>
      <c r="J42" s="301">
        <f>D12*D34*J40*J66</f>
        <v>1104900</v>
      </c>
      <c r="K42" s="301">
        <f>D12*D34*K40*K66</f>
        <v>1244600</v>
      </c>
      <c r="L42" s="301">
        <f>D12*D34*L40*L66</f>
        <v>1168400</v>
      </c>
      <c r="M42" s="301">
        <f>D12*D34*M40*M66</f>
        <v>1206500</v>
      </c>
      <c r="N42" s="301">
        <f>D12*D34*N40*N66</f>
        <v>1257300</v>
      </c>
      <c r="O42" s="266">
        <f>D12*D34*O40*O66</f>
        <v>1587500</v>
      </c>
    </row>
    <row r="43" spans="1:16" x14ac:dyDescent="0.35">
      <c r="A43" s="221">
        <v>23</v>
      </c>
      <c r="B43" s="225" t="s">
        <v>403</v>
      </c>
      <c r="C43" s="266">
        <f t="shared" ref="C43:C46" si="1">SUM(D43:O43)</f>
        <v>18288000</v>
      </c>
      <c r="D43" s="300">
        <f>D12*E34*D40*D67</f>
        <v>1752599.9999999998</v>
      </c>
      <c r="E43" s="301">
        <f>D12*E34*E40*E67</f>
        <v>1356360</v>
      </c>
      <c r="F43" s="301">
        <f>D12*E34*F40*F67</f>
        <v>1813560</v>
      </c>
      <c r="G43" s="301">
        <f>D12*E34*G40*G67</f>
        <v>1524000</v>
      </c>
      <c r="H43" s="301">
        <f>D12*E34*H40*H67</f>
        <v>1402080</v>
      </c>
      <c r="I43" s="301">
        <f>D12*E34*I40*I67</f>
        <v>1356360</v>
      </c>
      <c r="J43" s="301">
        <f>D12*E34*J40*J67</f>
        <v>1325880</v>
      </c>
      <c r="K43" s="301">
        <f>D12*E34*K40*K67</f>
        <v>1493520</v>
      </c>
      <c r="L43" s="301">
        <f>D12*E34*L40*L67</f>
        <v>1402080</v>
      </c>
      <c r="M43" s="301">
        <f>D12*E34*M40*M67</f>
        <v>1447800</v>
      </c>
      <c r="N43" s="301">
        <f>D12*E34*N40*N67</f>
        <v>1508760</v>
      </c>
      <c r="O43" s="266">
        <f>D12*E34*O40*O67</f>
        <v>1905000</v>
      </c>
    </row>
    <row r="44" spans="1:16" x14ac:dyDescent="0.35">
      <c r="A44" s="221">
        <v>24</v>
      </c>
      <c r="B44" s="225" t="s">
        <v>404</v>
      </c>
      <c r="C44" s="266">
        <f t="shared" si="1"/>
        <v>19385280.000000004</v>
      </c>
      <c r="D44" s="300">
        <f>D12*F34*D40</f>
        <v>1857756.0000000002</v>
      </c>
      <c r="E44" s="301">
        <f>D12*F34*E40</f>
        <v>1437741.6000000003</v>
      </c>
      <c r="F44" s="301">
        <f>D12*F34*F40</f>
        <v>1922373.6</v>
      </c>
      <c r="G44" s="301">
        <f>D12*F34*G40</f>
        <v>1615440.0000000002</v>
      </c>
      <c r="H44" s="301">
        <f>D12*F34*H40</f>
        <v>1486204.8000000003</v>
      </c>
      <c r="I44" s="301">
        <f>D12*F34*I40</f>
        <v>1437741.6000000003</v>
      </c>
      <c r="J44" s="301">
        <f>D12*F34*J40</f>
        <v>1405432.8000000003</v>
      </c>
      <c r="K44" s="301">
        <f>D12*F34*K40</f>
        <v>1583131.2000000002</v>
      </c>
      <c r="L44" s="301">
        <f>D12*F34*L40</f>
        <v>1486204.8000000003</v>
      </c>
      <c r="M44" s="301">
        <f>D12*F34*M40</f>
        <v>1534668.0000000002</v>
      </c>
      <c r="N44" s="301">
        <f>D12*F34*N40</f>
        <v>1599285.6000000003</v>
      </c>
      <c r="O44" s="266">
        <f>D12*F34*O40</f>
        <v>2019300.0000000002</v>
      </c>
    </row>
    <row r="45" spans="1:16" x14ac:dyDescent="0.35">
      <c r="A45" s="221">
        <v>25</v>
      </c>
      <c r="B45" s="225" t="s">
        <v>405</v>
      </c>
      <c r="C45" s="266">
        <f t="shared" si="1"/>
        <v>20548396.800000001</v>
      </c>
      <c r="D45" s="300">
        <f>D12*G34*D40</f>
        <v>1969221.36</v>
      </c>
      <c r="E45" s="301">
        <f>D12*G34*E40</f>
        <v>1524006.0960000001</v>
      </c>
      <c r="F45" s="301">
        <f>D12*G34*F40</f>
        <v>2037716.0160000001</v>
      </c>
      <c r="G45" s="301">
        <f>D12*G34*G40</f>
        <v>1712366.4000000001</v>
      </c>
      <c r="H45" s="301">
        <f>D12*G34*H40</f>
        <v>1575377.0880000002</v>
      </c>
      <c r="I45" s="301">
        <f>D12*G34*I40</f>
        <v>1524006.0960000001</v>
      </c>
      <c r="J45" s="301">
        <f>D12*G34*J40</f>
        <v>1489758.7680000002</v>
      </c>
      <c r="K45" s="301">
        <f>D12*G34*K40</f>
        <v>1678119.0720000002</v>
      </c>
      <c r="L45" s="301">
        <f>D12*G34*L40</f>
        <v>1575377.0880000002</v>
      </c>
      <c r="M45" s="301">
        <f>D12*G34*M40</f>
        <v>1626748.08</v>
      </c>
      <c r="N45" s="301">
        <f>D12*G34*N40</f>
        <v>1695242.736</v>
      </c>
      <c r="O45" s="266">
        <f>D12*G34*O40</f>
        <v>2140458</v>
      </c>
    </row>
    <row r="46" spans="1:16" ht="15" thickBot="1" x14ac:dyDescent="0.4">
      <c r="A46" s="226">
        <v>26</v>
      </c>
      <c r="B46" s="230" t="s">
        <v>406</v>
      </c>
      <c r="C46" s="302">
        <f t="shared" si="1"/>
        <v>21781300.608000007</v>
      </c>
      <c r="D46" s="303">
        <f>D12*H34*D40</f>
        <v>2087374.6416000002</v>
      </c>
      <c r="E46" s="304">
        <f>D12*H34*E40</f>
        <v>1615446.4617600003</v>
      </c>
      <c r="F46" s="304">
        <f>D12*H34*F40</f>
        <v>2159978.9769600001</v>
      </c>
      <c r="G46" s="304">
        <f>D12*H34*G40</f>
        <v>1815108.3840000003</v>
      </c>
      <c r="H46" s="304">
        <f>D12*H34*H40</f>
        <v>1669899.7132800003</v>
      </c>
      <c r="I46" s="304">
        <f>D12*H34*I40</f>
        <v>1615446.4617600003</v>
      </c>
      <c r="J46" s="304">
        <f>D12*H34*J40</f>
        <v>1579144.2940800004</v>
      </c>
      <c r="K46" s="304">
        <f>D12*H34*K40</f>
        <v>1778806.2163200004</v>
      </c>
      <c r="L46" s="304">
        <f>D12*H34*L40</f>
        <v>1669899.7132800003</v>
      </c>
      <c r="M46" s="304">
        <f>D12*H34*M40</f>
        <v>1724352.9648000002</v>
      </c>
      <c r="N46" s="304">
        <f>D12*H34*N40</f>
        <v>1796957.3001600003</v>
      </c>
      <c r="O46" s="269">
        <f>D12*H34*O40</f>
        <v>2268885.4800000004</v>
      </c>
    </row>
    <row r="47" spans="1:16" ht="15" thickBot="1" x14ac:dyDescent="0.4">
      <c r="A47" s="220"/>
      <c r="B47" s="220"/>
      <c r="C47" s="220"/>
      <c r="D47" s="220"/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0"/>
    </row>
    <row r="48" spans="1:16" x14ac:dyDescent="0.35">
      <c r="A48" s="509" t="s">
        <v>44</v>
      </c>
      <c r="B48" s="510"/>
      <c r="C48" s="232" t="s">
        <v>8</v>
      </c>
      <c r="D48" s="271" t="s">
        <v>17</v>
      </c>
      <c r="E48" s="305" t="s">
        <v>18</v>
      </c>
      <c r="F48" s="306" t="s">
        <v>19</v>
      </c>
      <c r="G48" s="305" t="s">
        <v>20</v>
      </c>
      <c r="H48" s="307" t="s">
        <v>21</v>
      </c>
      <c r="I48" s="220"/>
      <c r="J48" s="220"/>
      <c r="K48" s="220"/>
    </row>
    <row r="49" spans="1:15" x14ac:dyDescent="0.35">
      <c r="A49" s="221">
        <v>27</v>
      </c>
      <c r="B49" s="225" t="s">
        <v>45</v>
      </c>
      <c r="C49" s="225" t="s">
        <v>407</v>
      </c>
      <c r="D49" s="308">
        <f>'Штатное расписание'!E5</f>
        <v>170000</v>
      </c>
      <c r="E49" s="309">
        <f>D49+D49*E51</f>
        <v>178500</v>
      </c>
      <c r="F49" s="309">
        <f>E49*F51+E49</f>
        <v>187425</v>
      </c>
      <c r="G49" s="309">
        <f>F49+F49*G51</f>
        <v>196796.25</v>
      </c>
      <c r="H49" s="309">
        <f>G49*H51+G49</f>
        <v>206636.0625</v>
      </c>
      <c r="I49" s="220"/>
      <c r="J49" s="220"/>
      <c r="K49" s="220"/>
    </row>
    <row r="50" spans="1:15" x14ac:dyDescent="0.35">
      <c r="A50" s="221">
        <v>28</v>
      </c>
      <c r="B50" s="310" t="s">
        <v>67</v>
      </c>
      <c r="C50" s="225" t="s">
        <v>401</v>
      </c>
      <c r="D50" s="308">
        <f>'Штатное расписание'!E7+'Штатное расписание'!E8</f>
        <v>120000</v>
      </c>
      <c r="E50" s="311">
        <f>D50+D50*E51</f>
        <v>126000</v>
      </c>
      <c r="F50" s="311">
        <f>E50+E50*F51</f>
        <v>132300</v>
      </c>
      <c r="G50" s="311">
        <f>F50+F50*G51</f>
        <v>138915</v>
      </c>
      <c r="H50" s="312">
        <f>G50+G50*H51</f>
        <v>145860.75</v>
      </c>
      <c r="I50" s="220"/>
      <c r="J50" s="220"/>
      <c r="K50" s="220"/>
    </row>
    <row r="51" spans="1:15" ht="15" thickBot="1" x14ac:dyDescent="0.4">
      <c r="A51" s="226">
        <v>31</v>
      </c>
      <c r="B51" s="230" t="s">
        <v>46</v>
      </c>
      <c r="C51" s="230" t="s">
        <v>23</v>
      </c>
      <c r="D51" s="313" t="s">
        <v>47</v>
      </c>
      <c r="E51" s="314">
        <v>0.05</v>
      </c>
      <c r="F51" s="315">
        <v>0.05</v>
      </c>
      <c r="G51" s="314">
        <v>0.05</v>
      </c>
      <c r="H51" s="316">
        <v>0.05</v>
      </c>
      <c r="I51" s="513"/>
      <c r="J51" s="514"/>
      <c r="K51" s="514"/>
      <c r="L51" s="514"/>
    </row>
    <row r="52" spans="1:15" ht="15" thickBot="1" x14ac:dyDescent="0.4">
      <c r="A52" s="220"/>
      <c r="B52" s="317" t="s">
        <v>49</v>
      </c>
      <c r="C52" s="317"/>
      <c r="D52" s="318"/>
      <c r="E52" s="222"/>
      <c r="F52" s="222"/>
      <c r="G52" s="222"/>
      <c r="H52" s="319"/>
      <c r="I52" s="222"/>
      <c r="J52" s="220"/>
      <c r="K52" s="320" t="s">
        <v>48</v>
      </c>
    </row>
    <row r="53" spans="1:15" s="268" customFormat="1" x14ac:dyDescent="0.35">
      <c r="A53" s="218">
        <v>32</v>
      </c>
      <c r="B53" s="219" t="s">
        <v>336</v>
      </c>
      <c r="C53" s="219" t="s">
        <v>407</v>
      </c>
      <c r="D53" s="363">
        <f>SUM('Бюджет затрат (ориентир.)'!B21:M21)</f>
        <v>46706</v>
      </c>
      <c r="E53" s="364">
        <f>D53*1.05</f>
        <v>49041.3</v>
      </c>
      <c r="F53" s="363">
        <f>E53*1.05</f>
        <v>51493.365000000005</v>
      </c>
      <c r="G53" s="364">
        <f>F53*1.05</f>
        <v>54068.033250000008</v>
      </c>
      <c r="H53" s="365">
        <f>G53*1.05</f>
        <v>56771.434912500008</v>
      </c>
      <c r="I53" s="222"/>
      <c r="J53" s="321"/>
      <c r="K53" s="321"/>
    </row>
    <row r="54" spans="1:15" s="268" customFormat="1" x14ac:dyDescent="0.35">
      <c r="A54" s="221">
        <v>33</v>
      </c>
      <c r="B54" s="225" t="s">
        <v>337</v>
      </c>
      <c r="C54" s="225" t="s">
        <v>23</v>
      </c>
      <c r="D54" s="366">
        <f>'Бюджет затрат (ориентир.)'!O32</f>
        <v>3.7499999999999995E-4</v>
      </c>
      <c r="E54" s="367">
        <f t="shared" ref="E54:E62" si="2">D54</f>
        <v>3.7499999999999995E-4</v>
      </c>
      <c r="F54" s="368">
        <f t="shared" ref="F54:F62" si="3">D54</f>
        <v>3.7499999999999995E-4</v>
      </c>
      <c r="G54" s="367">
        <f t="shared" ref="G54:G62" si="4">D54</f>
        <v>3.7499999999999995E-4</v>
      </c>
      <c r="H54" s="369">
        <f t="shared" ref="H54:H62" si="5">D54</f>
        <v>3.7499999999999995E-4</v>
      </c>
      <c r="I54" s="222"/>
      <c r="J54" s="321"/>
      <c r="K54" s="321"/>
    </row>
    <row r="55" spans="1:15" s="268" customFormat="1" x14ac:dyDescent="0.35">
      <c r="A55" s="221">
        <v>34</v>
      </c>
      <c r="B55" s="225" t="s">
        <v>280</v>
      </c>
      <c r="C55" s="225" t="s">
        <v>23</v>
      </c>
      <c r="D55" s="366">
        <f>'Бюджет затрат (ориентир.)'!O41</f>
        <v>2.4249999999999996E-3</v>
      </c>
      <c r="E55" s="367">
        <f t="shared" si="2"/>
        <v>2.4249999999999996E-3</v>
      </c>
      <c r="F55" s="368">
        <f t="shared" si="3"/>
        <v>2.4249999999999996E-3</v>
      </c>
      <c r="G55" s="367">
        <f t="shared" si="4"/>
        <v>2.4249999999999996E-3</v>
      </c>
      <c r="H55" s="369">
        <f t="shared" si="5"/>
        <v>2.4249999999999996E-3</v>
      </c>
      <c r="I55" s="222"/>
      <c r="J55" s="321"/>
      <c r="K55" s="321"/>
    </row>
    <row r="56" spans="1:15" s="268" customFormat="1" x14ac:dyDescent="0.35">
      <c r="A56" s="221">
        <v>35</v>
      </c>
      <c r="B56" s="225" t="s">
        <v>286</v>
      </c>
      <c r="C56" s="225" t="s">
        <v>23</v>
      </c>
      <c r="D56" s="366">
        <f>'Бюджет затрат (ориентир.)'!O45</f>
        <v>1.3791666666666667E-2</v>
      </c>
      <c r="E56" s="367">
        <f t="shared" si="2"/>
        <v>1.3791666666666667E-2</v>
      </c>
      <c r="F56" s="368">
        <f t="shared" si="3"/>
        <v>1.3791666666666667E-2</v>
      </c>
      <c r="G56" s="367">
        <f t="shared" si="4"/>
        <v>1.3791666666666667E-2</v>
      </c>
      <c r="H56" s="369">
        <f t="shared" si="5"/>
        <v>1.3791666666666667E-2</v>
      </c>
      <c r="I56" s="222"/>
      <c r="J56" s="321"/>
      <c r="K56" s="321"/>
    </row>
    <row r="57" spans="1:15" s="268" customFormat="1" x14ac:dyDescent="0.35">
      <c r="A57" s="221">
        <v>36</v>
      </c>
      <c r="B57" s="225" t="s">
        <v>287</v>
      </c>
      <c r="C57" s="225" t="s">
        <v>23</v>
      </c>
      <c r="D57" s="366">
        <f>'Бюджет затрат (ориентир.)'!O50</f>
        <v>2.6499999999999996E-3</v>
      </c>
      <c r="E57" s="367">
        <f t="shared" si="2"/>
        <v>2.6499999999999996E-3</v>
      </c>
      <c r="F57" s="368">
        <f t="shared" si="3"/>
        <v>2.6499999999999996E-3</v>
      </c>
      <c r="G57" s="367">
        <f t="shared" si="4"/>
        <v>2.6499999999999996E-3</v>
      </c>
      <c r="H57" s="369">
        <f t="shared" si="5"/>
        <v>2.6499999999999996E-3</v>
      </c>
      <c r="I57" s="222"/>
      <c r="J57" s="321"/>
      <c r="K57" s="321"/>
    </row>
    <row r="58" spans="1:15" s="268" customFormat="1" x14ac:dyDescent="0.35">
      <c r="A58" s="221">
        <v>37</v>
      </c>
      <c r="B58" s="225" t="s">
        <v>390</v>
      </c>
      <c r="C58" s="225" t="s">
        <v>23</v>
      </c>
      <c r="D58" s="366">
        <f>'Бюджет затрат (ориентир.)'!O70</f>
        <v>1.7483333333333333E-2</v>
      </c>
      <c r="E58" s="367">
        <f t="shared" si="2"/>
        <v>1.7483333333333333E-2</v>
      </c>
      <c r="F58" s="368">
        <f t="shared" si="3"/>
        <v>1.7483333333333333E-2</v>
      </c>
      <c r="G58" s="367">
        <f t="shared" si="4"/>
        <v>1.7483333333333333E-2</v>
      </c>
      <c r="H58" s="369">
        <f t="shared" si="5"/>
        <v>1.7483333333333333E-2</v>
      </c>
      <c r="I58" s="222"/>
      <c r="J58" s="321"/>
      <c r="K58" s="321"/>
    </row>
    <row r="59" spans="1:15" s="268" customFormat="1" x14ac:dyDescent="0.35">
      <c r="A59" s="221">
        <v>38</v>
      </c>
      <c r="B59" s="225" t="s">
        <v>392</v>
      </c>
      <c r="C59" s="225" t="s">
        <v>23</v>
      </c>
      <c r="D59" s="366">
        <f>'Бюджет затрат (ориентир.)'!O77</f>
        <v>3.9416666666666671E-3</v>
      </c>
      <c r="E59" s="367">
        <f t="shared" si="2"/>
        <v>3.9416666666666671E-3</v>
      </c>
      <c r="F59" s="368">
        <f t="shared" si="3"/>
        <v>3.9416666666666671E-3</v>
      </c>
      <c r="G59" s="367">
        <f t="shared" si="4"/>
        <v>3.9416666666666671E-3</v>
      </c>
      <c r="H59" s="369">
        <f t="shared" si="5"/>
        <v>3.9416666666666671E-3</v>
      </c>
      <c r="I59" s="222"/>
      <c r="J59" s="321"/>
      <c r="K59" s="321"/>
    </row>
    <row r="60" spans="1:15" s="268" customFormat="1" x14ac:dyDescent="0.35">
      <c r="A60" s="221">
        <v>39</v>
      </c>
      <c r="B60" s="225" t="s">
        <v>393</v>
      </c>
      <c r="C60" s="225" t="s">
        <v>23</v>
      </c>
      <c r="D60" s="366">
        <f>'Бюджет затрат (ориентир.)'!O85</f>
        <v>2.2500000000000002E-4</v>
      </c>
      <c r="E60" s="367">
        <f t="shared" si="2"/>
        <v>2.2500000000000002E-4</v>
      </c>
      <c r="F60" s="368">
        <f t="shared" si="3"/>
        <v>2.2500000000000002E-4</v>
      </c>
      <c r="G60" s="367">
        <f t="shared" si="4"/>
        <v>2.2500000000000002E-4</v>
      </c>
      <c r="H60" s="369">
        <f t="shared" si="5"/>
        <v>2.2500000000000002E-4</v>
      </c>
      <c r="I60" s="222"/>
      <c r="J60" s="321"/>
      <c r="K60" s="321"/>
      <c r="L60" s="321"/>
      <c r="M60" s="321"/>
      <c r="N60" s="321"/>
      <c r="O60" s="321"/>
    </row>
    <row r="61" spans="1:15" s="268" customFormat="1" x14ac:dyDescent="0.35">
      <c r="A61" s="221">
        <v>40</v>
      </c>
      <c r="B61" s="225" t="s">
        <v>394</v>
      </c>
      <c r="C61" s="225" t="s">
        <v>23</v>
      </c>
      <c r="D61" s="366">
        <f>'Бюджет затрат (ориентир.)'!O93</f>
        <v>1.3083333333333336E-2</v>
      </c>
      <c r="E61" s="367">
        <f t="shared" si="2"/>
        <v>1.3083333333333336E-2</v>
      </c>
      <c r="F61" s="368">
        <f t="shared" si="3"/>
        <v>1.3083333333333336E-2</v>
      </c>
      <c r="G61" s="367">
        <f t="shared" si="4"/>
        <v>1.3083333333333336E-2</v>
      </c>
      <c r="H61" s="369">
        <f t="shared" si="5"/>
        <v>1.3083333333333336E-2</v>
      </c>
      <c r="I61" s="222"/>
      <c r="J61" s="321"/>
      <c r="K61" s="321"/>
      <c r="L61" s="321"/>
      <c r="M61" s="321"/>
      <c r="N61" s="321"/>
      <c r="O61" s="321"/>
    </row>
    <row r="62" spans="1:15" s="268" customFormat="1" x14ac:dyDescent="0.35">
      <c r="A62" s="221">
        <v>41</v>
      </c>
      <c r="B62" s="225" t="s">
        <v>395</v>
      </c>
      <c r="C62" s="225" t="s">
        <v>23</v>
      </c>
      <c r="D62" s="366">
        <f>'Бюджет затрат (ориентир.)'!O102</f>
        <v>3.9116666666666654E-2</v>
      </c>
      <c r="E62" s="367">
        <f t="shared" si="2"/>
        <v>3.9116666666666654E-2</v>
      </c>
      <c r="F62" s="368">
        <f t="shared" si="3"/>
        <v>3.9116666666666654E-2</v>
      </c>
      <c r="G62" s="367">
        <f t="shared" si="4"/>
        <v>3.9116666666666654E-2</v>
      </c>
      <c r="H62" s="369">
        <f t="shared" si="5"/>
        <v>3.9116666666666654E-2</v>
      </c>
      <c r="I62" s="222"/>
      <c r="J62" s="321"/>
      <c r="K62" s="321"/>
      <c r="L62" s="321"/>
      <c r="M62" s="321"/>
      <c r="N62" s="321"/>
      <c r="O62" s="321"/>
    </row>
    <row r="63" spans="1:15" x14ac:dyDescent="0.35">
      <c r="A63" s="220"/>
      <c r="B63" s="317" t="s">
        <v>391</v>
      </c>
      <c r="C63" s="222"/>
      <c r="D63" s="322"/>
      <c r="E63" s="222"/>
      <c r="F63" s="222"/>
      <c r="G63" s="222"/>
      <c r="H63" s="222"/>
      <c r="I63" s="222"/>
      <c r="J63" s="220"/>
      <c r="K63" s="220"/>
      <c r="L63" s="220"/>
      <c r="M63" s="220"/>
      <c r="N63" s="220"/>
      <c r="O63" s="220"/>
    </row>
    <row r="64" spans="1:15" ht="15" thickBot="1" x14ac:dyDescent="0.4">
      <c r="A64" s="220"/>
      <c r="B64" s="317"/>
      <c r="C64" s="222"/>
      <c r="D64" s="322"/>
      <c r="E64" s="222"/>
      <c r="F64" s="222"/>
      <c r="G64" s="222"/>
      <c r="H64" s="222"/>
      <c r="I64" s="222"/>
      <c r="J64" s="220"/>
      <c r="K64" s="220"/>
      <c r="L64" s="220"/>
      <c r="M64" s="220"/>
      <c r="N64" s="220"/>
      <c r="O64" s="220"/>
    </row>
    <row r="65" spans="1:15" x14ac:dyDescent="0.35">
      <c r="A65" s="511" t="s">
        <v>68</v>
      </c>
      <c r="B65" s="512"/>
      <c r="C65" s="231" t="s">
        <v>25</v>
      </c>
      <c r="D65" s="323" t="s">
        <v>26</v>
      </c>
      <c r="E65" s="324" t="s">
        <v>6</v>
      </c>
      <c r="F65" s="323" t="s">
        <v>27</v>
      </c>
      <c r="G65" s="324" t="s">
        <v>28</v>
      </c>
      <c r="H65" s="323" t="s">
        <v>29</v>
      </c>
      <c r="I65" s="324" t="s">
        <v>30</v>
      </c>
      <c r="J65" s="323" t="s">
        <v>31</v>
      </c>
      <c r="K65" s="324" t="s">
        <v>32</v>
      </c>
      <c r="L65" s="323" t="s">
        <v>33</v>
      </c>
      <c r="M65" s="324" t="s">
        <v>34</v>
      </c>
      <c r="N65" s="323" t="s">
        <v>4</v>
      </c>
      <c r="O65" s="325" t="s">
        <v>35</v>
      </c>
    </row>
    <row r="66" spans="1:15" x14ac:dyDescent="0.35">
      <c r="A66" s="326">
        <v>43</v>
      </c>
      <c r="B66" s="327" t="s">
        <v>17</v>
      </c>
      <c r="C66" s="328">
        <f>SUM(D66:O66)</f>
        <v>10</v>
      </c>
      <c r="D66" s="329"/>
      <c r="E66" s="330"/>
      <c r="F66" s="331">
        <v>1</v>
      </c>
      <c r="G66" s="332">
        <v>1</v>
      </c>
      <c r="H66" s="331">
        <v>1</v>
      </c>
      <c r="I66" s="332">
        <v>1</v>
      </c>
      <c r="J66" s="331">
        <v>1</v>
      </c>
      <c r="K66" s="332">
        <v>1</v>
      </c>
      <c r="L66" s="331">
        <v>1</v>
      </c>
      <c r="M66" s="332">
        <v>1</v>
      </c>
      <c r="N66" s="331">
        <v>1</v>
      </c>
      <c r="O66" s="333">
        <v>1</v>
      </c>
    </row>
    <row r="67" spans="1:15" x14ac:dyDescent="0.35">
      <c r="A67" s="221">
        <v>44</v>
      </c>
      <c r="B67" s="222" t="s">
        <v>18</v>
      </c>
      <c r="C67" s="328">
        <f t="shared" ref="C67:C68" si="6">SUM(D67:O67)</f>
        <v>12</v>
      </c>
      <c r="D67" s="334">
        <v>1</v>
      </c>
      <c r="E67" s="335">
        <v>1</v>
      </c>
      <c r="F67" s="334">
        <v>1</v>
      </c>
      <c r="G67" s="335">
        <v>1</v>
      </c>
      <c r="H67" s="334">
        <v>1</v>
      </c>
      <c r="I67" s="335">
        <v>1</v>
      </c>
      <c r="J67" s="334">
        <v>1</v>
      </c>
      <c r="K67" s="335">
        <v>1</v>
      </c>
      <c r="L67" s="334">
        <v>1</v>
      </c>
      <c r="M67" s="335">
        <v>1</v>
      </c>
      <c r="N67" s="334">
        <v>1</v>
      </c>
      <c r="O67" s="336">
        <v>1</v>
      </c>
    </row>
    <row r="68" spans="1:15" ht="15" thickBot="1" x14ac:dyDescent="0.4">
      <c r="A68" s="226">
        <v>45</v>
      </c>
      <c r="B68" s="227" t="s">
        <v>50</v>
      </c>
      <c r="C68" s="302">
        <f t="shared" si="6"/>
        <v>12</v>
      </c>
      <c r="D68" s="337">
        <v>1</v>
      </c>
      <c r="E68" s="338">
        <v>1</v>
      </c>
      <c r="F68" s="337">
        <v>1</v>
      </c>
      <c r="G68" s="338">
        <v>1</v>
      </c>
      <c r="H68" s="337">
        <v>1</v>
      </c>
      <c r="I68" s="338">
        <v>1</v>
      </c>
      <c r="J68" s="337">
        <v>1</v>
      </c>
      <c r="K68" s="338">
        <v>1</v>
      </c>
      <c r="L68" s="337">
        <v>1</v>
      </c>
      <c r="M68" s="338">
        <v>1</v>
      </c>
      <c r="N68" s="337">
        <v>1</v>
      </c>
      <c r="O68" s="339">
        <v>1</v>
      </c>
    </row>
    <row r="69" spans="1:15" x14ac:dyDescent="0.35">
      <c r="A69" s="220"/>
      <c r="B69" s="317"/>
      <c r="C69" s="222"/>
      <c r="D69" s="322"/>
      <c r="E69" s="222"/>
      <c r="F69" s="222"/>
      <c r="G69" s="222"/>
      <c r="H69" s="222"/>
      <c r="I69" s="222"/>
      <c r="J69" s="220"/>
      <c r="K69" s="220"/>
      <c r="L69" s="220"/>
      <c r="M69" s="220"/>
      <c r="N69" s="220"/>
      <c r="O69" s="220"/>
    </row>
    <row r="70" spans="1:15" ht="15" thickBot="1" x14ac:dyDescent="0.4">
      <c r="A70" s="220"/>
      <c r="B70" s="317"/>
      <c r="C70" s="222"/>
      <c r="D70" s="322"/>
      <c r="E70" s="222"/>
      <c r="F70" s="222"/>
      <c r="G70" s="222"/>
      <c r="H70" s="222"/>
      <c r="I70" s="222"/>
      <c r="J70" s="220"/>
      <c r="K70" s="220"/>
      <c r="L70" s="220"/>
      <c r="M70" s="220"/>
      <c r="N70" s="220"/>
      <c r="O70" s="220"/>
    </row>
    <row r="71" spans="1:15" x14ac:dyDescent="0.35">
      <c r="A71" s="509" t="s">
        <v>51</v>
      </c>
      <c r="B71" s="510"/>
      <c r="C71" s="340" t="s">
        <v>69</v>
      </c>
      <c r="D71" s="341" t="s">
        <v>17</v>
      </c>
      <c r="E71" s="342" t="s">
        <v>18</v>
      </c>
      <c r="F71" s="341" t="s">
        <v>19</v>
      </c>
      <c r="G71" s="342" t="s">
        <v>20</v>
      </c>
      <c r="H71" s="343" t="s">
        <v>21</v>
      </c>
      <c r="I71" s="220"/>
      <c r="J71" s="220"/>
      <c r="K71" s="220"/>
      <c r="L71" s="220"/>
      <c r="M71" s="220"/>
      <c r="N71" s="220"/>
      <c r="O71" s="220"/>
    </row>
    <row r="72" spans="1:15" x14ac:dyDescent="0.35">
      <c r="A72" s="221">
        <v>46</v>
      </c>
      <c r="B72" s="225" t="s">
        <v>408</v>
      </c>
      <c r="C72" s="344">
        <f>'Unit Сoste '!E6</f>
        <v>0.4329142747100001</v>
      </c>
      <c r="D72" s="345">
        <f>D33*D12*C72</f>
        <v>6597613.5465804012</v>
      </c>
      <c r="E72" s="345">
        <f>E33*D12*C72</f>
        <v>7917136.2558964817</v>
      </c>
      <c r="F72" s="345">
        <f>F33*D12*C72</f>
        <v>8392164.4312502705</v>
      </c>
      <c r="G72" s="345">
        <f>G33*D12*C72</f>
        <v>8895694.2971252874</v>
      </c>
      <c r="H72" s="370">
        <f>H33*D12*C72</f>
        <v>9429435.9549528062</v>
      </c>
      <c r="I72" s="220"/>
      <c r="J72" s="220"/>
      <c r="K72" s="220"/>
      <c r="L72" s="220"/>
      <c r="M72" s="220"/>
      <c r="N72" s="220"/>
      <c r="O72" s="220"/>
    </row>
    <row r="73" spans="1:15" ht="15" thickBot="1" x14ac:dyDescent="0.4">
      <c r="A73" s="221">
        <v>47</v>
      </c>
      <c r="B73" s="225" t="s">
        <v>409</v>
      </c>
      <c r="C73" s="346"/>
      <c r="D73" s="347">
        <f>D72</f>
        <v>6597613.5465804012</v>
      </c>
      <c r="E73" s="348">
        <f>E72</f>
        <v>7917136.2558964817</v>
      </c>
      <c r="F73" s="349">
        <f>F72</f>
        <v>8392164.4312502705</v>
      </c>
      <c r="G73" s="350">
        <f>G72</f>
        <v>8895694.2971252874</v>
      </c>
      <c r="H73" s="351">
        <f>H72</f>
        <v>9429435.9549528062</v>
      </c>
      <c r="I73" s="220"/>
      <c r="J73" s="220"/>
      <c r="K73" s="220"/>
      <c r="L73" s="220"/>
      <c r="M73" s="220"/>
      <c r="N73" s="220"/>
      <c r="O73" s="220"/>
    </row>
    <row r="74" spans="1:15" x14ac:dyDescent="0.35">
      <c r="A74" s="221">
        <v>48</v>
      </c>
      <c r="B74" s="225" t="s">
        <v>410</v>
      </c>
      <c r="C74" s="346"/>
      <c r="D74" s="352">
        <v>0</v>
      </c>
      <c r="E74" s="222"/>
      <c r="F74" s="222"/>
      <c r="G74" s="222"/>
      <c r="H74" s="222"/>
      <c r="I74" s="222"/>
      <c r="J74" s="220"/>
      <c r="K74" s="220"/>
      <c r="L74" s="220"/>
      <c r="M74" s="220"/>
      <c r="N74" s="220"/>
      <c r="O74" s="220"/>
    </row>
    <row r="75" spans="1:15" ht="15" thickBot="1" x14ac:dyDescent="0.4">
      <c r="A75" s="226">
        <v>49</v>
      </c>
      <c r="B75" s="230" t="s">
        <v>411</v>
      </c>
      <c r="C75" s="353"/>
      <c r="D75" s="354">
        <v>0</v>
      </c>
      <c r="E75" s="222"/>
      <c r="F75" s="222"/>
      <c r="G75" s="222"/>
      <c r="H75" s="222"/>
      <c r="I75" s="222"/>
      <c r="J75" s="220"/>
      <c r="K75" s="220"/>
      <c r="L75" s="220"/>
      <c r="M75" s="220"/>
      <c r="N75" s="220"/>
      <c r="O75" s="220"/>
    </row>
    <row r="76" spans="1:15" ht="15" thickBot="1" x14ac:dyDescent="0.4">
      <c r="A76" s="220"/>
      <c r="B76" s="220"/>
      <c r="C76" s="220"/>
      <c r="D76" s="220"/>
      <c r="E76" s="220"/>
      <c r="F76" s="220"/>
      <c r="G76" s="220"/>
      <c r="H76" s="220"/>
      <c r="I76" s="220"/>
      <c r="J76" s="220"/>
      <c r="K76" s="220"/>
      <c r="L76" s="220"/>
      <c r="M76" s="220"/>
      <c r="N76" s="220"/>
      <c r="O76" s="220"/>
    </row>
    <row r="77" spans="1:15" x14ac:dyDescent="0.35">
      <c r="A77" s="507" t="s">
        <v>70</v>
      </c>
      <c r="B77" s="508"/>
      <c r="C77" s="232" t="s">
        <v>25</v>
      </c>
      <c r="D77" s="323" t="s">
        <v>26</v>
      </c>
      <c r="E77" s="324" t="s">
        <v>6</v>
      </c>
      <c r="F77" s="323" t="s">
        <v>27</v>
      </c>
      <c r="G77" s="324" t="s">
        <v>28</v>
      </c>
      <c r="H77" s="323" t="s">
        <v>29</v>
      </c>
      <c r="I77" s="324" t="s">
        <v>30</v>
      </c>
      <c r="J77" s="323" t="s">
        <v>31</v>
      </c>
      <c r="K77" s="324" t="s">
        <v>32</v>
      </c>
      <c r="L77" s="323" t="s">
        <v>33</v>
      </c>
      <c r="M77" s="324" t="s">
        <v>34</v>
      </c>
      <c r="N77" s="323" t="s">
        <v>4</v>
      </c>
      <c r="O77" s="325" t="s">
        <v>35</v>
      </c>
    </row>
    <row r="78" spans="1:15" x14ac:dyDescent="0.35">
      <c r="A78" s="326">
        <v>50</v>
      </c>
      <c r="B78" s="327" t="s">
        <v>412</v>
      </c>
      <c r="C78" s="355">
        <f>SUM(D78:O78)</f>
        <v>6234744.8015184803</v>
      </c>
      <c r="D78" s="356"/>
      <c r="E78" s="357">
        <f>F42*F66*C72</f>
        <v>654263.34336922318</v>
      </c>
      <c r="F78" s="357">
        <f>G42*G66*C72</f>
        <v>549801.1288817001</v>
      </c>
      <c r="G78" s="357">
        <f>H42*H66*C72</f>
        <v>505817.03857116413</v>
      </c>
      <c r="H78" s="357">
        <f>I42*I66*C72</f>
        <v>489323.00470471312</v>
      </c>
      <c r="I78" s="357">
        <f>J42*J66*C72</f>
        <v>478326.9821270791</v>
      </c>
      <c r="J78" s="357">
        <f>K42*K66*C72</f>
        <v>538805.10630406614</v>
      </c>
      <c r="K78" s="357">
        <f>L42*L66*C72</f>
        <v>505817.03857116413</v>
      </c>
      <c r="L78" s="357">
        <f>M42*M66*C72</f>
        <v>522311.07243761513</v>
      </c>
      <c r="M78" s="357">
        <f>N42*N66*C72</f>
        <v>544303.11759288318</v>
      </c>
      <c r="N78" s="357">
        <f>O42*O66*C72</f>
        <v>687251.41110212519</v>
      </c>
      <c r="O78" s="358">
        <f>D43*D67*C72</f>
        <v>758725.55785674613</v>
      </c>
    </row>
    <row r="79" spans="1:15" x14ac:dyDescent="0.35">
      <c r="A79" s="221">
        <v>51</v>
      </c>
      <c r="B79" s="222" t="s">
        <v>413</v>
      </c>
      <c r="C79" s="301">
        <f t="shared" ref="C79:C82" si="7">SUM(D79:O79)</f>
        <v>7962659.7893678863</v>
      </c>
      <c r="D79" s="359">
        <f>E43*E67*C72</f>
        <v>587187.60564565577</v>
      </c>
      <c r="E79" s="359">
        <f>F43*F67*C72</f>
        <v>785116.01204306784</v>
      </c>
      <c r="F79" s="359">
        <f>G43*G67*C72</f>
        <v>659761.3546580401</v>
      </c>
      <c r="G79" s="359">
        <f>H43*H67*C72</f>
        <v>606980.44628539693</v>
      </c>
      <c r="H79" s="359">
        <f>I43*I67*C72</f>
        <v>587187.60564565577</v>
      </c>
      <c r="I79" s="359">
        <f>J43*J67*C72</f>
        <v>573992.37855249492</v>
      </c>
      <c r="J79" s="359">
        <f>K43*K67*C72</f>
        <v>646566.12756487937</v>
      </c>
      <c r="K79" s="359">
        <f>L43*L67*C72</f>
        <v>606980.44628539693</v>
      </c>
      <c r="L79" s="359">
        <f>M43*M67*C72</f>
        <v>626773.28692513809</v>
      </c>
      <c r="M79" s="359">
        <f>N43*N67*C72</f>
        <v>653163.74111145979</v>
      </c>
      <c r="N79" s="359">
        <f>O43*O67*C72</f>
        <v>824701.69332255016</v>
      </c>
      <c r="O79" s="360">
        <f>D44*D68*C72</f>
        <v>804249.09132815106</v>
      </c>
    </row>
    <row r="80" spans="1:15" x14ac:dyDescent="0.35">
      <c r="A80" s="221">
        <v>52</v>
      </c>
      <c r="B80" s="222" t="s">
        <v>414</v>
      </c>
      <c r="C80" s="301">
        <f t="shared" si="7"/>
        <v>8440419.3767299615</v>
      </c>
      <c r="D80" s="359">
        <f>E44*E68*C72</f>
        <v>622418.86198439519</v>
      </c>
      <c r="E80" s="359">
        <f>F44*F68*C72</f>
        <v>832222.97276565188</v>
      </c>
      <c r="F80" s="359">
        <f>G44*G68*C72</f>
        <v>699347.03593752265</v>
      </c>
      <c r="G80" s="359">
        <f>H44*H68*C72</f>
        <v>643399.27306252089</v>
      </c>
      <c r="H80" s="359">
        <f>I44*I68*C72</f>
        <v>622418.86198439519</v>
      </c>
      <c r="I80" s="359">
        <f>J44*J68*C72</f>
        <v>608431.92126564472</v>
      </c>
      <c r="J80" s="359">
        <f>K44*K68*C72</f>
        <v>685360.09521877219</v>
      </c>
      <c r="K80" s="359">
        <f>L44*L68*C72</f>
        <v>643399.27306252089</v>
      </c>
      <c r="L80" s="359">
        <f>M44*M68*C72</f>
        <v>664379.68414064648</v>
      </c>
      <c r="M80" s="359">
        <f>N44*N68*C72</f>
        <v>692353.56557814754</v>
      </c>
      <c r="N80" s="359">
        <f>O44*O68*C72</f>
        <v>874183.79492190329</v>
      </c>
      <c r="O80" s="360">
        <f>D45*D68*C72</f>
        <v>852504.03680784011</v>
      </c>
    </row>
    <row r="81" spans="1:15" x14ac:dyDescent="0.35">
      <c r="A81" s="221">
        <v>53</v>
      </c>
      <c r="B81" s="222" t="s">
        <v>415</v>
      </c>
      <c r="C81" s="301">
        <f t="shared" si="7"/>
        <v>8946844.5393337589</v>
      </c>
      <c r="D81" s="359">
        <f>E45*E68*C72</f>
        <v>659763.99370345881</v>
      </c>
      <c r="E81" s="359">
        <f>F45*F68*C72</f>
        <v>882156.35113159101</v>
      </c>
      <c r="F81" s="359">
        <f>G45*G68*C72</f>
        <v>741307.85809377395</v>
      </c>
      <c r="G81" s="359">
        <f>H45*H68*C72</f>
        <v>682003.22944627213</v>
      </c>
      <c r="H81" s="359">
        <f>I45*I68*C72</f>
        <v>659763.99370345881</v>
      </c>
      <c r="I81" s="359">
        <f>J45*J68*C72</f>
        <v>644937.83654158341</v>
      </c>
      <c r="J81" s="359">
        <f>K45*K68*C72</f>
        <v>726481.70093189855</v>
      </c>
      <c r="K81" s="359">
        <f>L45*L68*C72</f>
        <v>682003.22944627213</v>
      </c>
      <c r="L81" s="359">
        <f>M45*M68*C72</f>
        <v>704242.46518908523</v>
      </c>
      <c r="M81" s="359">
        <f>N45*N68*C72</f>
        <v>733894.77951283625</v>
      </c>
      <c r="N81" s="359">
        <f>O45*O68*C72</f>
        <v>926634.82261721743</v>
      </c>
      <c r="O81" s="360">
        <f>D46*D68*C72</f>
        <v>903654.27901631047</v>
      </c>
    </row>
    <row r="82" spans="1:15" ht="15" thickBot="1" x14ac:dyDescent="0.4">
      <c r="A82" s="226">
        <v>54</v>
      </c>
      <c r="B82" s="227" t="s">
        <v>416</v>
      </c>
      <c r="C82" s="304">
        <f t="shared" si="7"/>
        <v>9474618.6689036228</v>
      </c>
      <c r="D82" s="361">
        <f>E46*E68*C72</f>
        <v>699349.83332566649</v>
      </c>
      <c r="E82" s="361">
        <f>F46*F68*C72</f>
        <v>935085.73219948646</v>
      </c>
      <c r="F82" s="361">
        <f>G46*G68*C72</f>
        <v>785786.32957940048</v>
      </c>
      <c r="G82" s="361">
        <f>H46*H68*C72</f>
        <v>722923.42321304849</v>
      </c>
      <c r="H82" s="361">
        <f>I46*I68*C72</f>
        <v>699349.83332566649</v>
      </c>
      <c r="I82" s="361">
        <f>J46*J68*C72</f>
        <v>683634.10673407849</v>
      </c>
      <c r="J82" s="361">
        <f>K46*K68*C72</f>
        <v>770070.60298781248</v>
      </c>
      <c r="K82" s="361">
        <f>L46*L68*C72</f>
        <v>722923.42321304849</v>
      </c>
      <c r="L82" s="361">
        <f>M46*M68*C72</f>
        <v>746497.01310043037</v>
      </c>
      <c r="M82" s="361">
        <f>N46*N68*C72</f>
        <v>777928.46628360648</v>
      </c>
      <c r="N82" s="361">
        <f>O46*O68*C72</f>
        <v>982232.91197425069</v>
      </c>
      <c r="O82" s="362">
        <f>D46*D68*C72*1.05</f>
        <v>948836.99296712608</v>
      </c>
    </row>
    <row r="83" spans="1:15" x14ac:dyDescent="0.35">
      <c r="A83" s="220"/>
      <c r="B83" s="220"/>
      <c r="C83" s="220"/>
      <c r="D83" s="220"/>
      <c r="E83" s="220"/>
      <c r="F83" s="220"/>
      <c r="G83" s="220"/>
      <c r="H83" s="220"/>
      <c r="I83" s="220"/>
      <c r="J83" s="220"/>
      <c r="K83" s="220"/>
      <c r="L83" s="220"/>
      <c r="M83" s="220"/>
      <c r="N83" s="220"/>
      <c r="O83" s="220"/>
    </row>
  </sheetData>
  <mergeCells count="24">
    <mergeCell ref="Q1:T1"/>
    <mergeCell ref="A2:B2"/>
    <mergeCell ref="J17:N17"/>
    <mergeCell ref="C9:D9"/>
    <mergeCell ref="A38:B38"/>
    <mergeCell ref="A11:B11"/>
    <mergeCell ref="A17:B18"/>
    <mergeCell ref="A25:B25"/>
    <mergeCell ref="A32:B32"/>
    <mergeCell ref="F11:H11"/>
    <mergeCell ref="C5:O5"/>
    <mergeCell ref="C6:O6"/>
    <mergeCell ref="A1:O1"/>
    <mergeCell ref="C8:D8"/>
    <mergeCell ref="C7:O7"/>
    <mergeCell ref="G8:J9"/>
    <mergeCell ref="K8:K9"/>
    <mergeCell ref="C17:C18"/>
    <mergeCell ref="D17:H17"/>
    <mergeCell ref="A77:B77"/>
    <mergeCell ref="A48:B48"/>
    <mergeCell ref="A65:B65"/>
    <mergeCell ref="I51:L51"/>
    <mergeCell ref="A71:B71"/>
  </mergeCells>
  <phoneticPr fontId="17" type="noConversion"/>
  <pageMargins left="0.7" right="0.7" top="0.75" bottom="0.75" header="0.3" footer="0.3"/>
  <pageSetup paperSize="9" orientation="portrait" r:id="rId1"/>
  <ignoredErrors>
    <ignoredError sqref="D33:E33 D72:H73 E78 F78:O78 D79 D80:O82 E79:O79 D54 E54:H54 D55:H55 D56:H57 D20:D22 D39:O39 D58:H58 D59:H59 D60:H60 D61:H62 D13:D15 F33:H33" unlockedFormula="1"/>
    <ignoredError sqref="F49:G49" 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F78"/>
  <sheetViews>
    <sheetView zoomScaleNormal="100" workbookViewId="0">
      <selection activeCell="G2" sqref="G2"/>
    </sheetView>
  </sheetViews>
  <sheetFormatPr defaultColWidth="9.1796875" defaultRowHeight="14.5" outlineLevelRow="1" x14ac:dyDescent="0.35"/>
  <cols>
    <col min="1" max="1" width="4.453125" style="172" customWidth="1"/>
    <col min="2" max="2" width="39.453125" style="88" customWidth="1"/>
    <col min="3" max="3" width="9.7265625" style="158" customWidth="1"/>
    <col min="4" max="4" width="7.7265625" style="158" customWidth="1"/>
    <col min="5" max="16" width="8.7265625" style="88" customWidth="1"/>
    <col min="17" max="17" width="8.7265625" style="421" customWidth="1"/>
    <col min="18" max="256" width="9.1796875" style="88"/>
    <col min="257" max="257" width="3.7265625" style="88" customWidth="1"/>
    <col min="258" max="258" width="45.7265625" style="88" customWidth="1"/>
    <col min="259" max="259" width="9.7265625" style="88" customWidth="1"/>
    <col min="260" max="260" width="7.7265625" style="88" customWidth="1"/>
    <col min="261" max="273" width="8.7265625" style="88" customWidth="1"/>
    <col min="274" max="512" width="9.1796875" style="88"/>
    <col min="513" max="513" width="3.7265625" style="88" customWidth="1"/>
    <col min="514" max="514" width="45.7265625" style="88" customWidth="1"/>
    <col min="515" max="515" width="9.7265625" style="88" customWidth="1"/>
    <col min="516" max="516" width="7.7265625" style="88" customWidth="1"/>
    <col min="517" max="529" width="8.7265625" style="88" customWidth="1"/>
    <col min="530" max="768" width="9.1796875" style="88"/>
    <col min="769" max="769" width="3.7265625" style="88" customWidth="1"/>
    <col min="770" max="770" width="45.7265625" style="88" customWidth="1"/>
    <col min="771" max="771" width="9.7265625" style="88" customWidth="1"/>
    <col min="772" max="772" width="7.7265625" style="88" customWidth="1"/>
    <col min="773" max="785" width="8.7265625" style="88" customWidth="1"/>
    <col min="786" max="1024" width="9.1796875" style="88"/>
    <col min="1025" max="1025" width="3.7265625" style="88" customWidth="1"/>
    <col min="1026" max="1026" width="45.7265625" style="88" customWidth="1"/>
    <col min="1027" max="1027" width="9.7265625" style="88" customWidth="1"/>
    <col min="1028" max="1028" width="7.7265625" style="88" customWidth="1"/>
    <col min="1029" max="1041" width="8.7265625" style="88" customWidth="1"/>
    <col min="1042" max="1280" width="9.1796875" style="88"/>
    <col min="1281" max="1281" width="3.7265625" style="88" customWidth="1"/>
    <col min="1282" max="1282" width="45.7265625" style="88" customWidth="1"/>
    <col min="1283" max="1283" width="9.7265625" style="88" customWidth="1"/>
    <col min="1284" max="1284" width="7.7265625" style="88" customWidth="1"/>
    <col min="1285" max="1297" width="8.7265625" style="88" customWidth="1"/>
    <col min="1298" max="1536" width="9.1796875" style="88"/>
    <col min="1537" max="1537" width="3.7265625" style="88" customWidth="1"/>
    <col min="1538" max="1538" width="45.7265625" style="88" customWidth="1"/>
    <col min="1539" max="1539" width="9.7265625" style="88" customWidth="1"/>
    <col min="1540" max="1540" width="7.7265625" style="88" customWidth="1"/>
    <col min="1541" max="1553" width="8.7265625" style="88" customWidth="1"/>
    <col min="1554" max="1792" width="9.1796875" style="88"/>
    <col min="1793" max="1793" width="3.7265625" style="88" customWidth="1"/>
    <col min="1794" max="1794" width="45.7265625" style="88" customWidth="1"/>
    <col min="1795" max="1795" width="9.7265625" style="88" customWidth="1"/>
    <col min="1796" max="1796" width="7.7265625" style="88" customWidth="1"/>
    <col min="1797" max="1809" width="8.7265625" style="88" customWidth="1"/>
    <col min="1810" max="2048" width="9.1796875" style="88"/>
    <col min="2049" max="2049" width="3.7265625" style="88" customWidth="1"/>
    <col min="2050" max="2050" width="45.7265625" style="88" customWidth="1"/>
    <col min="2051" max="2051" width="9.7265625" style="88" customWidth="1"/>
    <col min="2052" max="2052" width="7.7265625" style="88" customWidth="1"/>
    <col min="2053" max="2065" width="8.7265625" style="88" customWidth="1"/>
    <col min="2066" max="2304" width="9.1796875" style="88"/>
    <col min="2305" max="2305" width="3.7265625" style="88" customWidth="1"/>
    <col min="2306" max="2306" width="45.7265625" style="88" customWidth="1"/>
    <col min="2307" max="2307" width="9.7265625" style="88" customWidth="1"/>
    <col min="2308" max="2308" width="7.7265625" style="88" customWidth="1"/>
    <col min="2309" max="2321" width="8.7265625" style="88" customWidth="1"/>
    <col min="2322" max="2560" width="9.1796875" style="88"/>
    <col min="2561" max="2561" width="3.7265625" style="88" customWidth="1"/>
    <col min="2562" max="2562" width="45.7265625" style="88" customWidth="1"/>
    <col min="2563" max="2563" width="9.7265625" style="88" customWidth="1"/>
    <col min="2564" max="2564" width="7.7265625" style="88" customWidth="1"/>
    <col min="2565" max="2577" width="8.7265625" style="88" customWidth="1"/>
    <col min="2578" max="2816" width="9.1796875" style="88"/>
    <col min="2817" max="2817" width="3.7265625" style="88" customWidth="1"/>
    <col min="2818" max="2818" width="45.7265625" style="88" customWidth="1"/>
    <col min="2819" max="2819" width="9.7265625" style="88" customWidth="1"/>
    <col min="2820" max="2820" width="7.7265625" style="88" customWidth="1"/>
    <col min="2821" max="2833" width="8.7265625" style="88" customWidth="1"/>
    <col min="2834" max="3072" width="9.1796875" style="88"/>
    <col min="3073" max="3073" width="3.7265625" style="88" customWidth="1"/>
    <col min="3074" max="3074" width="45.7265625" style="88" customWidth="1"/>
    <col min="3075" max="3075" width="9.7265625" style="88" customWidth="1"/>
    <col min="3076" max="3076" width="7.7265625" style="88" customWidth="1"/>
    <col min="3077" max="3089" width="8.7265625" style="88" customWidth="1"/>
    <col min="3090" max="3328" width="9.1796875" style="88"/>
    <col min="3329" max="3329" width="3.7265625" style="88" customWidth="1"/>
    <col min="3330" max="3330" width="45.7265625" style="88" customWidth="1"/>
    <col min="3331" max="3331" width="9.7265625" style="88" customWidth="1"/>
    <col min="3332" max="3332" width="7.7265625" style="88" customWidth="1"/>
    <col min="3333" max="3345" width="8.7265625" style="88" customWidth="1"/>
    <col min="3346" max="3584" width="9.1796875" style="88"/>
    <col min="3585" max="3585" width="3.7265625" style="88" customWidth="1"/>
    <col min="3586" max="3586" width="45.7265625" style="88" customWidth="1"/>
    <col min="3587" max="3587" width="9.7265625" style="88" customWidth="1"/>
    <col min="3588" max="3588" width="7.7265625" style="88" customWidth="1"/>
    <col min="3589" max="3601" width="8.7265625" style="88" customWidth="1"/>
    <col min="3602" max="3840" width="9.1796875" style="88"/>
    <col min="3841" max="3841" width="3.7265625" style="88" customWidth="1"/>
    <col min="3842" max="3842" width="45.7265625" style="88" customWidth="1"/>
    <col min="3843" max="3843" width="9.7265625" style="88" customWidth="1"/>
    <col min="3844" max="3844" width="7.7265625" style="88" customWidth="1"/>
    <col min="3845" max="3857" width="8.7265625" style="88" customWidth="1"/>
    <col min="3858" max="4096" width="9.1796875" style="88"/>
    <col min="4097" max="4097" width="3.7265625" style="88" customWidth="1"/>
    <col min="4098" max="4098" width="45.7265625" style="88" customWidth="1"/>
    <col min="4099" max="4099" width="9.7265625" style="88" customWidth="1"/>
    <col min="4100" max="4100" width="7.7265625" style="88" customWidth="1"/>
    <col min="4101" max="4113" width="8.7265625" style="88" customWidth="1"/>
    <col min="4114" max="4352" width="9.1796875" style="88"/>
    <col min="4353" max="4353" width="3.7265625" style="88" customWidth="1"/>
    <col min="4354" max="4354" width="45.7265625" style="88" customWidth="1"/>
    <col min="4355" max="4355" width="9.7265625" style="88" customWidth="1"/>
    <col min="4356" max="4356" width="7.7265625" style="88" customWidth="1"/>
    <col min="4357" max="4369" width="8.7265625" style="88" customWidth="1"/>
    <col min="4370" max="4608" width="9.1796875" style="88"/>
    <col min="4609" max="4609" width="3.7265625" style="88" customWidth="1"/>
    <col min="4610" max="4610" width="45.7265625" style="88" customWidth="1"/>
    <col min="4611" max="4611" width="9.7265625" style="88" customWidth="1"/>
    <col min="4612" max="4612" width="7.7265625" style="88" customWidth="1"/>
    <col min="4613" max="4625" width="8.7265625" style="88" customWidth="1"/>
    <col min="4626" max="4864" width="9.1796875" style="88"/>
    <col min="4865" max="4865" width="3.7265625" style="88" customWidth="1"/>
    <col min="4866" max="4866" width="45.7265625" style="88" customWidth="1"/>
    <col min="4867" max="4867" width="9.7265625" style="88" customWidth="1"/>
    <col min="4868" max="4868" width="7.7265625" style="88" customWidth="1"/>
    <col min="4869" max="4881" width="8.7265625" style="88" customWidth="1"/>
    <col min="4882" max="5120" width="9.1796875" style="88"/>
    <col min="5121" max="5121" width="3.7265625" style="88" customWidth="1"/>
    <col min="5122" max="5122" width="45.7265625" style="88" customWidth="1"/>
    <col min="5123" max="5123" width="9.7265625" style="88" customWidth="1"/>
    <col min="5124" max="5124" width="7.7265625" style="88" customWidth="1"/>
    <col min="5125" max="5137" width="8.7265625" style="88" customWidth="1"/>
    <col min="5138" max="5376" width="9.1796875" style="88"/>
    <col min="5377" max="5377" width="3.7265625" style="88" customWidth="1"/>
    <col min="5378" max="5378" width="45.7265625" style="88" customWidth="1"/>
    <col min="5379" max="5379" width="9.7265625" style="88" customWidth="1"/>
    <col min="5380" max="5380" width="7.7265625" style="88" customWidth="1"/>
    <col min="5381" max="5393" width="8.7265625" style="88" customWidth="1"/>
    <col min="5394" max="5632" width="9.1796875" style="88"/>
    <col min="5633" max="5633" width="3.7265625" style="88" customWidth="1"/>
    <col min="5634" max="5634" width="45.7265625" style="88" customWidth="1"/>
    <col min="5635" max="5635" width="9.7265625" style="88" customWidth="1"/>
    <col min="5636" max="5636" width="7.7265625" style="88" customWidth="1"/>
    <col min="5637" max="5649" width="8.7265625" style="88" customWidth="1"/>
    <col min="5650" max="5888" width="9.1796875" style="88"/>
    <col min="5889" max="5889" width="3.7265625" style="88" customWidth="1"/>
    <col min="5890" max="5890" width="45.7265625" style="88" customWidth="1"/>
    <col min="5891" max="5891" width="9.7265625" style="88" customWidth="1"/>
    <col min="5892" max="5892" width="7.7265625" style="88" customWidth="1"/>
    <col min="5893" max="5905" width="8.7265625" style="88" customWidth="1"/>
    <col min="5906" max="6144" width="9.1796875" style="88"/>
    <col min="6145" max="6145" width="3.7265625" style="88" customWidth="1"/>
    <col min="6146" max="6146" width="45.7265625" style="88" customWidth="1"/>
    <col min="6147" max="6147" width="9.7265625" style="88" customWidth="1"/>
    <col min="6148" max="6148" width="7.7265625" style="88" customWidth="1"/>
    <col min="6149" max="6161" width="8.7265625" style="88" customWidth="1"/>
    <col min="6162" max="6400" width="9.1796875" style="88"/>
    <col min="6401" max="6401" width="3.7265625" style="88" customWidth="1"/>
    <col min="6402" max="6402" width="45.7265625" style="88" customWidth="1"/>
    <col min="6403" max="6403" width="9.7265625" style="88" customWidth="1"/>
    <col min="6404" max="6404" width="7.7265625" style="88" customWidth="1"/>
    <col min="6405" max="6417" width="8.7265625" style="88" customWidth="1"/>
    <col min="6418" max="6656" width="9.1796875" style="88"/>
    <col min="6657" max="6657" width="3.7265625" style="88" customWidth="1"/>
    <col min="6658" max="6658" width="45.7265625" style="88" customWidth="1"/>
    <col min="6659" max="6659" width="9.7265625" style="88" customWidth="1"/>
    <col min="6660" max="6660" width="7.7265625" style="88" customWidth="1"/>
    <col min="6661" max="6673" width="8.7265625" style="88" customWidth="1"/>
    <col min="6674" max="6912" width="9.1796875" style="88"/>
    <col min="6913" max="6913" width="3.7265625" style="88" customWidth="1"/>
    <col min="6914" max="6914" width="45.7265625" style="88" customWidth="1"/>
    <col min="6915" max="6915" width="9.7265625" style="88" customWidth="1"/>
    <col min="6916" max="6916" width="7.7265625" style="88" customWidth="1"/>
    <col min="6917" max="6929" width="8.7265625" style="88" customWidth="1"/>
    <col min="6930" max="7168" width="9.1796875" style="88"/>
    <col min="7169" max="7169" width="3.7265625" style="88" customWidth="1"/>
    <col min="7170" max="7170" width="45.7265625" style="88" customWidth="1"/>
    <col min="7171" max="7171" width="9.7265625" style="88" customWidth="1"/>
    <col min="7172" max="7172" width="7.7265625" style="88" customWidth="1"/>
    <col min="7173" max="7185" width="8.7265625" style="88" customWidth="1"/>
    <col min="7186" max="7424" width="9.1796875" style="88"/>
    <col min="7425" max="7425" width="3.7265625" style="88" customWidth="1"/>
    <col min="7426" max="7426" width="45.7265625" style="88" customWidth="1"/>
    <col min="7427" max="7427" width="9.7265625" style="88" customWidth="1"/>
    <col min="7428" max="7428" width="7.7265625" style="88" customWidth="1"/>
    <col min="7429" max="7441" width="8.7265625" style="88" customWidth="1"/>
    <col min="7442" max="7680" width="9.1796875" style="88"/>
    <col min="7681" max="7681" width="3.7265625" style="88" customWidth="1"/>
    <col min="7682" max="7682" width="45.7265625" style="88" customWidth="1"/>
    <col min="7683" max="7683" width="9.7265625" style="88" customWidth="1"/>
    <col min="7684" max="7684" width="7.7265625" style="88" customWidth="1"/>
    <col min="7685" max="7697" width="8.7265625" style="88" customWidth="1"/>
    <col min="7698" max="7936" width="9.1796875" style="88"/>
    <col min="7937" max="7937" width="3.7265625" style="88" customWidth="1"/>
    <col min="7938" max="7938" width="45.7265625" style="88" customWidth="1"/>
    <col min="7939" max="7939" width="9.7265625" style="88" customWidth="1"/>
    <col min="7940" max="7940" width="7.7265625" style="88" customWidth="1"/>
    <col min="7941" max="7953" width="8.7265625" style="88" customWidth="1"/>
    <col min="7954" max="8192" width="9.1796875" style="88"/>
    <col min="8193" max="8193" width="3.7265625" style="88" customWidth="1"/>
    <col min="8194" max="8194" width="45.7265625" style="88" customWidth="1"/>
    <col min="8195" max="8195" width="9.7265625" style="88" customWidth="1"/>
    <col min="8196" max="8196" width="7.7265625" style="88" customWidth="1"/>
    <col min="8197" max="8209" width="8.7265625" style="88" customWidth="1"/>
    <col min="8210" max="8448" width="9.1796875" style="88"/>
    <col min="8449" max="8449" width="3.7265625" style="88" customWidth="1"/>
    <col min="8450" max="8450" width="45.7265625" style="88" customWidth="1"/>
    <col min="8451" max="8451" width="9.7265625" style="88" customWidth="1"/>
    <col min="8452" max="8452" width="7.7265625" style="88" customWidth="1"/>
    <col min="8453" max="8465" width="8.7265625" style="88" customWidth="1"/>
    <col min="8466" max="8704" width="9.1796875" style="88"/>
    <col min="8705" max="8705" width="3.7265625" style="88" customWidth="1"/>
    <col min="8706" max="8706" width="45.7265625" style="88" customWidth="1"/>
    <col min="8707" max="8707" width="9.7265625" style="88" customWidth="1"/>
    <col min="8708" max="8708" width="7.7265625" style="88" customWidth="1"/>
    <col min="8709" max="8721" width="8.7265625" style="88" customWidth="1"/>
    <col min="8722" max="8960" width="9.1796875" style="88"/>
    <col min="8961" max="8961" width="3.7265625" style="88" customWidth="1"/>
    <col min="8962" max="8962" width="45.7265625" style="88" customWidth="1"/>
    <col min="8963" max="8963" width="9.7265625" style="88" customWidth="1"/>
    <col min="8964" max="8964" width="7.7265625" style="88" customWidth="1"/>
    <col min="8965" max="8977" width="8.7265625" style="88" customWidth="1"/>
    <col min="8978" max="9216" width="9.1796875" style="88"/>
    <col min="9217" max="9217" width="3.7265625" style="88" customWidth="1"/>
    <col min="9218" max="9218" width="45.7265625" style="88" customWidth="1"/>
    <col min="9219" max="9219" width="9.7265625" style="88" customWidth="1"/>
    <col min="9220" max="9220" width="7.7265625" style="88" customWidth="1"/>
    <col min="9221" max="9233" width="8.7265625" style="88" customWidth="1"/>
    <col min="9234" max="9472" width="9.1796875" style="88"/>
    <col min="9473" max="9473" width="3.7265625" style="88" customWidth="1"/>
    <col min="9474" max="9474" width="45.7265625" style="88" customWidth="1"/>
    <col min="9475" max="9475" width="9.7265625" style="88" customWidth="1"/>
    <col min="9476" max="9476" width="7.7265625" style="88" customWidth="1"/>
    <col min="9477" max="9489" width="8.7265625" style="88" customWidth="1"/>
    <col min="9490" max="9728" width="9.1796875" style="88"/>
    <col min="9729" max="9729" width="3.7265625" style="88" customWidth="1"/>
    <col min="9730" max="9730" width="45.7265625" style="88" customWidth="1"/>
    <col min="9731" max="9731" width="9.7265625" style="88" customWidth="1"/>
    <col min="9732" max="9732" width="7.7265625" style="88" customWidth="1"/>
    <col min="9733" max="9745" width="8.7265625" style="88" customWidth="1"/>
    <col min="9746" max="9984" width="9.1796875" style="88"/>
    <col min="9985" max="9985" width="3.7265625" style="88" customWidth="1"/>
    <col min="9986" max="9986" width="45.7265625" style="88" customWidth="1"/>
    <col min="9987" max="9987" width="9.7265625" style="88" customWidth="1"/>
    <col min="9988" max="9988" width="7.7265625" style="88" customWidth="1"/>
    <col min="9989" max="10001" width="8.7265625" style="88" customWidth="1"/>
    <col min="10002" max="10240" width="9.1796875" style="88"/>
    <col min="10241" max="10241" width="3.7265625" style="88" customWidth="1"/>
    <col min="10242" max="10242" width="45.7265625" style="88" customWidth="1"/>
    <col min="10243" max="10243" width="9.7265625" style="88" customWidth="1"/>
    <col min="10244" max="10244" width="7.7265625" style="88" customWidth="1"/>
    <col min="10245" max="10257" width="8.7265625" style="88" customWidth="1"/>
    <col min="10258" max="10496" width="9.1796875" style="88"/>
    <col min="10497" max="10497" width="3.7265625" style="88" customWidth="1"/>
    <col min="10498" max="10498" width="45.7265625" style="88" customWidth="1"/>
    <col min="10499" max="10499" width="9.7265625" style="88" customWidth="1"/>
    <col min="10500" max="10500" width="7.7265625" style="88" customWidth="1"/>
    <col min="10501" max="10513" width="8.7265625" style="88" customWidth="1"/>
    <col min="10514" max="10752" width="9.1796875" style="88"/>
    <col min="10753" max="10753" width="3.7265625" style="88" customWidth="1"/>
    <col min="10754" max="10754" width="45.7265625" style="88" customWidth="1"/>
    <col min="10755" max="10755" width="9.7265625" style="88" customWidth="1"/>
    <col min="10756" max="10756" width="7.7265625" style="88" customWidth="1"/>
    <col min="10757" max="10769" width="8.7265625" style="88" customWidth="1"/>
    <col min="10770" max="11008" width="9.1796875" style="88"/>
    <col min="11009" max="11009" width="3.7265625" style="88" customWidth="1"/>
    <col min="11010" max="11010" width="45.7265625" style="88" customWidth="1"/>
    <col min="11011" max="11011" width="9.7265625" style="88" customWidth="1"/>
    <col min="11012" max="11012" width="7.7265625" style="88" customWidth="1"/>
    <col min="11013" max="11025" width="8.7265625" style="88" customWidth="1"/>
    <col min="11026" max="11264" width="9.1796875" style="88"/>
    <col min="11265" max="11265" width="3.7265625" style="88" customWidth="1"/>
    <col min="11266" max="11266" width="45.7265625" style="88" customWidth="1"/>
    <col min="11267" max="11267" width="9.7265625" style="88" customWidth="1"/>
    <col min="11268" max="11268" width="7.7265625" style="88" customWidth="1"/>
    <col min="11269" max="11281" width="8.7265625" style="88" customWidth="1"/>
    <col min="11282" max="11520" width="9.1796875" style="88"/>
    <col min="11521" max="11521" width="3.7265625" style="88" customWidth="1"/>
    <col min="11522" max="11522" width="45.7265625" style="88" customWidth="1"/>
    <col min="11523" max="11523" width="9.7265625" style="88" customWidth="1"/>
    <col min="11524" max="11524" width="7.7265625" style="88" customWidth="1"/>
    <col min="11525" max="11537" width="8.7265625" style="88" customWidth="1"/>
    <col min="11538" max="11776" width="9.1796875" style="88"/>
    <col min="11777" max="11777" width="3.7265625" style="88" customWidth="1"/>
    <col min="11778" max="11778" width="45.7265625" style="88" customWidth="1"/>
    <col min="11779" max="11779" width="9.7265625" style="88" customWidth="1"/>
    <col min="11780" max="11780" width="7.7265625" style="88" customWidth="1"/>
    <col min="11781" max="11793" width="8.7265625" style="88" customWidth="1"/>
    <col min="11794" max="12032" width="9.1796875" style="88"/>
    <col min="12033" max="12033" width="3.7265625" style="88" customWidth="1"/>
    <col min="12034" max="12034" width="45.7265625" style="88" customWidth="1"/>
    <col min="12035" max="12035" width="9.7265625" style="88" customWidth="1"/>
    <col min="12036" max="12036" width="7.7265625" style="88" customWidth="1"/>
    <col min="12037" max="12049" width="8.7265625" style="88" customWidth="1"/>
    <col min="12050" max="12288" width="9.1796875" style="88"/>
    <col min="12289" max="12289" width="3.7265625" style="88" customWidth="1"/>
    <col min="12290" max="12290" width="45.7265625" style="88" customWidth="1"/>
    <col min="12291" max="12291" width="9.7265625" style="88" customWidth="1"/>
    <col min="12292" max="12292" width="7.7265625" style="88" customWidth="1"/>
    <col min="12293" max="12305" width="8.7265625" style="88" customWidth="1"/>
    <col min="12306" max="12544" width="9.1796875" style="88"/>
    <col min="12545" max="12545" width="3.7265625" style="88" customWidth="1"/>
    <col min="12546" max="12546" width="45.7265625" style="88" customWidth="1"/>
    <col min="12547" max="12547" width="9.7265625" style="88" customWidth="1"/>
    <col min="12548" max="12548" width="7.7265625" style="88" customWidth="1"/>
    <col min="12549" max="12561" width="8.7265625" style="88" customWidth="1"/>
    <col min="12562" max="12800" width="9.1796875" style="88"/>
    <col min="12801" max="12801" width="3.7265625" style="88" customWidth="1"/>
    <col min="12802" max="12802" width="45.7265625" style="88" customWidth="1"/>
    <col min="12803" max="12803" width="9.7265625" style="88" customWidth="1"/>
    <col min="12804" max="12804" width="7.7265625" style="88" customWidth="1"/>
    <col min="12805" max="12817" width="8.7265625" style="88" customWidth="1"/>
    <col min="12818" max="13056" width="9.1796875" style="88"/>
    <col min="13057" max="13057" width="3.7265625" style="88" customWidth="1"/>
    <col min="13058" max="13058" width="45.7265625" style="88" customWidth="1"/>
    <col min="13059" max="13059" width="9.7265625" style="88" customWidth="1"/>
    <col min="13060" max="13060" width="7.7265625" style="88" customWidth="1"/>
    <col min="13061" max="13073" width="8.7265625" style="88" customWidth="1"/>
    <col min="13074" max="13312" width="9.1796875" style="88"/>
    <col min="13313" max="13313" width="3.7265625" style="88" customWidth="1"/>
    <col min="13314" max="13314" width="45.7265625" style="88" customWidth="1"/>
    <col min="13315" max="13315" width="9.7265625" style="88" customWidth="1"/>
    <col min="13316" max="13316" width="7.7265625" style="88" customWidth="1"/>
    <col min="13317" max="13329" width="8.7265625" style="88" customWidth="1"/>
    <col min="13330" max="13568" width="9.1796875" style="88"/>
    <col min="13569" max="13569" width="3.7265625" style="88" customWidth="1"/>
    <col min="13570" max="13570" width="45.7265625" style="88" customWidth="1"/>
    <col min="13571" max="13571" width="9.7265625" style="88" customWidth="1"/>
    <col min="13572" max="13572" width="7.7265625" style="88" customWidth="1"/>
    <col min="13573" max="13585" width="8.7265625" style="88" customWidth="1"/>
    <col min="13586" max="13824" width="9.1796875" style="88"/>
    <col min="13825" max="13825" width="3.7265625" style="88" customWidth="1"/>
    <col min="13826" max="13826" width="45.7265625" style="88" customWidth="1"/>
    <col min="13827" max="13827" width="9.7265625" style="88" customWidth="1"/>
    <col min="13828" max="13828" width="7.7265625" style="88" customWidth="1"/>
    <col min="13829" max="13841" width="8.7265625" style="88" customWidth="1"/>
    <col min="13842" max="14080" width="9.1796875" style="88"/>
    <col min="14081" max="14081" width="3.7265625" style="88" customWidth="1"/>
    <col min="14082" max="14082" width="45.7265625" style="88" customWidth="1"/>
    <col min="14083" max="14083" width="9.7265625" style="88" customWidth="1"/>
    <col min="14084" max="14084" width="7.7265625" style="88" customWidth="1"/>
    <col min="14085" max="14097" width="8.7265625" style="88" customWidth="1"/>
    <col min="14098" max="14336" width="9.1796875" style="88"/>
    <col min="14337" max="14337" width="3.7265625" style="88" customWidth="1"/>
    <col min="14338" max="14338" width="45.7265625" style="88" customWidth="1"/>
    <col min="14339" max="14339" width="9.7265625" style="88" customWidth="1"/>
    <col min="14340" max="14340" width="7.7265625" style="88" customWidth="1"/>
    <col min="14341" max="14353" width="8.7265625" style="88" customWidth="1"/>
    <col min="14354" max="14592" width="9.1796875" style="88"/>
    <col min="14593" max="14593" width="3.7265625" style="88" customWidth="1"/>
    <col min="14594" max="14594" width="45.7265625" style="88" customWidth="1"/>
    <col min="14595" max="14595" width="9.7265625" style="88" customWidth="1"/>
    <col min="14596" max="14596" width="7.7265625" style="88" customWidth="1"/>
    <col min="14597" max="14609" width="8.7265625" style="88" customWidth="1"/>
    <col min="14610" max="14848" width="9.1796875" style="88"/>
    <col min="14849" max="14849" width="3.7265625" style="88" customWidth="1"/>
    <col min="14850" max="14850" width="45.7265625" style="88" customWidth="1"/>
    <col min="14851" max="14851" width="9.7265625" style="88" customWidth="1"/>
    <col min="14852" max="14852" width="7.7265625" style="88" customWidth="1"/>
    <col min="14853" max="14865" width="8.7265625" style="88" customWidth="1"/>
    <col min="14866" max="15104" width="9.1796875" style="88"/>
    <col min="15105" max="15105" width="3.7265625" style="88" customWidth="1"/>
    <col min="15106" max="15106" width="45.7265625" style="88" customWidth="1"/>
    <col min="15107" max="15107" width="9.7265625" style="88" customWidth="1"/>
    <col min="15108" max="15108" width="7.7265625" style="88" customWidth="1"/>
    <col min="15109" max="15121" width="8.7265625" style="88" customWidth="1"/>
    <col min="15122" max="15360" width="9.1796875" style="88"/>
    <col min="15361" max="15361" width="3.7265625" style="88" customWidth="1"/>
    <col min="15362" max="15362" width="45.7265625" style="88" customWidth="1"/>
    <col min="15363" max="15363" width="9.7265625" style="88" customWidth="1"/>
    <col min="15364" max="15364" width="7.7265625" style="88" customWidth="1"/>
    <col min="15365" max="15377" width="8.7265625" style="88" customWidth="1"/>
    <col min="15378" max="15616" width="9.1796875" style="88"/>
    <col min="15617" max="15617" width="3.7265625" style="88" customWidth="1"/>
    <col min="15618" max="15618" width="45.7265625" style="88" customWidth="1"/>
    <col min="15619" max="15619" width="9.7265625" style="88" customWidth="1"/>
    <col min="15620" max="15620" width="7.7265625" style="88" customWidth="1"/>
    <col min="15621" max="15633" width="8.7265625" style="88" customWidth="1"/>
    <col min="15634" max="15872" width="9.1796875" style="88"/>
    <col min="15873" max="15873" width="3.7265625" style="88" customWidth="1"/>
    <col min="15874" max="15874" width="45.7265625" style="88" customWidth="1"/>
    <col min="15875" max="15875" width="9.7265625" style="88" customWidth="1"/>
    <col min="15876" max="15876" width="7.7265625" style="88" customWidth="1"/>
    <col min="15877" max="15889" width="8.7265625" style="88" customWidth="1"/>
    <col min="15890" max="16128" width="9.1796875" style="88"/>
    <col min="16129" max="16129" width="3.7265625" style="88" customWidth="1"/>
    <col min="16130" max="16130" width="45.7265625" style="88" customWidth="1"/>
    <col min="16131" max="16131" width="9.7265625" style="88" customWidth="1"/>
    <col min="16132" max="16132" width="7.7265625" style="88" customWidth="1"/>
    <col min="16133" max="16145" width="8.7265625" style="88" customWidth="1"/>
    <col min="16146" max="16384" width="9.1796875" style="88"/>
  </cols>
  <sheetData>
    <row r="1" spans="1:162" s="101" customFormat="1" ht="15" customHeight="1" thickBot="1" x14ac:dyDescent="0.4">
      <c r="A1" s="471" t="s">
        <v>494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3"/>
      <c r="Q1" s="100">
        <v>1</v>
      </c>
    </row>
    <row r="2" spans="1:162" ht="14.15" customHeight="1" thickBot="1" x14ac:dyDescent="0.4">
      <c r="A2" s="92" t="s">
        <v>61</v>
      </c>
      <c r="B2" s="85" t="s">
        <v>128</v>
      </c>
      <c r="C2" s="86" t="s">
        <v>422</v>
      </c>
      <c r="D2" s="86" t="s">
        <v>23</v>
      </c>
      <c r="E2" s="86" t="s">
        <v>130</v>
      </c>
      <c r="F2" s="86" t="s">
        <v>131</v>
      </c>
      <c r="G2" s="86" t="s">
        <v>132</v>
      </c>
      <c r="H2" s="86" t="s">
        <v>133</v>
      </c>
      <c r="I2" s="86" t="s">
        <v>134</v>
      </c>
      <c r="J2" s="86" t="s">
        <v>135</v>
      </c>
      <c r="K2" s="86" t="s">
        <v>136</v>
      </c>
      <c r="L2" s="86" t="s">
        <v>137</v>
      </c>
      <c r="M2" s="86" t="s">
        <v>138</v>
      </c>
      <c r="N2" s="86" t="s">
        <v>139</v>
      </c>
      <c r="O2" s="86" t="s">
        <v>140</v>
      </c>
      <c r="P2" s="87" t="s">
        <v>141</v>
      </c>
      <c r="Q2" s="88"/>
    </row>
    <row r="3" spans="1:162" s="108" customFormat="1" ht="14.15" customHeight="1" x14ac:dyDescent="0.35">
      <c r="A3" s="102">
        <v>1</v>
      </c>
      <c r="B3" s="94" t="s">
        <v>423</v>
      </c>
      <c r="C3" s="103">
        <f t="shared" ref="C3:C8" si="0">SUM(E3:P3)</f>
        <v>12649200</v>
      </c>
      <c r="D3" s="104">
        <f>C3/C$3</f>
        <v>1</v>
      </c>
      <c r="E3" s="105">
        <f>Операционный!D42*Операционный!D66</f>
        <v>0</v>
      </c>
      <c r="F3" s="105">
        <f>Операционный!E42*Операционный!E66</f>
        <v>0</v>
      </c>
      <c r="G3" s="105">
        <f>Операционный!F42*Операционный!F66</f>
        <v>1511300</v>
      </c>
      <c r="H3" s="105">
        <f>Операционный!G42*Операционный!G66</f>
        <v>1270000</v>
      </c>
      <c r="I3" s="105">
        <f>Операционный!H42*Операционный!H66</f>
        <v>1168400</v>
      </c>
      <c r="J3" s="105">
        <f>Операционный!I42*Операционный!I66</f>
        <v>1130300</v>
      </c>
      <c r="K3" s="105">
        <f>Операционный!J42*Операционный!J66</f>
        <v>1104900</v>
      </c>
      <c r="L3" s="105">
        <f>Операционный!K42*Операционный!K66</f>
        <v>1244600</v>
      </c>
      <c r="M3" s="105">
        <f>Операционный!L42*Операционный!L66</f>
        <v>1168400</v>
      </c>
      <c r="N3" s="105">
        <f>Операционный!M42*Операционный!M66</f>
        <v>1206500</v>
      </c>
      <c r="O3" s="105">
        <f>Операционный!N42*Операционный!N66</f>
        <v>1257300</v>
      </c>
      <c r="P3" s="106">
        <f>Операционный!O42*Операционный!O66</f>
        <v>1587500</v>
      </c>
      <c r="Q3" s="107"/>
    </row>
    <row r="4" spans="1:162" s="112" customFormat="1" ht="14.15" customHeight="1" x14ac:dyDescent="0.35">
      <c r="A4" s="102">
        <v>2</v>
      </c>
      <c r="B4" s="95" t="s">
        <v>482</v>
      </c>
      <c r="C4" s="109">
        <f t="shared" si="0"/>
        <v>5476019.2436617343</v>
      </c>
      <c r="D4" s="110">
        <f>'Unit Сoste '!E6</f>
        <v>0.4329142747100001</v>
      </c>
      <c r="E4" s="105">
        <f>E3*D4</f>
        <v>0</v>
      </c>
      <c r="F4" s="105">
        <f>F3*D4</f>
        <v>0</v>
      </c>
      <c r="G4" s="105">
        <f>G3*D4</f>
        <v>654263.34336922318</v>
      </c>
      <c r="H4" s="105">
        <f>H3*D4</f>
        <v>549801.1288817001</v>
      </c>
      <c r="I4" s="105">
        <f>I3*D4</f>
        <v>505817.03857116413</v>
      </c>
      <c r="J4" s="105">
        <f>J3*D4</f>
        <v>489323.00470471312</v>
      </c>
      <c r="K4" s="105">
        <f>K3*D4</f>
        <v>478326.9821270791</v>
      </c>
      <c r="L4" s="105">
        <f>L3*D4</f>
        <v>538805.10630406614</v>
      </c>
      <c r="M4" s="105">
        <f>M3*D4</f>
        <v>505817.03857116413</v>
      </c>
      <c r="N4" s="105">
        <f>N3*D4</f>
        <v>522311.07243761513</v>
      </c>
      <c r="O4" s="105">
        <f>O3*D4</f>
        <v>544303.11759288318</v>
      </c>
      <c r="P4" s="106">
        <f>P3*D4</f>
        <v>687251.41110212519</v>
      </c>
      <c r="Q4" s="111"/>
    </row>
    <row r="5" spans="1:162" s="108" customFormat="1" ht="14.15" customHeight="1" x14ac:dyDescent="0.35">
      <c r="A5" s="113">
        <v>3</v>
      </c>
      <c r="B5" s="96" t="s">
        <v>424</v>
      </c>
      <c r="C5" s="114">
        <f t="shared" si="0"/>
        <v>7173180.7563382667</v>
      </c>
      <c r="D5" s="115">
        <f t="shared" ref="D5:D66" si="1">C5/C$3</f>
        <v>0.5670857252899999</v>
      </c>
      <c r="E5" s="116">
        <f>E3-E4</f>
        <v>0</v>
      </c>
      <c r="F5" s="116">
        <f t="shared" ref="F5:P5" si="2">F3-F4</f>
        <v>0</v>
      </c>
      <c r="G5" s="116">
        <f t="shared" si="2"/>
        <v>857036.65663077682</v>
      </c>
      <c r="H5" s="116">
        <f t="shared" si="2"/>
        <v>720198.8711182999</v>
      </c>
      <c r="I5" s="116">
        <f t="shared" si="2"/>
        <v>662582.96142883587</v>
      </c>
      <c r="J5" s="116">
        <f t="shared" si="2"/>
        <v>640976.99529528688</v>
      </c>
      <c r="K5" s="116">
        <f t="shared" si="2"/>
        <v>626573.01787292096</v>
      </c>
      <c r="L5" s="116">
        <f t="shared" si="2"/>
        <v>705794.89369593386</v>
      </c>
      <c r="M5" s="116">
        <f t="shared" si="2"/>
        <v>662582.96142883587</v>
      </c>
      <c r="N5" s="116">
        <f t="shared" si="2"/>
        <v>684188.92756238487</v>
      </c>
      <c r="O5" s="116">
        <f t="shared" si="2"/>
        <v>712996.88240711682</v>
      </c>
      <c r="P5" s="117">
        <f t="shared" si="2"/>
        <v>900248.58889787481</v>
      </c>
      <c r="Q5" s="107"/>
    </row>
    <row r="6" spans="1:162" s="112" customFormat="1" ht="14.15" customHeight="1" x14ac:dyDescent="0.35">
      <c r="A6" s="102">
        <v>4</v>
      </c>
      <c r="B6" s="93" t="s">
        <v>425</v>
      </c>
      <c r="C6" s="118">
        <f t="shared" si="0"/>
        <v>3823355.3200000003</v>
      </c>
      <c r="D6" s="119">
        <f t="shared" si="1"/>
        <v>0.30226064257028112</v>
      </c>
      <c r="E6" s="105">
        <f>SUM(E7,E8,E10,E11,E19,E25,E26,E27,E43,E48,E53,E58,E64,E65)</f>
        <v>0</v>
      </c>
      <c r="F6" s="105">
        <f>SUM(F7,F8,F10,F11,F19,F25,F26,F27,F43,F48,F53,F58,F64,F65)</f>
        <v>0</v>
      </c>
      <c r="G6" s="105">
        <f>SUM(G7,G8,G10,G11,G19,G25,G26,G27,G43,G48,G53,G58,G65)</f>
        <v>422643.65000000008</v>
      </c>
      <c r="H6" s="105">
        <f>SUM(H7,H8,H10,H11,H19,H25,H26,H27,H43,H48,H53,H58,H64,H65)</f>
        <v>388132</v>
      </c>
      <c r="I6" s="105">
        <f>SUM(I7,I8,I10,I11,I19,I25,I26,I27,I43,I48,I53,I58,I64,I65)</f>
        <v>365975.08</v>
      </c>
      <c r="J6" s="105">
        <f>SUM(J7,J8,J10,J11,J19,J25,J26,J27,J43,J48,J53,J58,J64,J65)</f>
        <v>360842.3</v>
      </c>
      <c r="K6" s="105">
        <f>SUM(K7,K8,K10,K11,K19,K25,K26,K27,K43,K48,K53,K58,K64,K65)</f>
        <v>357256.86000000004</v>
      </c>
      <c r="L6" s="105">
        <f>SUM(L7,L8,L10,L11,L19,L25,L26,L27,L43,L48,L53,L58,L64,L65)</f>
        <v>369183.20000000007</v>
      </c>
      <c r="M6" s="105">
        <f>SUM(M7,M8,M10,M11,M19,M25,M26,M27,M43,M48,M53,M58,M64,M65)</f>
        <v>371965.44000000006</v>
      </c>
      <c r="N6" s="105">
        <f>SUM(N7,N8,N10,N11,N19,N25,N26,N27,N43,N48,N53,N58,N64,N65)</f>
        <v>370495.5</v>
      </c>
      <c r="O6" s="105">
        <f>SUM(O7,O8,O10,O11,O19,O25,O26,O27,O43,O48,O53,O58,O64,O65)</f>
        <v>380379.04000000004</v>
      </c>
      <c r="P6" s="106">
        <f>SUM(P7,P8,P10,P11,P19,P25,P26,P27,P43,P48,P53,P58,P64,P65)</f>
        <v>436482.25</v>
      </c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08"/>
      <c r="ED6" s="108"/>
      <c r="EE6" s="108"/>
      <c r="EF6" s="108"/>
      <c r="EG6" s="108"/>
      <c r="EH6" s="108"/>
      <c r="EI6" s="108"/>
      <c r="EJ6" s="108"/>
      <c r="EK6" s="108"/>
      <c r="EL6" s="108"/>
      <c r="EM6" s="108"/>
      <c r="EN6" s="108"/>
      <c r="EO6" s="108"/>
      <c r="EP6" s="108"/>
      <c r="EQ6" s="108"/>
      <c r="ER6" s="108"/>
      <c r="ES6" s="108"/>
      <c r="ET6" s="108"/>
      <c r="EU6" s="108"/>
      <c r="EV6" s="108"/>
      <c r="EW6" s="108"/>
      <c r="EX6" s="108"/>
      <c r="EY6" s="108"/>
      <c r="EZ6" s="108"/>
      <c r="FA6" s="108"/>
      <c r="FB6" s="108"/>
      <c r="FC6" s="108"/>
      <c r="FD6" s="108"/>
      <c r="FE6" s="108"/>
      <c r="FF6" s="108"/>
    </row>
    <row r="7" spans="1:162" s="125" customFormat="1" ht="21.75" customHeight="1" x14ac:dyDescent="0.35">
      <c r="A7" s="120">
        <v>5</v>
      </c>
      <c r="B7" s="89" t="s">
        <v>479</v>
      </c>
      <c r="C7" s="121">
        <f t="shared" si="0"/>
        <v>875000</v>
      </c>
      <c r="D7" s="122">
        <f t="shared" si="1"/>
        <v>6.917433513581886E-2</v>
      </c>
      <c r="E7" s="123">
        <f>Операционный!D26*Операционный!D66</f>
        <v>0</v>
      </c>
      <c r="F7" s="123">
        <f>Операционный!E26*Операционный!E66</f>
        <v>0</v>
      </c>
      <c r="G7" s="123">
        <f>Операционный!F26*Операционный!F66</f>
        <v>87500</v>
      </c>
      <c r="H7" s="123">
        <f>Операционный!G26*Операционный!G66</f>
        <v>87500</v>
      </c>
      <c r="I7" s="123">
        <f>Операционный!H26*Операционный!H66</f>
        <v>87500</v>
      </c>
      <c r="J7" s="123">
        <f>Операционный!I26*Операционный!I66</f>
        <v>87500</v>
      </c>
      <c r="K7" s="123">
        <f>Операционный!J26*Операционный!J66</f>
        <v>87500</v>
      </c>
      <c r="L7" s="123">
        <f>Операционный!K26*Операционный!K66</f>
        <v>87500</v>
      </c>
      <c r="M7" s="123">
        <f>Операционный!L26*Операционный!L66</f>
        <v>87500</v>
      </c>
      <c r="N7" s="123">
        <f>Операционный!M26*Операционный!M66</f>
        <v>87500</v>
      </c>
      <c r="O7" s="123">
        <f>Операционный!N26*Операционный!N66</f>
        <v>87500</v>
      </c>
      <c r="P7" s="124">
        <f>Операционный!O26*Операционный!O66</f>
        <v>87500</v>
      </c>
    </row>
    <row r="8" spans="1:162" s="125" customFormat="1" ht="14.15" customHeight="1" x14ac:dyDescent="0.35">
      <c r="A8" s="120">
        <v>6</v>
      </c>
      <c r="B8" s="89" t="s">
        <v>427</v>
      </c>
      <c r="C8" s="121">
        <f t="shared" si="0"/>
        <v>1200000</v>
      </c>
      <c r="D8" s="122">
        <f t="shared" si="1"/>
        <v>9.4867659614837299E-2</v>
      </c>
      <c r="E8" s="123">
        <f>SUM(E9:E9)</f>
        <v>0</v>
      </c>
      <c r="F8" s="123">
        <f>SUM(F9:F9)</f>
        <v>0</v>
      </c>
      <c r="G8" s="123">
        <f>SUM(G9:G9)</f>
        <v>120000</v>
      </c>
      <c r="H8" s="123">
        <f>SUM(H9:H9)</f>
        <v>120000</v>
      </c>
      <c r="I8" s="123">
        <f>SUM(I9:I9)</f>
        <v>120000</v>
      </c>
      <c r="J8" s="123">
        <f>SUM(J9:J9)</f>
        <v>120000</v>
      </c>
      <c r="K8" s="123">
        <f>SUM(K9:K9)</f>
        <v>120000</v>
      </c>
      <c r="L8" s="123">
        <f>SUM(L9:L9)</f>
        <v>120000</v>
      </c>
      <c r="M8" s="123">
        <f>SUM(M9:M9)</f>
        <v>120000</v>
      </c>
      <c r="N8" s="123">
        <f>SUM(N9:N9)</f>
        <v>120000</v>
      </c>
      <c r="O8" s="123">
        <f>SUM(O9:O9)</f>
        <v>120000</v>
      </c>
      <c r="P8" s="124">
        <f>SUM(P9:P9)</f>
        <v>120000</v>
      </c>
    </row>
    <row r="9" spans="1:162" ht="15" customHeight="1" outlineLevel="1" x14ac:dyDescent="0.35">
      <c r="A9" s="135" t="s">
        <v>210</v>
      </c>
      <c r="B9" s="432" t="s">
        <v>478</v>
      </c>
      <c r="C9" s="433">
        <f>SUM(E9:P9)</f>
        <v>1200000</v>
      </c>
      <c r="D9" s="434">
        <f t="shared" si="1"/>
        <v>9.4867659614837299E-2</v>
      </c>
      <c r="E9" s="435">
        <f>Операционный!D50*Операционный!D66</f>
        <v>0</v>
      </c>
      <c r="F9" s="435">
        <f>Операционный!D50*Операционный!E66</f>
        <v>0</v>
      </c>
      <c r="G9" s="435">
        <f>Операционный!D50*Операционный!F66</f>
        <v>120000</v>
      </c>
      <c r="H9" s="435">
        <f>Операционный!D50*Операционный!G66</f>
        <v>120000</v>
      </c>
      <c r="I9" s="435">
        <f>Операционный!D50*Операционный!H66</f>
        <v>120000</v>
      </c>
      <c r="J9" s="435">
        <f>Операционный!D50*Операционный!I66</f>
        <v>120000</v>
      </c>
      <c r="K9" s="435">
        <f>Операционный!D50*Операционный!J66</f>
        <v>120000</v>
      </c>
      <c r="L9" s="435">
        <f>Операционный!D50*Операционный!K66</f>
        <v>120000</v>
      </c>
      <c r="M9" s="435">
        <f>Операционный!D50*Операционный!L66</f>
        <v>120000</v>
      </c>
      <c r="N9" s="435">
        <f>Операционный!D50*Операционный!M66</f>
        <v>120000</v>
      </c>
      <c r="O9" s="435">
        <f>Операционный!D50*Операционный!N66</f>
        <v>120000</v>
      </c>
      <c r="P9" s="436">
        <f>Операционный!D50*Операционный!O66</f>
        <v>120000</v>
      </c>
    </row>
    <row r="10" spans="1:162" ht="14.15" customHeight="1" x14ac:dyDescent="0.35">
      <c r="A10" s="120" t="s">
        <v>212</v>
      </c>
      <c r="B10" s="91" t="s">
        <v>428</v>
      </c>
      <c r="C10" s="127">
        <f t="shared" ref="C10:C65" si="3">SUM(E10:P10)</f>
        <v>36248</v>
      </c>
      <c r="D10" s="128">
        <f t="shared" si="1"/>
        <v>2.8656357714321855E-3</v>
      </c>
      <c r="E10" s="129">
        <f>'Бюджет затрат (ориентир.)'!B21*Операционный!D66</f>
        <v>0</v>
      </c>
      <c r="F10" s="129">
        <f>'Бюджет затрат (ориентир.)'!C21*Операционный!E66</f>
        <v>0</v>
      </c>
      <c r="G10" s="129">
        <f>'Бюджет затрат (ориентир.)'!D21*Операционный!F66</f>
        <v>2806</v>
      </c>
      <c r="H10" s="129">
        <f>'Бюджет затрат (ориентир.)'!E21*Операционный!G66</f>
        <v>4483</v>
      </c>
      <c r="I10" s="129">
        <f>'Бюджет затрат (ориентир.)'!F21*Операционный!H66</f>
        <v>2260</v>
      </c>
      <c r="J10" s="129">
        <f>'Бюджет затрат (ориентир.)'!G21*Операционный!I66</f>
        <v>5273</v>
      </c>
      <c r="K10" s="129">
        <f>'Бюджет затрат (ориентир.)'!H21*Операционный!J66</f>
        <v>4573</v>
      </c>
      <c r="L10" s="129">
        <f>'Бюджет затрат (ориентир.)'!I21*Операционный!K66</f>
        <v>3619</v>
      </c>
      <c r="M10" s="129">
        <f>'Бюджет затрат (ориентир.)'!J21*Операционный!L66</f>
        <v>4862</v>
      </c>
      <c r="N10" s="129">
        <f>'Бюджет затрат (ориентир.)'!K21*Операционный!M66</f>
        <v>2531</v>
      </c>
      <c r="O10" s="129">
        <f>'Бюджет затрат (ориентир.)'!L21*Операционный!N66</f>
        <v>3395</v>
      </c>
      <c r="P10" s="130">
        <f>'Бюджет затрат (ориентир.)'!M21*Операционный!O66</f>
        <v>2446</v>
      </c>
    </row>
    <row r="11" spans="1:162" s="125" customFormat="1" ht="14.15" customHeight="1" x14ac:dyDescent="0.35">
      <c r="A11" s="131" t="s">
        <v>213</v>
      </c>
      <c r="B11" s="91" t="s">
        <v>429</v>
      </c>
      <c r="C11" s="127">
        <f t="shared" si="3"/>
        <v>6054.0899999999992</v>
      </c>
      <c r="D11" s="128">
        <f t="shared" si="1"/>
        <v>4.7861445783132524E-4</v>
      </c>
      <c r="E11" s="132">
        <f>E3*SUM(E12:E18)*Операционный!D66</f>
        <v>0</v>
      </c>
      <c r="F11" s="132">
        <f>F3*SUM(F12:F18)*Операционный!E66</f>
        <v>0</v>
      </c>
      <c r="G11" s="132">
        <f>G3*SUM(G12:G18)*Операционный!F66</f>
        <v>604.52</v>
      </c>
      <c r="H11" s="132">
        <f>H3*SUM(H12:H18)*Операционный!G66</f>
        <v>1015.9999999999999</v>
      </c>
      <c r="I11" s="132">
        <f>I3*SUM(I12:I18)*Операционный!H66</f>
        <v>116.84</v>
      </c>
      <c r="J11" s="132">
        <f>J3*SUM(J12:J18)*Операционный!I66</f>
        <v>339.09</v>
      </c>
      <c r="K11" s="132">
        <f>K3*SUM(K12:K18)*Операционный!J66</f>
        <v>552.45000000000005</v>
      </c>
      <c r="L11" s="132">
        <f>L3*SUM(L12:L18)*Операционный!K66</f>
        <v>124.46000000000001</v>
      </c>
      <c r="M11" s="132">
        <f>M3*SUM(M12:M18)*Операционный!L66</f>
        <v>233.68</v>
      </c>
      <c r="N11" s="132">
        <f>N3*SUM(N12:N18)*Операционный!M66</f>
        <v>844.55</v>
      </c>
      <c r="O11" s="132">
        <f>O3*SUM(O12:O18)*Операционный!N66</f>
        <v>0</v>
      </c>
      <c r="P11" s="133">
        <f>P3*SUM(P12:P18)*Операционный!O66</f>
        <v>2222.5</v>
      </c>
      <c r="Q11" s="134"/>
    </row>
    <row r="12" spans="1:162" ht="14.15" hidden="1" customHeight="1" outlineLevel="1" x14ac:dyDescent="0.35">
      <c r="A12" s="135" t="s">
        <v>214</v>
      </c>
      <c r="B12" s="97" t="s">
        <v>142</v>
      </c>
      <c r="C12" s="127"/>
      <c r="D12" s="128"/>
      <c r="E12" s="136">
        <f>'Бюджет затрат (ориентир.)'!B25</f>
        <v>0</v>
      </c>
      <c r="F12" s="136">
        <f>'Бюджет затрат (ориентир.)'!C25</f>
        <v>0</v>
      </c>
      <c r="G12" s="136">
        <f>'Бюджет затрат (ориентир.)'!D25</f>
        <v>0</v>
      </c>
      <c r="H12" s="136">
        <f>'Бюджет затрат (ориентир.)'!E25</f>
        <v>5.0000000000000001E-4</v>
      </c>
      <c r="I12" s="136">
        <f>'Бюджет затрат (ориентир.)'!F25</f>
        <v>0</v>
      </c>
      <c r="J12" s="136">
        <f>'Бюджет затрат (ориентир.)'!G25</f>
        <v>0</v>
      </c>
      <c r="K12" s="136">
        <f>'Бюджет затрат (ориентир.)'!H25</f>
        <v>0</v>
      </c>
      <c r="L12" s="136">
        <f>'Бюджет затрат (ориентир.)'!I25</f>
        <v>0</v>
      </c>
      <c r="M12" s="136">
        <f>'Бюджет затрат (ориентир.)'!J25</f>
        <v>0</v>
      </c>
      <c r="N12" s="136">
        <f>'Бюджет затрат (ориентир.)'!K25</f>
        <v>0</v>
      </c>
      <c r="O12" s="136">
        <f>'Бюджет затрат (ориентир.)'!L25</f>
        <v>0</v>
      </c>
      <c r="P12" s="137">
        <f>'Бюджет затрат (ориентир.)'!M25</f>
        <v>0</v>
      </c>
    </row>
    <row r="13" spans="1:162" ht="14.15" hidden="1" customHeight="1" outlineLevel="1" x14ac:dyDescent="0.35">
      <c r="A13" s="135" t="s">
        <v>215</v>
      </c>
      <c r="B13" s="97" t="s">
        <v>143</v>
      </c>
      <c r="C13" s="127"/>
      <c r="D13" s="128"/>
      <c r="E13" s="136">
        <f>'Бюджет затрат (ориентир.)'!B26</f>
        <v>0</v>
      </c>
      <c r="F13" s="136">
        <f>'Бюджет затрат (ориентир.)'!C26</f>
        <v>0</v>
      </c>
      <c r="G13" s="136">
        <f>'Бюджет затрат (ориентир.)'!D26</f>
        <v>4.0000000000000002E-4</v>
      </c>
      <c r="H13" s="136">
        <f>'Бюджет затрат (ориентир.)'!E26</f>
        <v>2.9999999999999997E-4</v>
      </c>
      <c r="I13" s="136">
        <f>'Бюджет затрат (ориентир.)'!F26</f>
        <v>1E-4</v>
      </c>
      <c r="J13" s="136">
        <f>'Бюджет затрат (ориентир.)'!G26</f>
        <v>2.9999999999999997E-4</v>
      </c>
      <c r="K13" s="136">
        <f>'Бюджет затрат (ориентир.)'!H26</f>
        <v>5.0000000000000001E-4</v>
      </c>
      <c r="L13" s="136">
        <f>'Бюджет затрат (ориентир.)'!I26</f>
        <v>1E-4</v>
      </c>
      <c r="M13" s="136">
        <f>'Бюджет затрат (ориентир.)'!J26</f>
        <v>0</v>
      </c>
      <c r="N13" s="136">
        <f>'Бюджет затрат (ориентир.)'!K26</f>
        <v>1E-4</v>
      </c>
      <c r="O13" s="136">
        <f>'Бюджет затрат (ориентир.)'!L26</f>
        <v>0</v>
      </c>
      <c r="P13" s="137">
        <f>'Бюджет затрат (ориентир.)'!M26</f>
        <v>1.4E-3</v>
      </c>
    </row>
    <row r="14" spans="1:162" ht="14.15" hidden="1" customHeight="1" outlineLevel="1" x14ac:dyDescent="0.35">
      <c r="A14" s="135" t="s">
        <v>216</v>
      </c>
      <c r="B14" s="97" t="s">
        <v>144</v>
      </c>
      <c r="C14" s="127"/>
      <c r="D14" s="128"/>
      <c r="E14" s="136">
        <f>'Бюджет затрат (ориентир.)'!B27</f>
        <v>0</v>
      </c>
      <c r="F14" s="136">
        <f>'Бюджет затрат (ориентир.)'!C27</f>
        <v>0</v>
      </c>
      <c r="G14" s="136">
        <f>'Бюджет затрат (ориентир.)'!D27</f>
        <v>0</v>
      </c>
      <c r="H14" s="136">
        <f>'Бюджет затрат (ориентир.)'!E27</f>
        <v>0</v>
      </c>
      <c r="I14" s="136">
        <f>'Бюджет затрат (ориентир.)'!F27</f>
        <v>0</v>
      </c>
      <c r="J14" s="136">
        <f>'Бюджет затрат (ориентир.)'!G27</f>
        <v>0</v>
      </c>
      <c r="K14" s="136">
        <f>'Бюджет затрат (ориентир.)'!H27</f>
        <v>0</v>
      </c>
      <c r="L14" s="136">
        <f>'Бюджет затрат (ориентир.)'!I27</f>
        <v>0</v>
      </c>
      <c r="M14" s="136">
        <f>'Бюджет затрат (ориентир.)'!J27</f>
        <v>0</v>
      </c>
      <c r="N14" s="136">
        <f>'Бюджет затрат (ориентир.)'!K27</f>
        <v>5.9999999999999995E-4</v>
      </c>
      <c r="O14" s="136">
        <f>'Бюджет затрат (ориентир.)'!L27</f>
        <v>0</v>
      </c>
      <c r="P14" s="137">
        <f>'Бюджет затрат (ориентир.)'!M27</f>
        <v>0</v>
      </c>
    </row>
    <row r="15" spans="1:162" ht="14.15" hidden="1" customHeight="1" outlineLevel="1" x14ac:dyDescent="0.35">
      <c r="A15" s="135" t="s">
        <v>217</v>
      </c>
      <c r="B15" s="97" t="s">
        <v>145</v>
      </c>
      <c r="C15" s="127"/>
      <c r="D15" s="128"/>
      <c r="E15" s="136">
        <f>'Бюджет затрат (ориентир.)'!B28</f>
        <v>0</v>
      </c>
      <c r="F15" s="136">
        <f>'Бюджет затрат (ориентир.)'!C28</f>
        <v>0</v>
      </c>
      <c r="G15" s="136">
        <f>'Бюджет затрат (ориентир.)'!D28</f>
        <v>0</v>
      </c>
      <c r="H15" s="136">
        <f>'Бюджет затрат (ориентир.)'!E28</f>
        <v>0</v>
      </c>
      <c r="I15" s="136">
        <f>'Бюджет затрат (ориентир.)'!F28</f>
        <v>0</v>
      </c>
      <c r="J15" s="136">
        <f>'Бюджет затрат (ориентир.)'!G28</f>
        <v>0</v>
      </c>
      <c r="K15" s="136">
        <f>'Бюджет затрат (ориентир.)'!H28</f>
        <v>0</v>
      </c>
      <c r="L15" s="136">
        <f>'Бюджет затрат (ориентир.)'!I28</f>
        <v>0</v>
      </c>
      <c r="M15" s="136">
        <f>'Бюджет затрат (ориентир.)'!J28</f>
        <v>0</v>
      </c>
      <c r="N15" s="136">
        <f>'Бюджет затрат (ориентир.)'!K28</f>
        <v>0</v>
      </c>
      <c r="O15" s="136">
        <f>'Бюджет затрат (ориентир.)'!L28</f>
        <v>0</v>
      </c>
      <c r="P15" s="137">
        <f>'Бюджет затрат (ориентир.)'!M28</f>
        <v>0</v>
      </c>
    </row>
    <row r="16" spans="1:162" ht="14.15" hidden="1" customHeight="1" outlineLevel="1" x14ac:dyDescent="0.35">
      <c r="A16" s="135" t="s">
        <v>218</v>
      </c>
      <c r="B16" s="97" t="s">
        <v>146</v>
      </c>
      <c r="C16" s="127"/>
      <c r="D16" s="128"/>
      <c r="E16" s="136">
        <f>'Бюджет затрат (ориентир.)'!B29</f>
        <v>0</v>
      </c>
      <c r="F16" s="136">
        <f>'Бюджет затрат (ориентир.)'!C29</f>
        <v>0</v>
      </c>
      <c r="G16" s="136">
        <f>'Бюджет затрат (ориентир.)'!D29</f>
        <v>0</v>
      </c>
      <c r="H16" s="136">
        <f>'Бюджет затрат (ориентир.)'!E29</f>
        <v>0</v>
      </c>
      <c r="I16" s="136">
        <f>'Бюджет затрат (ориентир.)'!F29</f>
        <v>0</v>
      </c>
      <c r="J16" s="136">
        <f>'Бюджет затрат (ориентир.)'!G29</f>
        <v>0</v>
      </c>
      <c r="K16" s="136">
        <f>'Бюджет затрат (ориентир.)'!H29</f>
        <v>0</v>
      </c>
      <c r="L16" s="136">
        <f>'Бюджет затрат (ориентир.)'!I29</f>
        <v>0</v>
      </c>
      <c r="M16" s="136">
        <f>'Бюджет затрат (ориентир.)'!J29</f>
        <v>0</v>
      </c>
      <c r="N16" s="136">
        <f>'Бюджет затрат (ориентир.)'!K29</f>
        <v>0</v>
      </c>
      <c r="O16" s="136">
        <f>'Бюджет затрат (ориентир.)'!L29</f>
        <v>0</v>
      </c>
      <c r="P16" s="137">
        <f>'Бюджет затрат (ориентир.)'!M29</f>
        <v>0</v>
      </c>
    </row>
    <row r="17" spans="1:16" ht="14.15" hidden="1" customHeight="1" outlineLevel="1" x14ac:dyDescent="0.35">
      <c r="A17" s="135" t="s">
        <v>219</v>
      </c>
      <c r="B17" s="97" t="s">
        <v>147</v>
      </c>
      <c r="C17" s="127"/>
      <c r="D17" s="128"/>
      <c r="E17" s="136">
        <f>'Бюджет затрат (ориентир.)'!B30</f>
        <v>0</v>
      </c>
      <c r="F17" s="136">
        <f>'Бюджет затрат (ориентир.)'!C30</f>
        <v>0</v>
      </c>
      <c r="G17" s="136">
        <f>'Бюджет затрат (ориентир.)'!D30</f>
        <v>0</v>
      </c>
      <c r="H17" s="136">
        <f>'Бюджет затрат (ориентир.)'!E30</f>
        <v>0</v>
      </c>
      <c r="I17" s="136">
        <f>'Бюджет затрат (ориентир.)'!F30</f>
        <v>0</v>
      </c>
      <c r="J17" s="136">
        <f>'Бюджет затрат (ориентир.)'!G30</f>
        <v>0</v>
      </c>
      <c r="K17" s="136">
        <f>'Бюджет затрат (ориентир.)'!H30</f>
        <v>0</v>
      </c>
      <c r="L17" s="136">
        <f>'Бюджет затрат (ориентир.)'!I30</f>
        <v>0</v>
      </c>
      <c r="M17" s="136">
        <f>'Бюджет затрат (ориентир.)'!J30</f>
        <v>0</v>
      </c>
      <c r="N17" s="136">
        <f>'Бюджет затрат (ориентир.)'!K30</f>
        <v>0</v>
      </c>
      <c r="O17" s="136">
        <f>'Бюджет затрат (ориентир.)'!L30</f>
        <v>0</v>
      </c>
      <c r="P17" s="137">
        <f>'Бюджет затрат (ориентир.)'!M30</f>
        <v>0</v>
      </c>
    </row>
    <row r="18" spans="1:16" ht="14.15" hidden="1" customHeight="1" outlineLevel="1" x14ac:dyDescent="0.35">
      <c r="A18" s="135" t="s">
        <v>220</v>
      </c>
      <c r="B18" s="138" t="s">
        <v>148</v>
      </c>
      <c r="C18" s="127"/>
      <c r="D18" s="128"/>
      <c r="E18" s="136">
        <f>'Бюджет затрат (ориентир.)'!B31</f>
        <v>0</v>
      </c>
      <c r="F18" s="136">
        <f>'Бюджет затрат (ориентир.)'!C31</f>
        <v>0</v>
      </c>
      <c r="G18" s="136">
        <f>'Бюджет затрат (ориентир.)'!D31</f>
        <v>0</v>
      </c>
      <c r="H18" s="136">
        <f>'Бюджет затрат (ориентир.)'!E31</f>
        <v>0</v>
      </c>
      <c r="I18" s="136">
        <f>'Бюджет затрат (ориентир.)'!F31</f>
        <v>0</v>
      </c>
      <c r="J18" s="136">
        <f>'Бюджет затрат (ориентир.)'!G31</f>
        <v>0</v>
      </c>
      <c r="K18" s="136">
        <f>'Бюджет затрат (ориентир.)'!H31</f>
        <v>0</v>
      </c>
      <c r="L18" s="136">
        <f>'Бюджет затрат (ориентир.)'!I31</f>
        <v>0</v>
      </c>
      <c r="M18" s="136">
        <f>'Бюджет затрат (ориентир.)'!J31</f>
        <v>2.0000000000000001E-4</v>
      </c>
      <c r="N18" s="136">
        <f>'Бюджет затрат (ориентир.)'!K31</f>
        <v>0</v>
      </c>
      <c r="O18" s="136">
        <f>'Бюджет затрат (ориентир.)'!L31</f>
        <v>0</v>
      </c>
      <c r="P18" s="137">
        <v>0</v>
      </c>
    </row>
    <row r="19" spans="1:16" ht="14.15" customHeight="1" collapsed="1" x14ac:dyDescent="0.35">
      <c r="A19" s="120" t="s">
        <v>211</v>
      </c>
      <c r="B19" s="89" t="s">
        <v>489</v>
      </c>
      <c r="C19" s="127">
        <f t="shared" si="3"/>
        <v>28875.989999999998</v>
      </c>
      <c r="D19" s="128">
        <f t="shared" si="1"/>
        <v>2.2828313253012047E-3</v>
      </c>
      <c r="E19" s="129">
        <f>E3*SUM(E20:E24)*Операционный!D66</f>
        <v>0</v>
      </c>
      <c r="F19" s="129">
        <f>F3*SUM(F20:F24)*Операционный!E66</f>
        <v>0</v>
      </c>
      <c r="G19" s="129">
        <f>G3*SUM(G20:G24)*Операционный!F66</f>
        <v>7556.5</v>
      </c>
      <c r="H19" s="129">
        <f>H3*SUM(H20:H24)*Операционный!G66</f>
        <v>4699</v>
      </c>
      <c r="I19" s="129">
        <f>I3*SUM(I20:I24)*Операционный!H66</f>
        <v>2336.8000000000002</v>
      </c>
      <c r="J19" s="129">
        <f>J3*SUM(J20:J24)*Операционный!I66</f>
        <v>226.06</v>
      </c>
      <c r="K19" s="129">
        <f>K3*SUM(K20:K24)*Операционный!J66</f>
        <v>1215.3899999999999</v>
      </c>
      <c r="L19" s="129">
        <f>L3*SUM(L20:L24)*Операционный!K66</f>
        <v>1120.1400000000001</v>
      </c>
      <c r="M19" s="129">
        <f>M3*SUM(M20:M24)*Операционный!L66</f>
        <v>2921</v>
      </c>
      <c r="N19" s="129">
        <f>N3*SUM(N20:N24)*Операционный!M66</f>
        <v>603.25</v>
      </c>
      <c r="O19" s="129">
        <f>O3*SUM(O20:O24)*Операционный!N66</f>
        <v>5657.85</v>
      </c>
      <c r="P19" s="130">
        <f>P3*SUM(P20:P24)*Операционный!O66</f>
        <v>2540</v>
      </c>
    </row>
    <row r="20" spans="1:16" ht="14.15" hidden="1" customHeight="1" outlineLevel="1" x14ac:dyDescent="0.35">
      <c r="A20" s="135" t="s">
        <v>221</v>
      </c>
      <c r="B20" s="138" t="s">
        <v>149</v>
      </c>
      <c r="C20" s="127"/>
      <c r="D20" s="128"/>
      <c r="E20" s="139">
        <f>'Бюджет затрат (ориентир.)'!B36</f>
        <v>0</v>
      </c>
      <c r="F20" s="139">
        <f>'Бюджет затрат (ориентир.)'!C36</f>
        <v>1.2999999999999999E-3</v>
      </c>
      <c r="G20" s="139">
        <f>'Бюджет затрат (ориентир.)'!D36</f>
        <v>3.7000000000000002E-3</v>
      </c>
      <c r="H20" s="139">
        <f>'Бюджет затрат (ориентир.)'!E36</f>
        <v>8.0000000000000004E-4</v>
      </c>
      <c r="I20" s="139">
        <f>'Бюджет затрат (ориентир.)'!F36</f>
        <v>4.0000000000000002E-4</v>
      </c>
      <c r="J20" s="139">
        <f>'Бюджет затрат (ориентир.)'!G36</f>
        <v>1E-4</v>
      </c>
      <c r="K20" s="139">
        <f>'Бюджет затрат (ориентир.)'!H36</f>
        <v>5.0000000000000001E-4</v>
      </c>
      <c r="L20" s="139">
        <f>'Бюджет затрат (ориентир.)'!I36</f>
        <v>4.0000000000000002E-4</v>
      </c>
      <c r="M20" s="139">
        <f>'Бюджет затрат (ориентир.)'!J36</f>
        <v>8.9999999999999998E-4</v>
      </c>
      <c r="N20" s="139">
        <f>'Бюджет затрат (ориентир.)'!K36</f>
        <v>4.0000000000000002E-4</v>
      </c>
      <c r="O20" s="139">
        <f>'Бюджет затрат (ориентир.)'!L36</f>
        <v>1.5E-3</v>
      </c>
      <c r="P20" s="140">
        <f>'Бюджет затрат (ориентир.)'!M36</f>
        <v>1E-3</v>
      </c>
    </row>
    <row r="21" spans="1:16" ht="14.15" hidden="1" customHeight="1" outlineLevel="1" x14ac:dyDescent="0.35">
      <c r="A21" s="135" t="s">
        <v>222</v>
      </c>
      <c r="B21" s="138" t="s">
        <v>150</v>
      </c>
      <c r="C21" s="127"/>
      <c r="D21" s="128"/>
      <c r="E21" s="139">
        <f>'Бюджет затрат (ориентир.)'!B37</f>
        <v>0</v>
      </c>
      <c r="F21" s="139">
        <f>'Бюджет затрат (ориентир.)'!C37</f>
        <v>1E-4</v>
      </c>
      <c r="G21" s="139">
        <f>'Бюджет затрат (ориентир.)'!D37</f>
        <v>1E-4</v>
      </c>
      <c r="H21" s="139">
        <f>'Бюджет затрат (ориентир.)'!E37</f>
        <v>2.0000000000000001E-4</v>
      </c>
      <c r="I21" s="139">
        <f>'Бюджет затрат (ориентир.)'!F37</f>
        <v>1E-4</v>
      </c>
      <c r="J21" s="139">
        <f>'Бюджет затрат (ориентир.)'!G37</f>
        <v>0</v>
      </c>
      <c r="K21" s="139">
        <f>'Бюджет затрат (ориентир.)'!H37</f>
        <v>0</v>
      </c>
      <c r="L21" s="139">
        <f>'Бюджет затрат (ориентир.)'!I37</f>
        <v>0</v>
      </c>
      <c r="M21" s="139">
        <f>'Бюджет затрат (ориентир.)'!J37</f>
        <v>1E-4</v>
      </c>
      <c r="N21" s="139">
        <f>'Бюджет затрат (ориентир.)'!K37</f>
        <v>0</v>
      </c>
      <c r="O21" s="139">
        <f>'Бюджет затрат (ориентир.)'!L37</f>
        <v>5.9999999999999995E-4</v>
      </c>
      <c r="P21" s="140">
        <f>'Бюджет затрат (ориентир.)'!M37</f>
        <v>1E-4</v>
      </c>
    </row>
    <row r="22" spans="1:16" ht="14.15" hidden="1" customHeight="1" outlineLevel="1" x14ac:dyDescent="0.35">
      <c r="A22" s="135" t="s">
        <v>223</v>
      </c>
      <c r="B22" s="138" t="s">
        <v>151</v>
      </c>
      <c r="C22" s="127"/>
      <c r="D22" s="128"/>
      <c r="E22" s="139">
        <f>'Бюджет затрат (ориентир.)'!B38</f>
        <v>1E-4</v>
      </c>
      <c r="F22" s="139">
        <f>'Бюджет затрат (ориентир.)'!C38</f>
        <v>5.0000000000000001E-4</v>
      </c>
      <c r="G22" s="139">
        <f>'Бюджет затрат (ориентир.)'!D38</f>
        <v>0</v>
      </c>
      <c r="H22" s="139">
        <f>'Бюджет затрат (ориентир.)'!E38</f>
        <v>2.9999999999999997E-4</v>
      </c>
      <c r="I22" s="139">
        <f>'Бюджет затрат (ориентир.)'!F38</f>
        <v>6.9999999999999999E-4</v>
      </c>
      <c r="J22" s="139">
        <f>'Бюджет затрат (ориентир.)'!G38</f>
        <v>0</v>
      </c>
      <c r="K22" s="139">
        <f>'Бюджет затрат (ориентир.)'!H38</f>
        <v>0</v>
      </c>
      <c r="L22" s="139">
        <f>'Бюджет затрат (ориентир.)'!I38</f>
        <v>4.0000000000000002E-4</v>
      </c>
      <c r="M22" s="139">
        <f>'Бюджет затрат (ориентир.)'!J38</f>
        <v>5.0000000000000001E-4</v>
      </c>
      <c r="N22" s="139">
        <f>'Бюджет затрат (ориентир.)'!K38</f>
        <v>1E-4</v>
      </c>
      <c r="O22" s="139">
        <f>'Бюджет затрат (ориентир.)'!L38</f>
        <v>4.0000000000000002E-4</v>
      </c>
      <c r="P22" s="140">
        <f>'Бюджет затрат (ориентир.)'!M38</f>
        <v>2.9999999999999997E-4</v>
      </c>
    </row>
    <row r="23" spans="1:16" ht="14.15" hidden="1" customHeight="1" outlineLevel="1" x14ac:dyDescent="0.35">
      <c r="A23" s="135" t="s">
        <v>224</v>
      </c>
      <c r="B23" s="138" t="s">
        <v>152</v>
      </c>
      <c r="C23" s="127"/>
      <c r="D23" s="128"/>
      <c r="E23" s="139">
        <f>'Бюджет затрат (ориентир.)'!B39</f>
        <v>0</v>
      </c>
      <c r="F23" s="139">
        <f>'Бюджет затрат (ориентир.)'!C39</f>
        <v>0</v>
      </c>
      <c r="G23" s="139">
        <f>'Бюджет затрат (ориентир.)'!D39</f>
        <v>0</v>
      </c>
      <c r="H23" s="139">
        <f>'Бюджет затрат (ориентир.)'!E39</f>
        <v>0</v>
      </c>
      <c r="I23" s="139">
        <f>'Бюджет затрат (ориентир.)'!F39</f>
        <v>0</v>
      </c>
      <c r="J23" s="139">
        <f>'Бюджет затрат (ориентир.)'!G39</f>
        <v>0</v>
      </c>
      <c r="K23" s="139">
        <f>'Бюджет затрат (ориентир.)'!H39</f>
        <v>0</v>
      </c>
      <c r="L23" s="139">
        <f>'Бюджет затрат (ориентир.)'!I39</f>
        <v>0</v>
      </c>
      <c r="M23" s="139">
        <f>'Бюджет затрат (ориентир.)'!J39</f>
        <v>1E-3</v>
      </c>
      <c r="N23" s="139">
        <f>'Бюджет затрат (ориентир.)'!K39</f>
        <v>0</v>
      </c>
      <c r="O23" s="139">
        <f>'Бюджет затрат (ориентир.)'!L39</f>
        <v>0</v>
      </c>
      <c r="P23" s="140">
        <f>'Бюджет затрат (ориентир.)'!M39</f>
        <v>0</v>
      </c>
    </row>
    <row r="24" spans="1:16" ht="14.15" hidden="1" customHeight="1" outlineLevel="1" x14ac:dyDescent="0.35">
      <c r="A24" s="135" t="s">
        <v>225</v>
      </c>
      <c r="B24" s="138" t="s">
        <v>153</v>
      </c>
      <c r="C24" s="127"/>
      <c r="D24" s="128"/>
      <c r="E24" s="139">
        <f>'Бюджет затрат (ориентир.)'!B40</f>
        <v>4.4999999999999997E-3</v>
      </c>
      <c r="F24" s="139">
        <f>'Бюджет затрат (ориентир.)'!C40</f>
        <v>5.9999999999999995E-4</v>
      </c>
      <c r="G24" s="139">
        <f>'Бюджет затрат (ориентир.)'!D40</f>
        <v>1.1999999999999999E-3</v>
      </c>
      <c r="H24" s="139">
        <f>'Бюджет затрат (ориентир.)'!E40</f>
        <v>2.3999999999999998E-3</v>
      </c>
      <c r="I24" s="139">
        <f>'Бюджет затрат (ориентир.)'!F40</f>
        <v>8.0000000000000004E-4</v>
      </c>
      <c r="J24" s="139">
        <f>'Бюджет затрат (ориентир.)'!G40</f>
        <v>1E-4</v>
      </c>
      <c r="K24" s="139">
        <f>'Бюджет затрат (ориентир.)'!H40</f>
        <v>5.9999999999999995E-4</v>
      </c>
      <c r="L24" s="139">
        <f>'Бюджет затрат (ориентир.)'!I40</f>
        <v>1E-4</v>
      </c>
      <c r="M24" s="139">
        <f>'Бюджет затрат (ориентир.)'!J40</f>
        <v>0</v>
      </c>
      <c r="N24" s="139">
        <f>'Бюджет затрат (ориентир.)'!K40</f>
        <v>0</v>
      </c>
      <c r="O24" s="139">
        <f>'Бюджет затрат (ориентир.)'!L40</f>
        <v>2E-3</v>
      </c>
      <c r="P24" s="140">
        <f>'Бюджет затрат (ориентир.)'!M40</f>
        <v>2.0000000000000001E-4</v>
      </c>
    </row>
    <row r="25" spans="1:16" ht="14.15" customHeight="1" collapsed="1" x14ac:dyDescent="0.35">
      <c r="A25" s="120" t="s">
        <v>226</v>
      </c>
      <c r="B25" s="91" t="s">
        <v>430</v>
      </c>
      <c r="C25" s="127">
        <f t="shared" si="3"/>
        <v>171484.29</v>
      </c>
      <c r="D25" s="128">
        <f t="shared" si="1"/>
        <v>1.3556927710843374E-2</v>
      </c>
      <c r="E25" s="141">
        <f>E3*'Бюджет затрат (ориентир.)'!B45</f>
        <v>0</v>
      </c>
      <c r="F25" s="141">
        <f>F3*'Бюджет затрат (ориентир.)'!C45</f>
        <v>0</v>
      </c>
      <c r="G25" s="141">
        <f>G3*'Бюджет затрат (ориентир.)'!D45</f>
        <v>17379.95</v>
      </c>
      <c r="H25" s="141">
        <f>H3*'Бюджет затрат (ориентир.)'!E45</f>
        <v>17145</v>
      </c>
      <c r="I25" s="141">
        <f>I3*'Бюджет затрат (ориентир.)'!F45</f>
        <v>18460.72</v>
      </c>
      <c r="J25" s="141">
        <f>J3*'Бюджет затрат (ориентир.)'!G45</f>
        <v>18084.8</v>
      </c>
      <c r="K25" s="141">
        <f>K3*'Бюджет затрат (ориентир.)'!H45</f>
        <v>16683.990000000002</v>
      </c>
      <c r="L25" s="141">
        <f>L3*'Бюджет затрат (ориентир.)'!I45</f>
        <v>17673.32</v>
      </c>
      <c r="M25" s="141">
        <f>M3*'Бюджет затрат (ориентир.)'!J45</f>
        <v>13436.6</v>
      </c>
      <c r="N25" s="141">
        <f>N3*'Бюджет затрат (ориентир.)'!K45</f>
        <v>16167.1</v>
      </c>
      <c r="O25" s="141">
        <f>O3*'Бюджет затрат (ориентир.)'!L45</f>
        <v>15339.060000000001</v>
      </c>
      <c r="P25" s="142">
        <f>P3*'Бюджет затрат (ориентир.)'!M45</f>
        <v>21113.75</v>
      </c>
    </row>
    <row r="26" spans="1:16" ht="14.15" customHeight="1" x14ac:dyDescent="0.35">
      <c r="A26" s="120" t="s">
        <v>227</v>
      </c>
      <c r="B26" s="89" t="s">
        <v>467</v>
      </c>
      <c r="C26" s="127">
        <f t="shared" si="3"/>
        <v>442722.00000000006</v>
      </c>
      <c r="D26" s="128">
        <f t="shared" si="1"/>
        <v>3.5000000000000003E-2</v>
      </c>
      <c r="E26" s="129">
        <f>E3*'Бюджет затрат (ориентир.)'!B117</f>
        <v>0</v>
      </c>
      <c r="F26" s="129">
        <f>F3*'Бюджет затрат (ориентир.)'!B117</f>
        <v>0</v>
      </c>
      <c r="G26" s="129">
        <f>G3*'Бюджет затрат (ориентир.)'!B117</f>
        <v>52895.500000000007</v>
      </c>
      <c r="H26" s="129">
        <f>H3*'Бюджет затрат (ориентир.)'!B117</f>
        <v>44450.000000000007</v>
      </c>
      <c r="I26" s="129">
        <f>I3*'Бюджет затрат (ориентир.)'!B117</f>
        <v>40894.000000000007</v>
      </c>
      <c r="J26" s="129">
        <f>J3*'Бюджет затрат (ориентир.)'!B117</f>
        <v>39560.500000000007</v>
      </c>
      <c r="K26" s="129">
        <f>K3*'Бюджет затрат (ориентир.)'!B117</f>
        <v>38671.500000000007</v>
      </c>
      <c r="L26" s="129">
        <f>L3*'Бюджет затрат (ориентир.)'!B117</f>
        <v>43561.000000000007</v>
      </c>
      <c r="M26" s="129">
        <f>M3*'Бюджет затрат (ориентир.)'!B117</f>
        <v>40894.000000000007</v>
      </c>
      <c r="N26" s="129">
        <f>N3*'Бюджет затрат (ориентир.)'!B117</f>
        <v>42227.500000000007</v>
      </c>
      <c r="O26" s="129">
        <f>O3*'Бюджет затрат (ориентир.)'!B117</f>
        <v>44005.500000000007</v>
      </c>
      <c r="P26" s="130">
        <f>P3*'Бюджет затрат (ориентир.)'!B117</f>
        <v>55562.500000000007</v>
      </c>
    </row>
    <row r="27" spans="1:16" ht="14.15" customHeight="1" x14ac:dyDescent="0.35">
      <c r="A27" s="120" t="s">
        <v>228</v>
      </c>
      <c r="B27" s="89" t="s">
        <v>431</v>
      </c>
      <c r="C27" s="127">
        <f t="shared" si="3"/>
        <v>223367.59999999998</v>
      </c>
      <c r="D27" s="128">
        <f t="shared" si="1"/>
        <v>1.7658634538152609E-2</v>
      </c>
      <c r="E27" s="129">
        <f>E3*SUM(E28:E42)</f>
        <v>0</v>
      </c>
      <c r="F27" s="129">
        <f>F3*SUM(F28:F42)</f>
        <v>0</v>
      </c>
      <c r="G27" s="129">
        <f>G3*SUM(G28:G42)</f>
        <v>25238.71</v>
      </c>
      <c r="H27" s="129">
        <f>H3*SUM(H28:H42)</f>
        <v>27051</v>
      </c>
      <c r="I27" s="129">
        <f>I3*SUM(I28:I42)</f>
        <v>20446.999999999996</v>
      </c>
      <c r="J27" s="129">
        <f>J3*SUM(J28:J42)</f>
        <v>18310.86</v>
      </c>
      <c r="K27" s="129">
        <f>K3*SUM(K28:K42)</f>
        <v>18341.34</v>
      </c>
      <c r="L27" s="129">
        <f>L3*SUM(L28:L42)</f>
        <v>17299.939999999999</v>
      </c>
      <c r="M27" s="129">
        <f>M3*SUM(M28:M42)</f>
        <v>25003.760000000002</v>
      </c>
      <c r="N27" s="129">
        <f>N3*SUM(N28:N42)</f>
        <v>24371.3</v>
      </c>
      <c r="O27" s="129">
        <f>O3*SUM(O28:O42)</f>
        <v>22379.94</v>
      </c>
      <c r="P27" s="130">
        <f>P3*SUM(P28:P42)</f>
        <v>24923.749999999996</v>
      </c>
    </row>
    <row r="28" spans="1:16" ht="14.15" hidden="1" customHeight="1" outlineLevel="1" x14ac:dyDescent="0.35">
      <c r="A28" s="135" t="s">
        <v>187</v>
      </c>
      <c r="B28" s="97" t="s">
        <v>154</v>
      </c>
      <c r="C28" s="127"/>
      <c r="D28" s="128"/>
      <c r="E28" s="136">
        <f>'Бюджет затрат (ориентир.)'!B55</f>
        <v>0</v>
      </c>
      <c r="F28" s="136">
        <f>'Бюджет затрат (ориентир.)'!C55</f>
        <v>4.0000000000000002E-4</v>
      </c>
      <c r="G28" s="136">
        <f>'Бюджет затрат (ориентир.)'!D55</f>
        <v>4.0000000000000002E-4</v>
      </c>
      <c r="H28" s="136">
        <f>'Бюджет затрат (ориентир.)'!E55</f>
        <v>2.2000000000000001E-3</v>
      </c>
      <c r="I28" s="136">
        <f>'Бюджет затрат (ориентир.)'!F55</f>
        <v>4.0000000000000002E-4</v>
      </c>
      <c r="J28" s="136">
        <f>'Бюджет затрат (ориентир.)'!G55</f>
        <v>2.2000000000000001E-3</v>
      </c>
      <c r="K28" s="136">
        <f>'Бюджет затрат (ориентир.)'!H55</f>
        <v>4.0000000000000002E-4</v>
      </c>
      <c r="L28" s="136">
        <f>'Бюджет затрат (ориентир.)'!I55</f>
        <v>2.9999999999999997E-4</v>
      </c>
      <c r="M28" s="136">
        <f>'Бюджет затрат (ориентир.)'!J55</f>
        <v>4.0000000000000002E-4</v>
      </c>
      <c r="N28" s="136">
        <f>'Бюджет затрат (ориентир.)'!K55</f>
        <v>6.9999999999999999E-4</v>
      </c>
      <c r="O28" s="136">
        <f>'Бюджет затрат (ориентир.)'!L55</f>
        <v>4.0000000000000002E-4</v>
      </c>
      <c r="P28" s="137">
        <f>'Бюджет затрат (ориентир.)'!M55</f>
        <v>6.9999999999999999E-4</v>
      </c>
    </row>
    <row r="29" spans="1:16" ht="14.15" hidden="1" customHeight="1" outlineLevel="1" x14ac:dyDescent="0.35">
      <c r="A29" s="135" t="s">
        <v>189</v>
      </c>
      <c r="B29" s="97" t="s">
        <v>155</v>
      </c>
      <c r="C29" s="127"/>
      <c r="D29" s="128"/>
      <c r="E29" s="136">
        <f>'Бюджет затрат (ориентир.)'!B56</f>
        <v>2.9999999999999997E-4</v>
      </c>
      <c r="F29" s="136">
        <f>'Бюджет затрат (ориентир.)'!C56</f>
        <v>0</v>
      </c>
      <c r="G29" s="136">
        <f>'Бюджет затрат (ориентир.)'!D56</f>
        <v>0</v>
      </c>
      <c r="H29" s="136">
        <f>'Бюджет затрат (ориентир.)'!E56</f>
        <v>1E-4</v>
      </c>
      <c r="I29" s="136">
        <f>'Бюджет затрат (ориентир.)'!F56</f>
        <v>0</v>
      </c>
      <c r="J29" s="136">
        <f>'Бюджет затрат (ориентир.)'!G56</f>
        <v>0</v>
      </c>
      <c r="K29" s="136">
        <f>'Бюджет затрат (ориентир.)'!H56</f>
        <v>0</v>
      </c>
      <c r="L29" s="136">
        <f>'Бюджет затрат (ориентир.)'!I56</f>
        <v>0</v>
      </c>
      <c r="M29" s="136">
        <f>'Бюджет затрат (ориентир.)'!J56</f>
        <v>0</v>
      </c>
      <c r="N29" s="136">
        <f>'Бюджет затрат (ориентир.)'!K56</f>
        <v>0</v>
      </c>
      <c r="O29" s="136">
        <f>'Бюджет затрат (ориентир.)'!L56</f>
        <v>0</v>
      </c>
      <c r="P29" s="137">
        <f>'Бюджет затрат (ориентир.)'!M56</f>
        <v>0</v>
      </c>
    </row>
    <row r="30" spans="1:16" ht="14.15" hidden="1" customHeight="1" outlineLevel="1" x14ac:dyDescent="0.35">
      <c r="A30" s="135" t="s">
        <v>188</v>
      </c>
      <c r="B30" s="97" t="s">
        <v>156</v>
      </c>
      <c r="C30" s="127"/>
      <c r="D30" s="128"/>
      <c r="E30" s="136">
        <f>'Бюджет затрат (ориентир.)'!B57</f>
        <v>2.0000000000000001E-4</v>
      </c>
      <c r="F30" s="136">
        <f>'Бюджет затрат (ориентир.)'!C57</f>
        <v>5.0000000000000001E-4</v>
      </c>
      <c r="G30" s="136">
        <f>'Бюджет затрат (ориентир.)'!D57</f>
        <v>2.9999999999999997E-4</v>
      </c>
      <c r="H30" s="136">
        <f>'Бюджет затрат (ориентир.)'!E57</f>
        <v>1E-4</v>
      </c>
      <c r="I30" s="136">
        <f>'Бюджет затрат (ориентир.)'!F57</f>
        <v>2.9999999999999997E-4</v>
      </c>
      <c r="J30" s="136">
        <f>'Бюджет затрат (ориентир.)'!G57</f>
        <v>0</v>
      </c>
      <c r="K30" s="136">
        <f>'Бюджет затрат (ориентир.)'!H57</f>
        <v>5.0000000000000001E-4</v>
      </c>
      <c r="L30" s="136">
        <f>'Бюджет затрат (ориентир.)'!I57</f>
        <v>1E-4</v>
      </c>
      <c r="M30" s="136">
        <f>'Бюджет затрат (ориентир.)'!J57</f>
        <v>0</v>
      </c>
      <c r="N30" s="136">
        <f>'Бюджет затрат (ориентир.)'!K57</f>
        <v>0</v>
      </c>
      <c r="O30" s="136">
        <f>'Бюджет затрат (ориентир.)'!L57</f>
        <v>2.9999999999999997E-4</v>
      </c>
      <c r="P30" s="137">
        <f>'Бюджет затрат (ориентир.)'!M57</f>
        <v>1E-4</v>
      </c>
    </row>
    <row r="31" spans="1:16" ht="14.15" hidden="1" customHeight="1" outlineLevel="1" x14ac:dyDescent="0.35">
      <c r="A31" s="135" t="s">
        <v>190</v>
      </c>
      <c r="B31" s="97" t="s">
        <v>157</v>
      </c>
      <c r="C31" s="127"/>
      <c r="D31" s="128"/>
      <c r="E31" s="136">
        <f>'Бюджет затрат (ориентир.)'!B58</f>
        <v>0</v>
      </c>
      <c r="F31" s="136">
        <f>'Бюджет затрат (ориентир.)'!C58</f>
        <v>0</v>
      </c>
      <c r="G31" s="136">
        <f>'Бюджет затрат (ориентир.)'!D58</f>
        <v>0</v>
      </c>
      <c r="H31" s="136">
        <f>'Бюджет затрат (ориентир.)'!E58</f>
        <v>2.0000000000000001E-4</v>
      </c>
      <c r="I31" s="136">
        <f>'Бюджет затрат (ориентир.)'!F58</f>
        <v>0</v>
      </c>
      <c r="J31" s="136">
        <f>'Бюджет затрат (ориентир.)'!G58</f>
        <v>0</v>
      </c>
      <c r="K31" s="136">
        <f>'Бюджет затрат (ориентир.)'!H58</f>
        <v>0</v>
      </c>
      <c r="L31" s="136">
        <f>'Бюджет затрат (ориентир.)'!I58</f>
        <v>0</v>
      </c>
      <c r="M31" s="136">
        <f>'Бюджет затрат (ориентир.)'!J58</f>
        <v>0</v>
      </c>
      <c r="N31" s="136">
        <f>'Бюджет затрат (ориентир.)'!K58</f>
        <v>0</v>
      </c>
      <c r="O31" s="136">
        <f>'Бюджет затрат (ориентир.)'!L58</f>
        <v>0</v>
      </c>
      <c r="P31" s="137">
        <f>'Бюджет затрат (ориентир.)'!M58</f>
        <v>0</v>
      </c>
    </row>
    <row r="32" spans="1:16" ht="14.15" hidden="1" customHeight="1" outlineLevel="1" x14ac:dyDescent="0.35">
      <c r="A32" s="135" t="s">
        <v>191</v>
      </c>
      <c r="B32" s="97" t="s">
        <v>158</v>
      </c>
      <c r="C32" s="127"/>
      <c r="D32" s="128"/>
      <c r="E32" s="136">
        <f>'Бюджет затрат (ориентир.)'!B59</f>
        <v>0</v>
      </c>
      <c r="F32" s="136">
        <f>'Бюджет затрат (ориентир.)'!C59</f>
        <v>0</v>
      </c>
      <c r="G32" s="136">
        <f>'Бюджет затрат (ориентир.)'!D59</f>
        <v>2.9999999999999997E-4</v>
      </c>
      <c r="H32" s="136">
        <f>'Бюджет затрат (ориентир.)'!E59</f>
        <v>0</v>
      </c>
      <c r="I32" s="136">
        <f>'Бюджет затрат (ориентир.)'!F59</f>
        <v>0</v>
      </c>
      <c r="J32" s="136">
        <f>'Бюджет затрат (ориентир.)'!G59</f>
        <v>0</v>
      </c>
      <c r="K32" s="136">
        <f>'Бюджет затрат (ориентир.)'!H59</f>
        <v>0</v>
      </c>
      <c r="L32" s="136">
        <f>'Бюджет затрат (ориентир.)'!I59</f>
        <v>0</v>
      </c>
      <c r="M32" s="136">
        <f>'Бюджет затрат (ориентир.)'!J59</f>
        <v>0</v>
      </c>
      <c r="N32" s="136">
        <f>'Бюджет затрат (ориентир.)'!K59</f>
        <v>1E-4</v>
      </c>
      <c r="O32" s="136">
        <f>'Бюджет затрат (ориентир.)'!L59</f>
        <v>0</v>
      </c>
      <c r="P32" s="137">
        <f>'Бюджет затрат (ориентир.)'!M59</f>
        <v>2.9999999999999997E-4</v>
      </c>
    </row>
    <row r="33" spans="1:16" ht="14.15" hidden="1" customHeight="1" outlineLevel="1" x14ac:dyDescent="0.35">
      <c r="A33" s="135" t="s">
        <v>229</v>
      </c>
      <c r="B33" s="97" t="s">
        <v>159</v>
      </c>
      <c r="C33" s="127"/>
      <c r="D33" s="128"/>
      <c r="E33" s="136">
        <f>'Бюджет затрат (ориентир.)'!B60</f>
        <v>2.0000000000000001E-4</v>
      </c>
      <c r="F33" s="136">
        <f>'Бюджет затрат (ориентир.)'!C60</f>
        <v>2.0000000000000001E-4</v>
      </c>
      <c r="G33" s="136">
        <f>'Бюджет затрат (ориентир.)'!D60</f>
        <v>8.9999999999999998E-4</v>
      </c>
      <c r="H33" s="136">
        <f>'Бюджет затрат (ориентир.)'!E60</f>
        <v>1E-3</v>
      </c>
      <c r="I33" s="136">
        <f>'Бюджет затрат (ориентир.)'!F60</f>
        <v>2.0000000000000001E-4</v>
      </c>
      <c r="J33" s="136">
        <f>'Бюджет затрат (ориентир.)'!G60</f>
        <v>2.9999999999999997E-4</v>
      </c>
      <c r="K33" s="136">
        <f>'Бюджет затрат (ориентир.)'!H60</f>
        <v>1.8E-3</v>
      </c>
      <c r="L33" s="136">
        <f>'Бюджет затрат (ориентир.)'!I60</f>
        <v>6.9999999999999999E-4</v>
      </c>
      <c r="M33" s="136">
        <f>'Бюджет затрат (ориентир.)'!J60</f>
        <v>1E-4</v>
      </c>
      <c r="N33" s="136">
        <f>'Бюджет затрат (ориентир.)'!K60</f>
        <v>1.5E-3</v>
      </c>
      <c r="O33" s="136">
        <f>'Бюджет затрат (ориентир.)'!L60</f>
        <v>2.9999999999999997E-4</v>
      </c>
      <c r="P33" s="137">
        <f>'Бюджет затрат (ориентир.)'!M60</f>
        <v>4.0000000000000002E-4</v>
      </c>
    </row>
    <row r="34" spans="1:16" ht="14.15" hidden="1" customHeight="1" outlineLevel="1" x14ac:dyDescent="0.35">
      <c r="A34" s="135" t="s">
        <v>230</v>
      </c>
      <c r="B34" s="97" t="s">
        <v>160</v>
      </c>
      <c r="C34" s="127"/>
      <c r="D34" s="128"/>
      <c r="E34" s="136">
        <f>'Бюджет затрат (ориентир.)'!B61</f>
        <v>0</v>
      </c>
      <c r="F34" s="136">
        <f>'Бюджет затрат (ориентир.)'!C61</f>
        <v>0</v>
      </c>
      <c r="G34" s="136">
        <f>'Бюджет затрат (ориентир.)'!D61</f>
        <v>1E-4</v>
      </c>
      <c r="H34" s="136">
        <f>'Бюджет затрат (ориентир.)'!E61</f>
        <v>0</v>
      </c>
      <c r="I34" s="136">
        <f>'Бюджет затрат (ориентир.)'!F61</f>
        <v>0</v>
      </c>
      <c r="J34" s="136">
        <f>'Бюджет затрат (ориентир.)'!G61</f>
        <v>0</v>
      </c>
      <c r="K34" s="136">
        <f>'Бюджет затрат (ориентир.)'!H61</f>
        <v>0</v>
      </c>
      <c r="L34" s="136">
        <f>'Бюджет затрат (ориентир.)'!I61</f>
        <v>0</v>
      </c>
      <c r="M34" s="136">
        <f>'Бюджет затрат (ориентир.)'!J61</f>
        <v>0</v>
      </c>
      <c r="N34" s="136">
        <f>'Бюджет затрат (ориентир.)'!K61</f>
        <v>0</v>
      </c>
      <c r="O34" s="136">
        <f>'Бюджет затрат (ориентир.)'!L61</f>
        <v>0</v>
      </c>
      <c r="P34" s="137">
        <f>'Бюджет затрат (ориентир.)'!M61</f>
        <v>1E-4</v>
      </c>
    </row>
    <row r="35" spans="1:16" ht="14.15" hidden="1" customHeight="1" outlineLevel="1" x14ac:dyDescent="0.35">
      <c r="A35" s="135" t="s">
        <v>231</v>
      </c>
      <c r="B35" s="97" t="s">
        <v>161</v>
      </c>
      <c r="C35" s="127"/>
      <c r="D35" s="128"/>
      <c r="E35" s="136">
        <f>'Бюджет затрат (ориентир.)'!B62</f>
        <v>2.9999999999999997E-4</v>
      </c>
      <c r="F35" s="136">
        <f>'Бюджет затрат (ориентир.)'!C62</f>
        <v>0</v>
      </c>
      <c r="G35" s="136">
        <f>'Бюджет затрат (ориентир.)'!D62</f>
        <v>2.9999999999999997E-4</v>
      </c>
      <c r="H35" s="136">
        <f>'Бюджет затрат (ориентир.)'!E62</f>
        <v>2.3E-3</v>
      </c>
      <c r="I35" s="136">
        <f>'Бюджет затрат (ориентир.)'!F62</f>
        <v>8.9999999999999998E-4</v>
      </c>
      <c r="J35" s="136">
        <f>'Бюджет затрат (ориентир.)'!G62</f>
        <v>5.9999999999999995E-4</v>
      </c>
      <c r="K35" s="136">
        <f>'Бюджет затрат (ориентир.)'!H62</f>
        <v>2.0000000000000001E-4</v>
      </c>
      <c r="L35" s="136">
        <f>'Бюджет затрат (ориентир.)'!I62</f>
        <v>6.9999999999999999E-4</v>
      </c>
      <c r="M35" s="136">
        <f>'Бюджет затрат (ориентир.)'!J62</f>
        <v>1E-3</v>
      </c>
      <c r="N35" s="136">
        <f>'Бюджет затрат (ориентир.)'!K62</f>
        <v>4.0000000000000002E-4</v>
      </c>
      <c r="O35" s="136">
        <f>'Бюджет затрат (ориентир.)'!L62</f>
        <v>8.0000000000000004E-4</v>
      </c>
      <c r="P35" s="137">
        <f>'Бюджет затрат (ориентир.)'!M62</f>
        <v>5.9999999999999995E-4</v>
      </c>
    </row>
    <row r="36" spans="1:16" ht="14.15" hidden="1" customHeight="1" outlineLevel="1" x14ac:dyDescent="0.35">
      <c r="A36" s="135" t="s">
        <v>232</v>
      </c>
      <c r="B36" s="98" t="s">
        <v>162</v>
      </c>
      <c r="C36" s="127"/>
      <c r="D36" s="128"/>
      <c r="E36" s="136">
        <f>'Бюджет затрат (ориентир.)'!B63</f>
        <v>1.2999999999999999E-3</v>
      </c>
      <c r="F36" s="136">
        <f>'Бюджет затрат (ориентир.)'!C63</f>
        <v>5.0000000000000001E-4</v>
      </c>
      <c r="G36" s="136">
        <f>'Бюджет затрат (ориентир.)'!D63</f>
        <v>5.9999999999999995E-4</v>
      </c>
      <c r="H36" s="136">
        <f>'Бюджет затрат (ориентир.)'!E63</f>
        <v>4.0000000000000002E-4</v>
      </c>
      <c r="I36" s="136">
        <f>'Бюджет затрат (ориентир.)'!F63</f>
        <v>5.9999999999999995E-4</v>
      </c>
      <c r="J36" s="136">
        <f>'Бюджет затрат (ориентир.)'!G63</f>
        <v>5.0000000000000001E-4</v>
      </c>
      <c r="K36" s="136">
        <f>'Бюджет затрат (ориентир.)'!H63</f>
        <v>5.0000000000000001E-4</v>
      </c>
      <c r="L36" s="136">
        <f>'Бюджет затрат (ориентир.)'!I63</f>
        <v>8.9999999999999998E-4</v>
      </c>
      <c r="M36" s="136">
        <f>'Бюджет затрат (ориентир.)'!J63</f>
        <v>2.0000000000000001E-4</v>
      </c>
      <c r="N36" s="136">
        <f>'Бюджет затрат (ориентир.)'!K63</f>
        <v>2.9999999999999997E-4</v>
      </c>
      <c r="O36" s="136">
        <f>'Бюджет затрат (ориентир.)'!L63</f>
        <v>2.0000000000000001E-4</v>
      </c>
      <c r="P36" s="137">
        <f>'Бюджет затрат (ориентир.)'!M63</f>
        <v>5.0000000000000001E-4</v>
      </c>
    </row>
    <row r="37" spans="1:16" ht="14.15" hidden="1" customHeight="1" outlineLevel="1" x14ac:dyDescent="0.35">
      <c r="A37" s="135" t="s">
        <v>233</v>
      </c>
      <c r="B37" s="97" t="s">
        <v>163</v>
      </c>
      <c r="C37" s="127"/>
      <c r="D37" s="128"/>
      <c r="E37" s="136">
        <f>'Бюджет затрат (ориентир.)'!B64</f>
        <v>5.0000000000000001E-4</v>
      </c>
      <c r="F37" s="136">
        <f>'Бюджет затрат (ориентир.)'!C64</f>
        <v>5.0000000000000001E-4</v>
      </c>
      <c r="G37" s="136">
        <f>'Бюджет затрат (ориентир.)'!D64</f>
        <v>4.0000000000000002E-4</v>
      </c>
      <c r="H37" s="136">
        <f>'Бюджет затрат (ориентир.)'!E64</f>
        <v>5.0000000000000001E-4</v>
      </c>
      <c r="I37" s="136">
        <f>'Бюджет затрат (ориентир.)'!F64</f>
        <v>5.0000000000000001E-4</v>
      </c>
      <c r="J37" s="136">
        <f>'Бюджет затрат (ориентир.)'!G64</f>
        <v>5.0000000000000001E-4</v>
      </c>
      <c r="K37" s="136">
        <f>'Бюджет затрат (ориентир.)'!H64</f>
        <v>5.0000000000000001E-4</v>
      </c>
      <c r="L37" s="136">
        <f>'Бюджет затрат (ориентир.)'!I64</f>
        <v>5.0000000000000001E-4</v>
      </c>
      <c r="M37" s="136">
        <f>'Бюджет затрат (ориентир.)'!J64</f>
        <v>2.8999999999999998E-3</v>
      </c>
      <c r="N37" s="136">
        <f>'Бюджет затрат (ориентир.)'!K64</f>
        <v>2.5999999999999999E-3</v>
      </c>
      <c r="O37" s="136">
        <f>'Бюджет затрат (ориентир.)'!L64</f>
        <v>4.0000000000000002E-4</v>
      </c>
      <c r="P37" s="137">
        <f>'Бюджет затрат (ориентир.)'!M64</f>
        <v>4.0000000000000002E-4</v>
      </c>
    </row>
    <row r="38" spans="1:16" ht="14.15" hidden="1" customHeight="1" outlineLevel="1" x14ac:dyDescent="0.35">
      <c r="A38" s="135" t="s">
        <v>234</v>
      </c>
      <c r="B38" s="97" t="s">
        <v>164</v>
      </c>
      <c r="C38" s="127"/>
      <c r="D38" s="128"/>
      <c r="E38" s="136">
        <f>'Бюджет затрат (ориентир.)'!B65</f>
        <v>0</v>
      </c>
      <c r="F38" s="136">
        <f>'Бюджет затрат (ориентир.)'!C65</f>
        <v>0</v>
      </c>
      <c r="G38" s="136">
        <f>'Бюджет затрат (ориентир.)'!D65</f>
        <v>0</v>
      </c>
      <c r="H38" s="136">
        <f>'Бюджет затрат (ориентир.)'!E65</f>
        <v>0</v>
      </c>
      <c r="I38" s="136">
        <f>'Бюджет затрат (ориентир.)'!F65</f>
        <v>0</v>
      </c>
      <c r="J38" s="136">
        <f>'Бюджет затрат (ориентир.)'!G65</f>
        <v>0</v>
      </c>
      <c r="K38" s="136">
        <f>'Бюджет затрат (ориентир.)'!H65</f>
        <v>0</v>
      </c>
      <c r="L38" s="136">
        <f>'Бюджет затрат (ориентир.)'!I65</f>
        <v>0</v>
      </c>
      <c r="M38" s="136">
        <f>'Бюджет затрат (ориентир.)'!J65</f>
        <v>0</v>
      </c>
      <c r="N38" s="136">
        <f>'Бюджет затрат (ориентир.)'!K65</f>
        <v>0</v>
      </c>
      <c r="O38" s="136">
        <f>'Бюджет затрат (ориентир.)'!L65</f>
        <v>0</v>
      </c>
      <c r="P38" s="137">
        <f>'Бюджет затрат (ориентир.)'!M65</f>
        <v>0</v>
      </c>
    </row>
    <row r="39" spans="1:16" ht="14.15" hidden="1" customHeight="1" outlineLevel="1" x14ac:dyDescent="0.35">
      <c r="A39" s="135" t="s">
        <v>235</v>
      </c>
      <c r="B39" s="97" t="s">
        <v>165</v>
      </c>
      <c r="C39" s="127"/>
      <c r="D39" s="128"/>
      <c r="E39" s="136">
        <f>'Бюджет затрат (ориентир.)'!B66</f>
        <v>5.0000000000000001E-4</v>
      </c>
      <c r="F39" s="136">
        <f>'Бюджет затрат (ориентир.)'!C66</f>
        <v>2.0000000000000001E-4</v>
      </c>
      <c r="G39" s="136">
        <f>'Бюджет затрат (ориентир.)'!D66</f>
        <v>1E-4</v>
      </c>
      <c r="H39" s="136">
        <f>'Бюджет затрат (ориентир.)'!E66</f>
        <v>1E-3</v>
      </c>
      <c r="I39" s="136">
        <f>'Бюджет затрат (ориентир.)'!F66</f>
        <v>2.9999999999999997E-4</v>
      </c>
      <c r="J39" s="136">
        <f>'Бюджет затрат (ориентир.)'!G66</f>
        <v>5.0000000000000001E-4</v>
      </c>
      <c r="K39" s="136">
        <f>'Бюджет затрат (ориентир.)'!H66</f>
        <v>4.0000000000000002E-4</v>
      </c>
      <c r="L39" s="136">
        <f>'Бюджет затрат (ориентир.)'!I66</f>
        <v>2.0000000000000001E-4</v>
      </c>
      <c r="M39" s="136">
        <f>'Бюджет затрат (ориентир.)'!J66</f>
        <v>8.0000000000000004E-4</v>
      </c>
      <c r="N39" s="136">
        <f>'Бюджет затрат (ориентир.)'!K66</f>
        <v>5.0000000000000001E-4</v>
      </c>
      <c r="O39" s="136">
        <f>'Бюджет затрат (ориентир.)'!L66</f>
        <v>1E-4</v>
      </c>
      <c r="P39" s="137">
        <f>'Бюджет затрат (ориентир.)'!M66</f>
        <v>2.0000000000000001E-4</v>
      </c>
    </row>
    <row r="40" spans="1:16" ht="14.15" hidden="1" customHeight="1" outlineLevel="1" x14ac:dyDescent="0.35">
      <c r="A40" s="135" t="s">
        <v>236</v>
      </c>
      <c r="B40" s="97" t="s">
        <v>166</v>
      </c>
      <c r="C40" s="127"/>
      <c r="D40" s="128"/>
      <c r="E40" s="136">
        <f>'Бюджет затрат (ориентир.)'!B67</f>
        <v>0</v>
      </c>
      <c r="F40" s="136">
        <f>'Бюджет затрат (ориентир.)'!C67</f>
        <v>0</v>
      </c>
      <c r="G40" s="136">
        <f>'Бюджет затрат (ориентир.)'!D67</f>
        <v>0</v>
      </c>
      <c r="H40" s="136">
        <f>'Бюджет затрат (ориентир.)'!E67</f>
        <v>0</v>
      </c>
      <c r="I40" s="136">
        <f>'Бюджет затрат (ориентир.)'!F67</f>
        <v>5.9999999999999995E-4</v>
      </c>
      <c r="J40" s="136">
        <f>'Бюджет затрат (ориентир.)'!G67</f>
        <v>0</v>
      </c>
      <c r="K40" s="136">
        <f>'Бюджет затрат (ориентир.)'!H67</f>
        <v>0</v>
      </c>
      <c r="L40" s="136">
        <f>'Бюджет затрат (ориентир.)'!I67</f>
        <v>0</v>
      </c>
      <c r="M40" s="136">
        <f>'Бюджет затрат (ориентир.)'!J67</f>
        <v>0</v>
      </c>
      <c r="N40" s="136">
        <f>'Бюджет затрат (ориентир.)'!K67</f>
        <v>0</v>
      </c>
      <c r="O40" s="136">
        <f>'Бюджет затрат (ориентир.)'!L67</f>
        <v>0</v>
      </c>
      <c r="P40" s="137">
        <f>'Бюджет затрат (ориентир.)'!M67</f>
        <v>0</v>
      </c>
    </row>
    <row r="41" spans="1:16" ht="14.15" hidden="1" customHeight="1" outlineLevel="1" x14ac:dyDescent="0.35">
      <c r="A41" s="135" t="s">
        <v>237</v>
      </c>
      <c r="B41" s="97" t="s">
        <v>167</v>
      </c>
      <c r="C41" s="127"/>
      <c r="D41" s="128"/>
      <c r="E41" s="136">
        <f>'Бюджет затрат (ориентир.)'!B68</f>
        <v>1E-4</v>
      </c>
      <c r="F41" s="136">
        <f>'Бюджет затрат (ориентир.)'!C68</f>
        <v>1E-4</v>
      </c>
      <c r="G41" s="136">
        <f>'Бюджет затрат (ориентир.)'!D68</f>
        <v>1E-4</v>
      </c>
      <c r="H41" s="136">
        <f>'Бюджет затрат (ориентир.)'!E68</f>
        <v>1E-4</v>
      </c>
      <c r="I41" s="136">
        <f>'Бюджет затрат (ориентир.)'!F68</f>
        <v>1E-4</v>
      </c>
      <c r="J41" s="136">
        <f>'Бюджет затрат (ориентир.)'!G68</f>
        <v>1E-4</v>
      </c>
      <c r="K41" s="136">
        <f>'Бюджет затрат (ориентир.)'!H68</f>
        <v>1E-4</v>
      </c>
      <c r="L41" s="136">
        <f>'Бюджет затрат (ориентир.)'!I68</f>
        <v>1E-4</v>
      </c>
      <c r="M41" s="136">
        <f>'Бюджет затрат (ориентир.)'!J68</f>
        <v>1E-4</v>
      </c>
      <c r="N41" s="136">
        <f>'Бюджет затрат (ориентир.)'!K68</f>
        <v>1E-4</v>
      </c>
      <c r="O41" s="136">
        <f>'Бюджет затрат (ориентир.)'!L68</f>
        <v>1E-4</v>
      </c>
      <c r="P41" s="137">
        <f>'Бюджет затрат (ориентир.)'!M68</f>
        <v>1E-4</v>
      </c>
    </row>
    <row r="42" spans="1:16" ht="14.15" hidden="1" customHeight="1" outlineLevel="1" x14ac:dyDescent="0.35">
      <c r="A42" s="135" t="s">
        <v>238</v>
      </c>
      <c r="B42" s="138" t="s">
        <v>168</v>
      </c>
      <c r="C42" s="127"/>
      <c r="D42" s="128"/>
      <c r="E42" s="136">
        <f>'Бюджет затрат (ориентир.)'!B69</f>
        <v>1.35E-2</v>
      </c>
      <c r="F42" s="136">
        <f>'Бюджет затрат (ориентир.)'!C69</f>
        <v>1.32E-2</v>
      </c>
      <c r="G42" s="136">
        <f>'Бюджет затрат (ориентир.)'!D69</f>
        <v>1.32E-2</v>
      </c>
      <c r="H42" s="136">
        <f>'Бюджет затрат (ориентир.)'!E69</f>
        <v>1.34E-2</v>
      </c>
      <c r="I42" s="136">
        <f>'Бюджет затрат (ориентир.)'!F69</f>
        <v>1.3599999999999999E-2</v>
      </c>
      <c r="J42" s="136">
        <f>'Бюджет затрат (ориентир.)'!G69</f>
        <v>1.15E-2</v>
      </c>
      <c r="K42" s="136">
        <f>'Бюджет затрат (ориентир.)'!H69</f>
        <v>1.2200000000000001E-2</v>
      </c>
      <c r="L42" s="136">
        <f>'Бюджет затрат (ориентир.)'!I69</f>
        <v>1.04E-2</v>
      </c>
      <c r="M42" s="136">
        <f>'Бюджет затрат (ориентир.)'!J69</f>
        <v>1.5900000000000001E-2</v>
      </c>
      <c r="N42" s="136">
        <f>'Бюджет затрат (ориентир.)'!K69</f>
        <v>1.4E-2</v>
      </c>
      <c r="O42" s="136">
        <f>'Бюджет затрат (ориентир.)'!L69</f>
        <v>1.52E-2</v>
      </c>
      <c r="P42" s="137">
        <f>'Бюджет затрат (ориентир.)'!M69</f>
        <v>1.23E-2</v>
      </c>
    </row>
    <row r="43" spans="1:16" ht="14.15" customHeight="1" collapsed="1" x14ac:dyDescent="0.35">
      <c r="A43" s="120" t="s">
        <v>239</v>
      </c>
      <c r="B43" s="91" t="s">
        <v>432</v>
      </c>
      <c r="C43" s="127">
        <f t="shared" si="3"/>
        <v>52527.199999999997</v>
      </c>
      <c r="D43" s="128">
        <f t="shared" si="1"/>
        <v>4.1526104417670684E-3</v>
      </c>
      <c r="E43" s="129">
        <f>E3*SUM(E44:E47)</f>
        <v>0</v>
      </c>
      <c r="F43" s="129">
        <f>F3*SUM(F44:F47)</f>
        <v>0</v>
      </c>
      <c r="G43" s="129">
        <f>G3*SUM(G44:G47)</f>
        <v>15717.519999999999</v>
      </c>
      <c r="H43" s="129">
        <f>H3*SUM(H44:H47)</f>
        <v>1651</v>
      </c>
      <c r="I43" s="129">
        <f>I3*SUM(I44:I47)</f>
        <v>1402.08</v>
      </c>
      <c r="J43" s="129">
        <f>J3*SUM(J44:J47)</f>
        <v>1921.5100000000002</v>
      </c>
      <c r="K43" s="129">
        <f>K3*SUM(K44:K47)</f>
        <v>1546.86</v>
      </c>
      <c r="L43" s="129">
        <f>L3*SUM(L44:L47)</f>
        <v>746.7600000000001</v>
      </c>
      <c r="M43" s="129">
        <f>M3*SUM(M44:M47)</f>
        <v>1869.4399999999998</v>
      </c>
      <c r="N43" s="129">
        <f>N3*SUM(N44:N47)</f>
        <v>1206.5</v>
      </c>
      <c r="O43" s="129">
        <f>O3*SUM(O44:O47)</f>
        <v>1383.0299999999997</v>
      </c>
      <c r="P43" s="130">
        <f>P3*SUM(P44:P47)</f>
        <v>25082.500000000004</v>
      </c>
    </row>
    <row r="44" spans="1:16" ht="14.15" customHeight="1" outlineLevel="1" x14ac:dyDescent="0.35">
      <c r="A44" s="135" t="s">
        <v>240</v>
      </c>
      <c r="B44" s="138" t="s">
        <v>169</v>
      </c>
      <c r="C44" s="127"/>
      <c r="D44" s="128"/>
      <c r="E44" s="136">
        <f>'Бюджет затрат (ориентир.)'!B73</f>
        <v>0</v>
      </c>
      <c r="F44" s="136">
        <f>'Бюджет затрат (ориентир.)'!C73</f>
        <v>7.9000000000000008E-3</v>
      </c>
      <c r="G44" s="136">
        <f>'Бюджет затрат (ориентир.)'!D73</f>
        <v>9.2999999999999992E-3</v>
      </c>
      <c r="H44" s="136">
        <f>'Бюджет затрат (ориентир.)'!E73</f>
        <v>0</v>
      </c>
      <c r="I44" s="136">
        <f>'Бюджет затрат (ориентир.)'!F73</f>
        <v>0</v>
      </c>
      <c r="J44" s="136">
        <f>'Бюджет затрат (ориентир.)'!G73</f>
        <v>0</v>
      </c>
      <c r="K44" s="136">
        <f>'Бюджет затрат (ориентир.)'!H73</f>
        <v>0</v>
      </c>
      <c r="L44" s="136">
        <f>'Бюджет затрат (ориентир.)'!I73</f>
        <v>0</v>
      </c>
      <c r="M44" s="136">
        <f>'Бюджет затрат (ориентир.)'!J73</f>
        <v>0</v>
      </c>
      <c r="N44" s="136">
        <f>'Бюджет затрат (ориентир.)'!K73</f>
        <v>0</v>
      </c>
      <c r="O44" s="136">
        <f>'Бюджет затрат (ориентир.)'!L73</f>
        <v>0</v>
      </c>
      <c r="P44" s="137">
        <f>'Бюджет затрат (ориентир.)'!M73</f>
        <v>1.21E-2</v>
      </c>
    </row>
    <row r="45" spans="1:16" ht="14.15" customHeight="1" outlineLevel="1" x14ac:dyDescent="0.35">
      <c r="A45" s="135" t="s">
        <v>241</v>
      </c>
      <c r="B45" s="138" t="s">
        <v>170</v>
      </c>
      <c r="C45" s="127"/>
      <c r="D45" s="128"/>
      <c r="E45" s="136">
        <f>'Бюджет затрат (ориентир.)'!B74</f>
        <v>0</v>
      </c>
      <c r="F45" s="136">
        <f>'Бюджет затрат (ориентир.)'!C74</f>
        <v>0</v>
      </c>
      <c r="G45" s="136">
        <f>'Бюджет затрат (ориентир.)'!D74</f>
        <v>0</v>
      </c>
      <c r="H45" s="136">
        <f>'Бюджет затрат (ориентир.)'!E74</f>
        <v>0</v>
      </c>
      <c r="I45" s="136">
        <f>'Бюджет затрат (ориентир.)'!F74</f>
        <v>0</v>
      </c>
      <c r="J45" s="136">
        <f>'Бюджет затрат (ориентир.)'!G74</f>
        <v>0</v>
      </c>
      <c r="K45" s="136">
        <f>'Бюджет затрат (ориентир.)'!H74</f>
        <v>0</v>
      </c>
      <c r="L45" s="136">
        <f>'Бюджет затрат (ориентир.)'!I74</f>
        <v>0</v>
      </c>
      <c r="M45" s="136">
        <f>'Бюджет затрат (ориентир.)'!J74</f>
        <v>0</v>
      </c>
      <c r="N45" s="136">
        <f>'Бюджет затрат (ориентир.)'!K74</f>
        <v>0</v>
      </c>
      <c r="O45" s="136">
        <f>'Бюджет затрат (ориентир.)'!L74</f>
        <v>0</v>
      </c>
      <c r="P45" s="137">
        <f>'Бюджет затрат (ориентир.)'!M74</f>
        <v>1.8E-3</v>
      </c>
    </row>
    <row r="46" spans="1:16" ht="14.15" customHeight="1" outlineLevel="1" x14ac:dyDescent="0.35">
      <c r="A46" s="135" t="s">
        <v>242</v>
      </c>
      <c r="B46" s="138" t="s">
        <v>171</v>
      </c>
      <c r="C46" s="127"/>
      <c r="D46" s="128"/>
      <c r="E46" s="136">
        <f>'Бюджет затрат (ориентир.)'!B75</f>
        <v>2.9999999999999997E-4</v>
      </c>
      <c r="F46" s="136">
        <f>'Бюджет затрат (ориентир.)'!C75</f>
        <v>4.0000000000000002E-4</v>
      </c>
      <c r="G46" s="136">
        <f>'Бюджет затрат (ориентир.)'!D75</f>
        <v>2.0000000000000001E-4</v>
      </c>
      <c r="H46" s="136">
        <f>'Бюджет затрат (ориентир.)'!E75</f>
        <v>1E-4</v>
      </c>
      <c r="I46" s="136">
        <f>'Бюджет затрат (ориентир.)'!F75</f>
        <v>0</v>
      </c>
      <c r="J46" s="136">
        <f>'Бюджет затрат (ориентир.)'!G75</f>
        <v>6.9999999999999999E-4</v>
      </c>
      <c r="K46" s="136">
        <f>'Бюджет затрат (ориентир.)'!H75</f>
        <v>2.9999999999999997E-4</v>
      </c>
      <c r="L46" s="136">
        <f>'Бюджет затрат (ориентир.)'!I75</f>
        <v>1E-4</v>
      </c>
      <c r="M46" s="136">
        <f>'Бюджет затрат (ориентир.)'!J75</f>
        <v>5.9999999999999995E-4</v>
      </c>
      <c r="N46" s="136">
        <f>'Бюджет затрат (ориентир.)'!K75</f>
        <v>0</v>
      </c>
      <c r="O46" s="136">
        <f>'Бюджет затрат (ориентир.)'!L75</f>
        <v>5.0000000000000001E-4</v>
      </c>
      <c r="P46" s="137">
        <f>'Бюджет затрат (ориентир.)'!M75</f>
        <v>1E-3</v>
      </c>
    </row>
    <row r="47" spans="1:16" ht="14.15" customHeight="1" outlineLevel="1" x14ac:dyDescent="0.35">
      <c r="A47" s="135" t="s">
        <v>243</v>
      </c>
      <c r="B47" s="138" t="s">
        <v>172</v>
      </c>
      <c r="C47" s="127"/>
      <c r="D47" s="128"/>
      <c r="E47" s="136">
        <f>'Бюджет затрат (ориентир.)'!B76</f>
        <v>1.4E-3</v>
      </c>
      <c r="F47" s="136">
        <f>'Бюджет затрат (ориентир.)'!C76</f>
        <v>1.1999999999999999E-3</v>
      </c>
      <c r="G47" s="136">
        <f>'Бюджет затрат (ориентир.)'!D76</f>
        <v>8.9999999999999998E-4</v>
      </c>
      <c r="H47" s="136">
        <f>'Бюджет затрат (ориентир.)'!E76</f>
        <v>1.1999999999999999E-3</v>
      </c>
      <c r="I47" s="136">
        <f>'Бюджет затрат (ориентир.)'!F76</f>
        <v>1.1999999999999999E-3</v>
      </c>
      <c r="J47" s="136">
        <f>'Бюджет затрат (ориентир.)'!G76</f>
        <v>1E-3</v>
      </c>
      <c r="K47" s="136">
        <f>'Бюджет затрат (ориентир.)'!H76</f>
        <v>1.1000000000000001E-3</v>
      </c>
      <c r="L47" s="136">
        <f>'Бюджет затрат (ориентир.)'!I76</f>
        <v>5.0000000000000001E-4</v>
      </c>
      <c r="M47" s="136">
        <f>'Бюджет затрат (ориентир.)'!J76</f>
        <v>1E-3</v>
      </c>
      <c r="N47" s="136">
        <f>'Бюджет затрат (ориентир.)'!K76</f>
        <v>1E-3</v>
      </c>
      <c r="O47" s="136">
        <f>'Бюджет затрат (ориентир.)'!L76</f>
        <v>5.9999999999999995E-4</v>
      </c>
      <c r="P47" s="137">
        <f>'Бюджет затрат (ориентир.)'!M76</f>
        <v>8.9999999999999998E-4</v>
      </c>
    </row>
    <row r="48" spans="1:16" ht="14.15" customHeight="1" x14ac:dyDescent="0.35">
      <c r="A48" s="120" t="s">
        <v>244</v>
      </c>
      <c r="B48" s="91" t="s">
        <v>433</v>
      </c>
      <c r="C48" s="127">
        <f t="shared" si="3"/>
        <v>3373.12</v>
      </c>
      <c r="D48" s="128">
        <f t="shared" si="1"/>
        <v>2.6666666666666668E-4</v>
      </c>
      <c r="E48" s="129">
        <f>E3*SUM(E49:E52)</f>
        <v>0</v>
      </c>
      <c r="F48" s="129">
        <f>F3*SUM(F49:F52)</f>
        <v>0</v>
      </c>
      <c r="G48" s="129">
        <f>G3*SUM(G49:G52)</f>
        <v>0</v>
      </c>
      <c r="H48" s="129">
        <f>H3*SUM(H49:H52)</f>
        <v>0</v>
      </c>
      <c r="I48" s="129">
        <f>I3*SUM(I49:I52)</f>
        <v>0</v>
      </c>
      <c r="J48" s="129">
        <f>J3*SUM(J49:J52)</f>
        <v>0</v>
      </c>
      <c r="K48" s="129">
        <f>K3*SUM(K49:K52)</f>
        <v>0</v>
      </c>
      <c r="L48" s="129">
        <f>L3*SUM(L49:L52)</f>
        <v>2115.8200000000002</v>
      </c>
      <c r="M48" s="129">
        <f>M3*SUM(M49:M52)</f>
        <v>0</v>
      </c>
      <c r="N48" s="129">
        <f>N3*SUM(N49:N52)</f>
        <v>0</v>
      </c>
      <c r="O48" s="129">
        <f>O3*SUM(O49:O52)</f>
        <v>1257.3</v>
      </c>
      <c r="P48" s="130">
        <f>P3*SUM(P49:P52)</f>
        <v>0</v>
      </c>
    </row>
    <row r="49" spans="1:16" ht="14.15" customHeight="1" outlineLevel="1" x14ac:dyDescent="0.35">
      <c r="A49" s="135" t="s">
        <v>192</v>
      </c>
      <c r="B49" s="97" t="s">
        <v>173</v>
      </c>
      <c r="C49" s="127"/>
      <c r="D49" s="128"/>
      <c r="E49" s="136">
        <f>'Бюджет затрат (ориентир.)'!B81</f>
        <v>0</v>
      </c>
      <c r="F49" s="136">
        <f>'Бюджет затрат (ориентир.)'!C81</f>
        <v>0</v>
      </c>
      <c r="G49" s="136">
        <f>'Бюджет затрат (ориентир.)'!D81</f>
        <v>0</v>
      </c>
      <c r="H49" s="136">
        <f>'Бюджет затрат (ориентир.)'!E81</f>
        <v>0</v>
      </c>
      <c r="I49" s="136">
        <f>'Бюджет затрат (ориентир.)'!F81</f>
        <v>0</v>
      </c>
      <c r="J49" s="136">
        <f>'Бюджет затрат (ориентир.)'!G81</f>
        <v>0</v>
      </c>
      <c r="K49" s="136">
        <f>'Бюджет затрат (ориентир.)'!H81</f>
        <v>0</v>
      </c>
      <c r="L49" s="136">
        <f>'Бюджет затрат (ориентир.)'!I81</f>
        <v>8.9999999999999998E-4</v>
      </c>
      <c r="M49" s="136">
        <f>'Бюджет затрат (ориентир.)'!J81</f>
        <v>0</v>
      </c>
      <c r="N49" s="136">
        <f>'Бюджет затрат (ориентир.)'!K81</f>
        <v>0</v>
      </c>
      <c r="O49" s="136">
        <f>'Бюджет затрат (ориентир.)'!L81</f>
        <v>5.0000000000000001E-4</v>
      </c>
      <c r="P49" s="137">
        <f>'Бюджет затрат (ориентир.)'!M81</f>
        <v>0</v>
      </c>
    </row>
    <row r="50" spans="1:16" ht="14.15" customHeight="1" outlineLevel="1" x14ac:dyDescent="0.35">
      <c r="A50" s="135" t="s">
        <v>193</v>
      </c>
      <c r="B50" s="97" t="s">
        <v>174</v>
      </c>
      <c r="C50" s="127"/>
      <c r="D50" s="128"/>
      <c r="E50" s="136">
        <f>'Бюджет затрат (ориентир.)'!B82</f>
        <v>0</v>
      </c>
      <c r="F50" s="136">
        <f>'Бюджет затрат (ориентир.)'!C82</f>
        <v>0</v>
      </c>
      <c r="G50" s="136">
        <f>'Бюджет затрат (ориентир.)'!D82</f>
        <v>0</v>
      </c>
      <c r="H50" s="136">
        <f>'Бюджет затрат (ориентир.)'!E82</f>
        <v>0</v>
      </c>
      <c r="I50" s="136">
        <f>'Бюджет затрат (ориентир.)'!F82</f>
        <v>0</v>
      </c>
      <c r="J50" s="136">
        <f>'Бюджет затрат (ориентир.)'!G82</f>
        <v>0</v>
      </c>
      <c r="K50" s="136">
        <f>'Бюджет затрат (ориентир.)'!H82</f>
        <v>0</v>
      </c>
      <c r="L50" s="136">
        <f>'Бюджет затрат (ориентир.)'!I82</f>
        <v>8.0000000000000004E-4</v>
      </c>
      <c r="M50" s="136">
        <f>'Бюджет затрат (ориентир.)'!J82</f>
        <v>0</v>
      </c>
      <c r="N50" s="136">
        <f>'Бюджет затрат (ориентир.)'!K82</f>
        <v>0</v>
      </c>
      <c r="O50" s="136">
        <f>'Бюджет затрат (ориентир.)'!L82</f>
        <v>0</v>
      </c>
      <c r="P50" s="137">
        <f>'Бюджет затрат (ориентир.)'!M82</f>
        <v>0</v>
      </c>
    </row>
    <row r="51" spans="1:16" ht="14.15" customHeight="1" outlineLevel="1" x14ac:dyDescent="0.35">
      <c r="A51" s="135" t="s">
        <v>245</v>
      </c>
      <c r="B51" s="97" t="s">
        <v>175</v>
      </c>
      <c r="C51" s="127"/>
      <c r="D51" s="128"/>
      <c r="E51" s="136">
        <f>'Бюджет затрат (ориентир.)'!B83</f>
        <v>0</v>
      </c>
      <c r="F51" s="136">
        <f>'Бюджет затрат (ориентир.)'!C83</f>
        <v>0</v>
      </c>
      <c r="G51" s="136">
        <f>'Бюджет затрат (ориентир.)'!D83</f>
        <v>0</v>
      </c>
      <c r="H51" s="136">
        <f>'Бюджет затрат (ориентир.)'!E83</f>
        <v>0</v>
      </c>
      <c r="I51" s="136">
        <f>'Бюджет затрат (ориентир.)'!F83</f>
        <v>0</v>
      </c>
      <c r="J51" s="136">
        <f>'Бюджет затрат (ориентир.)'!G83</f>
        <v>0</v>
      </c>
      <c r="K51" s="136">
        <f>'Бюджет затрат (ориентир.)'!H83</f>
        <v>0</v>
      </c>
      <c r="L51" s="136">
        <f>'Бюджет затрат (ориентир.)'!I83</f>
        <v>0</v>
      </c>
      <c r="M51" s="136">
        <f>'Бюджет затрат (ориентир.)'!J83</f>
        <v>0</v>
      </c>
      <c r="N51" s="136">
        <f>'Бюджет затрат (ориентир.)'!K83</f>
        <v>0</v>
      </c>
      <c r="O51" s="136">
        <f>'Бюджет затрат (ориентир.)'!L83</f>
        <v>5.0000000000000001E-4</v>
      </c>
      <c r="P51" s="137">
        <f>'Бюджет затрат (ориентир.)'!M83</f>
        <v>0</v>
      </c>
    </row>
    <row r="52" spans="1:16" ht="14.15" customHeight="1" outlineLevel="1" x14ac:dyDescent="0.35">
      <c r="A52" s="135" t="s">
        <v>246</v>
      </c>
      <c r="B52" s="97" t="s">
        <v>176</v>
      </c>
      <c r="C52" s="127"/>
      <c r="D52" s="128"/>
      <c r="E52" s="136">
        <f>'Бюджет затрат (ориентир.)'!B84</f>
        <v>0</v>
      </c>
      <c r="F52" s="136">
        <f>'Бюджет затрат (ориентир.)'!C84</f>
        <v>0</v>
      </c>
      <c r="G52" s="136">
        <f>'Бюджет затрат (ориентир.)'!D84</f>
        <v>0</v>
      </c>
      <c r="H52" s="136">
        <f>'Бюджет затрат (ориентир.)'!E84</f>
        <v>0</v>
      </c>
      <c r="I52" s="136">
        <f>'Бюджет затрат (ориентир.)'!F84</f>
        <v>0</v>
      </c>
      <c r="J52" s="136">
        <f>'Бюджет затрат (ориентир.)'!G84</f>
        <v>0</v>
      </c>
      <c r="K52" s="136">
        <f>'Бюджет затрат (ориентир.)'!H84</f>
        <v>0</v>
      </c>
      <c r="L52" s="136">
        <f>'Бюджет затрат (ориентир.)'!I84</f>
        <v>0</v>
      </c>
      <c r="M52" s="136">
        <f>'Бюджет затрат (ориентир.)'!J84</f>
        <v>0</v>
      </c>
      <c r="N52" s="136">
        <f>'Бюджет затрат (ориентир.)'!K84</f>
        <v>0</v>
      </c>
      <c r="O52" s="136">
        <f>'Бюджет затрат (ориентир.)'!L84</f>
        <v>0</v>
      </c>
      <c r="P52" s="137">
        <f>'Бюджет затрат (ориентир.)'!M84</f>
        <v>0</v>
      </c>
    </row>
    <row r="53" spans="1:16" ht="14.15" customHeight="1" x14ac:dyDescent="0.35">
      <c r="A53" s="120" t="s">
        <v>247</v>
      </c>
      <c r="B53" s="91" t="s">
        <v>434</v>
      </c>
      <c r="C53" s="127">
        <f t="shared" si="3"/>
        <v>164699.95000000001</v>
      </c>
      <c r="D53" s="128">
        <f t="shared" si="1"/>
        <v>1.3020582329317271E-2</v>
      </c>
      <c r="E53" s="129">
        <f>E3*SUM(E54:E57)</f>
        <v>0</v>
      </c>
      <c r="F53" s="129">
        <f>F3*SUM(F54:F57)</f>
        <v>0</v>
      </c>
      <c r="G53" s="129">
        <f>G3*SUM(G54:G57)</f>
        <v>19798.030000000002</v>
      </c>
      <c r="H53" s="129">
        <f>H3*SUM(H54:H57)</f>
        <v>17018</v>
      </c>
      <c r="I53" s="129">
        <f>I3*SUM(I54:I57)</f>
        <v>14605</v>
      </c>
      <c r="J53" s="129">
        <f>J3*SUM(J54:J57)</f>
        <v>12885.42</v>
      </c>
      <c r="K53" s="129">
        <f>K3*SUM(K54:K57)</f>
        <v>13590.269999999999</v>
      </c>
      <c r="L53" s="129">
        <f>L3*SUM(L54:L57)</f>
        <v>13317.220000000001</v>
      </c>
      <c r="M53" s="129">
        <f>M3*SUM(M54:M57)</f>
        <v>18460.72</v>
      </c>
      <c r="N53" s="129">
        <f>N3*SUM(N54:N57)</f>
        <v>16891</v>
      </c>
      <c r="O53" s="129">
        <f>O3*SUM(O54:O57)</f>
        <v>18608.04</v>
      </c>
      <c r="P53" s="130">
        <f>P3*SUM(P54:P57)</f>
        <v>19526.25</v>
      </c>
    </row>
    <row r="54" spans="1:16" ht="14.15" customHeight="1" outlineLevel="1" x14ac:dyDescent="0.35">
      <c r="A54" s="135" t="s">
        <v>194</v>
      </c>
      <c r="B54" s="99" t="s">
        <v>178</v>
      </c>
      <c r="C54" s="127"/>
      <c r="D54" s="128"/>
      <c r="E54" s="136">
        <f>'Бюджет затрат (ориентир.)'!B89</f>
        <v>6.9999999999999999E-4</v>
      </c>
      <c r="F54" s="136">
        <f>'Бюджет затрат (ориентир.)'!C89</f>
        <v>8.0000000000000004E-4</v>
      </c>
      <c r="G54" s="136">
        <f>'Бюджет затрат (ориентир.)'!D89</f>
        <v>5.0000000000000001E-4</v>
      </c>
      <c r="H54" s="136">
        <f>'Бюджет затрат (ориентир.)'!E89</f>
        <v>1E-3</v>
      </c>
      <c r="I54" s="136">
        <f>'Бюджет затрат (ориентир.)'!F89</f>
        <v>8.9999999999999998E-4</v>
      </c>
      <c r="J54" s="136">
        <f>'Бюджет затрат (ориентир.)'!G89</f>
        <v>6.9999999999999999E-4</v>
      </c>
      <c r="K54" s="136">
        <f>'Бюджет затрат (ориентир.)'!H89</f>
        <v>5.9999999999999995E-4</v>
      </c>
      <c r="L54" s="136">
        <f>'Бюджет затрат (ориентир.)'!I89</f>
        <v>4.0000000000000002E-4</v>
      </c>
      <c r="M54" s="136">
        <f>'Бюджет затрат (ориентир.)'!J89</f>
        <v>5.9999999999999995E-4</v>
      </c>
      <c r="N54" s="136">
        <f>'Бюджет затрат (ориентир.)'!K89</f>
        <v>5.0000000000000001E-4</v>
      </c>
      <c r="O54" s="136">
        <f>'Бюджет затрат (ориентир.)'!L89</f>
        <v>5.9999999999999995E-4</v>
      </c>
      <c r="P54" s="137">
        <f>'Бюджет затрат (ориентир.)'!M89</f>
        <v>4.0000000000000002E-4</v>
      </c>
    </row>
    <row r="55" spans="1:16" ht="14.15" customHeight="1" outlineLevel="1" x14ac:dyDescent="0.35">
      <c r="A55" s="135" t="s">
        <v>195</v>
      </c>
      <c r="B55" s="99" t="s">
        <v>179</v>
      </c>
      <c r="C55" s="127"/>
      <c r="D55" s="128"/>
      <c r="E55" s="136">
        <f>'Бюджет затрат (ориентир.)'!B90</f>
        <v>3.5000000000000001E-3</v>
      </c>
      <c r="F55" s="136">
        <f>'Бюджет затрат (ориентир.)'!C90</f>
        <v>3.7000000000000002E-3</v>
      </c>
      <c r="G55" s="136">
        <f>'Бюджет затрат (ориентир.)'!D90</f>
        <v>5.3E-3</v>
      </c>
      <c r="H55" s="136">
        <f>'Бюджет затрат (ориентир.)'!E90</f>
        <v>3.3E-3</v>
      </c>
      <c r="I55" s="136">
        <f>'Бюджет затрат (ориентир.)'!F90</f>
        <v>3.3E-3</v>
      </c>
      <c r="J55" s="136">
        <f>'Бюджет затрат (ориентир.)'!G90</f>
        <v>3.0000000000000001E-3</v>
      </c>
      <c r="K55" s="136">
        <f>'Бюджет затрат (ориентир.)'!H90</f>
        <v>2.3999999999999998E-3</v>
      </c>
      <c r="L55" s="136">
        <f>'Бюджет затрат (ориентир.)'!I90</f>
        <v>2.3E-3</v>
      </c>
      <c r="M55" s="136">
        <f>'Бюджет затрат (ориентир.)'!J90</f>
        <v>8.0999999999999996E-3</v>
      </c>
      <c r="N55" s="136">
        <f>'Бюджет затрат (ориентир.)'!K90</f>
        <v>4.5999999999999999E-3</v>
      </c>
      <c r="O55" s="136">
        <f>'Бюджет затрат (ориентир.)'!L90</f>
        <v>5.1000000000000004E-3</v>
      </c>
      <c r="P55" s="137">
        <f>'Бюджет затрат (ориентир.)'!M90</f>
        <v>4.1999999999999997E-3</v>
      </c>
    </row>
    <row r="56" spans="1:16" ht="14.15" customHeight="1" outlineLevel="1" x14ac:dyDescent="0.35">
      <c r="A56" s="135" t="s">
        <v>196</v>
      </c>
      <c r="B56" s="99" t="s">
        <v>180</v>
      </c>
      <c r="C56" s="127"/>
      <c r="D56" s="128"/>
      <c r="E56" s="136">
        <f>'Бюджет затрат (ориентир.)'!B91</f>
        <v>0</v>
      </c>
      <c r="F56" s="136">
        <f>'Бюджет затрат (ориентир.)'!C91</f>
        <v>0</v>
      </c>
      <c r="G56" s="136">
        <f>'Бюджет затрат (ориентир.)'!D91</f>
        <v>0</v>
      </c>
      <c r="H56" s="136">
        <f>'Бюджет затрат (ориентир.)'!E91</f>
        <v>0</v>
      </c>
      <c r="I56" s="136">
        <f>'Бюджет затрат (ориентир.)'!F91</f>
        <v>0</v>
      </c>
      <c r="J56" s="136">
        <f>'Бюджет затрат (ориентир.)'!G91</f>
        <v>0</v>
      </c>
      <c r="K56" s="136">
        <f>'Бюджет затрат (ориентир.)'!H91</f>
        <v>0</v>
      </c>
      <c r="L56" s="136">
        <f>'Бюджет затрат (ориентир.)'!I91</f>
        <v>0</v>
      </c>
      <c r="M56" s="136">
        <f>'Бюджет затрат (ориентир.)'!J91</f>
        <v>0</v>
      </c>
      <c r="N56" s="136">
        <f>'Бюджет затрат (ориентир.)'!K91</f>
        <v>0</v>
      </c>
      <c r="O56" s="136">
        <f>'Бюджет затрат (ориентир.)'!L91</f>
        <v>8.9999999999999998E-4</v>
      </c>
      <c r="P56" s="137">
        <f>'Бюджет затрат (ориентир.)'!M91</f>
        <v>0</v>
      </c>
    </row>
    <row r="57" spans="1:16" ht="14.15" customHeight="1" outlineLevel="1" x14ac:dyDescent="0.35">
      <c r="A57" s="135" t="s">
        <v>197</v>
      </c>
      <c r="B57" s="99" t="s">
        <v>181</v>
      </c>
      <c r="C57" s="127"/>
      <c r="D57" s="128"/>
      <c r="E57" s="136">
        <f>'Бюджет затрат (ориентир.)'!B92</f>
        <v>9.2999999999999992E-3</v>
      </c>
      <c r="F57" s="136">
        <f>'Бюджет затрат (ориентир.)'!C92</f>
        <v>8.6999999999999994E-3</v>
      </c>
      <c r="G57" s="136">
        <f>'Бюджет затрат (ориентир.)'!D92</f>
        <v>7.3000000000000001E-3</v>
      </c>
      <c r="H57" s="136">
        <f>'Бюджет затрат (ориентир.)'!E92</f>
        <v>9.1000000000000004E-3</v>
      </c>
      <c r="I57" s="136">
        <f>'Бюджет затрат (ориентир.)'!F92</f>
        <v>8.3000000000000001E-3</v>
      </c>
      <c r="J57" s="136">
        <f>'Бюджет затрат (ориентир.)'!G92</f>
        <v>7.7000000000000002E-3</v>
      </c>
      <c r="K57" s="136">
        <f>'Бюджет затрат (ориентир.)'!H92</f>
        <v>9.2999999999999992E-3</v>
      </c>
      <c r="L57" s="136">
        <f>'Бюджет затрат (ориентир.)'!I92</f>
        <v>8.0000000000000002E-3</v>
      </c>
      <c r="M57" s="136">
        <f>'Бюджет затрат (ориентир.)'!J92</f>
        <v>7.1000000000000004E-3</v>
      </c>
      <c r="N57" s="136">
        <f>'Бюджет затрат (ориентир.)'!K92</f>
        <v>8.8999999999999999E-3</v>
      </c>
      <c r="O57" s="136">
        <f>'Бюджет затрат (ориентир.)'!L92</f>
        <v>8.2000000000000007E-3</v>
      </c>
      <c r="P57" s="137">
        <f>'Бюджет затрат (ориентир.)'!M92</f>
        <v>7.7000000000000002E-3</v>
      </c>
    </row>
    <row r="58" spans="1:16" ht="14.15" customHeight="1" x14ac:dyDescent="0.35">
      <c r="A58" s="120" t="s">
        <v>248</v>
      </c>
      <c r="B58" s="91" t="s">
        <v>435</v>
      </c>
      <c r="C58" s="127">
        <f t="shared" si="3"/>
        <v>492511.08</v>
      </c>
      <c r="D58" s="128">
        <f t="shared" si="1"/>
        <v>3.8936144578313257E-2</v>
      </c>
      <c r="E58" s="129">
        <f>E3*SUM(E59:E63)*Операционный!D66</f>
        <v>0</v>
      </c>
      <c r="F58" s="129">
        <f>F3*SUM(F59:F63)*Операционный!E66</f>
        <v>0</v>
      </c>
      <c r="G58" s="129">
        <f>G3*SUM(G59:G63)*Операционный!F66</f>
        <v>58033.920000000006</v>
      </c>
      <c r="H58" s="129">
        <f>H3*SUM(H59:H63)*Операционный!G66</f>
        <v>50419</v>
      </c>
      <c r="I58" s="129">
        <f>I3*SUM(I59:I63)*Операционный!H66</f>
        <v>46268.640000000007</v>
      </c>
      <c r="J58" s="129">
        <f>J3*SUM(J59:J63)*Операционный!I66</f>
        <v>45438.06</v>
      </c>
      <c r="K58" s="129">
        <f>K3*SUM(K59:K63)*Операционный!J66</f>
        <v>43533.06</v>
      </c>
      <c r="L58" s="129">
        <f>L3*SUM(L59:L63)*Операционный!K66</f>
        <v>49659.540000000008</v>
      </c>
      <c r="M58" s="129">
        <f>M3*SUM(M59:M63)*Операционный!L66</f>
        <v>45100.24</v>
      </c>
      <c r="N58" s="129">
        <f>N3*SUM(N59:N63)*Операционный!M66</f>
        <v>46088.3</v>
      </c>
      <c r="O58" s="129">
        <f>O3*SUM(O59:O63)*Операционный!N66</f>
        <v>48280.320000000007</v>
      </c>
      <c r="P58" s="130">
        <f>P3*SUM(P59:P63)*Операционный!O66</f>
        <v>59690</v>
      </c>
    </row>
    <row r="59" spans="1:16" ht="14.15" customHeight="1" outlineLevel="1" x14ac:dyDescent="0.35">
      <c r="A59" s="135" t="s">
        <v>198</v>
      </c>
      <c r="B59" s="138" t="s">
        <v>182</v>
      </c>
      <c r="C59" s="127"/>
      <c r="D59" s="128"/>
      <c r="E59" s="139">
        <f>'Бюджет затрат (ориентир.)'!B97</f>
        <v>3.2500000000000001E-2</v>
      </c>
      <c r="F59" s="139">
        <f>'Бюджет затрат (ориентир.)'!C97</f>
        <v>3.2399999999999998E-2</v>
      </c>
      <c r="G59" s="139">
        <f>'Бюджет затрат (ориентир.)'!D97</f>
        <v>3.2300000000000002E-2</v>
      </c>
      <c r="H59" s="139">
        <f>'Бюджет затрат (ориентир.)'!E97</f>
        <v>3.2800000000000003E-2</v>
      </c>
      <c r="I59" s="139">
        <f>'Бюджет затрат (ориентир.)'!F97</f>
        <v>3.2800000000000003E-2</v>
      </c>
      <c r="J59" s="139">
        <f>'Бюджет затрат (ориентир.)'!G97</f>
        <v>3.2399999999999998E-2</v>
      </c>
      <c r="K59" s="139">
        <f>'Бюджет затрат (ориентир.)'!H97</f>
        <v>3.2399999999999998E-2</v>
      </c>
      <c r="L59" s="139">
        <f>'Бюджет затрат (ориентир.)'!I97</f>
        <v>3.2300000000000002E-2</v>
      </c>
      <c r="M59" s="139">
        <f>'Бюджет затрат (ориентир.)'!J97</f>
        <v>3.2399999999999998E-2</v>
      </c>
      <c r="N59" s="139">
        <f>'Бюджет затрат (ориентир.)'!K97</f>
        <v>3.2300000000000002E-2</v>
      </c>
      <c r="O59" s="139">
        <f>'Бюджет затрат (ориентир.)'!L97</f>
        <v>3.2300000000000002E-2</v>
      </c>
      <c r="P59" s="140">
        <f>'Бюджет затрат (ориентир.)'!M97</f>
        <v>3.2000000000000001E-2</v>
      </c>
    </row>
    <row r="60" spans="1:16" ht="14.15" customHeight="1" outlineLevel="1" x14ac:dyDescent="0.35">
      <c r="A60" s="135" t="s">
        <v>199</v>
      </c>
      <c r="B60" s="138" t="s">
        <v>183</v>
      </c>
      <c r="C60" s="127"/>
      <c r="D60" s="128"/>
      <c r="E60" s="139">
        <f>'Бюджет затрат (ориентир.)'!B98</f>
        <v>0</v>
      </c>
      <c r="F60" s="139">
        <f>'Бюджет затрат (ориентир.)'!C98</f>
        <v>0</v>
      </c>
      <c r="G60" s="139">
        <f>'Бюджет затрат (ориентир.)'!D98</f>
        <v>0</v>
      </c>
      <c r="H60" s="139">
        <f>'Бюджет затрат (ориентир.)'!E98</f>
        <v>0</v>
      </c>
      <c r="I60" s="139">
        <f>'Бюджет затрат (ориентир.)'!F98</f>
        <v>0</v>
      </c>
      <c r="J60" s="139">
        <f>'Бюджет затрат (ориентир.)'!G98</f>
        <v>0</v>
      </c>
      <c r="K60" s="139">
        <f>'Бюджет затрат (ориентир.)'!H98</f>
        <v>0</v>
      </c>
      <c r="L60" s="139">
        <f>'Бюджет затрат (ориентир.)'!I98</f>
        <v>0</v>
      </c>
      <c r="M60" s="139">
        <f>'Бюджет затрат (ориентир.)'!J98</f>
        <v>0</v>
      </c>
      <c r="N60" s="139">
        <f>'Бюджет затрат (ориентир.)'!K98</f>
        <v>0</v>
      </c>
      <c r="O60" s="139">
        <f>'Бюджет затрат (ориентир.)'!L98</f>
        <v>0</v>
      </c>
      <c r="P60" s="140">
        <f>'Бюджет затрат (ориентир.)'!M98</f>
        <v>0</v>
      </c>
    </row>
    <row r="61" spans="1:16" ht="14.15" customHeight="1" outlineLevel="1" x14ac:dyDescent="0.35">
      <c r="A61" s="135" t="s">
        <v>200</v>
      </c>
      <c r="B61" s="138" t="s">
        <v>184</v>
      </c>
      <c r="C61" s="127"/>
      <c r="D61" s="128"/>
      <c r="E61" s="139">
        <f>'Бюджет затрат (ориентир.)'!B99</f>
        <v>0</v>
      </c>
      <c r="F61" s="139">
        <f>'Бюджет затрат (ориентир.)'!C99</f>
        <v>0</v>
      </c>
      <c r="G61" s="139">
        <f>'Бюджет затрат (ориентир.)'!D99</f>
        <v>0</v>
      </c>
      <c r="H61" s="139">
        <f>'Бюджет затрат (ориентир.)'!E99</f>
        <v>0</v>
      </c>
      <c r="I61" s="139">
        <f>'Бюджет затрат (ориентир.)'!F99</f>
        <v>0</v>
      </c>
      <c r="J61" s="139">
        <f>'Бюджет затрат (ориентир.)'!G99</f>
        <v>0</v>
      </c>
      <c r="K61" s="139">
        <f>'Бюджет затрат (ориентир.)'!H99</f>
        <v>0</v>
      </c>
      <c r="L61" s="139">
        <f>'Бюджет затрат (ориентир.)'!I99</f>
        <v>0</v>
      </c>
      <c r="M61" s="139">
        <f>'Бюджет затрат (ориентир.)'!J99</f>
        <v>0</v>
      </c>
      <c r="N61" s="139">
        <f>'Бюджет затрат (ориентир.)'!K99</f>
        <v>0</v>
      </c>
      <c r="O61" s="139">
        <f>'Бюджет затрат (ориентир.)'!L99</f>
        <v>0</v>
      </c>
      <c r="P61" s="140">
        <f>'Бюджет затрат (ориентир.)'!M99</f>
        <v>0</v>
      </c>
    </row>
    <row r="62" spans="1:16" ht="14.15" customHeight="1" outlineLevel="1" x14ac:dyDescent="0.35">
      <c r="A62" s="135" t="s">
        <v>201</v>
      </c>
      <c r="B62" s="138" t="s">
        <v>185</v>
      </c>
      <c r="C62" s="127"/>
      <c r="D62" s="128"/>
      <c r="E62" s="139">
        <f>'Бюджет затрат (ориентир.)'!B100</f>
        <v>0</v>
      </c>
      <c r="F62" s="139">
        <f>'Бюджет затрат (ориентир.)'!C100</f>
        <v>0</v>
      </c>
      <c r="G62" s="139">
        <f>'Бюджет затрат (ориентир.)'!D100</f>
        <v>0</v>
      </c>
      <c r="H62" s="139">
        <f>'Бюджет затрат (ориентир.)'!E100</f>
        <v>0</v>
      </c>
      <c r="I62" s="139">
        <f>'Бюджет затрат (ориентир.)'!F100</f>
        <v>0</v>
      </c>
      <c r="J62" s="139">
        <f>'Бюджет затрат (ориентир.)'!G100</f>
        <v>0</v>
      </c>
      <c r="K62" s="139">
        <f>'Бюджет затрат (ориентир.)'!H100</f>
        <v>0</v>
      </c>
      <c r="L62" s="139">
        <f>'Бюджет затрат (ориентир.)'!I100</f>
        <v>0</v>
      </c>
      <c r="M62" s="139">
        <f>'Бюджет затрат (ориентир.)'!J100</f>
        <v>0</v>
      </c>
      <c r="N62" s="139">
        <f>'Бюджет затрат (ориентир.)'!K100</f>
        <v>0</v>
      </c>
      <c r="O62" s="139">
        <f>'Бюджет затрат (ориентир.)'!L100</f>
        <v>0</v>
      </c>
      <c r="P62" s="140">
        <f>'Бюджет затрат (ориентир.)'!M100</f>
        <v>0</v>
      </c>
    </row>
    <row r="63" spans="1:16" ht="14.15" customHeight="1" outlineLevel="1" x14ac:dyDescent="0.35">
      <c r="A63" s="135" t="s">
        <v>249</v>
      </c>
      <c r="B63" s="138" t="s">
        <v>186</v>
      </c>
      <c r="C63" s="127"/>
      <c r="D63" s="128"/>
      <c r="E63" s="139">
        <f>'Бюджет затрат (ориентир.)'!B101</f>
        <v>7.4000000000000003E-3</v>
      </c>
      <c r="F63" s="139">
        <f>'Бюджет затрат (ориентир.)'!C101</f>
        <v>7.1000000000000004E-3</v>
      </c>
      <c r="G63" s="139">
        <f>'Бюджет затрат (ориентир.)'!D101</f>
        <v>6.1000000000000004E-3</v>
      </c>
      <c r="H63" s="139">
        <f>'Бюджет затрат (ориентир.)'!E101</f>
        <v>6.8999999999999999E-3</v>
      </c>
      <c r="I63" s="139">
        <f>'Бюджет затрат (ориентир.)'!F101</f>
        <v>6.7999999999999996E-3</v>
      </c>
      <c r="J63" s="139">
        <f>'Бюджет затрат (ориентир.)'!G101</f>
        <v>7.7999999999999996E-3</v>
      </c>
      <c r="K63" s="139">
        <f>'Бюджет затрат (ориентир.)'!H101</f>
        <v>7.0000000000000001E-3</v>
      </c>
      <c r="L63" s="139">
        <f>'Бюджет затрат (ориентир.)'!I101</f>
        <v>7.6E-3</v>
      </c>
      <c r="M63" s="139">
        <f>'Бюджет затрат (ориентир.)'!J101</f>
        <v>6.1999999999999998E-3</v>
      </c>
      <c r="N63" s="139">
        <f>'Бюджет затрат (ориентир.)'!K101</f>
        <v>5.8999999999999999E-3</v>
      </c>
      <c r="O63" s="139">
        <f>'Бюджет затрат (ориентир.)'!L101</f>
        <v>6.1000000000000004E-3</v>
      </c>
      <c r="P63" s="140">
        <f>'Бюджет затрат (ориентир.)'!M101</f>
        <v>5.5999999999999999E-3</v>
      </c>
    </row>
    <row r="64" spans="1:16" ht="14.15" customHeight="1" x14ac:dyDescent="0.35">
      <c r="A64" s="120" t="s">
        <v>250</v>
      </c>
      <c r="B64" s="91" t="s">
        <v>470</v>
      </c>
      <c r="C64" s="127">
        <f t="shared" ref="C64" si="4">SUM(E64:P64)</f>
        <v>0</v>
      </c>
      <c r="D64" s="128">
        <f t="shared" ref="D64" si="5">C64/C$3</f>
        <v>0</v>
      </c>
      <c r="E64" s="129">
        <f>20000/Q1*Операционный!D66</f>
        <v>0</v>
      </c>
      <c r="F64" s="129">
        <f>20000/Q1*Операционный!E66</f>
        <v>0</v>
      </c>
      <c r="G64" s="129"/>
      <c r="H64" s="129"/>
      <c r="I64" s="129"/>
      <c r="J64" s="129"/>
      <c r="K64" s="129"/>
      <c r="L64" s="129"/>
      <c r="M64" s="129"/>
      <c r="N64" s="129"/>
      <c r="O64" s="129"/>
      <c r="P64" s="129"/>
    </row>
    <row r="65" spans="1:162" ht="14.15" customHeight="1" x14ac:dyDescent="0.35">
      <c r="A65" s="143" t="s">
        <v>251</v>
      </c>
      <c r="B65" s="90" t="s">
        <v>436</v>
      </c>
      <c r="C65" s="144">
        <f t="shared" si="3"/>
        <v>126492</v>
      </c>
      <c r="D65" s="145">
        <v>0.01</v>
      </c>
      <c r="E65" s="146">
        <f>E3*D65</f>
        <v>0</v>
      </c>
      <c r="F65" s="146">
        <f>F3*D65</f>
        <v>0</v>
      </c>
      <c r="G65" s="146">
        <f>G3*D65</f>
        <v>15113</v>
      </c>
      <c r="H65" s="146">
        <f>H3*D65</f>
        <v>12700</v>
      </c>
      <c r="I65" s="146">
        <f>I3*D65</f>
        <v>11684</v>
      </c>
      <c r="J65" s="146">
        <f>J3*D65</f>
        <v>11303</v>
      </c>
      <c r="K65" s="146">
        <f>K3*D65</f>
        <v>11049</v>
      </c>
      <c r="L65" s="146">
        <f>L3*D65</f>
        <v>12446</v>
      </c>
      <c r="M65" s="146">
        <f>M3*D65</f>
        <v>11684</v>
      </c>
      <c r="N65" s="146">
        <f>N3*D65</f>
        <v>12065</v>
      </c>
      <c r="O65" s="146">
        <f>O3*D65</f>
        <v>12573</v>
      </c>
      <c r="P65" s="147">
        <f>P3*D65</f>
        <v>15875</v>
      </c>
    </row>
    <row r="66" spans="1:162" s="108" customFormat="1" ht="14.15" customHeight="1" x14ac:dyDescent="0.35">
      <c r="A66" s="406" t="s">
        <v>252</v>
      </c>
      <c r="B66" s="403" t="s">
        <v>437</v>
      </c>
      <c r="C66" s="148">
        <f>SUM(E66:P66)</f>
        <v>3349825.4363382664</v>
      </c>
      <c r="D66" s="149">
        <f t="shared" si="1"/>
        <v>0.26482508271971872</v>
      </c>
      <c r="E66" s="150">
        <f>E5-E6</f>
        <v>0</v>
      </c>
      <c r="F66" s="150">
        <f>F5-F6</f>
        <v>0</v>
      </c>
      <c r="G66" s="150">
        <f>G5-G6</f>
        <v>434393.00663077674</v>
      </c>
      <c r="H66" s="150">
        <f>H5-H6</f>
        <v>332066.8711182999</v>
      </c>
      <c r="I66" s="150">
        <f>I5-I6</f>
        <v>296607.88142883586</v>
      </c>
      <c r="J66" s="150">
        <f>J5-J6</f>
        <v>280134.69529528689</v>
      </c>
      <c r="K66" s="150">
        <f>K5-K6</f>
        <v>269316.15787292091</v>
      </c>
      <c r="L66" s="150">
        <f>L5-L6</f>
        <v>336611.69369593379</v>
      </c>
      <c r="M66" s="150">
        <f>M5-M6</f>
        <v>290617.52142883581</v>
      </c>
      <c r="N66" s="150">
        <f>N5-N6</f>
        <v>313693.42756238487</v>
      </c>
      <c r="O66" s="150">
        <f>O5-O6</f>
        <v>332617.84240711678</v>
      </c>
      <c r="P66" s="151">
        <f>P5-P6</f>
        <v>463766.33889787481</v>
      </c>
      <c r="Q66" s="107"/>
    </row>
    <row r="67" spans="1:162" s="112" customFormat="1" ht="27.75" customHeight="1" x14ac:dyDescent="0.35">
      <c r="A67" s="102" t="s">
        <v>202</v>
      </c>
      <c r="B67" s="404" t="s">
        <v>438</v>
      </c>
      <c r="C67" s="474">
        <f>P67</f>
        <v>3349825.4363382664</v>
      </c>
      <c r="D67" s="475"/>
      <c r="E67" s="152">
        <f>E66</f>
        <v>0</v>
      </c>
      <c r="F67" s="152">
        <f t="shared" ref="F67:P67" si="6">E67+F66</f>
        <v>0</v>
      </c>
      <c r="G67" s="152">
        <f t="shared" si="6"/>
        <v>434393.00663077674</v>
      </c>
      <c r="H67" s="152">
        <f t="shared" si="6"/>
        <v>766459.87774907658</v>
      </c>
      <c r="I67" s="152">
        <f t="shared" si="6"/>
        <v>1063067.7591779125</v>
      </c>
      <c r="J67" s="152">
        <f t="shared" si="6"/>
        <v>1343202.4544731993</v>
      </c>
      <c r="K67" s="152">
        <f t="shared" si="6"/>
        <v>1612518.6123461202</v>
      </c>
      <c r="L67" s="152">
        <f t="shared" si="6"/>
        <v>1949130.306042054</v>
      </c>
      <c r="M67" s="152">
        <f t="shared" si="6"/>
        <v>2239747.8274708898</v>
      </c>
      <c r="N67" s="152">
        <f t="shared" si="6"/>
        <v>2553441.2550332746</v>
      </c>
      <c r="O67" s="152">
        <f t="shared" si="6"/>
        <v>2886059.0974403913</v>
      </c>
      <c r="P67" s="153">
        <f t="shared" si="6"/>
        <v>3349825.4363382664</v>
      </c>
      <c r="R67" s="108"/>
      <c r="S67" s="393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O67" s="108"/>
      <c r="AP67" s="108"/>
      <c r="AQ67" s="108"/>
      <c r="AR67" s="108"/>
      <c r="AS67" s="108"/>
      <c r="AT67" s="108"/>
      <c r="AU67" s="108"/>
      <c r="AV67" s="108"/>
      <c r="AW67" s="108"/>
      <c r="AX67" s="108"/>
      <c r="AY67" s="108"/>
      <c r="AZ67" s="108"/>
      <c r="BA67" s="108"/>
      <c r="BB67" s="108"/>
      <c r="BC67" s="108"/>
      <c r="BD67" s="108"/>
      <c r="BE67" s="108"/>
      <c r="BF67" s="108"/>
      <c r="BG67" s="108"/>
      <c r="BH67" s="108"/>
      <c r="BI67" s="108"/>
      <c r="BJ67" s="108"/>
      <c r="BK67" s="108"/>
      <c r="BL67" s="108"/>
      <c r="BM67" s="108"/>
      <c r="BN67" s="108"/>
      <c r="BO67" s="108"/>
      <c r="BP67" s="108"/>
      <c r="BQ67" s="108"/>
      <c r="BR67" s="108"/>
      <c r="BS67" s="108"/>
      <c r="BT67" s="108"/>
      <c r="BU67" s="108"/>
      <c r="BV67" s="108"/>
      <c r="BW67" s="108"/>
      <c r="BX67" s="108"/>
      <c r="BY67" s="108"/>
      <c r="BZ67" s="108"/>
      <c r="CA67" s="108"/>
      <c r="CB67" s="108"/>
      <c r="CC67" s="108"/>
      <c r="CD67" s="108"/>
      <c r="CE67" s="108"/>
      <c r="CF67" s="108"/>
      <c r="CG67" s="108"/>
      <c r="CH67" s="108"/>
      <c r="CI67" s="108"/>
      <c r="CJ67" s="108"/>
      <c r="CK67" s="108"/>
      <c r="CL67" s="108"/>
      <c r="CM67" s="108"/>
      <c r="CN67" s="108"/>
      <c r="CO67" s="108"/>
      <c r="CP67" s="108"/>
      <c r="CQ67" s="108"/>
      <c r="CR67" s="108"/>
      <c r="CS67" s="108"/>
      <c r="CT67" s="108"/>
      <c r="CU67" s="108"/>
      <c r="CV67" s="108"/>
      <c r="CW67" s="108"/>
      <c r="CX67" s="108"/>
      <c r="CY67" s="108"/>
      <c r="CZ67" s="108"/>
      <c r="DA67" s="108"/>
      <c r="DB67" s="108"/>
      <c r="DC67" s="108"/>
      <c r="DD67" s="108"/>
      <c r="DE67" s="108"/>
      <c r="DF67" s="108"/>
      <c r="DG67" s="108"/>
      <c r="DH67" s="108"/>
      <c r="DI67" s="108"/>
      <c r="DJ67" s="108"/>
      <c r="DK67" s="108"/>
      <c r="DL67" s="108"/>
      <c r="DM67" s="108"/>
      <c r="DN67" s="108"/>
      <c r="DO67" s="108"/>
      <c r="DP67" s="108"/>
      <c r="DQ67" s="108"/>
      <c r="DR67" s="108"/>
      <c r="DS67" s="108"/>
      <c r="DT67" s="108"/>
      <c r="DU67" s="108"/>
      <c r="DV67" s="108"/>
      <c r="DW67" s="108"/>
      <c r="DX67" s="108"/>
      <c r="DY67" s="108"/>
      <c r="DZ67" s="108"/>
      <c r="EA67" s="108"/>
      <c r="EB67" s="108"/>
      <c r="EC67" s="108"/>
      <c r="ED67" s="108"/>
      <c r="EE67" s="108"/>
      <c r="EF67" s="108"/>
      <c r="EG67" s="108"/>
      <c r="EH67" s="108"/>
      <c r="EI67" s="108"/>
      <c r="EJ67" s="108"/>
      <c r="EK67" s="108"/>
      <c r="EL67" s="108"/>
      <c r="EM67" s="108"/>
      <c r="EN67" s="108"/>
      <c r="EO67" s="108"/>
      <c r="EP67" s="108"/>
      <c r="EQ67" s="108"/>
      <c r="ER67" s="108"/>
      <c r="ES67" s="108"/>
      <c r="ET67" s="108"/>
      <c r="EU67" s="108"/>
      <c r="EV67" s="108"/>
      <c r="EW67" s="108"/>
      <c r="EX67" s="108"/>
      <c r="EY67" s="108"/>
      <c r="EZ67" s="108"/>
      <c r="FA67" s="108"/>
      <c r="FB67" s="108"/>
      <c r="FC67" s="108"/>
      <c r="FD67" s="108"/>
      <c r="FE67" s="108"/>
      <c r="FF67" s="108"/>
    </row>
    <row r="68" spans="1:162" s="112" customFormat="1" ht="14.15" customHeight="1" thickBot="1" x14ac:dyDescent="0.4">
      <c r="A68" s="154" t="s">
        <v>203</v>
      </c>
      <c r="B68" s="405" t="s">
        <v>439</v>
      </c>
      <c r="C68" s="476">
        <f>C66/C3</f>
        <v>0.26482508271971872</v>
      </c>
      <c r="D68" s="477"/>
      <c r="E68" s="155">
        <f>IF(E3=0,0,E66/E3)</f>
        <v>0</v>
      </c>
      <c r="F68" s="155">
        <f>IF(F3=0,0,F66/F3)</f>
        <v>0</v>
      </c>
      <c r="G68" s="155">
        <f>IF(G3=0,0,G66/G3)</f>
        <v>0.28743003151642743</v>
      </c>
      <c r="H68" s="155">
        <f>IF(H3=0,0,H66/H3)</f>
        <v>0.26146997725850385</v>
      </c>
      <c r="I68" s="155">
        <f>IF(I3=0,0,I66/I3)</f>
        <v>0.25385816623488178</v>
      </c>
      <c r="J68" s="155">
        <f>IF(J3=0,0,J66/J3)</f>
        <v>0.24784101149720153</v>
      </c>
      <c r="K68" s="155">
        <f>IF(K3=0,0,K66/K3)</f>
        <v>0.24374708830927769</v>
      </c>
      <c r="L68" s="155">
        <f>IF(L3=0,0,L66/L3)</f>
        <v>0.2704577323605446</v>
      </c>
      <c r="M68" s="155">
        <f>IF(M3=0,0,M66/M3)</f>
        <v>0.24873118917223194</v>
      </c>
      <c r="N68" s="155">
        <f>IF(N3=0,0,N66/N3)</f>
        <v>0.26000284091370485</v>
      </c>
      <c r="O68" s="155">
        <f>IF(O3=0,0,O66/O3)</f>
        <v>0.26454930597877735</v>
      </c>
      <c r="P68" s="156">
        <f>IF(P3=0,0,P66/P3)</f>
        <v>0.29213627647110224</v>
      </c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108"/>
      <c r="AQ68" s="108"/>
      <c r="AR68" s="108"/>
      <c r="AS68" s="108"/>
      <c r="AT68" s="108"/>
      <c r="AU68" s="108"/>
      <c r="AV68" s="108"/>
      <c r="AW68" s="108"/>
      <c r="AX68" s="108"/>
      <c r="AY68" s="108"/>
      <c r="AZ68" s="108"/>
      <c r="BA68" s="108"/>
      <c r="BB68" s="108"/>
      <c r="BC68" s="108"/>
      <c r="BD68" s="108"/>
      <c r="BE68" s="108"/>
      <c r="BF68" s="108"/>
      <c r="BG68" s="108"/>
      <c r="BH68" s="108"/>
      <c r="BI68" s="108"/>
      <c r="BJ68" s="108"/>
      <c r="BK68" s="108"/>
      <c r="BL68" s="108"/>
      <c r="BM68" s="108"/>
      <c r="BN68" s="108"/>
      <c r="BO68" s="108"/>
      <c r="BP68" s="108"/>
      <c r="BQ68" s="108"/>
      <c r="BR68" s="108"/>
      <c r="BS68" s="108"/>
      <c r="BT68" s="108"/>
      <c r="BU68" s="108"/>
      <c r="BV68" s="108"/>
      <c r="BW68" s="108"/>
      <c r="BX68" s="108"/>
      <c r="BY68" s="108"/>
      <c r="BZ68" s="108"/>
      <c r="CA68" s="108"/>
      <c r="CB68" s="108"/>
      <c r="CC68" s="108"/>
      <c r="CD68" s="108"/>
      <c r="CE68" s="108"/>
      <c r="CF68" s="108"/>
      <c r="CG68" s="108"/>
      <c r="CH68" s="108"/>
      <c r="CI68" s="108"/>
      <c r="CJ68" s="108"/>
      <c r="CK68" s="108"/>
      <c r="CL68" s="108"/>
      <c r="CM68" s="108"/>
      <c r="CN68" s="108"/>
      <c r="CO68" s="108"/>
      <c r="CP68" s="108"/>
      <c r="CQ68" s="108"/>
      <c r="CR68" s="108"/>
      <c r="CS68" s="108"/>
      <c r="CT68" s="108"/>
      <c r="CU68" s="108"/>
      <c r="CV68" s="108"/>
      <c r="CW68" s="108"/>
      <c r="CX68" s="108"/>
      <c r="CY68" s="108"/>
      <c r="CZ68" s="108"/>
      <c r="DA68" s="108"/>
      <c r="DB68" s="108"/>
      <c r="DC68" s="108"/>
      <c r="DD68" s="108"/>
      <c r="DE68" s="108"/>
      <c r="DF68" s="108"/>
      <c r="DG68" s="108"/>
      <c r="DH68" s="108"/>
      <c r="DI68" s="108"/>
      <c r="DJ68" s="108"/>
      <c r="DK68" s="108"/>
      <c r="DL68" s="108"/>
      <c r="DM68" s="108"/>
      <c r="DN68" s="108"/>
      <c r="DO68" s="108"/>
      <c r="DP68" s="108"/>
      <c r="DQ68" s="108"/>
      <c r="DR68" s="108"/>
      <c r="DS68" s="108"/>
      <c r="DT68" s="108"/>
      <c r="DU68" s="108"/>
      <c r="DV68" s="108"/>
      <c r="DW68" s="108"/>
      <c r="DX68" s="108"/>
      <c r="DY68" s="108"/>
      <c r="DZ68" s="108"/>
      <c r="EA68" s="108"/>
      <c r="EB68" s="108"/>
      <c r="EC68" s="108"/>
      <c r="ED68" s="108"/>
      <c r="EE68" s="108"/>
      <c r="EF68" s="108"/>
      <c r="EG68" s="108"/>
      <c r="EH68" s="108"/>
      <c r="EI68" s="108"/>
      <c r="EJ68" s="108"/>
      <c r="EK68" s="108"/>
      <c r="EL68" s="108"/>
      <c r="EM68" s="108"/>
      <c r="EN68" s="108"/>
      <c r="EO68" s="108"/>
      <c r="EP68" s="108"/>
      <c r="EQ68" s="108"/>
      <c r="ER68" s="108"/>
      <c r="ES68" s="108"/>
      <c r="ET68" s="108"/>
      <c r="EU68" s="108"/>
      <c r="EV68" s="108"/>
      <c r="EW68" s="108"/>
      <c r="EX68" s="108"/>
      <c r="EY68" s="108"/>
      <c r="EZ68" s="108"/>
      <c r="FA68" s="108"/>
      <c r="FB68" s="108"/>
      <c r="FC68" s="108"/>
      <c r="FD68" s="108"/>
      <c r="FE68" s="108"/>
      <c r="FF68" s="108"/>
    </row>
    <row r="69" spans="1:162" s="112" customFormat="1" ht="25.5" customHeight="1" thickBot="1" x14ac:dyDescent="0.4">
      <c r="A69" s="418" t="s">
        <v>204</v>
      </c>
      <c r="B69" s="392" t="s">
        <v>440</v>
      </c>
      <c r="C69" s="482">
        <f>P69</f>
        <v>3349825.4363382664</v>
      </c>
      <c r="D69" s="483"/>
      <c r="E69" s="394">
        <f>E67</f>
        <v>0</v>
      </c>
      <c r="F69" s="395">
        <f>F67</f>
        <v>0</v>
      </c>
      <c r="G69" s="395">
        <f>G67</f>
        <v>434393.00663077674</v>
      </c>
      <c r="H69" s="395">
        <f>H67</f>
        <v>766459.87774907658</v>
      </c>
      <c r="I69" s="395">
        <f t="shared" ref="I69:P69" si="7">I67</f>
        <v>1063067.7591779125</v>
      </c>
      <c r="J69" s="395">
        <f t="shared" si="7"/>
        <v>1343202.4544731993</v>
      </c>
      <c r="K69" s="395">
        <f t="shared" si="7"/>
        <v>1612518.6123461202</v>
      </c>
      <c r="L69" s="395">
        <f t="shared" si="7"/>
        <v>1949130.306042054</v>
      </c>
      <c r="M69" s="395">
        <f t="shared" si="7"/>
        <v>2239747.8274708898</v>
      </c>
      <c r="N69" s="395">
        <f t="shared" si="7"/>
        <v>2553441.2550332746</v>
      </c>
      <c r="O69" s="395">
        <f t="shared" si="7"/>
        <v>2886059.0974403913</v>
      </c>
      <c r="P69" s="396">
        <f t="shared" si="7"/>
        <v>3349825.4363382664</v>
      </c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  <c r="AC69" s="108"/>
      <c r="AD69" s="108"/>
      <c r="AE69" s="108"/>
      <c r="AF69" s="108"/>
      <c r="AG69" s="108"/>
      <c r="AH69" s="108"/>
      <c r="AI69" s="108"/>
      <c r="AJ69" s="108"/>
      <c r="AK69" s="108"/>
      <c r="AL69" s="108"/>
      <c r="AM69" s="108"/>
      <c r="AN69" s="108"/>
      <c r="AO69" s="108"/>
      <c r="AP69" s="108"/>
      <c r="AQ69" s="108"/>
      <c r="AR69" s="108"/>
      <c r="AS69" s="108"/>
      <c r="AT69" s="108"/>
      <c r="AU69" s="108"/>
      <c r="AV69" s="108"/>
      <c r="AW69" s="108"/>
      <c r="AX69" s="108"/>
      <c r="AY69" s="108"/>
      <c r="AZ69" s="108"/>
      <c r="BA69" s="108"/>
      <c r="BB69" s="108"/>
      <c r="BC69" s="108"/>
      <c r="BD69" s="108"/>
      <c r="BE69" s="108"/>
      <c r="BF69" s="108"/>
      <c r="BG69" s="108"/>
      <c r="BH69" s="108"/>
      <c r="BI69" s="108"/>
      <c r="BJ69" s="108"/>
      <c r="BK69" s="108"/>
      <c r="BL69" s="108"/>
      <c r="BM69" s="108"/>
      <c r="BN69" s="108"/>
      <c r="BO69" s="108"/>
      <c r="BP69" s="108"/>
      <c r="BQ69" s="108"/>
      <c r="BR69" s="108"/>
      <c r="BS69" s="108"/>
      <c r="BT69" s="108"/>
      <c r="BU69" s="108"/>
      <c r="BV69" s="108"/>
      <c r="BW69" s="108"/>
      <c r="BX69" s="108"/>
      <c r="BY69" s="108"/>
      <c r="BZ69" s="108"/>
      <c r="CA69" s="108"/>
      <c r="CB69" s="108"/>
      <c r="CC69" s="108"/>
      <c r="CD69" s="108"/>
      <c r="CE69" s="108"/>
      <c r="CF69" s="108"/>
      <c r="CG69" s="108"/>
      <c r="CH69" s="108"/>
      <c r="CI69" s="108"/>
      <c r="CJ69" s="108"/>
      <c r="CK69" s="108"/>
      <c r="CL69" s="108"/>
      <c r="CM69" s="108"/>
      <c r="CN69" s="108"/>
      <c r="CO69" s="108"/>
      <c r="CP69" s="108"/>
      <c r="CQ69" s="108"/>
      <c r="CR69" s="108"/>
      <c r="CS69" s="108"/>
      <c r="CT69" s="108"/>
      <c r="CU69" s="108"/>
      <c r="CV69" s="108"/>
      <c r="CW69" s="108"/>
      <c r="CX69" s="108"/>
      <c r="CY69" s="108"/>
      <c r="CZ69" s="108"/>
      <c r="DA69" s="108"/>
      <c r="DB69" s="108"/>
      <c r="DC69" s="108"/>
      <c r="DD69" s="108"/>
      <c r="DE69" s="108"/>
      <c r="DF69" s="108"/>
      <c r="DG69" s="108"/>
      <c r="DH69" s="108"/>
      <c r="DI69" s="108"/>
      <c r="DJ69" s="108"/>
      <c r="DK69" s="108"/>
      <c r="DL69" s="108"/>
      <c r="DM69" s="108"/>
      <c r="DN69" s="108"/>
      <c r="DO69" s="108"/>
      <c r="DP69" s="108"/>
      <c r="DQ69" s="108"/>
      <c r="DR69" s="108"/>
      <c r="DS69" s="108"/>
      <c r="DT69" s="108"/>
      <c r="DU69" s="108"/>
      <c r="DV69" s="108"/>
      <c r="DW69" s="108"/>
      <c r="DX69" s="108"/>
      <c r="DY69" s="108"/>
      <c r="DZ69" s="108"/>
      <c r="EA69" s="108"/>
      <c r="EB69" s="108"/>
      <c r="EC69" s="108"/>
      <c r="ED69" s="108"/>
      <c r="EE69" s="108"/>
      <c r="EF69" s="108"/>
      <c r="EG69" s="108"/>
      <c r="EH69" s="108"/>
      <c r="EI69" s="108"/>
      <c r="EJ69" s="108"/>
      <c r="EK69" s="108"/>
      <c r="EL69" s="108"/>
      <c r="EM69" s="108"/>
      <c r="EN69" s="108"/>
      <c r="EO69" s="108"/>
      <c r="EP69" s="108"/>
      <c r="EQ69" s="108"/>
      <c r="ER69" s="108"/>
      <c r="ES69" s="108"/>
      <c r="ET69" s="108"/>
      <c r="EU69" s="108"/>
      <c r="EV69" s="108"/>
      <c r="EW69" s="108"/>
      <c r="EX69" s="108"/>
      <c r="EY69" s="108"/>
      <c r="EZ69" s="108"/>
      <c r="FA69" s="108"/>
      <c r="FB69" s="108"/>
      <c r="FC69" s="108"/>
      <c r="FD69" s="108"/>
      <c r="FE69" s="108"/>
      <c r="FF69" s="108"/>
    </row>
    <row r="70" spans="1:162" ht="14.15" customHeight="1" x14ac:dyDescent="0.35">
      <c r="A70" s="397"/>
    </row>
    <row r="71" spans="1:162" ht="14.15" customHeight="1" thickBot="1" x14ac:dyDescent="0.4">
      <c r="A71" s="157" t="s">
        <v>209</v>
      </c>
    </row>
    <row r="72" spans="1:162" ht="14.15" customHeight="1" thickBot="1" x14ac:dyDescent="0.4">
      <c r="A72" s="92" t="s">
        <v>61</v>
      </c>
      <c r="B72" s="85" t="s">
        <v>128</v>
      </c>
      <c r="C72" s="478" t="s">
        <v>129</v>
      </c>
      <c r="D72" s="479"/>
      <c r="E72" s="86" t="s">
        <v>130</v>
      </c>
      <c r="F72" s="86" t="s">
        <v>131</v>
      </c>
      <c r="G72" s="86" t="s">
        <v>132</v>
      </c>
      <c r="H72" s="86" t="s">
        <v>133</v>
      </c>
      <c r="I72" s="86" t="s">
        <v>134</v>
      </c>
      <c r="J72" s="86" t="s">
        <v>135</v>
      </c>
      <c r="K72" s="86" t="s">
        <v>136</v>
      </c>
      <c r="L72" s="86" t="s">
        <v>137</v>
      </c>
      <c r="M72" s="86" t="s">
        <v>138</v>
      </c>
      <c r="N72" s="86" t="s">
        <v>139</v>
      </c>
      <c r="O72" s="86" t="s">
        <v>140</v>
      </c>
      <c r="P72" s="87" t="s">
        <v>141</v>
      </c>
    </row>
    <row r="73" spans="1:162" ht="14.15" customHeight="1" x14ac:dyDescent="0.35">
      <c r="A73" s="159" t="s">
        <v>205</v>
      </c>
      <c r="B73" s="160" t="s">
        <v>441</v>
      </c>
      <c r="C73" s="480">
        <f>SUM(E73:P73)</f>
        <v>12649200</v>
      </c>
      <c r="D73" s="481"/>
      <c r="E73" s="161">
        <f>E3</f>
        <v>0</v>
      </c>
      <c r="F73" s="161">
        <f>F3</f>
        <v>0</v>
      </c>
      <c r="G73" s="161">
        <f>G3</f>
        <v>1511300</v>
      </c>
      <c r="H73" s="161">
        <f>H3</f>
        <v>1270000</v>
      </c>
      <c r="I73" s="161">
        <f>I3</f>
        <v>1168400</v>
      </c>
      <c r="J73" s="161">
        <f>J3</f>
        <v>1130300</v>
      </c>
      <c r="K73" s="161">
        <f>K3</f>
        <v>1104900</v>
      </c>
      <c r="L73" s="161">
        <f>L3</f>
        <v>1244600</v>
      </c>
      <c r="M73" s="161">
        <f>M3</f>
        <v>1168400</v>
      </c>
      <c r="N73" s="161">
        <f>N3</f>
        <v>1206500</v>
      </c>
      <c r="O73" s="161">
        <f>O3</f>
        <v>1257300</v>
      </c>
      <c r="P73" s="162">
        <f>P3</f>
        <v>1587500</v>
      </c>
    </row>
    <row r="74" spans="1:162" ht="14.15" customHeight="1" x14ac:dyDescent="0.35">
      <c r="A74" s="126" t="s">
        <v>206</v>
      </c>
      <c r="B74" s="163" t="s">
        <v>493</v>
      </c>
      <c r="C74" s="465">
        <f t="shared" ref="C74:C76" si="8">SUM(E74:P74)</f>
        <v>5476019.2436617343</v>
      </c>
      <c r="D74" s="466"/>
      <c r="E74" s="164">
        <f>E4</f>
        <v>0</v>
      </c>
      <c r="F74" s="164">
        <f>F4</f>
        <v>0</v>
      </c>
      <c r="G74" s="164">
        <f>G4</f>
        <v>654263.34336922318</v>
      </c>
      <c r="H74" s="164">
        <f>H4</f>
        <v>549801.1288817001</v>
      </c>
      <c r="I74" s="164">
        <f>I4</f>
        <v>505817.03857116413</v>
      </c>
      <c r="J74" s="164">
        <f>J4</f>
        <v>489323.00470471312</v>
      </c>
      <c r="K74" s="164">
        <f>K4</f>
        <v>478326.9821270791</v>
      </c>
      <c r="L74" s="164">
        <f>L4</f>
        <v>538805.10630406614</v>
      </c>
      <c r="M74" s="164">
        <f>M4</f>
        <v>505817.03857116413</v>
      </c>
      <c r="N74" s="164">
        <f>N4</f>
        <v>522311.07243761513</v>
      </c>
      <c r="O74" s="164">
        <f>O4</f>
        <v>544303.11759288318</v>
      </c>
      <c r="P74" s="165">
        <f>P4</f>
        <v>687251.41110212519</v>
      </c>
    </row>
    <row r="75" spans="1:162" ht="14.15" customHeight="1" x14ac:dyDescent="0.35">
      <c r="A75" s="166" t="s">
        <v>207</v>
      </c>
      <c r="B75" s="160" t="s">
        <v>442</v>
      </c>
      <c r="C75" s="469">
        <f t="shared" si="8"/>
        <v>3823355.3200000003</v>
      </c>
      <c r="D75" s="470"/>
      <c r="E75" s="161">
        <f>E6</f>
        <v>0</v>
      </c>
      <c r="F75" s="161">
        <f>F6</f>
        <v>0</v>
      </c>
      <c r="G75" s="161">
        <f>G6</f>
        <v>422643.65000000008</v>
      </c>
      <c r="H75" s="161">
        <f>H6</f>
        <v>388132</v>
      </c>
      <c r="I75" s="161">
        <f>I6</f>
        <v>365975.08</v>
      </c>
      <c r="J75" s="161">
        <f>J6</f>
        <v>360842.3</v>
      </c>
      <c r="K75" s="161">
        <f>K6</f>
        <v>357256.86000000004</v>
      </c>
      <c r="L75" s="161">
        <f>L6</f>
        <v>369183.20000000007</v>
      </c>
      <c r="M75" s="161">
        <f>M6</f>
        <v>371965.44000000006</v>
      </c>
      <c r="N75" s="161">
        <f>N6</f>
        <v>370495.5</v>
      </c>
      <c r="O75" s="161">
        <f>O6</f>
        <v>380379.04000000004</v>
      </c>
      <c r="P75" s="162">
        <f>P6</f>
        <v>436482.25</v>
      </c>
    </row>
    <row r="76" spans="1:162" ht="14.15" customHeight="1" x14ac:dyDescent="0.35">
      <c r="A76" s="126" t="s">
        <v>208</v>
      </c>
      <c r="B76" s="167" t="s">
        <v>443</v>
      </c>
      <c r="C76" s="465">
        <f t="shared" si="8"/>
        <v>3349825.4363382664</v>
      </c>
      <c r="D76" s="466"/>
      <c r="E76" s="164">
        <f>E73-E74-E75</f>
        <v>0</v>
      </c>
      <c r="F76" s="164">
        <f t="shared" ref="F76:P76" si="9">F73-F74-F75</f>
        <v>0</v>
      </c>
      <c r="G76" s="164">
        <f t="shared" si="9"/>
        <v>434393.00663077674</v>
      </c>
      <c r="H76" s="164">
        <f t="shared" si="9"/>
        <v>332066.8711182999</v>
      </c>
      <c r="I76" s="164">
        <f t="shared" si="9"/>
        <v>296607.88142883586</v>
      </c>
      <c r="J76" s="164">
        <f t="shared" si="9"/>
        <v>280134.69529528689</v>
      </c>
      <c r="K76" s="164">
        <f t="shared" si="9"/>
        <v>269316.15787292091</v>
      </c>
      <c r="L76" s="164">
        <f t="shared" si="9"/>
        <v>336611.69369593379</v>
      </c>
      <c r="M76" s="164">
        <f t="shared" si="9"/>
        <v>290617.52142883581</v>
      </c>
      <c r="N76" s="164">
        <f t="shared" si="9"/>
        <v>313693.42756238487</v>
      </c>
      <c r="O76" s="164">
        <f t="shared" si="9"/>
        <v>332617.84240711678</v>
      </c>
      <c r="P76" s="165">
        <f t="shared" si="9"/>
        <v>463766.33889787481</v>
      </c>
    </row>
    <row r="77" spans="1:162" ht="14.15" customHeight="1" thickBot="1" x14ac:dyDescent="0.4">
      <c r="A77" s="168" t="s">
        <v>397</v>
      </c>
      <c r="B77" s="169" t="s">
        <v>444</v>
      </c>
      <c r="C77" s="467">
        <f>P77</f>
        <v>3349825.4363382664</v>
      </c>
      <c r="D77" s="468"/>
      <c r="E77" s="170">
        <f>E76</f>
        <v>0</v>
      </c>
      <c r="F77" s="170">
        <f>E77+F76</f>
        <v>0</v>
      </c>
      <c r="G77" s="170">
        <f t="shared" ref="G77:P77" si="10">F77+G76</f>
        <v>434393.00663077674</v>
      </c>
      <c r="H77" s="170">
        <f t="shared" si="10"/>
        <v>766459.87774907658</v>
      </c>
      <c r="I77" s="170">
        <f t="shared" si="10"/>
        <v>1063067.7591779125</v>
      </c>
      <c r="J77" s="170">
        <f t="shared" si="10"/>
        <v>1343202.4544731993</v>
      </c>
      <c r="K77" s="170">
        <f t="shared" si="10"/>
        <v>1612518.6123461202</v>
      </c>
      <c r="L77" s="170">
        <f t="shared" si="10"/>
        <v>1949130.306042054</v>
      </c>
      <c r="M77" s="170">
        <f t="shared" si="10"/>
        <v>2239747.8274708898</v>
      </c>
      <c r="N77" s="170">
        <f t="shared" si="10"/>
        <v>2553441.2550332746</v>
      </c>
      <c r="O77" s="170">
        <f t="shared" si="10"/>
        <v>2886059.0974403913</v>
      </c>
      <c r="P77" s="171">
        <f t="shared" si="10"/>
        <v>3349825.4363382664</v>
      </c>
    </row>
    <row r="78" spans="1:162" ht="14.15" customHeight="1" x14ac:dyDescent="0.35"/>
  </sheetData>
  <mergeCells count="10">
    <mergeCell ref="C76:D76"/>
    <mergeCell ref="C77:D77"/>
    <mergeCell ref="C74:D74"/>
    <mergeCell ref="C75:D75"/>
    <mergeCell ref="A1:P1"/>
    <mergeCell ref="C67:D67"/>
    <mergeCell ref="C68:D68"/>
    <mergeCell ref="C72:D72"/>
    <mergeCell ref="C73:D73"/>
    <mergeCell ref="C69:D69"/>
  </mergeCells>
  <phoneticPr fontId="17" type="noConversion"/>
  <pageMargins left="0.11811023622047245" right="0.11811023622047245" top="0.35433070866141736" bottom="0.35433070866141736" header="0.31496062992125984" footer="0.31496062992125984"/>
  <pageSetup paperSize="9" scale="10" orientation="landscape" r:id="rId1"/>
  <ignoredErrors>
    <ignoredError sqref="A75 A7:A9 A43:A59 A73:A74 A76:A77 A27:A39 A64:A69 A10:A26" numberStoredAsText="1"/>
    <ignoredError sqref="C68 D4" formula="1"/>
    <ignoredError sqref="A40:A42" twoDigitTextYear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F76"/>
  <sheetViews>
    <sheetView topLeftCell="A16" workbookViewId="0">
      <selection activeCell="R18" sqref="R18"/>
    </sheetView>
  </sheetViews>
  <sheetFormatPr defaultColWidth="9.1796875" defaultRowHeight="14.5" outlineLevelRow="1" x14ac:dyDescent="0.35"/>
  <cols>
    <col min="1" max="1" width="4.453125" style="172" customWidth="1"/>
    <col min="2" max="2" width="39.453125" style="88" customWidth="1"/>
    <col min="3" max="3" width="9.7265625" style="158" customWidth="1"/>
    <col min="4" max="4" width="7.7265625" style="158" customWidth="1"/>
    <col min="5" max="16" width="8.7265625" style="88" customWidth="1"/>
    <col min="17" max="17" width="8.7265625" style="421" customWidth="1"/>
    <col min="18" max="256" width="9.1796875" style="88"/>
    <col min="257" max="257" width="3.7265625" style="88" customWidth="1"/>
    <col min="258" max="258" width="45.7265625" style="88" customWidth="1"/>
    <col min="259" max="259" width="9.7265625" style="88" customWidth="1"/>
    <col min="260" max="260" width="7.7265625" style="88" customWidth="1"/>
    <col min="261" max="273" width="8.7265625" style="88" customWidth="1"/>
    <col min="274" max="512" width="9.1796875" style="88"/>
    <col min="513" max="513" width="3.7265625" style="88" customWidth="1"/>
    <col min="514" max="514" width="45.7265625" style="88" customWidth="1"/>
    <col min="515" max="515" width="9.7265625" style="88" customWidth="1"/>
    <col min="516" max="516" width="7.7265625" style="88" customWidth="1"/>
    <col min="517" max="529" width="8.7265625" style="88" customWidth="1"/>
    <col min="530" max="768" width="9.1796875" style="88"/>
    <col min="769" max="769" width="3.7265625" style="88" customWidth="1"/>
    <col min="770" max="770" width="45.7265625" style="88" customWidth="1"/>
    <col min="771" max="771" width="9.7265625" style="88" customWidth="1"/>
    <col min="772" max="772" width="7.7265625" style="88" customWidth="1"/>
    <col min="773" max="785" width="8.7265625" style="88" customWidth="1"/>
    <col min="786" max="1024" width="9.1796875" style="88"/>
    <col min="1025" max="1025" width="3.7265625" style="88" customWidth="1"/>
    <col min="1026" max="1026" width="45.7265625" style="88" customWidth="1"/>
    <col min="1027" max="1027" width="9.7265625" style="88" customWidth="1"/>
    <col min="1028" max="1028" width="7.7265625" style="88" customWidth="1"/>
    <col min="1029" max="1041" width="8.7265625" style="88" customWidth="1"/>
    <col min="1042" max="1280" width="9.1796875" style="88"/>
    <col min="1281" max="1281" width="3.7265625" style="88" customWidth="1"/>
    <col min="1282" max="1282" width="45.7265625" style="88" customWidth="1"/>
    <col min="1283" max="1283" width="9.7265625" style="88" customWidth="1"/>
    <col min="1284" max="1284" width="7.7265625" style="88" customWidth="1"/>
    <col min="1285" max="1297" width="8.7265625" style="88" customWidth="1"/>
    <col min="1298" max="1536" width="9.1796875" style="88"/>
    <col min="1537" max="1537" width="3.7265625" style="88" customWidth="1"/>
    <col min="1538" max="1538" width="45.7265625" style="88" customWidth="1"/>
    <col min="1539" max="1539" width="9.7265625" style="88" customWidth="1"/>
    <col min="1540" max="1540" width="7.7265625" style="88" customWidth="1"/>
    <col min="1541" max="1553" width="8.7265625" style="88" customWidth="1"/>
    <col min="1554" max="1792" width="9.1796875" style="88"/>
    <col min="1793" max="1793" width="3.7265625" style="88" customWidth="1"/>
    <col min="1794" max="1794" width="45.7265625" style="88" customWidth="1"/>
    <col min="1795" max="1795" width="9.7265625" style="88" customWidth="1"/>
    <col min="1796" max="1796" width="7.7265625" style="88" customWidth="1"/>
    <col min="1797" max="1809" width="8.7265625" style="88" customWidth="1"/>
    <col min="1810" max="2048" width="9.1796875" style="88"/>
    <col min="2049" max="2049" width="3.7265625" style="88" customWidth="1"/>
    <col min="2050" max="2050" width="45.7265625" style="88" customWidth="1"/>
    <col min="2051" max="2051" width="9.7265625" style="88" customWidth="1"/>
    <col min="2052" max="2052" width="7.7265625" style="88" customWidth="1"/>
    <col min="2053" max="2065" width="8.7265625" style="88" customWidth="1"/>
    <col min="2066" max="2304" width="9.1796875" style="88"/>
    <col min="2305" max="2305" width="3.7265625" style="88" customWidth="1"/>
    <col min="2306" max="2306" width="45.7265625" style="88" customWidth="1"/>
    <col min="2307" max="2307" width="9.7265625" style="88" customWidth="1"/>
    <col min="2308" max="2308" width="7.7265625" style="88" customWidth="1"/>
    <col min="2309" max="2321" width="8.7265625" style="88" customWidth="1"/>
    <col min="2322" max="2560" width="9.1796875" style="88"/>
    <col min="2561" max="2561" width="3.7265625" style="88" customWidth="1"/>
    <col min="2562" max="2562" width="45.7265625" style="88" customWidth="1"/>
    <col min="2563" max="2563" width="9.7265625" style="88" customWidth="1"/>
    <col min="2564" max="2564" width="7.7265625" style="88" customWidth="1"/>
    <col min="2565" max="2577" width="8.7265625" style="88" customWidth="1"/>
    <col min="2578" max="2816" width="9.1796875" style="88"/>
    <col min="2817" max="2817" width="3.7265625" style="88" customWidth="1"/>
    <col min="2818" max="2818" width="45.7265625" style="88" customWidth="1"/>
    <col min="2819" max="2819" width="9.7265625" style="88" customWidth="1"/>
    <col min="2820" max="2820" width="7.7265625" style="88" customWidth="1"/>
    <col min="2821" max="2833" width="8.7265625" style="88" customWidth="1"/>
    <col min="2834" max="3072" width="9.1796875" style="88"/>
    <col min="3073" max="3073" width="3.7265625" style="88" customWidth="1"/>
    <col min="3074" max="3074" width="45.7265625" style="88" customWidth="1"/>
    <col min="3075" max="3075" width="9.7265625" style="88" customWidth="1"/>
    <col min="3076" max="3076" width="7.7265625" style="88" customWidth="1"/>
    <col min="3077" max="3089" width="8.7265625" style="88" customWidth="1"/>
    <col min="3090" max="3328" width="9.1796875" style="88"/>
    <col min="3329" max="3329" width="3.7265625" style="88" customWidth="1"/>
    <col min="3330" max="3330" width="45.7265625" style="88" customWidth="1"/>
    <col min="3331" max="3331" width="9.7265625" style="88" customWidth="1"/>
    <col min="3332" max="3332" width="7.7265625" style="88" customWidth="1"/>
    <col min="3333" max="3345" width="8.7265625" style="88" customWidth="1"/>
    <col min="3346" max="3584" width="9.1796875" style="88"/>
    <col min="3585" max="3585" width="3.7265625" style="88" customWidth="1"/>
    <col min="3586" max="3586" width="45.7265625" style="88" customWidth="1"/>
    <col min="3587" max="3587" width="9.7265625" style="88" customWidth="1"/>
    <col min="3588" max="3588" width="7.7265625" style="88" customWidth="1"/>
    <col min="3589" max="3601" width="8.7265625" style="88" customWidth="1"/>
    <col min="3602" max="3840" width="9.1796875" style="88"/>
    <col min="3841" max="3841" width="3.7265625" style="88" customWidth="1"/>
    <col min="3842" max="3842" width="45.7265625" style="88" customWidth="1"/>
    <col min="3843" max="3843" width="9.7265625" style="88" customWidth="1"/>
    <col min="3844" max="3844" width="7.7265625" style="88" customWidth="1"/>
    <col min="3845" max="3857" width="8.7265625" style="88" customWidth="1"/>
    <col min="3858" max="4096" width="9.1796875" style="88"/>
    <col min="4097" max="4097" width="3.7265625" style="88" customWidth="1"/>
    <col min="4098" max="4098" width="45.7265625" style="88" customWidth="1"/>
    <col min="4099" max="4099" width="9.7265625" style="88" customWidth="1"/>
    <col min="4100" max="4100" width="7.7265625" style="88" customWidth="1"/>
    <col min="4101" max="4113" width="8.7265625" style="88" customWidth="1"/>
    <col min="4114" max="4352" width="9.1796875" style="88"/>
    <col min="4353" max="4353" width="3.7265625" style="88" customWidth="1"/>
    <col min="4354" max="4354" width="45.7265625" style="88" customWidth="1"/>
    <col min="4355" max="4355" width="9.7265625" style="88" customWidth="1"/>
    <col min="4356" max="4356" width="7.7265625" style="88" customWidth="1"/>
    <col min="4357" max="4369" width="8.7265625" style="88" customWidth="1"/>
    <col min="4370" max="4608" width="9.1796875" style="88"/>
    <col min="4609" max="4609" width="3.7265625" style="88" customWidth="1"/>
    <col min="4610" max="4610" width="45.7265625" style="88" customWidth="1"/>
    <col min="4611" max="4611" width="9.7265625" style="88" customWidth="1"/>
    <col min="4612" max="4612" width="7.7265625" style="88" customWidth="1"/>
    <col min="4613" max="4625" width="8.7265625" style="88" customWidth="1"/>
    <col min="4626" max="4864" width="9.1796875" style="88"/>
    <col min="4865" max="4865" width="3.7265625" style="88" customWidth="1"/>
    <col min="4866" max="4866" width="45.7265625" style="88" customWidth="1"/>
    <col min="4867" max="4867" width="9.7265625" style="88" customWidth="1"/>
    <col min="4868" max="4868" width="7.7265625" style="88" customWidth="1"/>
    <col min="4869" max="4881" width="8.7265625" style="88" customWidth="1"/>
    <col min="4882" max="5120" width="9.1796875" style="88"/>
    <col min="5121" max="5121" width="3.7265625" style="88" customWidth="1"/>
    <col min="5122" max="5122" width="45.7265625" style="88" customWidth="1"/>
    <col min="5123" max="5123" width="9.7265625" style="88" customWidth="1"/>
    <col min="5124" max="5124" width="7.7265625" style="88" customWidth="1"/>
    <col min="5125" max="5137" width="8.7265625" style="88" customWidth="1"/>
    <col min="5138" max="5376" width="9.1796875" style="88"/>
    <col min="5377" max="5377" width="3.7265625" style="88" customWidth="1"/>
    <col min="5378" max="5378" width="45.7265625" style="88" customWidth="1"/>
    <col min="5379" max="5379" width="9.7265625" style="88" customWidth="1"/>
    <col min="5380" max="5380" width="7.7265625" style="88" customWidth="1"/>
    <col min="5381" max="5393" width="8.7265625" style="88" customWidth="1"/>
    <col min="5394" max="5632" width="9.1796875" style="88"/>
    <col min="5633" max="5633" width="3.7265625" style="88" customWidth="1"/>
    <col min="5634" max="5634" width="45.7265625" style="88" customWidth="1"/>
    <col min="5635" max="5635" width="9.7265625" style="88" customWidth="1"/>
    <col min="5636" max="5636" width="7.7265625" style="88" customWidth="1"/>
    <col min="5637" max="5649" width="8.7265625" style="88" customWidth="1"/>
    <col min="5650" max="5888" width="9.1796875" style="88"/>
    <col min="5889" max="5889" width="3.7265625" style="88" customWidth="1"/>
    <col min="5890" max="5890" width="45.7265625" style="88" customWidth="1"/>
    <col min="5891" max="5891" width="9.7265625" style="88" customWidth="1"/>
    <col min="5892" max="5892" width="7.7265625" style="88" customWidth="1"/>
    <col min="5893" max="5905" width="8.7265625" style="88" customWidth="1"/>
    <col min="5906" max="6144" width="9.1796875" style="88"/>
    <col min="6145" max="6145" width="3.7265625" style="88" customWidth="1"/>
    <col min="6146" max="6146" width="45.7265625" style="88" customWidth="1"/>
    <col min="6147" max="6147" width="9.7265625" style="88" customWidth="1"/>
    <col min="6148" max="6148" width="7.7265625" style="88" customWidth="1"/>
    <col min="6149" max="6161" width="8.7265625" style="88" customWidth="1"/>
    <col min="6162" max="6400" width="9.1796875" style="88"/>
    <col min="6401" max="6401" width="3.7265625" style="88" customWidth="1"/>
    <col min="6402" max="6402" width="45.7265625" style="88" customWidth="1"/>
    <col min="6403" max="6403" width="9.7265625" style="88" customWidth="1"/>
    <col min="6404" max="6404" width="7.7265625" style="88" customWidth="1"/>
    <col min="6405" max="6417" width="8.7265625" style="88" customWidth="1"/>
    <col min="6418" max="6656" width="9.1796875" style="88"/>
    <col min="6657" max="6657" width="3.7265625" style="88" customWidth="1"/>
    <col min="6658" max="6658" width="45.7265625" style="88" customWidth="1"/>
    <col min="6659" max="6659" width="9.7265625" style="88" customWidth="1"/>
    <col min="6660" max="6660" width="7.7265625" style="88" customWidth="1"/>
    <col min="6661" max="6673" width="8.7265625" style="88" customWidth="1"/>
    <col min="6674" max="6912" width="9.1796875" style="88"/>
    <col min="6913" max="6913" width="3.7265625" style="88" customWidth="1"/>
    <col min="6914" max="6914" width="45.7265625" style="88" customWidth="1"/>
    <col min="6915" max="6915" width="9.7265625" style="88" customWidth="1"/>
    <col min="6916" max="6916" width="7.7265625" style="88" customWidth="1"/>
    <col min="6917" max="6929" width="8.7265625" style="88" customWidth="1"/>
    <col min="6930" max="7168" width="9.1796875" style="88"/>
    <col min="7169" max="7169" width="3.7265625" style="88" customWidth="1"/>
    <col min="7170" max="7170" width="45.7265625" style="88" customWidth="1"/>
    <col min="7171" max="7171" width="9.7265625" style="88" customWidth="1"/>
    <col min="7172" max="7172" width="7.7265625" style="88" customWidth="1"/>
    <col min="7173" max="7185" width="8.7265625" style="88" customWidth="1"/>
    <col min="7186" max="7424" width="9.1796875" style="88"/>
    <col min="7425" max="7425" width="3.7265625" style="88" customWidth="1"/>
    <col min="7426" max="7426" width="45.7265625" style="88" customWidth="1"/>
    <col min="7427" max="7427" width="9.7265625" style="88" customWidth="1"/>
    <col min="7428" max="7428" width="7.7265625" style="88" customWidth="1"/>
    <col min="7429" max="7441" width="8.7265625" style="88" customWidth="1"/>
    <col min="7442" max="7680" width="9.1796875" style="88"/>
    <col min="7681" max="7681" width="3.7265625" style="88" customWidth="1"/>
    <col min="7682" max="7682" width="45.7265625" style="88" customWidth="1"/>
    <col min="7683" max="7683" width="9.7265625" style="88" customWidth="1"/>
    <col min="7684" max="7684" width="7.7265625" style="88" customWidth="1"/>
    <col min="7685" max="7697" width="8.7265625" style="88" customWidth="1"/>
    <col min="7698" max="7936" width="9.1796875" style="88"/>
    <col min="7937" max="7937" width="3.7265625" style="88" customWidth="1"/>
    <col min="7938" max="7938" width="45.7265625" style="88" customWidth="1"/>
    <col min="7939" max="7939" width="9.7265625" style="88" customWidth="1"/>
    <col min="7940" max="7940" width="7.7265625" style="88" customWidth="1"/>
    <col min="7941" max="7953" width="8.7265625" style="88" customWidth="1"/>
    <col min="7954" max="8192" width="9.1796875" style="88"/>
    <col min="8193" max="8193" width="3.7265625" style="88" customWidth="1"/>
    <col min="8194" max="8194" width="45.7265625" style="88" customWidth="1"/>
    <col min="8195" max="8195" width="9.7265625" style="88" customWidth="1"/>
    <col min="8196" max="8196" width="7.7265625" style="88" customWidth="1"/>
    <col min="8197" max="8209" width="8.7265625" style="88" customWidth="1"/>
    <col min="8210" max="8448" width="9.1796875" style="88"/>
    <col min="8449" max="8449" width="3.7265625" style="88" customWidth="1"/>
    <col min="8450" max="8450" width="45.7265625" style="88" customWidth="1"/>
    <col min="8451" max="8451" width="9.7265625" style="88" customWidth="1"/>
    <col min="8452" max="8452" width="7.7265625" style="88" customWidth="1"/>
    <col min="8453" max="8465" width="8.7265625" style="88" customWidth="1"/>
    <col min="8466" max="8704" width="9.1796875" style="88"/>
    <col min="8705" max="8705" width="3.7265625" style="88" customWidth="1"/>
    <col min="8706" max="8706" width="45.7265625" style="88" customWidth="1"/>
    <col min="8707" max="8707" width="9.7265625" style="88" customWidth="1"/>
    <col min="8708" max="8708" width="7.7265625" style="88" customWidth="1"/>
    <col min="8709" max="8721" width="8.7265625" style="88" customWidth="1"/>
    <col min="8722" max="8960" width="9.1796875" style="88"/>
    <col min="8961" max="8961" width="3.7265625" style="88" customWidth="1"/>
    <col min="8962" max="8962" width="45.7265625" style="88" customWidth="1"/>
    <col min="8963" max="8963" width="9.7265625" style="88" customWidth="1"/>
    <col min="8964" max="8964" width="7.7265625" style="88" customWidth="1"/>
    <col min="8965" max="8977" width="8.7265625" style="88" customWidth="1"/>
    <col min="8978" max="9216" width="9.1796875" style="88"/>
    <col min="9217" max="9217" width="3.7265625" style="88" customWidth="1"/>
    <col min="9218" max="9218" width="45.7265625" style="88" customWidth="1"/>
    <col min="9219" max="9219" width="9.7265625" style="88" customWidth="1"/>
    <col min="9220" max="9220" width="7.7265625" style="88" customWidth="1"/>
    <col min="9221" max="9233" width="8.7265625" style="88" customWidth="1"/>
    <col min="9234" max="9472" width="9.1796875" style="88"/>
    <col min="9473" max="9473" width="3.7265625" style="88" customWidth="1"/>
    <col min="9474" max="9474" width="45.7265625" style="88" customWidth="1"/>
    <col min="9475" max="9475" width="9.7265625" style="88" customWidth="1"/>
    <col min="9476" max="9476" width="7.7265625" style="88" customWidth="1"/>
    <col min="9477" max="9489" width="8.7265625" style="88" customWidth="1"/>
    <col min="9490" max="9728" width="9.1796875" style="88"/>
    <col min="9729" max="9729" width="3.7265625" style="88" customWidth="1"/>
    <col min="9730" max="9730" width="45.7265625" style="88" customWidth="1"/>
    <col min="9731" max="9731" width="9.7265625" style="88" customWidth="1"/>
    <col min="9732" max="9732" width="7.7265625" style="88" customWidth="1"/>
    <col min="9733" max="9745" width="8.7265625" style="88" customWidth="1"/>
    <col min="9746" max="9984" width="9.1796875" style="88"/>
    <col min="9985" max="9985" width="3.7265625" style="88" customWidth="1"/>
    <col min="9986" max="9986" width="45.7265625" style="88" customWidth="1"/>
    <col min="9987" max="9987" width="9.7265625" style="88" customWidth="1"/>
    <col min="9988" max="9988" width="7.7265625" style="88" customWidth="1"/>
    <col min="9989" max="10001" width="8.7265625" style="88" customWidth="1"/>
    <col min="10002" max="10240" width="9.1796875" style="88"/>
    <col min="10241" max="10241" width="3.7265625" style="88" customWidth="1"/>
    <col min="10242" max="10242" width="45.7265625" style="88" customWidth="1"/>
    <col min="10243" max="10243" width="9.7265625" style="88" customWidth="1"/>
    <col min="10244" max="10244" width="7.7265625" style="88" customWidth="1"/>
    <col min="10245" max="10257" width="8.7265625" style="88" customWidth="1"/>
    <col min="10258" max="10496" width="9.1796875" style="88"/>
    <col min="10497" max="10497" width="3.7265625" style="88" customWidth="1"/>
    <col min="10498" max="10498" width="45.7265625" style="88" customWidth="1"/>
    <col min="10499" max="10499" width="9.7265625" style="88" customWidth="1"/>
    <col min="10500" max="10500" width="7.7265625" style="88" customWidth="1"/>
    <col min="10501" max="10513" width="8.7265625" style="88" customWidth="1"/>
    <col min="10514" max="10752" width="9.1796875" style="88"/>
    <col min="10753" max="10753" width="3.7265625" style="88" customWidth="1"/>
    <col min="10754" max="10754" width="45.7265625" style="88" customWidth="1"/>
    <col min="10755" max="10755" width="9.7265625" style="88" customWidth="1"/>
    <col min="10756" max="10756" width="7.7265625" style="88" customWidth="1"/>
    <col min="10757" max="10769" width="8.7265625" style="88" customWidth="1"/>
    <col min="10770" max="11008" width="9.1796875" style="88"/>
    <col min="11009" max="11009" width="3.7265625" style="88" customWidth="1"/>
    <col min="11010" max="11010" width="45.7265625" style="88" customWidth="1"/>
    <col min="11011" max="11011" width="9.7265625" style="88" customWidth="1"/>
    <col min="11012" max="11012" width="7.7265625" style="88" customWidth="1"/>
    <col min="11013" max="11025" width="8.7265625" style="88" customWidth="1"/>
    <col min="11026" max="11264" width="9.1796875" style="88"/>
    <col min="11265" max="11265" width="3.7265625" style="88" customWidth="1"/>
    <col min="11266" max="11266" width="45.7265625" style="88" customWidth="1"/>
    <col min="11267" max="11267" width="9.7265625" style="88" customWidth="1"/>
    <col min="11268" max="11268" width="7.7265625" style="88" customWidth="1"/>
    <col min="11269" max="11281" width="8.7265625" style="88" customWidth="1"/>
    <col min="11282" max="11520" width="9.1796875" style="88"/>
    <col min="11521" max="11521" width="3.7265625" style="88" customWidth="1"/>
    <col min="11522" max="11522" width="45.7265625" style="88" customWidth="1"/>
    <col min="11523" max="11523" width="9.7265625" style="88" customWidth="1"/>
    <col min="11524" max="11524" width="7.7265625" style="88" customWidth="1"/>
    <col min="11525" max="11537" width="8.7265625" style="88" customWidth="1"/>
    <col min="11538" max="11776" width="9.1796875" style="88"/>
    <col min="11777" max="11777" width="3.7265625" style="88" customWidth="1"/>
    <col min="11778" max="11778" width="45.7265625" style="88" customWidth="1"/>
    <col min="11779" max="11779" width="9.7265625" style="88" customWidth="1"/>
    <col min="11780" max="11780" width="7.7265625" style="88" customWidth="1"/>
    <col min="11781" max="11793" width="8.7265625" style="88" customWidth="1"/>
    <col min="11794" max="12032" width="9.1796875" style="88"/>
    <col min="12033" max="12033" width="3.7265625" style="88" customWidth="1"/>
    <col min="12034" max="12034" width="45.7265625" style="88" customWidth="1"/>
    <col min="12035" max="12035" width="9.7265625" style="88" customWidth="1"/>
    <col min="12036" max="12036" width="7.7265625" style="88" customWidth="1"/>
    <col min="12037" max="12049" width="8.7265625" style="88" customWidth="1"/>
    <col min="12050" max="12288" width="9.1796875" style="88"/>
    <col min="12289" max="12289" width="3.7265625" style="88" customWidth="1"/>
    <col min="12290" max="12290" width="45.7265625" style="88" customWidth="1"/>
    <col min="12291" max="12291" width="9.7265625" style="88" customWidth="1"/>
    <col min="12292" max="12292" width="7.7265625" style="88" customWidth="1"/>
    <col min="12293" max="12305" width="8.7265625" style="88" customWidth="1"/>
    <col min="12306" max="12544" width="9.1796875" style="88"/>
    <col min="12545" max="12545" width="3.7265625" style="88" customWidth="1"/>
    <col min="12546" max="12546" width="45.7265625" style="88" customWidth="1"/>
    <col min="12547" max="12547" width="9.7265625" style="88" customWidth="1"/>
    <col min="12548" max="12548" width="7.7265625" style="88" customWidth="1"/>
    <col min="12549" max="12561" width="8.7265625" style="88" customWidth="1"/>
    <col min="12562" max="12800" width="9.1796875" style="88"/>
    <col min="12801" max="12801" width="3.7265625" style="88" customWidth="1"/>
    <col min="12802" max="12802" width="45.7265625" style="88" customWidth="1"/>
    <col min="12803" max="12803" width="9.7265625" style="88" customWidth="1"/>
    <col min="12804" max="12804" width="7.7265625" style="88" customWidth="1"/>
    <col min="12805" max="12817" width="8.7265625" style="88" customWidth="1"/>
    <col min="12818" max="13056" width="9.1796875" style="88"/>
    <col min="13057" max="13057" width="3.7265625" style="88" customWidth="1"/>
    <col min="13058" max="13058" width="45.7265625" style="88" customWidth="1"/>
    <col min="13059" max="13059" width="9.7265625" style="88" customWidth="1"/>
    <col min="13060" max="13060" width="7.7265625" style="88" customWidth="1"/>
    <col min="13061" max="13073" width="8.7265625" style="88" customWidth="1"/>
    <col min="13074" max="13312" width="9.1796875" style="88"/>
    <col min="13313" max="13313" width="3.7265625" style="88" customWidth="1"/>
    <col min="13314" max="13314" width="45.7265625" style="88" customWidth="1"/>
    <col min="13315" max="13315" width="9.7265625" style="88" customWidth="1"/>
    <col min="13316" max="13316" width="7.7265625" style="88" customWidth="1"/>
    <col min="13317" max="13329" width="8.7265625" style="88" customWidth="1"/>
    <col min="13330" max="13568" width="9.1796875" style="88"/>
    <col min="13569" max="13569" width="3.7265625" style="88" customWidth="1"/>
    <col min="13570" max="13570" width="45.7265625" style="88" customWidth="1"/>
    <col min="13571" max="13571" width="9.7265625" style="88" customWidth="1"/>
    <col min="13572" max="13572" width="7.7265625" style="88" customWidth="1"/>
    <col min="13573" max="13585" width="8.7265625" style="88" customWidth="1"/>
    <col min="13586" max="13824" width="9.1796875" style="88"/>
    <col min="13825" max="13825" width="3.7265625" style="88" customWidth="1"/>
    <col min="13826" max="13826" width="45.7265625" style="88" customWidth="1"/>
    <col min="13827" max="13827" width="9.7265625" style="88" customWidth="1"/>
    <col min="13828" max="13828" width="7.7265625" style="88" customWidth="1"/>
    <col min="13829" max="13841" width="8.7265625" style="88" customWidth="1"/>
    <col min="13842" max="14080" width="9.1796875" style="88"/>
    <col min="14081" max="14081" width="3.7265625" style="88" customWidth="1"/>
    <col min="14082" max="14082" width="45.7265625" style="88" customWidth="1"/>
    <col min="14083" max="14083" width="9.7265625" style="88" customWidth="1"/>
    <col min="14084" max="14084" width="7.7265625" style="88" customWidth="1"/>
    <col min="14085" max="14097" width="8.7265625" style="88" customWidth="1"/>
    <col min="14098" max="14336" width="9.1796875" style="88"/>
    <col min="14337" max="14337" width="3.7265625" style="88" customWidth="1"/>
    <col min="14338" max="14338" width="45.7265625" style="88" customWidth="1"/>
    <col min="14339" max="14339" width="9.7265625" style="88" customWidth="1"/>
    <col min="14340" max="14340" width="7.7265625" style="88" customWidth="1"/>
    <col min="14341" max="14353" width="8.7265625" style="88" customWidth="1"/>
    <col min="14354" max="14592" width="9.1796875" style="88"/>
    <col min="14593" max="14593" width="3.7265625" style="88" customWidth="1"/>
    <col min="14594" max="14594" width="45.7265625" style="88" customWidth="1"/>
    <col min="14595" max="14595" width="9.7265625" style="88" customWidth="1"/>
    <col min="14596" max="14596" width="7.7265625" style="88" customWidth="1"/>
    <col min="14597" max="14609" width="8.7265625" style="88" customWidth="1"/>
    <col min="14610" max="14848" width="9.1796875" style="88"/>
    <col min="14849" max="14849" width="3.7265625" style="88" customWidth="1"/>
    <col min="14850" max="14850" width="45.7265625" style="88" customWidth="1"/>
    <col min="14851" max="14851" width="9.7265625" style="88" customWidth="1"/>
    <col min="14852" max="14852" width="7.7265625" style="88" customWidth="1"/>
    <col min="14853" max="14865" width="8.7265625" style="88" customWidth="1"/>
    <col min="14866" max="15104" width="9.1796875" style="88"/>
    <col min="15105" max="15105" width="3.7265625" style="88" customWidth="1"/>
    <col min="15106" max="15106" width="45.7265625" style="88" customWidth="1"/>
    <col min="15107" max="15107" width="9.7265625" style="88" customWidth="1"/>
    <col min="15108" max="15108" width="7.7265625" style="88" customWidth="1"/>
    <col min="15109" max="15121" width="8.7265625" style="88" customWidth="1"/>
    <col min="15122" max="15360" width="9.1796875" style="88"/>
    <col min="15361" max="15361" width="3.7265625" style="88" customWidth="1"/>
    <col min="15362" max="15362" width="45.7265625" style="88" customWidth="1"/>
    <col min="15363" max="15363" width="9.7265625" style="88" customWidth="1"/>
    <col min="15364" max="15364" width="7.7265625" style="88" customWidth="1"/>
    <col min="15365" max="15377" width="8.7265625" style="88" customWidth="1"/>
    <col min="15378" max="15616" width="9.1796875" style="88"/>
    <col min="15617" max="15617" width="3.7265625" style="88" customWidth="1"/>
    <col min="15618" max="15618" width="45.7265625" style="88" customWidth="1"/>
    <col min="15619" max="15619" width="9.7265625" style="88" customWidth="1"/>
    <col min="15620" max="15620" width="7.7265625" style="88" customWidth="1"/>
    <col min="15621" max="15633" width="8.7265625" style="88" customWidth="1"/>
    <col min="15634" max="15872" width="9.1796875" style="88"/>
    <col min="15873" max="15873" width="3.7265625" style="88" customWidth="1"/>
    <col min="15874" max="15874" width="45.7265625" style="88" customWidth="1"/>
    <col min="15875" max="15875" width="9.7265625" style="88" customWidth="1"/>
    <col min="15876" max="15876" width="7.7265625" style="88" customWidth="1"/>
    <col min="15877" max="15889" width="8.7265625" style="88" customWidth="1"/>
    <col min="15890" max="16128" width="9.1796875" style="88"/>
    <col min="16129" max="16129" width="3.7265625" style="88" customWidth="1"/>
    <col min="16130" max="16130" width="45.7265625" style="88" customWidth="1"/>
    <col min="16131" max="16131" width="9.7265625" style="88" customWidth="1"/>
    <col min="16132" max="16132" width="7.7265625" style="88" customWidth="1"/>
    <col min="16133" max="16145" width="8.7265625" style="88" customWidth="1"/>
    <col min="16146" max="16384" width="9.1796875" style="88"/>
  </cols>
  <sheetData>
    <row r="1" spans="1:162" s="101" customFormat="1" ht="16" thickBot="1" x14ac:dyDescent="0.4">
      <c r="A1" s="471" t="s">
        <v>495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3"/>
      <c r="Q1" s="100">
        <v>1</v>
      </c>
    </row>
    <row r="2" spans="1:162" ht="10.5" thickBot="1" x14ac:dyDescent="0.4">
      <c r="A2" s="173" t="s">
        <v>61</v>
      </c>
      <c r="B2" s="85" t="s">
        <v>128</v>
      </c>
      <c r="C2" s="86" t="s">
        <v>445</v>
      </c>
      <c r="D2" s="86" t="s">
        <v>23</v>
      </c>
      <c r="E2" s="86" t="s">
        <v>130</v>
      </c>
      <c r="F2" s="86" t="s">
        <v>131</v>
      </c>
      <c r="G2" s="86" t="s">
        <v>132</v>
      </c>
      <c r="H2" s="86" t="s">
        <v>133</v>
      </c>
      <c r="I2" s="86" t="s">
        <v>134</v>
      </c>
      <c r="J2" s="86" t="s">
        <v>135</v>
      </c>
      <c r="K2" s="86" t="s">
        <v>136</v>
      </c>
      <c r="L2" s="86" t="s">
        <v>137</v>
      </c>
      <c r="M2" s="86" t="s">
        <v>138</v>
      </c>
      <c r="N2" s="86" t="s">
        <v>139</v>
      </c>
      <c r="O2" s="86" t="s">
        <v>140</v>
      </c>
      <c r="P2" s="87" t="s">
        <v>141</v>
      </c>
      <c r="Q2" s="88"/>
    </row>
    <row r="3" spans="1:162" s="108" customFormat="1" x14ac:dyDescent="0.35">
      <c r="A3" s="444">
        <v>1</v>
      </c>
      <c r="B3" s="437" t="s">
        <v>483</v>
      </c>
      <c r="C3" s="103">
        <f t="shared" ref="C3:C8" si="0">SUM(E3:P3)</f>
        <v>18288000</v>
      </c>
      <c r="D3" s="104">
        <f>C3/C$3</f>
        <v>1</v>
      </c>
      <c r="E3" s="105">
        <f>Операционный!D43*Операционный!D67</f>
        <v>1752599.9999999998</v>
      </c>
      <c r="F3" s="105">
        <f>Операционный!E43*Операционный!E67</f>
        <v>1356360</v>
      </c>
      <c r="G3" s="105">
        <f>Операционный!F43*Операционный!F67</f>
        <v>1813560</v>
      </c>
      <c r="H3" s="105">
        <f>Операционный!G43*Операционный!G67</f>
        <v>1524000</v>
      </c>
      <c r="I3" s="105">
        <f>Операционный!H43*Операционный!H67</f>
        <v>1402080</v>
      </c>
      <c r="J3" s="105">
        <f>Операционный!I43*Операционный!I67</f>
        <v>1356360</v>
      </c>
      <c r="K3" s="105">
        <f>Операционный!J43*Операционный!J67</f>
        <v>1325880</v>
      </c>
      <c r="L3" s="105">
        <f>Операционный!K43*Операционный!K67</f>
        <v>1493520</v>
      </c>
      <c r="M3" s="105">
        <f>Операционный!L43*Операционный!L67</f>
        <v>1402080</v>
      </c>
      <c r="N3" s="105">
        <f>Операционный!M43*Операционный!M67</f>
        <v>1447800</v>
      </c>
      <c r="O3" s="105">
        <f>Операционный!N43*Операционный!N67</f>
        <v>1508760</v>
      </c>
      <c r="P3" s="106">
        <f>Операционный!O43*Операционный!O67</f>
        <v>1905000</v>
      </c>
      <c r="Q3" s="107"/>
    </row>
    <row r="4" spans="1:162" s="112" customFormat="1" x14ac:dyDescent="0.35">
      <c r="A4" s="102">
        <v>2</v>
      </c>
      <c r="B4" s="404" t="s">
        <v>485</v>
      </c>
      <c r="C4" s="109">
        <f t="shared" si="0"/>
        <v>7917136.2558964817</v>
      </c>
      <c r="D4" s="110">
        <f>'Unit Сoste '!E6</f>
        <v>0.4329142747100001</v>
      </c>
      <c r="E4" s="105">
        <f>E3*D4</f>
        <v>758725.55785674613</v>
      </c>
      <c r="F4" s="105">
        <f>F3*D4</f>
        <v>587187.60564565577</v>
      </c>
      <c r="G4" s="105">
        <f>G3*D4</f>
        <v>785116.01204306784</v>
      </c>
      <c r="H4" s="105">
        <f>H3*D4</f>
        <v>659761.3546580401</v>
      </c>
      <c r="I4" s="105">
        <f>I3*D4</f>
        <v>606980.44628539693</v>
      </c>
      <c r="J4" s="105">
        <f>J3*D4</f>
        <v>587187.60564565577</v>
      </c>
      <c r="K4" s="105">
        <f>K3*D4</f>
        <v>573992.37855249492</v>
      </c>
      <c r="L4" s="105">
        <f>L3*D4</f>
        <v>646566.12756487937</v>
      </c>
      <c r="M4" s="105">
        <f>M3*D4</f>
        <v>606980.44628539693</v>
      </c>
      <c r="N4" s="105">
        <f>N3*D4</f>
        <v>626773.28692513809</v>
      </c>
      <c r="O4" s="105">
        <f>O3*D4</f>
        <v>653163.74111145979</v>
      </c>
      <c r="P4" s="106">
        <f>P3*D4</f>
        <v>824701.69332255016</v>
      </c>
      <c r="Q4" s="111"/>
    </row>
    <row r="5" spans="1:162" s="108" customFormat="1" x14ac:dyDescent="0.35">
      <c r="A5" s="113">
        <v>3</v>
      </c>
      <c r="B5" s="438" t="s">
        <v>484</v>
      </c>
      <c r="C5" s="114">
        <f t="shared" si="0"/>
        <v>10370863.744103519</v>
      </c>
      <c r="D5" s="115">
        <f t="shared" ref="D5:D58" si="1">C5/C$3</f>
        <v>0.56708572529000001</v>
      </c>
      <c r="E5" s="116">
        <f>E3-E4</f>
        <v>993874.44214325363</v>
      </c>
      <c r="F5" s="116">
        <f t="shared" ref="F5:P5" si="2">F3-F4</f>
        <v>769172.39435434423</v>
      </c>
      <c r="G5" s="116">
        <f t="shared" si="2"/>
        <v>1028443.9879569322</v>
      </c>
      <c r="H5" s="116">
        <f t="shared" si="2"/>
        <v>864238.6453419599</v>
      </c>
      <c r="I5" s="116">
        <f t="shared" si="2"/>
        <v>795099.55371460307</v>
      </c>
      <c r="J5" s="116">
        <f t="shared" si="2"/>
        <v>769172.39435434423</v>
      </c>
      <c r="K5" s="116">
        <f t="shared" si="2"/>
        <v>751887.62144750508</v>
      </c>
      <c r="L5" s="116">
        <f t="shared" si="2"/>
        <v>846953.87243512063</v>
      </c>
      <c r="M5" s="116">
        <f t="shared" si="2"/>
        <v>795099.55371460307</v>
      </c>
      <c r="N5" s="116">
        <f t="shared" si="2"/>
        <v>821026.71307486191</v>
      </c>
      <c r="O5" s="116">
        <f t="shared" si="2"/>
        <v>855596.25888854021</v>
      </c>
      <c r="P5" s="117">
        <f t="shared" si="2"/>
        <v>1080298.30667745</v>
      </c>
      <c r="Q5" s="107"/>
    </row>
    <row r="6" spans="1:162" s="112" customFormat="1" ht="10.5" x14ac:dyDescent="0.35">
      <c r="A6" s="102">
        <v>4</v>
      </c>
      <c r="B6" s="439" t="s">
        <v>486</v>
      </c>
      <c r="C6" s="118">
        <f t="shared" si="0"/>
        <v>5585878.067999999</v>
      </c>
      <c r="D6" s="119">
        <f t="shared" si="1"/>
        <v>0.30543952690288706</v>
      </c>
      <c r="E6" s="105">
        <f>SUM(E7,E8,E10,E11,E19,E25,E26,E27,E43,E48,E53,E58,E64)</f>
        <v>508388.04666666657</v>
      </c>
      <c r="F6" s="105">
        <f t="shared" ref="F6:P6" si="3">SUM(F7,F8,F10,F11,F19,F25,F26,F27,F43,F48,F53,F58,F64)</f>
        <v>429860.97066666663</v>
      </c>
      <c r="G6" s="105">
        <f t="shared" si="3"/>
        <v>520231.24666666659</v>
      </c>
      <c r="H6" s="105">
        <f t="shared" si="3"/>
        <v>474138.46666666662</v>
      </c>
      <c r="I6" s="105">
        <f t="shared" si="3"/>
        <v>446165.96266666672</v>
      </c>
      <c r="J6" s="105">
        <f t="shared" si="3"/>
        <v>438718.22666666663</v>
      </c>
      <c r="K6" s="105">
        <f t="shared" si="3"/>
        <v>429931.83200000005</v>
      </c>
      <c r="L6" s="105">
        <f t="shared" si="3"/>
        <v>446948.84</v>
      </c>
      <c r="M6" s="105">
        <f t="shared" si="3"/>
        <v>448667.32799999998</v>
      </c>
      <c r="N6" s="105">
        <f t="shared" si="3"/>
        <v>448055.4</v>
      </c>
      <c r="O6" s="105">
        <f t="shared" si="3"/>
        <v>460657.24800000002</v>
      </c>
      <c r="P6" s="105">
        <f t="shared" si="3"/>
        <v>534114.5</v>
      </c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08"/>
      <c r="ED6" s="108"/>
      <c r="EE6" s="108"/>
      <c r="EF6" s="108"/>
      <c r="EG6" s="108"/>
      <c r="EH6" s="108"/>
      <c r="EI6" s="108"/>
      <c r="EJ6" s="108"/>
      <c r="EK6" s="108"/>
      <c r="EL6" s="108"/>
      <c r="EM6" s="108"/>
      <c r="EN6" s="108"/>
      <c r="EO6" s="108"/>
      <c r="EP6" s="108"/>
      <c r="EQ6" s="108"/>
      <c r="ER6" s="108"/>
      <c r="ES6" s="108"/>
      <c r="ET6" s="108"/>
      <c r="EU6" s="108"/>
      <c r="EV6" s="108"/>
      <c r="EW6" s="108"/>
      <c r="EX6" s="108"/>
      <c r="EY6" s="108"/>
      <c r="EZ6" s="108"/>
      <c r="FA6" s="108"/>
      <c r="FB6" s="108"/>
      <c r="FC6" s="108"/>
      <c r="FD6" s="108"/>
      <c r="FE6" s="108"/>
      <c r="FF6" s="108"/>
    </row>
    <row r="7" spans="1:162" s="125" customFormat="1" ht="10.5" x14ac:dyDescent="0.35">
      <c r="A7" s="120">
        <v>5</v>
      </c>
      <c r="B7" s="440" t="s">
        <v>426</v>
      </c>
      <c r="C7" s="121">
        <f t="shared" si="0"/>
        <v>1113000</v>
      </c>
      <c r="D7" s="122">
        <f t="shared" si="1"/>
        <v>6.0859580052493437E-2</v>
      </c>
      <c r="E7" s="123">
        <f>Операционный!D27*Операционный!D67</f>
        <v>92750</v>
      </c>
      <c r="F7" s="123">
        <f>Операционный!E27*Операционный!E67</f>
        <v>92750</v>
      </c>
      <c r="G7" s="123">
        <f>Операционный!F27*Операционный!F67</f>
        <v>92750</v>
      </c>
      <c r="H7" s="123">
        <f>Операционный!G27*Операционный!G67</f>
        <v>92750</v>
      </c>
      <c r="I7" s="123">
        <f>Операционный!H27*Операционный!H67</f>
        <v>92750</v>
      </c>
      <c r="J7" s="123">
        <f>Операционный!I27*Операционный!I67</f>
        <v>92750</v>
      </c>
      <c r="K7" s="123">
        <f>Операционный!J27*Операционный!J67</f>
        <v>92750</v>
      </c>
      <c r="L7" s="123">
        <f>Операционный!K27*Операционный!K67</f>
        <v>92750</v>
      </c>
      <c r="M7" s="123">
        <f>Операционный!L27*Операционный!L67</f>
        <v>92750</v>
      </c>
      <c r="N7" s="123">
        <f>Операционный!M27*Операционный!M67</f>
        <v>92750</v>
      </c>
      <c r="O7" s="123">
        <f>Операционный!N27*Операционный!N67</f>
        <v>92750</v>
      </c>
      <c r="P7" s="124">
        <f>Операционный!O27*Операционный!O67</f>
        <v>92750</v>
      </c>
    </row>
    <row r="8" spans="1:162" s="125" customFormat="1" ht="10.5" x14ac:dyDescent="0.35">
      <c r="A8" s="120">
        <v>6</v>
      </c>
      <c r="B8" s="440" t="s">
        <v>487</v>
      </c>
      <c r="C8" s="121">
        <f t="shared" si="0"/>
        <v>1687000</v>
      </c>
      <c r="D8" s="122">
        <f t="shared" si="1"/>
        <v>9.2246281714785647E-2</v>
      </c>
      <c r="E8" s="123">
        <f>SUM(E9:E9)</f>
        <v>142666.66666666666</v>
      </c>
      <c r="F8" s="123">
        <f>SUM(F9:F9)</f>
        <v>142666.66666666666</v>
      </c>
      <c r="G8" s="123">
        <f>SUM(G9:G9)</f>
        <v>142666.66666666666</v>
      </c>
      <c r="H8" s="123">
        <f>SUM(H9:H9)</f>
        <v>142666.66666666666</v>
      </c>
      <c r="I8" s="123">
        <f>SUM(I9:I9)</f>
        <v>142666.66666666666</v>
      </c>
      <c r="J8" s="123">
        <f>SUM(J9:J9)</f>
        <v>142666.66666666666</v>
      </c>
      <c r="K8" s="123">
        <f>SUM(K9:K9)</f>
        <v>138500</v>
      </c>
      <c r="L8" s="123">
        <f>SUM(L9:L9)</f>
        <v>138500</v>
      </c>
      <c r="M8" s="123">
        <f>SUM(M9:M9)</f>
        <v>138500</v>
      </c>
      <c r="N8" s="123">
        <f>SUM(N9:N9)</f>
        <v>138500</v>
      </c>
      <c r="O8" s="123">
        <f>SUM(O9:O9)</f>
        <v>138500</v>
      </c>
      <c r="P8" s="124">
        <f>SUM(P9:P9)</f>
        <v>138500</v>
      </c>
    </row>
    <row r="9" spans="1:162" outlineLevel="1" x14ac:dyDescent="0.35">
      <c r="A9" s="135" t="s">
        <v>210</v>
      </c>
      <c r="B9" s="441" t="s">
        <v>478</v>
      </c>
      <c r="C9" s="433">
        <f>SUM(E9:P9)</f>
        <v>1687000</v>
      </c>
      <c r="D9" s="434">
        <f t="shared" si="1"/>
        <v>9.2246281714785647E-2</v>
      </c>
      <c r="E9" s="435">
        <f>Операционный!E50*Операционный!D67+'Штатное расписание'!D6/3</f>
        <v>142666.66666666666</v>
      </c>
      <c r="F9" s="435">
        <f>Операционный!E50*Операционный!E67+'Штатное расписание'!D6/3</f>
        <v>142666.66666666666</v>
      </c>
      <c r="G9" s="435">
        <f>Операционный!E50*Операционный!F67+'Штатное расписание'!D6/3</f>
        <v>142666.66666666666</v>
      </c>
      <c r="H9" s="435">
        <f>Операционный!E50*Операционный!G67+'Штатное расписание'!D6/3</f>
        <v>142666.66666666666</v>
      </c>
      <c r="I9" s="435">
        <f>Операционный!E50*Операционный!H67+'Штатное расписание'!D6/3</f>
        <v>142666.66666666666</v>
      </c>
      <c r="J9" s="435">
        <f>Операционный!E50*Операционный!I67+'Штатное расписание'!D6/3</f>
        <v>142666.66666666666</v>
      </c>
      <c r="K9" s="435">
        <f>Операционный!E50*Операционный!J67+'Штатное расписание'!D6/4</f>
        <v>138500</v>
      </c>
      <c r="L9" s="435">
        <f>Операционный!E50*Операционный!K67+'Штатное расписание'!D6/4</f>
        <v>138500</v>
      </c>
      <c r="M9" s="435">
        <f>Операционный!E50*Операционный!L67+'Штатное расписание'!D6/4</f>
        <v>138500</v>
      </c>
      <c r="N9" s="435">
        <f>Операционный!E50*Операционный!M67+'Штатное расписание'!D6/4</f>
        <v>138500</v>
      </c>
      <c r="O9" s="435">
        <f>Операционный!E50*Операционный!N67+'Штатное расписание'!D6/4</f>
        <v>138500</v>
      </c>
      <c r="P9" s="436">
        <f>Операционный!E50*Операционный!O67+'Штатное расписание'!D6/4</f>
        <v>138500</v>
      </c>
    </row>
    <row r="10" spans="1:162" x14ac:dyDescent="0.35">
      <c r="A10" s="120" t="s">
        <v>212</v>
      </c>
      <c r="B10" s="442" t="s">
        <v>428</v>
      </c>
      <c r="C10" s="127">
        <f t="shared" ref="C10:C64" si="4">SUM(E10:P10)</f>
        <v>46706</v>
      </c>
      <c r="D10" s="128">
        <f t="shared" si="1"/>
        <v>2.553915135608049E-3</v>
      </c>
      <c r="E10" s="129">
        <f>'Бюджет затрат (ориентир.)'!B21*Операционный!D67</f>
        <v>7803</v>
      </c>
      <c r="F10" s="129">
        <f>'Бюджет затрат (ориентир.)'!C21*Операционный!E67</f>
        <v>2655</v>
      </c>
      <c r="G10" s="129">
        <f>'Бюджет затрат (ориентир.)'!D21*Операционный!F67</f>
        <v>2806</v>
      </c>
      <c r="H10" s="129">
        <f>'Бюджет затрат (ориентир.)'!E21*Операционный!G67</f>
        <v>4483</v>
      </c>
      <c r="I10" s="129">
        <f>'Бюджет затрат (ориентир.)'!F21*Операционный!H67</f>
        <v>2260</v>
      </c>
      <c r="J10" s="129">
        <f>'Бюджет затрат (ориентир.)'!G21*Операционный!I67</f>
        <v>5273</v>
      </c>
      <c r="K10" s="129">
        <f>'Бюджет затрат (ориентир.)'!H21*Операционный!J67</f>
        <v>4573</v>
      </c>
      <c r="L10" s="129">
        <f>'Бюджет затрат (ориентир.)'!I21*Операционный!K67</f>
        <v>3619</v>
      </c>
      <c r="M10" s="129">
        <f>'Бюджет затрат (ориентир.)'!J21*Операционный!L67</f>
        <v>4862</v>
      </c>
      <c r="N10" s="129">
        <f>'Бюджет затрат (ориентир.)'!K21*Операционный!M67</f>
        <v>2531</v>
      </c>
      <c r="O10" s="129">
        <f>'Бюджет затрат (ориентир.)'!L21*Операционный!N67</f>
        <v>3395</v>
      </c>
      <c r="P10" s="130">
        <f>'Бюджет затрат (ориентир.)'!M21*Операционный!O67</f>
        <v>2446</v>
      </c>
    </row>
    <row r="11" spans="1:162" s="125" customFormat="1" x14ac:dyDescent="0.35">
      <c r="A11" s="131" t="s">
        <v>213</v>
      </c>
      <c r="B11" s="442" t="s">
        <v>429</v>
      </c>
      <c r="C11" s="127">
        <f t="shared" si="4"/>
        <v>7264.9079999999994</v>
      </c>
      <c r="D11" s="128">
        <f t="shared" si="1"/>
        <v>3.9724999999999998E-4</v>
      </c>
      <c r="E11" s="132">
        <f>E3*SUM(E12:E18)*Операционный!D67</f>
        <v>0</v>
      </c>
      <c r="F11" s="132">
        <f>F3*SUM(F12:F18)*Операционный!E67</f>
        <v>0</v>
      </c>
      <c r="G11" s="132">
        <f>G3*SUM(G12:G18)*Операционный!F67</f>
        <v>725.42399999999998</v>
      </c>
      <c r="H11" s="132">
        <f>H3*SUM(H12:H18)*Операционный!G67</f>
        <v>1219.1999999999998</v>
      </c>
      <c r="I11" s="132">
        <f>I3*SUM(I12:I18)*Операционный!H67</f>
        <v>140.208</v>
      </c>
      <c r="J11" s="132">
        <f>J3*SUM(J12:J18)*Операционный!I67</f>
        <v>406.90799999999996</v>
      </c>
      <c r="K11" s="132">
        <f>K3*SUM(K12:K18)*Операционный!J67</f>
        <v>662.94</v>
      </c>
      <c r="L11" s="132">
        <f>L3*SUM(L12:L18)*Операционный!K67</f>
        <v>149.352</v>
      </c>
      <c r="M11" s="132">
        <f>M3*SUM(M12:M18)*Операционный!L67</f>
        <v>280.416</v>
      </c>
      <c r="N11" s="132">
        <f>N3*SUM(N12:N18)*Операционный!M67</f>
        <v>1013.46</v>
      </c>
      <c r="O11" s="132">
        <f>O3*SUM(O12:O18)*Операционный!N67</f>
        <v>0</v>
      </c>
      <c r="P11" s="133">
        <f>P3*SUM(P12:P18)*Операционный!O67</f>
        <v>2667</v>
      </c>
      <c r="Q11" s="134"/>
    </row>
    <row r="12" spans="1:162" outlineLevel="1" x14ac:dyDescent="0.35">
      <c r="A12" s="135" t="s">
        <v>214</v>
      </c>
      <c r="B12" s="97" t="s">
        <v>142</v>
      </c>
      <c r="C12" s="127"/>
      <c r="D12" s="128"/>
      <c r="E12" s="136">
        <f>'Бюджет затрат (ориентир.)'!B25</f>
        <v>0</v>
      </c>
      <c r="F12" s="136">
        <f>'Бюджет затрат (ориентир.)'!C25</f>
        <v>0</v>
      </c>
      <c r="G12" s="136">
        <f>'Бюджет затрат (ориентир.)'!D25</f>
        <v>0</v>
      </c>
      <c r="H12" s="136">
        <f>'Бюджет затрат (ориентир.)'!E25</f>
        <v>5.0000000000000001E-4</v>
      </c>
      <c r="I12" s="136">
        <f>'Бюджет затрат (ориентир.)'!F25</f>
        <v>0</v>
      </c>
      <c r="J12" s="136">
        <f>'Бюджет затрат (ориентир.)'!G25</f>
        <v>0</v>
      </c>
      <c r="K12" s="136">
        <f>'Бюджет затрат (ориентир.)'!H25</f>
        <v>0</v>
      </c>
      <c r="L12" s="136">
        <f>'Бюджет затрат (ориентир.)'!I25</f>
        <v>0</v>
      </c>
      <c r="M12" s="136">
        <f>'Бюджет затрат (ориентир.)'!J25</f>
        <v>0</v>
      </c>
      <c r="N12" s="136">
        <f>'Бюджет затрат (ориентир.)'!K25</f>
        <v>0</v>
      </c>
      <c r="O12" s="136">
        <f>'Бюджет затрат (ориентир.)'!L25</f>
        <v>0</v>
      </c>
      <c r="P12" s="137">
        <f>'Бюджет затрат (ориентир.)'!M25</f>
        <v>0</v>
      </c>
    </row>
    <row r="13" spans="1:162" outlineLevel="1" x14ac:dyDescent="0.35">
      <c r="A13" s="135" t="s">
        <v>215</v>
      </c>
      <c r="B13" s="97" t="s">
        <v>143</v>
      </c>
      <c r="C13" s="127"/>
      <c r="D13" s="128"/>
      <c r="E13" s="136">
        <f>'Бюджет затрат (ориентир.)'!B26</f>
        <v>0</v>
      </c>
      <c r="F13" s="136">
        <f>'Бюджет затрат (ориентир.)'!C26</f>
        <v>0</v>
      </c>
      <c r="G13" s="136">
        <f>'Бюджет затрат (ориентир.)'!D26</f>
        <v>4.0000000000000002E-4</v>
      </c>
      <c r="H13" s="136">
        <f>'Бюджет затрат (ориентир.)'!E26</f>
        <v>2.9999999999999997E-4</v>
      </c>
      <c r="I13" s="136">
        <f>'Бюджет затрат (ориентир.)'!F26</f>
        <v>1E-4</v>
      </c>
      <c r="J13" s="136">
        <f>'Бюджет затрат (ориентир.)'!G26</f>
        <v>2.9999999999999997E-4</v>
      </c>
      <c r="K13" s="136">
        <f>'Бюджет затрат (ориентир.)'!H26</f>
        <v>5.0000000000000001E-4</v>
      </c>
      <c r="L13" s="136">
        <f>'Бюджет затрат (ориентир.)'!I26</f>
        <v>1E-4</v>
      </c>
      <c r="M13" s="136">
        <f>'Бюджет затрат (ориентир.)'!J26</f>
        <v>0</v>
      </c>
      <c r="N13" s="136">
        <f>'Бюджет затрат (ориентир.)'!K26</f>
        <v>1E-4</v>
      </c>
      <c r="O13" s="136">
        <f>'Бюджет затрат (ориентир.)'!L26</f>
        <v>0</v>
      </c>
      <c r="P13" s="137">
        <f>'Бюджет затрат (ориентир.)'!M26</f>
        <v>1.4E-3</v>
      </c>
    </row>
    <row r="14" spans="1:162" outlineLevel="1" x14ac:dyDescent="0.35">
      <c r="A14" s="135" t="s">
        <v>216</v>
      </c>
      <c r="B14" s="97" t="s">
        <v>144</v>
      </c>
      <c r="C14" s="127"/>
      <c r="D14" s="128"/>
      <c r="E14" s="136">
        <f>'Бюджет затрат (ориентир.)'!B27</f>
        <v>0</v>
      </c>
      <c r="F14" s="136">
        <f>'Бюджет затрат (ориентир.)'!C27</f>
        <v>0</v>
      </c>
      <c r="G14" s="136">
        <f>'Бюджет затрат (ориентир.)'!D27</f>
        <v>0</v>
      </c>
      <c r="H14" s="136">
        <f>'Бюджет затрат (ориентир.)'!E27</f>
        <v>0</v>
      </c>
      <c r="I14" s="136">
        <f>'Бюджет затрат (ориентир.)'!F27</f>
        <v>0</v>
      </c>
      <c r="J14" s="136">
        <f>'Бюджет затрат (ориентир.)'!G27</f>
        <v>0</v>
      </c>
      <c r="K14" s="136">
        <f>'Бюджет затрат (ориентир.)'!H27</f>
        <v>0</v>
      </c>
      <c r="L14" s="136">
        <f>'Бюджет затрат (ориентир.)'!I27</f>
        <v>0</v>
      </c>
      <c r="M14" s="136">
        <f>'Бюджет затрат (ориентир.)'!J27</f>
        <v>0</v>
      </c>
      <c r="N14" s="136">
        <f>'Бюджет затрат (ориентир.)'!K27</f>
        <v>5.9999999999999995E-4</v>
      </c>
      <c r="O14" s="136">
        <f>'Бюджет затрат (ориентир.)'!L27</f>
        <v>0</v>
      </c>
      <c r="P14" s="137">
        <f>'Бюджет затрат (ориентир.)'!M27</f>
        <v>0</v>
      </c>
    </row>
    <row r="15" spans="1:162" outlineLevel="1" x14ac:dyDescent="0.35">
      <c r="A15" s="135" t="s">
        <v>217</v>
      </c>
      <c r="B15" s="97" t="s">
        <v>145</v>
      </c>
      <c r="C15" s="127"/>
      <c r="D15" s="128"/>
      <c r="E15" s="136">
        <f>'Бюджет затрат (ориентир.)'!B28</f>
        <v>0</v>
      </c>
      <c r="F15" s="136">
        <f>'Бюджет затрат (ориентир.)'!C28</f>
        <v>0</v>
      </c>
      <c r="G15" s="136">
        <f>'Бюджет затрат (ориентир.)'!D28</f>
        <v>0</v>
      </c>
      <c r="H15" s="136">
        <f>'Бюджет затрат (ориентир.)'!E28</f>
        <v>0</v>
      </c>
      <c r="I15" s="136">
        <f>'Бюджет затрат (ориентир.)'!F28</f>
        <v>0</v>
      </c>
      <c r="J15" s="136">
        <f>'Бюджет затрат (ориентир.)'!G28</f>
        <v>0</v>
      </c>
      <c r="K15" s="136">
        <f>'Бюджет затрат (ориентир.)'!H28</f>
        <v>0</v>
      </c>
      <c r="L15" s="136">
        <f>'Бюджет затрат (ориентир.)'!I28</f>
        <v>0</v>
      </c>
      <c r="M15" s="136">
        <f>'Бюджет затрат (ориентир.)'!J28</f>
        <v>0</v>
      </c>
      <c r="N15" s="136">
        <f>'Бюджет затрат (ориентир.)'!K28</f>
        <v>0</v>
      </c>
      <c r="O15" s="136">
        <f>'Бюджет затрат (ориентир.)'!L28</f>
        <v>0</v>
      </c>
      <c r="P15" s="137">
        <f>'Бюджет затрат (ориентир.)'!M28</f>
        <v>0</v>
      </c>
    </row>
    <row r="16" spans="1:162" outlineLevel="1" x14ac:dyDescent="0.35">
      <c r="A16" s="135" t="s">
        <v>218</v>
      </c>
      <c r="B16" s="97" t="s">
        <v>146</v>
      </c>
      <c r="C16" s="127"/>
      <c r="D16" s="128"/>
      <c r="E16" s="136">
        <f>'Бюджет затрат (ориентир.)'!B29</f>
        <v>0</v>
      </c>
      <c r="F16" s="136">
        <f>'Бюджет затрат (ориентир.)'!C29</f>
        <v>0</v>
      </c>
      <c r="G16" s="136">
        <f>'Бюджет затрат (ориентир.)'!D29</f>
        <v>0</v>
      </c>
      <c r="H16" s="136">
        <f>'Бюджет затрат (ориентир.)'!E29</f>
        <v>0</v>
      </c>
      <c r="I16" s="136">
        <f>'Бюджет затрат (ориентир.)'!F29</f>
        <v>0</v>
      </c>
      <c r="J16" s="136">
        <f>'Бюджет затрат (ориентир.)'!G29</f>
        <v>0</v>
      </c>
      <c r="K16" s="136">
        <f>'Бюджет затрат (ориентир.)'!H29</f>
        <v>0</v>
      </c>
      <c r="L16" s="136">
        <f>'Бюджет затрат (ориентир.)'!I29</f>
        <v>0</v>
      </c>
      <c r="M16" s="136">
        <f>'Бюджет затрат (ориентир.)'!J29</f>
        <v>0</v>
      </c>
      <c r="N16" s="136">
        <f>'Бюджет затрат (ориентир.)'!K29</f>
        <v>0</v>
      </c>
      <c r="O16" s="136">
        <f>'Бюджет затрат (ориентир.)'!L29</f>
        <v>0</v>
      </c>
      <c r="P16" s="137">
        <f>'Бюджет затрат (ориентир.)'!M29</f>
        <v>0</v>
      </c>
    </row>
    <row r="17" spans="1:16" outlineLevel="1" x14ac:dyDescent="0.35">
      <c r="A17" s="135" t="s">
        <v>219</v>
      </c>
      <c r="B17" s="97" t="s">
        <v>147</v>
      </c>
      <c r="C17" s="127"/>
      <c r="D17" s="128"/>
      <c r="E17" s="136">
        <f>'Бюджет затрат (ориентир.)'!B30</f>
        <v>0</v>
      </c>
      <c r="F17" s="136">
        <f>'Бюджет затрат (ориентир.)'!C30</f>
        <v>0</v>
      </c>
      <c r="G17" s="136">
        <f>'Бюджет затрат (ориентир.)'!D30</f>
        <v>0</v>
      </c>
      <c r="H17" s="136">
        <f>'Бюджет затрат (ориентир.)'!E30</f>
        <v>0</v>
      </c>
      <c r="I17" s="136">
        <f>'Бюджет затрат (ориентир.)'!F30</f>
        <v>0</v>
      </c>
      <c r="J17" s="136">
        <f>'Бюджет затрат (ориентир.)'!G30</f>
        <v>0</v>
      </c>
      <c r="K17" s="136">
        <f>'Бюджет затрат (ориентир.)'!H30</f>
        <v>0</v>
      </c>
      <c r="L17" s="136">
        <f>'Бюджет затрат (ориентир.)'!I30</f>
        <v>0</v>
      </c>
      <c r="M17" s="136">
        <f>'Бюджет затрат (ориентир.)'!J30</f>
        <v>0</v>
      </c>
      <c r="N17" s="136">
        <f>'Бюджет затрат (ориентир.)'!K30</f>
        <v>0</v>
      </c>
      <c r="O17" s="136">
        <f>'Бюджет затрат (ориентир.)'!L30</f>
        <v>0</v>
      </c>
      <c r="P17" s="137">
        <f>'Бюджет затрат (ориентир.)'!M30</f>
        <v>0</v>
      </c>
    </row>
    <row r="18" spans="1:16" outlineLevel="1" x14ac:dyDescent="0.35">
      <c r="A18" s="135" t="s">
        <v>220</v>
      </c>
      <c r="B18" s="138" t="s">
        <v>148</v>
      </c>
      <c r="C18" s="127"/>
      <c r="D18" s="128"/>
      <c r="E18" s="136">
        <f>'Бюджет затрат (ориентир.)'!B31</f>
        <v>0</v>
      </c>
      <c r="F18" s="136">
        <f>'Бюджет затрат (ориентир.)'!C31</f>
        <v>0</v>
      </c>
      <c r="G18" s="136">
        <f>'Бюджет затрат (ориентир.)'!D31</f>
        <v>0</v>
      </c>
      <c r="H18" s="136">
        <f>'Бюджет затрат (ориентир.)'!E31</f>
        <v>0</v>
      </c>
      <c r="I18" s="136">
        <f>'Бюджет затрат (ориентир.)'!F31</f>
        <v>0</v>
      </c>
      <c r="J18" s="136">
        <f>'Бюджет затрат (ориентир.)'!G31</f>
        <v>0</v>
      </c>
      <c r="K18" s="136">
        <f>'Бюджет затрат (ориентир.)'!H31</f>
        <v>0</v>
      </c>
      <c r="L18" s="136">
        <f>'Бюджет затрат (ориентир.)'!I31</f>
        <v>0</v>
      </c>
      <c r="M18" s="136">
        <f>'Бюджет затрат (ориентир.)'!J31</f>
        <v>2.0000000000000001E-4</v>
      </c>
      <c r="N18" s="136">
        <f>'Бюджет затрат (ориентир.)'!K31</f>
        <v>0</v>
      </c>
      <c r="O18" s="136">
        <f>'Бюджет затрат (ориентир.)'!L31</f>
        <v>0</v>
      </c>
      <c r="P18" s="137">
        <f>'Бюджет затрат (ориентир.)'!M31</f>
        <v>0</v>
      </c>
    </row>
    <row r="19" spans="1:16" x14ac:dyDescent="0.35">
      <c r="A19" s="120" t="s">
        <v>211</v>
      </c>
      <c r="B19" s="89" t="s">
        <v>489</v>
      </c>
      <c r="C19" s="127">
        <f t="shared" si="4"/>
        <v>46104.048000000003</v>
      </c>
      <c r="D19" s="128">
        <f t="shared" si="1"/>
        <v>2.5210000000000002E-3</v>
      </c>
      <c r="E19" s="129">
        <f>E3*SUM(E20:E24)*Операционный!D67</f>
        <v>8061.9599999999991</v>
      </c>
      <c r="F19" s="129">
        <f>F3*SUM(F20:F24)*Операционный!E67</f>
        <v>3390.9</v>
      </c>
      <c r="G19" s="129">
        <f>G3*SUM(G20:G24)*Операционный!F67</f>
        <v>9067.8000000000011</v>
      </c>
      <c r="H19" s="129">
        <f>H3*SUM(H20:H24)*Операционный!G67</f>
        <v>5638.7999999999993</v>
      </c>
      <c r="I19" s="129">
        <f>I3*SUM(I20:I24)*Операционный!H67</f>
        <v>2804.16</v>
      </c>
      <c r="J19" s="129">
        <f>J3*SUM(J20:J24)*Операционный!I67</f>
        <v>271.27199999999999</v>
      </c>
      <c r="K19" s="129">
        <f>K3*SUM(K20:K24)*Операционный!J67</f>
        <v>1458.4679999999998</v>
      </c>
      <c r="L19" s="129">
        <f>L3*SUM(L20:L24)*Операционный!K67</f>
        <v>1344.1680000000001</v>
      </c>
      <c r="M19" s="129">
        <f>M3*SUM(M20:M24)*Операционный!L67</f>
        <v>3505.2000000000003</v>
      </c>
      <c r="N19" s="129">
        <f>N3*SUM(N20:N24)*Операционный!M67</f>
        <v>723.9</v>
      </c>
      <c r="O19" s="129">
        <f>O3*SUM(O20:O24)*Операционный!N67</f>
        <v>6789.420000000001</v>
      </c>
      <c r="P19" s="130">
        <f>P3*SUM(P20:P24)*Операционный!O67</f>
        <v>3048</v>
      </c>
    </row>
    <row r="20" spans="1:16" outlineLevel="1" x14ac:dyDescent="0.35">
      <c r="A20" s="135" t="s">
        <v>221</v>
      </c>
      <c r="B20" s="138" t="s">
        <v>149</v>
      </c>
      <c r="C20" s="127"/>
      <c r="D20" s="128"/>
      <c r="E20" s="139">
        <f>'Бюджет затрат (ориентир.)'!B36</f>
        <v>0</v>
      </c>
      <c r="F20" s="139">
        <f>'Бюджет затрат (ориентир.)'!C36</f>
        <v>1.2999999999999999E-3</v>
      </c>
      <c r="G20" s="139">
        <f>'Бюджет затрат (ориентир.)'!D36</f>
        <v>3.7000000000000002E-3</v>
      </c>
      <c r="H20" s="139">
        <f>'Бюджет затрат (ориентир.)'!E36</f>
        <v>8.0000000000000004E-4</v>
      </c>
      <c r="I20" s="139">
        <f>'Бюджет затрат (ориентир.)'!F36</f>
        <v>4.0000000000000002E-4</v>
      </c>
      <c r="J20" s="139">
        <f>'Бюджет затрат (ориентир.)'!G36</f>
        <v>1E-4</v>
      </c>
      <c r="K20" s="139">
        <f>'Бюджет затрат (ориентир.)'!H36</f>
        <v>5.0000000000000001E-4</v>
      </c>
      <c r="L20" s="139">
        <f>'Бюджет затрат (ориентир.)'!I36</f>
        <v>4.0000000000000002E-4</v>
      </c>
      <c r="M20" s="139">
        <f>'Бюджет затрат (ориентир.)'!J36</f>
        <v>8.9999999999999998E-4</v>
      </c>
      <c r="N20" s="139">
        <f>'Бюджет затрат (ориентир.)'!K36</f>
        <v>4.0000000000000002E-4</v>
      </c>
      <c r="O20" s="139">
        <f>'Бюджет затрат (ориентир.)'!L36</f>
        <v>1.5E-3</v>
      </c>
      <c r="P20" s="140">
        <f>'Бюджет затрат (ориентир.)'!M36</f>
        <v>1E-3</v>
      </c>
    </row>
    <row r="21" spans="1:16" outlineLevel="1" x14ac:dyDescent="0.35">
      <c r="A21" s="135" t="s">
        <v>222</v>
      </c>
      <c r="B21" s="138" t="s">
        <v>150</v>
      </c>
      <c r="C21" s="127"/>
      <c r="D21" s="128"/>
      <c r="E21" s="139">
        <f>'Бюджет затрат (ориентир.)'!B37</f>
        <v>0</v>
      </c>
      <c r="F21" s="139">
        <f>'Бюджет затрат (ориентир.)'!C37</f>
        <v>1E-4</v>
      </c>
      <c r="G21" s="139">
        <f>'Бюджет затрат (ориентир.)'!D37</f>
        <v>1E-4</v>
      </c>
      <c r="H21" s="139">
        <f>'Бюджет затрат (ориентир.)'!E37</f>
        <v>2.0000000000000001E-4</v>
      </c>
      <c r="I21" s="139">
        <f>'Бюджет затрат (ориентир.)'!F37</f>
        <v>1E-4</v>
      </c>
      <c r="J21" s="139">
        <f>'Бюджет затрат (ориентир.)'!G37</f>
        <v>0</v>
      </c>
      <c r="K21" s="139">
        <f>'Бюджет затрат (ориентир.)'!H37</f>
        <v>0</v>
      </c>
      <c r="L21" s="139">
        <f>'Бюджет затрат (ориентир.)'!I37</f>
        <v>0</v>
      </c>
      <c r="M21" s="139">
        <f>'Бюджет затрат (ориентир.)'!J37</f>
        <v>1E-4</v>
      </c>
      <c r="N21" s="139">
        <f>'Бюджет затрат (ориентир.)'!K37</f>
        <v>0</v>
      </c>
      <c r="O21" s="139">
        <f>'Бюджет затрат (ориентир.)'!L37</f>
        <v>5.9999999999999995E-4</v>
      </c>
      <c r="P21" s="140">
        <f>'Бюджет затрат (ориентир.)'!M37</f>
        <v>1E-4</v>
      </c>
    </row>
    <row r="22" spans="1:16" outlineLevel="1" x14ac:dyDescent="0.35">
      <c r="A22" s="135" t="s">
        <v>223</v>
      </c>
      <c r="B22" s="138" t="s">
        <v>151</v>
      </c>
      <c r="C22" s="127"/>
      <c r="D22" s="128"/>
      <c r="E22" s="139">
        <f>'Бюджет затрат (ориентир.)'!B38</f>
        <v>1E-4</v>
      </c>
      <c r="F22" s="139">
        <f>'Бюджет затрат (ориентир.)'!C38</f>
        <v>5.0000000000000001E-4</v>
      </c>
      <c r="G22" s="139">
        <f>'Бюджет затрат (ориентир.)'!D38</f>
        <v>0</v>
      </c>
      <c r="H22" s="139">
        <f>'Бюджет затрат (ориентир.)'!E38</f>
        <v>2.9999999999999997E-4</v>
      </c>
      <c r="I22" s="139">
        <f>'Бюджет затрат (ориентир.)'!F38</f>
        <v>6.9999999999999999E-4</v>
      </c>
      <c r="J22" s="139">
        <f>'Бюджет затрат (ориентир.)'!G38</f>
        <v>0</v>
      </c>
      <c r="K22" s="139">
        <f>'Бюджет затрат (ориентир.)'!H38</f>
        <v>0</v>
      </c>
      <c r="L22" s="139">
        <f>'Бюджет затрат (ориентир.)'!I38</f>
        <v>4.0000000000000002E-4</v>
      </c>
      <c r="M22" s="139">
        <f>'Бюджет затрат (ориентир.)'!J38</f>
        <v>5.0000000000000001E-4</v>
      </c>
      <c r="N22" s="139">
        <f>'Бюджет затрат (ориентир.)'!K38</f>
        <v>1E-4</v>
      </c>
      <c r="O22" s="139">
        <f>'Бюджет затрат (ориентир.)'!L38</f>
        <v>4.0000000000000002E-4</v>
      </c>
      <c r="P22" s="140">
        <f>'Бюджет затрат (ориентир.)'!M38</f>
        <v>2.9999999999999997E-4</v>
      </c>
    </row>
    <row r="23" spans="1:16" outlineLevel="1" x14ac:dyDescent="0.35">
      <c r="A23" s="135" t="s">
        <v>224</v>
      </c>
      <c r="B23" s="138" t="s">
        <v>152</v>
      </c>
      <c r="C23" s="127"/>
      <c r="D23" s="128"/>
      <c r="E23" s="139">
        <f>'Бюджет затрат (ориентир.)'!B39</f>
        <v>0</v>
      </c>
      <c r="F23" s="139">
        <f>'Бюджет затрат (ориентир.)'!C39</f>
        <v>0</v>
      </c>
      <c r="G23" s="139">
        <f>'Бюджет затрат (ориентир.)'!D39</f>
        <v>0</v>
      </c>
      <c r="H23" s="139">
        <f>'Бюджет затрат (ориентир.)'!E39</f>
        <v>0</v>
      </c>
      <c r="I23" s="139">
        <f>'Бюджет затрат (ориентир.)'!F39</f>
        <v>0</v>
      </c>
      <c r="J23" s="139">
        <f>'Бюджет затрат (ориентир.)'!G39</f>
        <v>0</v>
      </c>
      <c r="K23" s="139">
        <f>'Бюджет затрат (ориентир.)'!H39</f>
        <v>0</v>
      </c>
      <c r="L23" s="139">
        <f>'Бюджет затрат (ориентир.)'!I39</f>
        <v>0</v>
      </c>
      <c r="M23" s="139">
        <f>'Бюджет затрат (ориентир.)'!J39</f>
        <v>1E-3</v>
      </c>
      <c r="N23" s="139">
        <f>'Бюджет затрат (ориентир.)'!K39</f>
        <v>0</v>
      </c>
      <c r="O23" s="139">
        <f>'Бюджет затрат (ориентир.)'!L39</f>
        <v>0</v>
      </c>
      <c r="P23" s="140">
        <f>'Бюджет затрат (ориентир.)'!M39</f>
        <v>0</v>
      </c>
    </row>
    <row r="24" spans="1:16" outlineLevel="1" x14ac:dyDescent="0.35">
      <c r="A24" s="135" t="s">
        <v>225</v>
      </c>
      <c r="B24" s="138" t="s">
        <v>153</v>
      </c>
      <c r="C24" s="127"/>
      <c r="D24" s="128"/>
      <c r="E24" s="139">
        <f>'Бюджет затрат (ориентир.)'!B40</f>
        <v>4.4999999999999997E-3</v>
      </c>
      <c r="F24" s="139">
        <f>'Бюджет затрат (ориентир.)'!C40</f>
        <v>5.9999999999999995E-4</v>
      </c>
      <c r="G24" s="139">
        <f>'Бюджет затрат (ориентир.)'!D40</f>
        <v>1.1999999999999999E-3</v>
      </c>
      <c r="H24" s="139">
        <f>'Бюджет затрат (ориентир.)'!E40</f>
        <v>2.3999999999999998E-3</v>
      </c>
      <c r="I24" s="139">
        <f>'Бюджет затрат (ориентир.)'!F40</f>
        <v>8.0000000000000004E-4</v>
      </c>
      <c r="J24" s="139">
        <f>'Бюджет затрат (ориентир.)'!G40</f>
        <v>1E-4</v>
      </c>
      <c r="K24" s="139">
        <f>'Бюджет затрат (ориентир.)'!H40</f>
        <v>5.9999999999999995E-4</v>
      </c>
      <c r="L24" s="139">
        <f>'Бюджет затрат (ориентир.)'!I40</f>
        <v>1E-4</v>
      </c>
      <c r="M24" s="139">
        <f>'Бюджет затрат (ориентир.)'!J40</f>
        <v>0</v>
      </c>
      <c r="N24" s="139">
        <f>'Бюджет затрат (ориентир.)'!K40</f>
        <v>0</v>
      </c>
      <c r="O24" s="139">
        <f>'Бюджет затрат (ориентир.)'!L40</f>
        <v>2E-3</v>
      </c>
      <c r="P24" s="140">
        <f>'Бюджет затрат (ориентир.)'!M40</f>
        <v>2.0000000000000001E-4</v>
      </c>
    </row>
    <row r="25" spans="1:16" x14ac:dyDescent="0.35">
      <c r="A25" s="120" t="s">
        <v>226</v>
      </c>
      <c r="B25" s="442" t="s">
        <v>430</v>
      </c>
      <c r="C25" s="127">
        <f t="shared" si="4"/>
        <v>250940.31599999999</v>
      </c>
      <c r="D25" s="128">
        <f t="shared" si="1"/>
        <v>1.3721583333333332E-2</v>
      </c>
      <c r="E25" s="141">
        <f>E3*'Бюджет затрат (ориентир.)'!B45</f>
        <v>25763.219999999998</v>
      </c>
      <c r="F25" s="141">
        <f>F3*'Бюджет затрат (ориентир.)'!C45</f>
        <v>19395.948</v>
      </c>
      <c r="G25" s="141">
        <f>G3*'Бюджет затрат (ориентир.)'!D45</f>
        <v>20855.939999999999</v>
      </c>
      <c r="H25" s="141">
        <f>H3*'Бюджет затрат (ориентир.)'!E45</f>
        <v>20574</v>
      </c>
      <c r="I25" s="141">
        <f>I3*'Бюджет затрат (ориентир.)'!F45</f>
        <v>22152.864000000001</v>
      </c>
      <c r="J25" s="141">
        <f>J3*'Бюджет затрат (ориентир.)'!G45</f>
        <v>21701.760000000002</v>
      </c>
      <c r="K25" s="141">
        <f>K3*'Бюджет затрат (ориентир.)'!H45</f>
        <v>20020.788</v>
      </c>
      <c r="L25" s="141">
        <f>L3*'Бюджет затрат (ориентир.)'!I45</f>
        <v>21207.984</v>
      </c>
      <c r="M25" s="141">
        <f>M3*'Бюджет затрат (ориентир.)'!J45</f>
        <v>16123.92</v>
      </c>
      <c r="N25" s="141">
        <f>N3*'Бюджет затрат (ориентир.)'!K45</f>
        <v>19400.52</v>
      </c>
      <c r="O25" s="141">
        <f>O3*'Бюджет затрат (ориентир.)'!L45</f>
        <v>18406.871999999999</v>
      </c>
      <c r="P25" s="142">
        <f>P3*'Бюджет затрат (ориентир.)'!M45</f>
        <v>25336.5</v>
      </c>
    </row>
    <row r="26" spans="1:16" x14ac:dyDescent="0.35">
      <c r="A26" s="120" t="s">
        <v>227</v>
      </c>
      <c r="B26" s="440" t="s">
        <v>467</v>
      </c>
      <c r="C26" s="127">
        <f t="shared" si="4"/>
        <v>914400</v>
      </c>
      <c r="D26" s="128">
        <f t="shared" si="1"/>
        <v>0.05</v>
      </c>
      <c r="E26" s="129">
        <f>E3*'Бюджет затрат (ориентир.)'!C117</f>
        <v>87630</v>
      </c>
      <c r="F26" s="129">
        <f>F3*'Бюджет затрат (ориентир.)'!C117</f>
        <v>67818</v>
      </c>
      <c r="G26" s="129">
        <f>G3*'Бюджет затрат (ориентир.)'!C117</f>
        <v>90678</v>
      </c>
      <c r="H26" s="129">
        <f>H3*'Бюджет затрат (ориентир.)'!C117</f>
        <v>76200</v>
      </c>
      <c r="I26" s="129">
        <f>I3*'Бюджет затрат (ориентир.)'!C117</f>
        <v>70104</v>
      </c>
      <c r="J26" s="129">
        <f>J3*'Бюджет затрат (ориентир.)'!C117</f>
        <v>67818</v>
      </c>
      <c r="K26" s="129">
        <f>K3*'Бюджет затрат (ориентир.)'!C117</f>
        <v>66294</v>
      </c>
      <c r="L26" s="129">
        <f>L3*'Бюджет затрат (ориентир.)'!C117</f>
        <v>74676</v>
      </c>
      <c r="M26" s="129">
        <f>M3*'Бюджет затрат (ориентир.)'!C117</f>
        <v>70104</v>
      </c>
      <c r="N26" s="129">
        <f>N3*'Бюджет затрат (ориентир.)'!C117</f>
        <v>72390</v>
      </c>
      <c r="O26" s="129">
        <f>O3*'Бюджет затрат (ориентир.)'!C117</f>
        <v>75438</v>
      </c>
      <c r="P26" s="130">
        <f>P3*'Бюджет затрат (ориентир.)'!C117</f>
        <v>95250</v>
      </c>
    </row>
    <row r="27" spans="1:16" x14ac:dyDescent="0.35">
      <c r="A27" s="120" t="s">
        <v>228</v>
      </c>
      <c r="B27" s="440" t="s">
        <v>431</v>
      </c>
      <c r="C27" s="127">
        <f t="shared" si="4"/>
        <v>318819.27600000001</v>
      </c>
      <c r="D27" s="128">
        <f t="shared" si="1"/>
        <v>1.7433250000000001E-2</v>
      </c>
      <c r="E27" s="129">
        <f>E3*SUM(E28:E42)</f>
        <v>29618.939999999991</v>
      </c>
      <c r="F27" s="129">
        <f>F3*SUM(F28:F42)</f>
        <v>21159.216</v>
      </c>
      <c r="G27" s="129">
        <f>G3*SUM(G28:G42)</f>
        <v>30286.451999999997</v>
      </c>
      <c r="H27" s="129">
        <f>H3*SUM(H28:H42)</f>
        <v>32461.200000000001</v>
      </c>
      <c r="I27" s="129">
        <f>I3*SUM(I28:I42)</f>
        <v>24536.399999999998</v>
      </c>
      <c r="J27" s="129">
        <f>J3*SUM(J28:J42)</f>
        <v>21973.031999999999</v>
      </c>
      <c r="K27" s="129">
        <f>K3*SUM(K28:K42)</f>
        <v>22009.608</v>
      </c>
      <c r="L27" s="129">
        <f>L3*SUM(L28:L42)</f>
        <v>20759.928</v>
      </c>
      <c r="M27" s="129">
        <f>M3*SUM(M28:M42)</f>
        <v>30004.512000000002</v>
      </c>
      <c r="N27" s="129">
        <f>N3*SUM(N28:N42)</f>
        <v>29245.559999999998</v>
      </c>
      <c r="O27" s="129">
        <f>O3*SUM(O28:O42)</f>
        <v>26855.928</v>
      </c>
      <c r="P27" s="130">
        <f>P3*SUM(P28:P42)</f>
        <v>29908.499999999996</v>
      </c>
    </row>
    <row r="28" spans="1:16" outlineLevel="1" x14ac:dyDescent="0.35">
      <c r="A28" s="135" t="s">
        <v>187</v>
      </c>
      <c r="B28" s="97" t="s">
        <v>154</v>
      </c>
      <c r="C28" s="127"/>
      <c r="D28" s="128"/>
      <c r="E28" s="136">
        <f>'Бюджет затрат (ориентир.)'!B55</f>
        <v>0</v>
      </c>
      <c r="F28" s="136">
        <f>'Бюджет затрат (ориентир.)'!C55</f>
        <v>4.0000000000000002E-4</v>
      </c>
      <c r="G28" s="136">
        <f>'Бюджет затрат (ориентир.)'!D55</f>
        <v>4.0000000000000002E-4</v>
      </c>
      <c r="H28" s="136">
        <f>'Бюджет затрат (ориентир.)'!E55</f>
        <v>2.2000000000000001E-3</v>
      </c>
      <c r="I28" s="136">
        <f>'Бюджет затрат (ориентир.)'!F55</f>
        <v>4.0000000000000002E-4</v>
      </c>
      <c r="J28" s="136">
        <f>'Бюджет затрат (ориентир.)'!G55</f>
        <v>2.2000000000000001E-3</v>
      </c>
      <c r="K28" s="136">
        <f>'Бюджет затрат (ориентир.)'!H55</f>
        <v>4.0000000000000002E-4</v>
      </c>
      <c r="L28" s="136">
        <f>'Бюджет затрат (ориентир.)'!I55</f>
        <v>2.9999999999999997E-4</v>
      </c>
      <c r="M28" s="136">
        <f>'Бюджет затрат (ориентир.)'!J55</f>
        <v>4.0000000000000002E-4</v>
      </c>
      <c r="N28" s="136">
        <f>'Бюджет затрат (ориентир.)'!K55</f>
        <v>6.9999999999999999E-4</v>
      </c>
      <c r="O28" s="136">
        <f>'Бюджет затрат (ориентир.)'!L55</f>
        <v>4.0000000000000002E-4</v>
      </c>
      <c r="P28" s="137">
        <f>'Бюджет затрат (ориентир.)'!M55</f>
        <v>6.9999999999999999E-4</v>
      </c>
    </row>
    <row r="29" spans="1:16" outlineLevel="1" x14ac:dyDescent="0.35">
      <c r="A29" s="135" t="s">
        <v>189</v>
      </c>
      <c r="B29" s="97" t="s">
        <v>155</v>
      </c>
      <c r="C29" s="127"/>
      <c r="D29" s="128"/>
      <c r="E29" s="136">
        <f>'Бюджет затрат (ориентир.)'!B56</f>
        <v>2.9999999999999997E-4</v>
      </c>
      <c r="F29" s="136">
        <f>'Бюджет затрат (ориентир.)'!C56</f>
        <v>0</v>
      </c>
      <c r="G29" s="136">
        <f>'Бюджет затрат (ориентир.)'!D56</f>
        <v>0</v>
      </c>
      <c r="H29" s="136">
        <f>'Бюджет затрат (ориентир.)'!E56</f>
        <v>1E-4</v>
      </c>
      <c r="I29" s="136">
        <f>'Бюджет затрат (ориентир.)'!F56</f>
        <v>0</v>
      </c>
      <c r="J29" s="136">
        <f>'Бюджет затрат (ориентир.)'!G56</f>
        <v>0</v>
      </c>
      <c r="K29" s="136">
        <f>'Бюджет затрат (ориентир.)'!H56</f>
        <v>0</v>
      </c>
      <c r="L29" s="136">
        <f>'Бюджет затрат (ориентир.)'!I56</f>
        <v>0</v>
      </c>
      <c r="M29" s="136">
        <f>'Бюджет затрат (ориентир.)'!J56</f>
        <v>0</v>
      </c>
      <c r="N29" s="136">
        <f>'Бюджет затрат (ориентир.)'!K56</f>
        <v>0</v>
      </c>
      <c r="O29" s="136">
        <f>'Бюджет затрат (ориентир.)'!L56</f>
        <v>0</v>
      </c>
      <c r="P29" s="137">
        <f>'Бюджет затрат (ориентир.)'!M56</f>
        <v>0</v>
      </c>
    </row>
    <row r="30" spans="1:16" outlineLevel="1" x14ac:dyDescent="0.35">
      <c r="A30" s="135" t="s">
        <v>188</v>
      </c>
      <c r="B30" s="97" t="s">
        <v>156</v>
      </c>
      <c r="C30" s="127"/>
      <c r="D30" s="128"/>
      <c r="E30" s="136">
        <f>'Бюджет затрат (ориентир.)'!B57</f>
        <v>2.0000000000000001E-4</v>
      </c>
      <c r="F30" s="136">
        <f>'Бюджет затрат (ориентир.)'!C57</f>
        <v>5.0000000000000001E-4</v>
      </c>
      <c r="G30" s="136">
        <f>'Бюджет затрат (ориентир.)'!D57</f>
        <v>2.9999999999999997E-4</v>
      </c>
      <c r="H30" s="136">
        <f>'Бюджет затрат (ориентир.)'!E57</f>
        <v>1E-4</v>
      </c>
      <c r="I30" s="136">
        <f>'Бюджет затрат (ориентир.)'!F57</f>
        <v>2.9999999999999997E-4</v>
      </c>
      <c r="J30" s="136">
        <f>'Бюджет затрат (ориентир.)'!G57</f>
        <v>0</v>
      </c>
      <c r="K30" s="136">
        <f>'Бюджет затрат (ориентир.)'!H57</f>
        <v>5.0000000000000001E-4</v>
      </c>
      <c r="L30" s="136">
        <f>'Бюджет затрат (ориентир.)'!I57</f>
        <v>1E-4</v>
      </c>
      <c r="M30" s="136">
        <f>'Бюджет затрат (ориентир.)'!J57</f>
        <v>0</v>
      </c>
      <c r="N30" s="136">
        <f>'Бюджет затрат (ориентир.)'!K57</f>
        <v>0</v>
      </c>
      <c r="O30" s="136">
        <f>'Бюджет затрат (ориентир.)'!L57</f>
        <v>2.9999999999999997E-4</v>
      </c>
      <c r="P30" s="137">
        <f>'Бюджет затрат (ориентир.)'!M57</f>
        <v>1E-4</v>
      </c>
    </row>
    <row r="31" spans="1:16" outlineLevel="1" x14ac:dyDescent="0.35">
      <c r="A31" s="135" t="s">
        <v>190</v>
      </c>
      <c r="B31" s="97" t="s">
        <v>157</v>
      </c>
      <c r="C31" s="127"/>
      <c r="D31" s="128"/>
      <c r="E31" s="136">
        <f>'Бюджет затрат (ориентир.)'!B58</f>
        <v>0</v>
      </c>
      <c r="F31" s="136">
        <f>'Бюджет затрат (ориентир.)'!C58</f>
        <v>0</v>
      </c>
      <c r="G31" s="136">
        <f>'Бюджет затрат (ориентир.)'!D58</f>
        <v>0</v>
      </c>
      <c r="H31" s="136">
        <f>'Бюджет затрат (ориентир.)'!E58</f>
        <v>2.0000000000000001E-4</v>
      </c>
      <c r="I31" s="136">
        <f>'Бюджет затрат (ориентир.)'!F58</f>
        <v>0</v>
      </c>
      <c r="J31" s="136">
        <f>'Бюджет затрат (ориентир.)'!G58</f>
        <v>0</v>
      </c>
      <c r="K31" s="136">
        <f>'Бюджет затрат (ориентир.)'!H58</f>
        <v>0</v>
      </c>
      <c r="L31" s="136">
        <f>'Бюджет затрат (ориентир.)'!I58</f>
        <v>0</v>
      </c>
      <c r="M31" s="136">
        <f>'Бюджет затрат (ориентир.)'!J58</f>
        <v>0</v>
      </c>
      <c r="N31" s="136">
        <f>'Бюджет затрат (ориентир.)'!K58</f>
        <v>0</v>
      </c>
      <c r="O31" s="136">
        <f>'Бюджет затрат (ориентир.)'!L58</f>
        <v>0</v>
      </c>
      <c r="P31" s="137">
        <f>'Бюджет затрат (ориентир.)'!M58</f>
        <v>0</v>
      </c>
    </row>
    <row r="32" spans="1:16" outlineLevel="1" x14ac:dyDescent="0.35">
      <c r="A32" s="135" t="s">
        <v>191</v>
      </c>
      <c r="B32" s="97" t="s">
        <v>158</v>
      </c>
      <c r="C32" s="127"/>
      <c r="D32" s="128"/>
      <c r="E32" s="136">
        <f>'Бюджет затрат (ориентир.)'!B59</f>
        <v>0</v>
      </c>
      <c r="F32" s="136">
        <f>'Бюджет затрат (ориентир.)'!C59</f>
        <v>0</v>
      </c>
      <c r="G32" s="136">
        <f>'Бюджет затрат (ориентир.)'!D59</f>
        <v>2.9999999999999997E-4</v>
      </c>
      <c r="H32" s="136">
        <f>'Бюджет затрат (ориентир.)'!E59</f>
        <v>0</v>
      </c>
      <c r="I32" s="136">
        <f>'Бюджет затрат (ориентир.)'!F59</f>
        <v>0</v>
      </c>
      <c r="J32" s="136">
        <f>'Бюджет затрат (ориентир.)'!G59</f>
        <v>0</v>
      </c>
      <c r="K32" s="136">
        <f>'Бюджет затрат (ориентир.)'!H59</f>
        <v>0</v>
      </c>
      <c r="L32" s="136">
        <f>'Бюджет затрат (ориентир.)'!I59</f>
        <v>0</v>
      </c>
      <c r="M32" s="136">
        <f>'Бюджет затрат (ориентир.)'!J59</f>
        <v>0</v>
      </c>
      <c r="N32" s="136">
        <f>'Бюджет затрат (ориентир.)'!K59</f>
        <v>1E-4</v>
      </c>
      <c r="O32" s="136">
        <f>'Бюджет затрат (ориентир.)'!L59</f>
        <v>0</v>
      </c>
      <c r="P32" s="137">
        <f>'Бюджет затрат (ориентир.)'!M59</f>
        <v>2.9999999999999997E-4</v>
      </c>
    </row>
    <row r="33" spans="1:16" outlineLevel="1" x14ac:dyDescent="0.35">
      <c r="A33" s="135" t="s">
        <v>229</v>
      </c>
      <c r="B33" s="97" t="s">
        <v>159</v>
      </c>
      <c r="C33" s="127"/>
      <c r="D33" s="128"/>
      <c r="E33" s="136">
        <f>'Бюджет затрат (ориентир.)'!B60</f>
        <v>2.0000000000000001E-4</v>
      </c>
      <c r="F33" s="136">
        <f>'Бюджет затрат (ориентир.)'!C60</f>
        <v>2.0000000000000001E-4</v>
      </c>
      <c r="G33" s="136">
        <f>'Бюджет затрат (ориентир.)'!D60</f>
        <v>8.9999999999999998E-4</v>
      </c>
      <c r="H33" s="136">
        <f>'Бюджет затрат (ориентир.)'!E60</f>
        <v>1E-3</v>
      </c>
      <c r="I33" s="136">
        <f>'Бюджет затрат (ориентир.)'!F60</f>
        <v>2.0000000000000001E-4</v>
      </c>
      <c r="J33" s="136">
        <f>'Бюджет затрат (ориентир.)'!G60</f>
        <v>2.9999999999999997E-4</v>
      </c>
      <c r="K33" s="136">
        <f>'Бюджет затрат (ориентир.)'!H60</f>
        <v>1.8E-3</v>
      </c>
      <c r="L33" s="136">
        <f>'Бюджет затрат (ориентир.)'!I60</f>
        <v>6.9999999999999999E-4</v>
      </c>
      <c r="M33" s="136">
        <f>'Бюджет затрат (ориентир.)'!J60</f>
        <v>1E-4</v>
      </c>
      <c r="N33" s="136">
        <f>'Бюджет затрат (ориентир.)'!K60</f>
        <v>1.5E-3</v>
      </c>
      <c r="O33" s="136">
        <f>'Бюджет затрат (ориентир.)'!L60</f>
        <v>2.9999999999999997E-4</v>
      </c>
      <c r="P33" s="137">
        <f>'Бюджет затрат (ориентир.)'!M60</f>
        <v>4.0000000000000002E-4</v>
      </c>
    </row>
    <row r="34" spans="1:16" outlineLevel="1" x14ac:dyDescent="0.35">
      <c r="A34" s="135" t="s">
        <v>230</v>
      </c>
      <c r="B34" s="97" t="s">
        <v>160</v>
      </c>
      <c r="C34" s="127"/>
      <c r="D34" s="128"/>
      <c r="E34" s="136">
        <f>'Бюджет затрат (ориентир.)'!B61</f>
        <v>0</v>
      </c>
      <c r="F34" s="136">
        <f>'Бюджет затрат (ориентир.)'!C61</f>
        <v>0</v>
      </c>
      <c r="G34" s="136">
        <f>'Бюджет затрат (ориентир.)'!D61</f>
        <v>1E-4</v>
      </c>
      <c r="H34" s="136">
        <f>'Бюджет затрат (ориентир.)'!E61</f>
        <v>0</v>
      </c>
      <c r="I34" s="136">
        <f>'Бюджет затрат (ориентир.)'!F61</f>
        <v>0</v>
      </c>
      <c r="J34" s="136">
        <f>'Бюджет затрат (ориентир.)'!G61</f>
        <v>0</v>
      </c>
      <c r="K34" s="136">
        <f>'Бюджет затрат (ориентир.)'!H61</f>
        <v>0</v>
      </c>
      <c r="L34" s="136">
        <f>'Бюджет затрат (ориентир.)'!I61</f>
        <v>0</v>
      </c>
      <c r="M34" s="136">
        <f>'Бюджет затрат (ориентир.)'!J61</f>
        <v>0</v>
      </c>
      <c r="N34" s="136">
        <f>'Бюджет затрат (ориентир.)'!K61</f>
        <v>0</v>
      </c>
      <c r="O34" s="136">
        <f>'Бюджет затрат (ориентир.)'!L61</f>
        <v>0</v>
      </c>
      <c r="P34" s="137">
        <f>'Бюджет затрат (ориентир.)'!M61</f>
        <v>1E-4</v>
      </c>
    </row>
    <row r="35" spans="1:16" outlineLevel="1" x14ac:dyDescent="0.35">
      <c r="A35" s="135" t="s">
        <v>231</v>
      </c>
      <c r="B35" s="97" t="s">
        <v>161</v>
      </c>
      <c r="C35" s="127"/>
      <c r="D35" s="128"/>
      <c r="E35" s="136">
        <f>'Бюджет затрат (ориентир.)'!B62</f>
        <v>2.9999999999999997E-4</v>
      </c>
      <c r="F35" s="136">
        <f>'Бюджет затрат (ориентир.)'!C62</f>
        <v>0</v>
      </c>
      <c r="G35" s="136">
        <f>'Бюджет затрат (ориентир.)'!D62</f>
        <v>2.9999999999999997E-4</v>
      </c>
      <c r="H35" s="136">
        <f>'Бюджет затрат (ориентир.)'!E62</f>
        <v>2.3E-3</v>
      </c>
      <c r="I35" s="136">
        <f>'Бюджет затрат (ориентир.)'!F62</f>
        <v>8.9999999999999998E-4</v>
      </c>
      <c r="J35" s="136">
        <f>'Бюджет затрат (ориентир.)'!G62</f>
        <v>5.9999999999999995E-4</v>
      </c>
      <c r="K35" s="136">
        <f>'Бюджет затрат (ориентир.)'!H62</f>
        <v>2.0000000000000001E-4</v>
      </c>
      <c r="L35" s="136">
        <f>'Бюджет затрат (ориентир.)'!I62</f>
        <v>6.9999999999999999E-4</v>
      </c>
      <c r="M35" s="136">
        <f>'Бюджет затрат (ориентир.)'!J62</f>
        <v>1E-3</v>
      </c>
      <c r="N35" s="136">
        <f>'Бюджет затрат (ориентир.)'!K62</f>
        <v>4.0000000000000002E-4</v>
      </c>
      <c r="O35" s="136">
        <f>'Бюджет затрат (ориентир.)'!L62</f>
        <v>8.0000000000000004E-4</v>
      </c>
      <c r="P35" s="137">
        <f>'Бюджет затрат (ориентир.)'!M62</f>
        <v>5.9999999999999995E-4</v>
      </c>
    </row>
    <row r="36" spans="1:16" outlineLevel="1" x14ac:dyDescent="0.35">
      <c r="A36" s="135" t="s">
        <v>232</v>
      </c>
      <c r="B36" s="98" t="s">
        <v>162</v>
      </c>
      <c r="C36" s="127"/>
      <c r="D36" s="128"/>
      <c r="E36" s="136">
        <f>'Бюджет затрат (ориентир.)'!B63</f>
        <v>1.2999999999999999E-3</v>
      </c>
      <c r="F36" s="136">
        <f>'Бюджет затрат (ориентир.)'!C63</f>
        <v>5.0000000000000001E-4</v>
      </c>
      <c r="G36" s="136">
        <f>'Бюджет затрат (ориентир.)'!D63</f>
        <v>5.9999999999999995E-4</v>
      </c>
      <c r="H36" s="136">
        <f>'Бюджет затрат (ориентир.)'!E63</f>
        <v>4.0000000000000002E-4</v>
      </c>
      <c r="I36" s="136">
        <f>'Бюджет затрат (ориентир.)'!F63</f>
        <v>5.9999999999999995E-4</v>
      </c>
      <c r="J36" s="136">
        <f>'Бюджет затрат (ориентир.)'!G63</f>
        <v>5.0000000000000001E-4</v>
      </c>
      <c r="K36" s="136">
        <f>'Бюджет затрат (ориентир.)'!H63</f>
        <v>5.0000000000000001E-4</v>
      </c>
      <c r="L36" s="136">
        <f>'Бюджет затрат (ориентир.)'!I63</f>
        <v>8.9999999999999998E-4</v>
      </c>
      <c r="M36" s="136">
        <f>'Бюджет затрат (ориентир.)'!J63</f>
        <v>2.0000000000000001E-4</v>
      </c>
      <c r="N36" s="136">
        <f>'Бюджет затрат (ориентир.)'!K63</f>
        <v>2.9999999999999997E-4</v>
      </c>
      <c r="O36" s="136">
        <f>'Бюджет затрат (ориентир.)'!L63</f>
        <v>2.0000000000000001E-4</v>
      </c>
      <c r="P36" s="137">
        <f>'Бюджет затрат (ориентир.)'!M63</f>
        <v>5.0000000000000001E-4</v>
      </c>
    </row>
    <row r="37" spans="1:16" outlineLevel="1" x14ac:dyDescent="0.35">
      <c r="A37" s="135" t="s">
        <v>233</v>
      </c>
      <c r="B37" s="97" t="s">
        <v>163</v>
      </c>
      <c r="C37" s="127"/>
      <c r="D37" s="128"/>
      <c r="E37" s="136">
        <f>'Бюджет затрат (ориентир.)'!B64</f>
        <v>5.0000000000000001E-4</v>
      </c>
      <c r="F37" s="136">
        <f>'Бюджет затрат (ориентир.)'!C64</f>
        <v>5.0000000000000001E-4</v>
      </c>
      <c r="G37" s="136">
        <f>'Бюджет затрат (ориентир.)'!D64</f>
        <v>4.0000000000000002E-4</v>
      </c>
      <c r="H37" s="136">
        <f>'Бюджет затрат (ориентир.)'!E64</f>
        <v>5.0000000000000001E-4</v>
      </c>
      <c r="I37" s="136">
        <f>'Бюджет затрат (ориентир.)'!F64</f>
        <v>5.0000000000000001E-4</v>
      </c>
      <c r="J37" s="136">
        <f>'Бюджет затрат (ориентир.)'!G64</f>
        <v>5.0000000000000001E-4</v>
      </c>
      <c r="K37" s="136">
        <f>'Бюджет затрат (ориентир.)'!H64</f>
        <v>5.0000000000000001E-4</v>
      </c>
      <c r="L37" s="136">
        <f>'Бюджет затрат (ориентир.)'!I64</f>
        <v>5.0000000000000001E-4</v>
      </c>
      <c r="M37" s="136">
        <f>'Бюджет затрат (ориентир.)'!J64</f>
        <v>2.8999999999999998E-3</v>
      </c>
      <c r="N37" s="136">
        <f>'Бюджет затрат (ориентир.)'!K64</f>
        <v>2.5999999999999999E-3</v>
      </c>
      <c r="O37" s="136">
        <f>'Бюджет затрат (ориентир.)'!L64</f>
        <v>4.0000000000000002E-4</v>
      </c>
      <c r="P37" s="137">
        <f>'Бюджет затрат (ориентир.)'!M64</f>
        <v>4.0000000000000002E-4</v>
      </c>
    </row>
    <row r="38" spans="1:16" outlineLevel="1" x14ac:dyDescent="0.35">
      <c r="A38" s="135" t="s">
        <v>234</v>
      </c>
      <c r="B38" s="97" t="s">
        <v>164</v>
      </c>
      <c r="C38" s="127"/>
      <c r="D38" s="128"/>
      <c r="E38" s="136">
        <f>'Бюджет затрат (ориентир.)'!B65</f>
        <v>0</v>
      </c>
      <c r="F38" s="136">
        <f>'Бюджет затрат (ориентир.)'!C65</f>
        <v>0</v>
      </c>
      <c r="G38" s="136">
        <f>'Бюджет затрат (ориентир.)'!D65</f>
        <v>0</v>
      </c>
      <c r="H38" s="136">
        <f>'Бюджет затрат (ориентир.)'!E65</f>
        <v>0</v>
      </c>
      <c r="I38" s="136">
        <f>'Бюджет затрат (ориентир.)'!F65</f>
        <v>0</v>
      </c>
      <c r="J38" s="136">
        <f>'Бюджет затрат (ориентир.)'!G65</f>
        <v>0</v>
      </c>
      <c r="K38" s="136">
        <f>'Бюджет затрат (ориентир.)'!H65</f>
        <v>0</v>
      </c>
      <c r="L38" s="136">
        <f>'Бюджет затрат (ориентир.)'!I65</f>
        <v>0</v>
      </c>
      <c r="M38" s="136">
        <f>'Бюджет затрат (ориентир.)'!J65</f>
        <v>0</v>
      </c>
      <c r="N38" s="136">
        <f>'Бюджет затрат (ориентир.)'!K65</f>
        <v>0</v>
      </c>
      <c r="O38" s="136">
        <f>'Бюджет затрат (ориентир.)'!L65</f>
        <v>0</v>
      </c>
      <c r="P38" s="137">
        <f>'Бюджет затрат (ориентир.)'!M65</f>
        <v>0</v>
      </c>
    </row>
    <row r="39" spans="1:16" outlineLevel="1" x14ac:dyDescent="0.35">
      <c r="A39" s="135" t="s">
        <v>235</v>
      </c>
      <c r="B39" s="97" t="s">
        <v>165</v>
      </c>
      <c r="C39" s="127"/>
      <c r="D39" s="128"/>
      <c r="E39" s="136">
        <f>'Бюджет затрат (ориентир.)'!B66</f>
        <v>5.0000000000000001E-4</v>
      </c>
      <c r="F39" s="136">
        <f>'Бюджет затрат (ориентир.)'!C66</f>
        <v>2.0000000000000001E-4</v>
      </c>
      <c r="G39" s="136">
        <f>'Бюджет затрат (ориентир.)'!D66</f>
        <v>1E-4</v>
      </c>
      <c r="H39" s="136">
        <f>'Бюджет затрат (ориентир.)'!E66</f>
        <v>1E-3</v>
      </c>
      <c r="I39" s="136">
        <f>'Бюджет затрат (ориентир.)'!F66</f>
        <v>2.9999999999999997E-4</v>
      </c>
      <c r="J39" s="136">
        <f>'Бюджет затрат (ориентир.)'!G66</f>
        <v>5.0000000000000001E-4</v>
      </c>
      <c r="K39" s="136">
        <f>'Бюджет затрат (ориентир.)'!H66</f>
        <v>4.0000000000000002E-4</v>
      </c>
      <c r="L39" s="136">
        <f>'Бюджет затрат (ориентир.)'!I66</f>
        <v>2.0000000000000001E-4</v>
      </c>
      <c r="M39" s="136">
        <f>'Бюджет затрат (ориентир.)'!J66</f>
        <v>8.0000000000000004E-4</v>
      </c>
      <c r="N39" s="136">
        <f>'Бюджет затрат (ориентир.)'!K66</f>
        <v>5.0000000000000001E-4</v>
      </c>
      <c r="O39" s="136">
        <f>'Бюджет затрат (ориентир.)'!L66</f>
        <v>1E-4</v>
      </c>
      <c r="P39" s="137">
        <f>'Бюджет затрат (ориентир.)'!M66</f>
        <v>2.0000000000000001E-4</v>
      </c>
    </row>
    <row r="40" spans="1:16" outlineLevel="1" x14ac:dyDescent="0.35">
      <c r="A40" s="135" t="s">
        <v>236</v>
      </c>
      <c r="B40" s="97" t="s">
        <v>166</v>
      </c>
      <c r="C40" s="127"/>
      <c r="D40" s="128"/>
      <c r="E40" s="136">
        <f>'Бюджет затрат (ориентир.)'!B67</f>
        <v>0</v>
      </c>
      <c r="F40" s="136">
        <f>'Бюджет затрат (ориентир.)'!C67</f>
        <v>0</v>
      </c>
      <c r="G40" s="136">
        <f>'Бюджет затрат (ориентир.)'!D67</f>
        <v>0</v>
      </c>
      <c r="H40" s="136">
        <f>'Бюджет затрат (ориентир.)'!E67</f>
        <v>0</v>
      </c>
      <c r="I40" s="136">
        <f>'Бюджет затрат (ориентир.)'!F67</f>
        <v>5.9999999999999995E-4</v>
      </c>
      <c r="J40" s="136">
        <f>'Бюджет затрат (ориентир.)'!G67</f>
        <v>0</v>
      </c>
      <c r="K40" s="136">
        <f>'Бюджет затрат (ориентир.)'!H67</f>
        <v>0</v>
      </c>
      <c r="L40" s="136">
        <f>'Бюджет затрат (ориентир.)'!I67</f>
        <v>0</v>
      </c>
      <c r="M40" s="136">
        <f>'Бюджет затрат (ориентир.)'!J67</f>
        <v>0</v>
      </c>
      <c r="N40" s="136">
        <f>'Бюджет затрат (ориентир.)'!K67</f>
        <v>0</v>
      </c>
      <c r="O40" s="136">
        <f>'Бюджет затрат (ориентир.)'!L67</f>
        <v>0</v>
      </c>
      <c r="P40" s="137">
        <f>'Бюджет затрат (ориентир.)'!M67</f>
        <v>0</v>
      </c>
    </row>
    <row r="41" spans="1:16" outlineLevel="1" x14ac:dyDescent="0.35">
      <c r="A41" s="135" t="s">
        <v>237</v>
      </c>
      <c r="B41" s="97" t="s">
        <v>167</v>
      </c>
      <c r="C41" s="127"/>
      <c r="D41" s="128"/>
      <c r="E41" s="136">
        <f>'Бюджет затрат (ориентир.)'!B68</f>
        <v>1E-4</v>
      </c>
      <c r="F41" s="136">
        <f>'Бюджет затрат (ориентир.)'!C68</f>
        <v>1E-4</v>
      </c>
      <c r="G41" s="136">
        <f>'Бюджет затрат (ориентир.)'!D68</f>
        <v>1E-4</v>
      </c>
      <c r="H41" s="136">
        <f>'Бюджет затрат (ориентир.)'!E68</f>
        <v>1E-4</v>
      </c>
      <c r="I41" s="136">
        <f>'Бюджет затрат (ориентир.)'!F68</f>
        <v>1E-4</v>
      </c>
      <c r="J41" s="136">
        <f>'Бюджет затрат (ориентир.)'!G68</f>
        <v>1E-4</v>
      </c>
      <c r="K41" s="136">
        <f>'Бюджет затрат (ориентир.)'!H68</f>
        <v>1E-4</v>
      </c>
      <c r="L41" s="136">
        <f>'Бюджет затрат (ориентир.)'!I68</f>
        <v>1E-4</v>
      </c>
      <c r="M41" s="136">
        <f>'Бюджет затрат (ориентир.)'!J68</f>
        <v>1E-4</v>
      </c>
      <c r="N41" s="136">
        <f>'Бюджет затрат (ориентир.)'!K68</f>
        <v>1E-4</v>
      </c>
      <c r="O41" s="136">
        <f>'Бюджет затрат (ориентир.)'!L68</f>
        <v>1E-4</v>
      </c>
      <c r="P41" s="137">
        <f>'Бюджет затрат (ориентир.)'!M68</f>
        <v>1E-4</v>
      </c>
    </row>
    <row r="42" spans="1:16" outlineLevel="1" x14ac:dyDescent="0.35">
      <c r="A42" s="135" t="s">
        <v>238</v>
      </c>
      <c r="B42" s="138" t="s">
        <v>168</v>
      </c>
      <c r="C42" s="127"/>
      <c r="D42" s="128"/>
      <c r="E42" s="136">
        <f>'Бюджет затрат (ориентир.)'!B69</f>
        <v>1.35E-2</v>
      </c>
      <c r="F42" s="136">
        <f>'Бюджет затрат (ориентир.)'!C69</f>
        <v>1.32E-2</v>
      </c>
      <c r="G42" s="136">
        <f>'Бюджет затрат (ориентир.)'!D69</f>
        <v>1.32E-2</v>
      </c>
      <c r="H42" s="136">
        <f>'Бюджет затрат (ориентир.)'!E69</f>
        <v>1.34E-2</v>
      </c>
      <c r="I42" s="136">
        <f>'Бюджет затрат (ориентир.)'!F69</f>
        <v>1.3599999999999999E-2</v>
      </c>
      <c r="J42" s="136">
        <f>'Бюджет затрат (ориентир.)'!G69</f>
        <v>1.15E-2</v>
      </c>
      <c r="K42" s="136">
        <f>'Бюджет затрат (ориентир.)'!H69</f>
        <v>1.2200000000000001E-2</v>
      </c>
      <c r="L42" s="136">
        <f>'Бюджет затрат (ориентир.)'!I69</f>
        <v>1.04E-2</v>
      </c>
      <c r="M42" s="136">
        <f>'Бюджет затрат (ориентир.)'!J69</f>
        <v>1.5900000000000001E-2</v>
      </c>
      <c r="N42" s="136">
        <f>'Бюджет затрат (ориентир.)'!K69</f>
        <v>1.4E-2</v>
      </c>
      <c r="O42" s="136">
        <f>'Бюджет затрат (ориентир.)'!L69</f>
        <v>1.52E-2</v>
      </c>
      <c r="P42" s="137">
        <f>'Бюджет затрат (ориентир.)'!M69</f>
        <v>1.23E-2</v>
      </c>
    </row>
    <row r="43" spans="1:16" x14ac:dyDescent="0.35">
      <c r="A43" s="120" t="s">
        <v>239</v>
      </c>
      <c r="B43" s="442" t="s">
        <v>432</v>
      </c>
      <c r="C43" s="127">
        <f t="shared" si="4"/>
        <v>78897.48</v>
      </c>
      <c r="D43" s="128">
        <f t="shared" si="1"/>
        <v>4.3141666666666667E-3</v>
      </c>
      <c r="E43" s="129">
        <f>E3*SUM(E44:E47)</f>
        <v>2979.4199999999996</v>
      </c>
      <c r="F43" s="129">
        <f>F3*SUM(F44:F47)</f>
        <v>12885.42</v>
      </c>
      <c r="G43" s="129">
        <f>G3*SUM(G44:G47)</f>
        <v>18861.023999999998</v>
      </c>
      <c r="H43" s="129">
        <f>H3*SUM(H44:H47)</f>
        <v>1981.1999999999998</v>
      </c>
      <c r="I43" s="129">
        <f>I3*SUM(I44:I47)</f>
        <v>1682.4959999999999</v>
      </c>
      <c r="J43" s="129">
        <f>J3*SUM(J44:J47)</f>
        <v>2305.8120000000004</v>
      </c>
      <c r="K43" s="129">
        <f>K3*SUM(K44:K47)</f>
        <v>1856.232</v>
      </c>
      <c r="L43" s="129">
        <f>L3*SUM(L44:L47)</f>
        <v>896.11200000000008</v>
      </c>
      <c r="M43" s="129">
        <f>M3*SUM(M44:M47)</f>
        <v>2243.328</v>
      </c>
      <c r="N43" s="129">
        <f>N3*SUM(N44:N47)</f>
        <v>1447.8</v>
      </c>
      <c r="O43" s="129">
        <f>O3*SUM(O44:O47)</f>
        <v>1659.6359999999997</v>
      </c>
      <c r="P43" s="130">
        <f>P3*SUM(P44:P47)</f>
        <v>30099.000000000004</v>
      </c>
    </row>
    <row r="44" spans="1:16" outlineLevel="1" x14ac:dyDescent="0.35">
      <c r="A44" s="135" t="s">
        <v>240</v>
      </c>
      <c r="B44" s="138" t="s">
        <v>169</v>
      </c>
      <c r="C44" s="127"/>
      <c r="D44" s="128"/>
      <c r="E44" s="136">
        <f>'Бюджет затрат (ориентир.)'!B73</f>
        <v>0</v>
      </c>
      <c r="F44" s="136">
        <f>'Бюджет затрат (ориентир.)'!C73</f>
        <v>7.9000000000000008E-3</v>
      </c>
      <c r="G44" s="136">
        <f>'Бюджет затрат (ориентир.)'!D73</f>
        <v>9.2999999999999992E-3</v>
      </c>
      <c r="H44" s="136">
        <f>'Бюджет затрат (ориентир.)'!E73</f>
        <v>0</v>
      </c>
      <c r="I44" s="136">
        <f>'Бюджет затрат (ориентир.)'!F73</f>
        <v>0</v>
      </c>
      <c r="J44" s="136">
        <f>'Бюджет затрат (ориентир.)'!G73</f>
        <v>0</v>
      </c>
      <c r="K44" s="136">
        <f>'Бюджет затрат (ориентир.)'!H73</f>
        <v>0</v>
      </c>
      <c r="L44" s="136">
        <f>'Бюджет затрат (ориентир.)'!I73</f>
        <v>0</v>
      </c>
      <c r="M44" s="136">
        <f>'Бюджет затрат (ориентир.)'!J73</f>
        <v>0</v>
      </c>
      <c r="N44" s="136">
        <f>'Бюджет затрат (ориентир.)'!K73</f>
        <v>0</v>
      </c>
      <c r="O44" s="136">
        <f>'Бюджет затрат (ориентир.)'!L73</f>
        <v>0</v>
      </c>
      <c r="P44" s="137">
        <f>'Бюджет затрат (ориентир.)'!M73</f>
        <v>1.21E-2</v>
      </c>
    </row>
    <row r="45" spans="1:16" outlineLevel="1" x14ac:dyDescent="0.35">
      <c r="A45" s="135" t="s">
        <v>241</v>
      </c>
      <c r="B45" s="138" t="s">
        <v>170</v>
      </c>
      <c r="C45" s="127"/>
      <c r="D45" s="128"/>
      <c r="E45" s="136">
        <f>'Бюджет затрат (ориентир.)'!B74</f>
        <v>0</v>
      </c>
      <c r="F45" s="136">
        <f>'Бюджет затрат (ориентир.)'!C74</f>
        <v>0</v>
      </c>
      <c r="G45" s="136">
        <f>'Бюджет затрат (ориентир.)'!D74</f>
        <v>0</v>
      </c>
      <c r="H45" s="136">
        <f>'Бюджет затрат (ориентир.)'!E74</f>
        <v>0</v>
      </c>
      <c r="I45" s="136">
        <f>'Бюджет затрат (ориентир.)'!F74</f>
        <v>0</v>
      </c>
      <c r="J45" s="136">
        <f>'Бюджет затрат (ориентир.)'!G74</f>
        <v>0</v>
      </c>
      <c r="K45" s="136">
        <f>'Бюджет затрат (ориентир.)'!H74</f>
        <v>0</v>
      </c>
      <c r="L45" s="136">
        <f>'Бюджет затрат (ориентир.)'!I74</f>
        <v>0</v>
      </c>
      <c r="M45" s="136">
        <f>'Бюджет затрат (ориентир.)'!J74</f>
        <v>0</v>
      </c>
      <c r="N45" s="136">
        <f>'Бюджет затрат (ориентир.)'!K74</f>
        <v>0</v>
      </c>
      <c r="O45" s="136">
        <f>'Бюджет затрат (ориентир.)'!L74</f>
        <v>0</v>
      </c>
      <c r="P45" s="137">
        <f>'Бюджет затрат (ориентир.)'!M74</f>
        <v>1.8E-3</v>
      </c>
    </row>
    <row r="46" spans="1:16" outlineLevel="1" x14ac:dyDescent="0.35">
      <c r="A46" s="135" t="s">
        <v>242</v>
      </c>
      <c r="B46" s="138" t="s">
        <v>171</v>
      </c>
      <c r="C46" s="127"/>
      <c r="D46" s="128"/>
      <c r="E46" s="136">
        <f>'Бюджет затрат (ориентир.)'!B75</f>
        <v>2.9999999999999997E-4</v>
      </c>
      <c r="F46" s="136">
        <f>'Бюджет затрат (ориентир.)'!C75</f>
        <v>4.0000000000000002E-4</v>
      </c>
      <c r="G46" s="136">
        <f>'Бюджет затрат (ориентир.)'!D75</f>
        <v>2.0000000000000001E-4</v>
      </c>
      <c r="H46" s="136">
        <f>'Бюджет затрат (ориентир.)'!E75</f>
        <v>1E-4</v>
      </c>
      <c r="I46" s="136">
        <f>'Бюджет затрат (ориентир.)'!F75</f>
        <v>0</v>
      </c>
      <c r="J46" s="136">
        <f>'Бюджет затрат (ориентир.)'!G75</f>
        <v>6.9999999999999999E-4</v>
      </c>
      <c r="K46" s="136">
        <f>'Бюджет затрат (ориентир.)'!H75</f>
        <v>2.9999999999999997E-4</v>
      </c>
      <c r="L46" s="136">
        <f>'Бюджет затрат (ориентир.)'!I75</f>
        <v>1E-4</v>
      </c>
      <c r="M46" s="136">
        <f>'Бюджет затрат (ориентир.)'!J75</f>
        <v>5.9999999999999995E-4</v>
      </c>
      <c r="N46" s="136">
        <f>'Бюджет затрат (ориентир.)'!K75</f>
        <v>0</v>
      </c>
      <c r="O46" s="136">
        <f>'Бюджет затрат (ориентир.)'!L75</f>
        <v>5.0000000000000001E-4</v>
      </c>
      <c r="P46" s="137">
        <f>'Бюджет затрат (ориентир.)'!M75</f>
        <v>1E-3</v>
      </c>
    </row>
    <row r="47" spans="1:16" outlineLevel="1" x14ac:dyDescent="0.35">
      <c r="A47" s="135" t="s">
        <v>243</v>
      </c>
      <c r="B47" s="138" t="s">
        <v>172</v>
      </c>
      <c r="C47" s="127"/>
      <c r="D47" s="128"/>
      <c r="E47" s="136">
        <f>'Бюджет затрат (ориентир.)'!B76</f>
        <v>1.4E-3</v>
      </c>
      <c r="F47" s="136">
        <f>'Бюджет затрат (ориентир.)'!C76</f>
        <v>1.1999999999999999E-3</v>
      </c>
      <c r="G47" s="136">
        <f>'Бюджет затрат (ориентир.)'!D76</f>
        <v>8.9999999999999998E-4</v>
      </c>
      <c r="H47" s="136">
        <f>'Бюджет затрат (ориентир.)'!E76</f>
        <v>1.1999999999999999E-3</v>
      </c>
      <c r="I47" s="136">
        <f>'Бюджет затрат (ориентир.)'!F76</f>
        <v>1.1999999999999999E-3</v>
      </c>
      <c r="J47" s="136">
        <f>'Бюджет затрат (ориентир.)'!G76</f>
        <v>1E-3</v>
      </c>
      <c r="K47" s="136">
        <f>'Бюджет затрат (ориентир.)'!H76</f>
        <v>1.1000000000000001E-3</v>
      </c>
      <c r="L47" s="136">
        <f>'Бюджет затрат (ориентир.)'!I76</f>
        <v>5.0000000000000001E-4</v>
      </c>
      <c r="M47" s="136">
        <f>'Бюджет затрат (ориентир.)'!J76</f>
        <v>1E-3</v>
      </c>
      <c r="N47" s="136">
        <f>'Бюджет затрат (ориентир.)'!K76</f>
        <v>1E-3</v>
      </c>
      <c r="O47" s="136">
        <f>'Бюджет затрат (ориентир.)'!L76</f>
        <v>5.9999999999999995E-4</v>
      </c>
      <c r="P47" s="137">
        <f>'Бюджет затрат (ориентир.)'!M76</f>
        <v>8.9999999999999998E-4</v>
      </c>
    </row>
    <row r="48" spans="1:16" x14ac:dyDescent="0.35">
      <c r="A48" s="120" t="s">
        <v>244</v>
      </c>
      <c r="B48" s="442" t="s">
        <v>433</v>
      </c>
      <c r="C48" s="127">
        <f t="shared" si="4"/>
        <v>4047.7440000000006</v>
      </c>
      <c r="D48" s="128">
        <f t="shared" si="1"/>
        <v>2.2133333333333336E-4</v>
      </c>
      <c r="E48" s="129">
        <f>E3*SUM(E49:E52)</f>
        <v>0</v>
      </c>
      <c r="F48" s="129">
        <f>F3*SUM(F49:F52)</f>
        <v>0</v>
      </c>
      <c r="G48" s="129">
        <f>G3*SUM(G49:G52)</f>
        <v>0</v>
      </c>
      <c r="H48" s="129">
        <f>H3*SUM(H49:H52)</f>
        <v>0</v>
      </c>
      <c r="I48" s="129">
        <f>I3*SUM(I49:I52)</f>
        <v>0</v>
      </c>
      <c r="J48" s="129">
        <f>J3*SUM(J49:J52)</f>
        <v>0</v>
      </c>
      <c r="K48" s="129">
        <f>K3*SUM(K49:K52)</f>
        <v>0</v>
      </c>
      <c r="L48" s="129">
        <f>L3*SUM(L49:L52)</f>
        <v>2538.9840000000004</v>
      </c>
      <c r="M48" s="129">
        <f>M3*SUM(M49:M52)</f>
        <v>0</v>
      </c>
      <c r="N48" s="129">
        <f>N3*SUM(N49:N52)</f>
        <v>0</v>
      </c>
      <c r="O48" s="129">
        <f>O3*SUM(O49:O52)</f>
        <v>1508.76</v>
      </c>
      <c r="P48" s="130">
        <f>P3*SUM(P49:P52)*Операционный!O66</f>
        <v>0</v>
      </c>
    </row>
    <row r="49" spans="1:16" outlineLevel="1" x14ac:dyDescent="0.35">
      <c r="A49" s="135" t="s">
        <v>192</v>
      </c>
      <c r="B49" s="97" t="s">
        <v>173</v>
      </c>
      <c r="C49" s="127"/>
      <c r="D49" s="128"/>
      <c r="E49" s="136">
        <f>'Бюджет затрат (ориентир.)'!B81</f>
        <v>0</v>
      </c>
      <c r="F49" s="136">
        <f>'Бюджет затрат (ориентир.)'!C81</f>
        <v>0</v>
      </c>
      <c r="G49" s="136">
        <f>'Бюджет затрат (ориентир.)'!D81</f>
        <v>0</v>
      </c>
      <c r="H49" s="136">
        <f>'Бюджет затрат (ориентир.)'!E81</f>
        <v>0</v>
      </c>
      <c r="I49" s="136">
        <f>'Бюджет затрат (ориентир.)'!F81</f>
        <v>0</v>
      </c>
      <c r="J49" s="136">
        <f>'Бюджет затрат (ориентир.)'!G81</f>
        <v>0</v>
      </c>
      <c r="K49" s="136">
        <f>'Бюджет затрат (ориентир.)'!H81</f>
        <v>0</v>
      </c>
      <c r="L49" s="136">
        <f>'Бюджет затрат (ориентир.)'!I81</f>
        <v>8.9999999999999998E-4</v>
      </c>
      <c r="M49" s="136">
        <f>'Бюджет затрат (ориентир.)'!J81</f>
        <v>0</v>
      </c>
      <c r="N49" s="136">
        <f>'Бюджет затрат (ориентир.)'!K81</f>
        <v>0</v>
      </c>
      <c r="O49" s="136">
        <f>'Бюджет затрат (ориентир.)'!L81</f>
        <v>5.0000000000000001E-4</v>
      </c>
      <c r="P49" s="137">
        <f>'Бюджет затрат (ориентир.)'!M81</f>
        <v>0</v>
      </c>
    </row>
    <row r="50" spans="1:16" outlineLevel="1" x14ac:dyDescent="0.35">
      <c r="A50" s="135" t="s">
        <v>193</v>
      </c>
      <c r="B50" s="97" t="s">
        <v>174</v>
      </c>
      <c r="C50" s="127"/>
      <c r="D50" s="128"/>
      <c r="E50" s="136">
        <f>'Бюджет затрат (ориентир.)'!B82</f>
        <v>0</v>
      </c>
      <c r="F50" s="136">
        <f>'Бюджет затрат (ориентир.)'!C82</f>
        <v>0</v>
      </c>
      <c r="G50" s="136">
        <f>'Бюджет затрат (ориентир.)'!D82</f>
        <v>0</v>
      </c>
      <c r="H50" s="136">
        <f>'Бюджет затрат (ориентир.)'!E82</f>
        <v>0</v>
      </c>
      <c r="I50" s="136">
        <f>'Бюджет затрат (ориентир.)'!F82</f>
        <v>0</v>
      </c>
      <c r="J50" s="136">
        <f>'Бюджет затрат (ориентир.)'!G82</f>
        <v>0</v>
      </c>
      <c r="K50" s="136">
        <f>'Бюджет затрат (ориентир.)'!H82</f>
        <v>0</v>
      </c>
      <c r="L50" s="136">
        <f>'Бюджет затрат (ориентир.)'!I82</f>
        <v>8.0000000000000004E-4</v>
      </c>
      <c r="M50" s="136">
        <f>'Бюджет затрат (ориентир.)'!J82</f>
        <v>0</v>
      </c>
      <c r="N50" s="136">
        <f>'Бюджет затрат (ориентир.)'!K82</f>
        <v>0</v>
      </c>
      <c r="O50" s="136">
        <f>'Бюджет затрат (ориентир.)'!L82</f>
        <v>0</v>
      </c>
      <c r="P50" s="137">
        <f>'Бюджет затрат (ориентир.)'!M82</f>
        <v>0</v>
      </c>
    </row>
    <row r="51" spans="1:16" outlineLevel="1" x14ac:dyDescent="0.35">
      <c r="A51" s="135" t="s">
        <v>245</v>
      </c>
      <c r="B51" s="97" t="s">
        <v>175</v>
      </c>
      <c r="C51" s="127"/>
      <c r="D51" s="128"/>
      <c r="E51" s="136">
        <f>'Бюджет затрат (ориентир.)'!B83</f>
        <v>0</v>
      </c>
      <c r="F51" s="136">
        <f>'Бюджет затрат (ориентир.)'!C83</f>
        <v>0</v>
      </c>
      <c r="G51" s="136">
        <f>'Бюджет затрат (ориентир.)'!D83</f>
        <v>0</v>
      </c>
      <c r="H51" s="136">
        <f>'Бюджет затрат (ориентир.)'!E83</f>
        <v>0</v>
      </c>
      <c r="I51" s="136">
        <f>'Бюджет затрат (ориентир.)'!F83</f>
        <v>0</v>
      </c>
      <c r="J51" s="136">
        <f>'Бюджет затрат (ориентир.)'!G83</f>
        <v>0</v>
      </c>
      <c r="K51" s="136">
        <f>'Бюджет затрат (ориентир.)'!H83</f>
        <v>0</v>
      </c>
      <c r="L51" s="136">
        <f>'Бюджет затрат (ориентир.)'!I83</f>
        <v>0</v>
      </c>
      <c r="M51" s="136">
        <f>'Бюджет затрат (ориентир.)'!J83</f>
        <v>0</v>
      </c>
      <c r="N51" s="136">
        <f>'Бюджет затрат (ориентир.)'!K83</f>
        <v>0</v>
      </c>
      <c r="O51" s="136">
        <f>'Бюджет затрат (ориентир.)'!L83</f>
        <v>5.0000000000000001E-4</v>
      </c>
      <c r="P51" s="137">
        <f>'Бюджет затрат (ориентир.)'!M83</f>
        <v>0</v>
      </c>
    </row>
    <row r="52" spans="1:16" outlineLevel="1" x14ac:dyDescent="0.35">
      <c r="A52" s="135" t="s">
        <v>246</v>
      </c>
      <c r="B52" s="97" t="s">
        <v>176</v>
      </c>
      <c r="C52" s="127"/>
      <c r="D52" s="128"/>
      <c r="E52" s="136">
        <f>'Бюджет затрат (ориентир.)'!B84</f>
        <v>0</v>
      </c>
      <c r="F52" s="136">
        <f>'Бюджет затрат (ориентир.)'!C84</f>
        <v>0</v>
      </c>
      <c r="G52" s="136">
        <f>'Бюджет затрат (ориентир.)'!D84</f>
        <v>0</v>
      </c>
      <c r="H52" s="136">
        <f>'Бюджет затрат (ориентир.)'!E84</f>
        <v>0</v>
      </c>
      <c r="I52" s="136">
        <f>'Бюджет затрат (ориентир.)'!F84</f>
        <v>0</v>
      </c>
      <c r="J52" s="136">
        <f>'Бюджет затрат (ориентир.)'!G84</f>
        <v>0</v>
      </c>
      <c r="K52" s="136">
        <f>'Бюджет затрат (ориентир.)'!H84</f>
        <v>0</v>
      </c>
      <c r="L52" s="136">
        <f>'Бюджет затрат (ориентир.)'!I84</f>
        <v>0</v>
      </c>
      <c r="M52" s="136">
        <f>'Бюджет затрат (ориентир.)'!J84</f>
        <v>0</v>
      </c>
      <c r="N52" s="136">
        <f>'Бюджет затрат (ориентир.)'!K84</f>
        <v>0</v>
      </c>
      <c r="O52" s="136">
        <f>'Бюджет затрат (ориентир.)'!L84</f>
        <v>0</v>
      </c>
      <c r="P52" s="137">
        <f>'Бюджет затрат (ориентир.)'!M84</f>
        <v>0</v>
      </c>
    </row>
    <row r="53" spans="1:16" x14ac:dyDescent="0.35">
      <c r="A53" s="120" t="s">
        <v>247</v>
      </c>
      <c r="B53" s="442" t="s">
        <v>434</v>
      </c>
      <c r="C53" s="127">
        <f t="shared" si="4"/>
        <v>221300.03999999998</v>
      </c>
      <c r="D53" s="128">
        <f t="shared" si="1"/>
        <v>1.2100833333333331E-2</v>
      </c>
      <c r="E53" s="129">
        <f>E3*SUM(E54:E57)</f>
        <v>23660.099999999995</v>
      </c>
      <c r="F53" s="129">
        <f>F3*SUM(F54:F57)*Операционный!E66</f>
        <v>0</v>
      </c>
      <c r="G53" s="129">
        <f>G3*SUM(G54:G57)*Операционный!F66</f>
        <v>23757.636000000002</v>
      </c>
      <c r="H53" s="129">
        <f>H3*SUM(H54:H57)*Операционный!G66</f>
        <v>20421.600000000002</v>
      </c>
      <c r="I53" s="129">
        <f>I3*SUM(I54:I57)*Операционный!H66</f>
        <v>17526</v>
      </c>
      <c r="J53" s="129">
        <f>J3*SUM(J54:J57)*Операционный!I66</f>
        <v>15462.504000000001</v>
      </c>
      <c r="K53" s="129">
        <f>K3*SUM(K54:K57)*Операционный!J66</f>
        <v>16308.323999999999</v>
      </c>
      <c r="L53" s="129">
        <f>L3*SUM(L54:L57)*Операционный!K66</f>
        <v>15980.664000000002</v>
      </c>
      <c r="M53" s="129">
        <f>M3*SUM(M54:M57)*Операционный!L66</f>
        <v>22152.864000000001</v>
      </c>
      <c r="N53" s="129">
        <f>N3*SUM(N54:N57)*Операционный!M66</f>
        <v>20269.2</v>
      </c>
      <c r="O53" s="129">
        <f>O3*SUM(O54:O57)*Операционный!N66</f>
        <v>22329.648000000001</v>
      </c>
      <c r="P53" s="130">
        <f>P3*SUM(P54:P57)</f>
        <v>23431.5</v>
      </c>
    </row>
    <row r="54" spans="1:16" outlineLevel="1" x14ac:dyDescent="0.35">
      <c r="A54" s="135" t="s">
        <v>194</v>
      </c>
      <c r="B54" s="99" t="s">
        <v>178</v>
      </c>
      <c r="C54" s="127"/>
      <c r="D54" s="128"/>
      <c r="E54" s="136">
        <f>'Бюджет затрат (ориентир.)'!B89</f>
        <v>6.9999999999999999E-4</v>
      </c>
      <c r="F54" s="136">
        <f>'Бюджет затрат (ориентир.)'!C89</f>
        <v>8.0000000000000004E-4</v>
      </c>
      <c r="G54" s="136">
        <f>'Бюджет затрат (ориентир.)'!D89</f>
        <v>5.0000000000000001E-4</v>
      </c>
      <c r="H54" s="136">
        <f>'Бюджет затрат (ориентир.)'!E89</f>
        <v>1E-3</v>
      </c>
      <c r="I54" s="136">
        <f>'Бюджет затрат (ориентир.)'!F89</f>
        <v>8.9999999999999998E-4</v>
      </c>
      <c r="J54" s="136">
        <f>'Бюджет затрат (ориентир.)'!G89</f>
        <v>6.9999999999999999E-4</v>
      </c>
      <c r="K54" s="136">
        <f>'Бюджет затрат (ориентир.)'!H89</f>
        <v>5.9999999999999995E-4</v>
      </c>
      <c r="L54" s="136">
        <f>'Бюджет затрат (ориентир.)'!I89</f>
        <v>4.0000000000000002E-4</v>
      </c>
      <c r="M54" s="136">
        <f>'Бюджет затрат (ориентир.)'!J89</f>
        <v>5.9999999999999995E-4</v>
      </c>
      <c r="N54" s="136">
        <f>'Бюджет затрат (ориентир.)'!K89</f>
        <v>5.0000000000000001E-4</v>
      </c>
      <c r="O54" s="136">
        <f>'Бюджет затрат (ориентир.)'!L89</f>
        <v>5.9999999999999995E-4</v>
      </c>
      <c r="P54" s="137">
        <f>'Бюджет затрат (ориентир.)'!M89</f>
        <v>4.0000000000000002E-4</v>
      </c>
    </row>
    <row r="55" spans="1:16" outlineLevel="1" x14ac:dyDescent="0.35">
      <c r="A55" s="135" t="s">
        <v>195</v>
      </c>
      <c r="B55" s="99" t="s">
        <v>179</v>
      </c>
      <c r="C55" s="127"/>
      <c r="D55" s="128"/>
      <c r="E55" s="136">
        <f>'Бюджет затрат (ориентир.)'!B90</f>
        <v>3.5000000000000001E-3</v>
      </c>
      <c r="F55" s="136">
        <f>'Бюджет затрат (ориентир.)'!C90</f>
        <v>3.7000000000000002E-3</v>
      </c>
      <c r="G55" s="136">
        <f>'Бюджет затрат (ориентир.)'!D90</f>
        <v>5.3E-3</v>
      </c>
      <c r="H55" s="136">
        <f>'Бюджет затрат (ориентир.)'!E90</f>
        <v>3.3E-3</v>
      </c>
      <c r="I55" s="136">
        <f>'Бюджет затрат (ориентир.)'!F90</f>
        <v>3.3E-3</v>
      </c>
      <c r="J55" s="136">
        <f>'Бюджет затрат (ориентир.)'!G90</f>
        <v>3.0000000000000001E-3</v>
      </c>
      <c r="K55" s="136">
        <f>'Бюджет затрат (ориентир.)'!H90</f>
        <v>2.3999999999999998E-3</v>
      </c>
      <c r="L55" s="136">
        <f>'Бюджет затрат (ориентир.)'!I90</f>
        <v>2.3E-3</v>
      </c>
      <c r="M55" s="136">
        <f>'Бюджет затрат (ориентир.)'!J90</f>
        <v>8.0999999999999996E-3</v>
      </c>
      <c r="N55" s="136">
        <f>'Бюджет затрат (ориентир.)'!K90</f>
        <v>4.5999999999999999E-3</v>
      </c>
      <c r="O55" s="136">
        <f>'Бюджет затрат (ориентир.)'!L90</f>
        <v>5.1000000000000004E-3</v>
      </c>
      <c r="P55" s="137">
        <f>'Бюджет затрат (ориентир.)'!M90</f>
        <v>4.1999999999999997E-3</v>
      </c>
    </row>
    <row r="56" spans="1:16" outlineLevel="1" x14ac:dyDescent="0.35">
      <c r="A56" s="135" t="s">
        <v>196</v>
      </c>
      <c r="B56" s="99" t="s">
        <v>180</v>
      </c>
      <c r="C56" s="127"/>
      <c r="D56" s="128"/>
      <c r="E56" s="136">
        <f>'Бюджет затрат (ориентир.)'!B91</f>
        <v>0</v>
      </c>
      <c r="F56" s="136">
        <f>'Бюджет затрат (ориентир.)'!C91</f>
        <v>0</v>
      </c>
      <c r="G56" s="136">
        <f>'Бюджет затрат (ориентир.)'!D91</f>
        <v>0</v>
      </c>
      <c r="H56" s="136">
        <f>'Бюджет затрат (ориентир.)'!E91</f>
        <v>0</v>
      </c>
      <c r="I56" s="136">
        <f>'Бюджет затрат (ориентир.)'!F91</f>
        <v>0</v>
      </c>
      <c r="J56" s="136">
        <f>'Бюджет затрат (ориентир.)'!G91</f>
        <v>0</v>
      </c>
      <c r="K56" s="136">
        <f>'Бюджет затрат (ориентир.)'!H91</f>
        <v>0</v>
      </c>
      <c r="L56" s="136">
        <f>'Бюджет затрат (ориентир.)'!I91</f>
        <v>0</v>
      </c>
      <c r="M56" s="136">
        <f>'Бюджет затрат (ориентир.)'!J91</f>
        <v>0</v>
      </c>
      <c r="N56" s="136">
        <f>'Бюджет затрат (ориентир.)'!K91</f>
        <v>0</v>
      </c>
      <c r="O56" s="136">
        <f>'Бюджет затрат (ориентир.)'!L91</f>
        <v>8.9999999999999998E-4</v>
      </c>
      <c r="P56" s="137">
        <f>'Бюджет затрат (ориентир.)'!M91</f>
        <v>0</v>
      </c>
    </row>
    <row r="57" spans="1:16" outlineLevel="1" x14ac:dyDescent="0.35">
      <c r="A57" s="135" t="s">
        <v>197</v>
      </c>
      <c r="B57" s="99" t="s">
        <v>181</v>
      </c>
      <c r="C57" s="127"/>
      <c r="D57" s="128"/>
      <c r="E57" s="136">
        <f>'Бюджет затрат (ориентир.)'!B92</f>
        <v>9.2999999999999992E-3</v>
      </c>
      <c r="F57" s="136">
        <f>'Бюджет затрат (ориентир.)'!C92</f>
        <v>8.6999999999999994E-3</v>
      </c>
      <c r="G57" s="136">
        <f>'Бюджет затрат (ориентир.)'!D92</f>
        <v>7.3000000000000001E-3</v>
      </c>
      <c r="H57" s="136">
        <f>'Бюджет затрат (ориентир.)'!E92</f>
        <v>9.1000000000000004E-3</v>
      </c>
      <c r="I57" s="136">
        <f>'Бюджет затрат (ориентир.)'!F92</f>
        <v>8.3000000000000001E-3</v>
      </c>
      <c r="J57" s="136">
        <f>'Бюджет затрат (ориентир.)'!G92</f>
        <v>7.7000000000000002E-3</v>
      </c>
      <c r="K57" s="136">
        <f>'Бюджет затрат (ориентир.)'!H92</f>
        <v>9.2999999999999992E-3</v>
      </c>
      <c r="L57" s="136">
        <f>'Бюджет затрат (ориентир.)'!I92</f>
        <v>8.0000000000000002E-3</v>
      </c>
      <c r="M57" s="136">
        <f>'Бюджет затрат (ориентир.)'!J92</f>
        <v>7.1000000000000004E-3</v>
      </c>
      <c r="N57" s="136">
        <f>'Бюджет затрат (ориентир.)'!K92</f>
        <v>8.8999999999999999E-3</v>
      </c>
      <c r="O57" s="136">
        <f>'Бюджет затрат (ориентир.)'!L92</f>
        <v>8.2000000000000007E-3</v>
      </c>
      <c r="P57" s="137">
        <f>'Бюджет затрат (ориентир.)'!M92</f>
        <v>7.7000000000000002E-3</v>
      </c>
    </row>
    <row r="58" spans="1:16" x14ac:dyDescent="0.35">
      <c r="A58" s="120" t="s">
        <v>248</v>
      </c>
      <c r="B58" s="442" t="s">
        <v>435</v>
      </c>
      <c r="C58" s="127">
        <f t="shared" si="4"/>
        <v>714518.25599999994</v>
      </c>
      <c r="D58" s="128">
        <f t="shared" si="1"/>
        <v>3.9070333333333332E-2</v>
      </c>
      <c r="E58" s="129">
        <f>E3*SUM(E59:E63)</f>
        <v>69928.740000000005</v>
      </c>
      <c r="F58" s="129">
        <f>F3*SUM(F59:F63)</f>
        <v>53576.22</v>
      </c>
      <c r="G58" s="129">
        <f>G3*SUM(G59:G63)</f>
        <v>69640.704000000012</v>
      </c>
      <c r="H58" s="129">
        <f>H3*SUM(H59:H63)</f>
        <v>60502.799999999996</v>
      </c>
      <c r="I58" s="129">
        <f>I3*SUM(I59:I63)</f>
        <v>55522.368000000002</v>
      </c>
      <c r="J58" s="129">
        <f>J3*SUM(J59:J63)</f>
        <v>54525.671999999999</v>
      </c>
      <c r="K58" s="129">
        <f>K3*SUM(K59:K63)</f>
        <v>52239.671999999999</v>
      </c>
      <c r="L58" s="129">
        <f>L3*SUM(L59:L63)</f>
        <v>59591.448000000004</v>
      </c>
      <c r="M58" s="129">
        <f>M3*SUM(M59:M63)</f>
        <v>54120.287999999993</v>
      </c>
      <c r="N58" s="129">
        <f>N3*SUM(N59:N63)</f>
        <v>55305.960000000006</v>
      </c>
      <c r="O58" s="129">
        <f>O3*SUM(O59:O63)</f>
        <v>57936.384000000005</v>
      </c>
      <c r="P58" s="130">
        <f>P3*SUM(P59:P63)</f>
        <v>71628</v>
      </c>
    </row>
    <row r="59" spans="1:16" outlineLevel="1" x14ac:dyDescent="0.35">
      <c r="A59" s="135" t="s">
        <v>198</v>
      </c>
      <c r="B59" s="138" t="s">
        <v>182</v>
      </c>
      <c r="C59" s="127"/>
      <c r="D59" s="128"/>
      <c r="E59" s="139">
        <f>'Бюджет затрат (ориентир.)'!B97</f>
        <v>3.2500000000000001E-2</v>
      </c>
      <c r="F59" s="139">
        <f>'Бюджет затрат (ориентир.)'!C97</f>
        <v>3.2399999999999998E-2</v>
      </c>
      <c r="G59" s="139">
        <f>'Бюджет затрат (ориентир.)'!D97</f>
        <v>3.2300000000000002E-2</v>
      </c>
      <c r="H59" s="139">
        <f>'Бюджет затрат (ориентир.)'!E97</f>
        <v>3.2800000000000003E-2</v>
      </c>
      <c r="I59" s="139">
        <f>'Бюджет затрат (ориентир.)'!F97</f>
        <v>3.2800000000000003E-2</v>
      </c>
      <c r="J59" s="139">
        <f>'Бюджет затрат (ориентир.)'!G97</f>
        <v>3.2399999999999998E-2</v>
      </c>
      <c r="K59" s="139">
        <f>'Бюджет затрат (ориентир.)'!H97</f>
        <v>3.2399999999999998E-2</v>
      </c>
      <c r="L59" s="139">
        <f>'Бюджет затрат (ориентир.)'!I97</f>
        <v>3.2300000000000002E-2</v>
      </c>
      <c r="M59" s="139">
        <f>'Бюджет затрат (ориентир.)'!J97</f>
        <v>3.2399999999999998E-2</v>
      </c>
      <c r="N59" s="139">
        <f>'Бюджет затрат (ориентир.)'!K97</f>
        <v>3.2300000000000002E-2</v>
      </c>
      <c r="O59" s="139">
        <f>'Бюджет затрат (ориентир.)'!L97</f>
        <v>3.2300000000000002E-2</v>
      </c>
      <c r="P59" s="140">
        <f>'Бюджет затрат (ориентир.)'!M97</f>
        <v>3.2000000000000001E-2</v>
      </c>
    </row>
    <row r="60" spans="1:16" outlineLevel="1" x14ac:dyDescent="0.35">
      <c r="A60" s="135" t="s">
        <v>199</v>
      </c>
      <c r="B60" s="138" t="s">
        <v>183</v>
      </c>
      <c r="C60" s="127"/>
      <c r="D60" s="128"/>
      <c r="E60" s="139">
        <f>'Бюджет затрат (ориентир.)'!B98</f>
        <v>0</v>
      </c>
      <c r="F60" s="139">
        <f>'Бюджет затрат (ориентир.)'!C98</f>
        <v>0</v>
      </c>
      <c r="G60" s="139">
        <f>'Бюджет затрат (ориентир.)'!D98</f>
        <v>0</v>
      </c>
      <c r="H60" s="139">
        <f>'Бюджет затрат (ориентир.)'!E98</f>
        <v>0</v>
      </c>
      <c r="I60" s="139">
        <f>'Бюджет затрат (ориентир.)'!F98</f>
        <v>0</v>
      </c>
      <c r="J60" s="139">
        <f>'Бюджет затрат (ориентир.)'!G98</f>
        <v>0</v>
      </c>
      <c r="K60" s="139">
        <f>'Бюджет затрат (ориентир.)'!H98</f>
        <v>0</v>
      </c>
      <c r="L60" s="139">
        <f>'Бюджет затрат (ориентир.)'!I98</f>
        <v>0</v>
      </c>
      <c r="M60" s="139">
        <f>'Бюджет затрат (ориентир.)'!J98</f>
        <v>0</v>
      </c>
      <c r="N60" s="139">
        <f>'Бюджет затрат (ориентир.)'!K98</f>
        <v>0</v>
      </c>
      <c r="O60" s="139">
        <f>'Бюджет затрат (ориентир.)'!L98</f>
        <v>0</v>
      </c>
      <c r="P60" s="140">
        <f>'Бюджет затрат (ориентир.)'!M98</f>
        <v>0</v>
      </c>
    </row>
    <row r="61" spans="1:16" outlineLevel="1" x14ac:dyDescent="0.35">
      <c r="A61" s="135" t="s">
        <v>200</v>
      </c>
      <c r="B61" s="138" t="s">
        <v>184</v>
      </c>
      <c r="C61" s="127"/>
      <c r="D61" s="128"/>
      <c r="E61" s="139">
        <f>'Бюджет затрат (ориентир.)'!B99</f>
        <v>0</v>
      </c>
      <c r="F61" s="139">
        <f>'Бюджет затрат (ориентир.)'!C99</f>
        <v>0</v>
      </c>
      <c r="G61" s="139">
        <f>'Бюджет затрат (ориентир.)'!D99</f>
        <v>0</v>
      </c>
      <c r="H61" s="139">
        <f>'Бюджет затрат (ориентир.)'!E99</f>
        <v>0</v>
      </c>
      <c r="I61" s="139">
        <f>'Бюджет затрат (ориентир.)'!F99</f>
        <v>0</v>
      </c>
      <c r="J61" s="139">
        <f>'Бюджет затрат (ориентир.)'!G99</f>
        <v>0</v>
      </c>
      <c r="K61" s="139">
        <f>'Бюджет затрат (ориентир.)'!H99</f>
        <v>0</v>
      </c>
      <c r="L61" s="139">
        <f>'Бюджет затрат (ориентир.)'!I99</f>
        <v>0</v>
      </c>
      <c r="M61" s="139">
        <f>'Бюджет затрат (ориентир.)'!J99</f>
        <v>0</v>
      </c>
      <c r="N61" s="139">
        <f>'Бюджет затрат (ориентир.)'!K99</f>
        <v>0</v>
      </c>
      <c r="O61" s="139">
        <f>'Бюджет затрат (ориентир.)'!L99</f>
        <v>0</v>
      </c>
      <c r="P61" s="140">
        <f>'Бюджет затрат (ориентир.)'!M99</f>
        <v>0</v>
      </c>
    </row>
    <row r="62" spans="1:16" outlineLevel="1" x14ac:dyDescent="0.35">
      <c r="A62" s="135" t="s">
        <v>201</v>
      </c>
      <c r="B62" s="138" t="s">
        <v>185</v>
      </c>
      <c r="C62" s="127"/>
      <c r="D62" s="128"/>
      <c r="E62" s="139">
        <f>'Бюджет затрат (ориентир.)'!B100</f>
        <v>0</v>
      </c>
      <c r="F62" s="139">
        <f>'Бюджет затрат (ориентир.)'!C100</f>
        <v>0</v>
      </c>
      <c r="G62" s="139">
        <f>'Бюджет затрат (ориентир.)'!D100</f>
        <v>0</v>
      </c>
      <c r="H62" s="139">
        <f>'Бюджет затрат (ориентир.)'!E100</f>
        <v>0</v>
      </c>
      <c r="I62" s="139">
        <f>'Бюджет затрат (ориентир.)'!F100</f>
        <v>0</v>
      </c>
      <c r="J62" s="139">
        <f>'Бюджет затрат (ориентир.)'!G100</f>
        <v>0</v>
      </c>
      <c r="K62" s="139">
        <f>'Бюджет затрат (ориентир.)'!H100</f>
        <v>0</v>
      </c>
      <c r="L62" s="139">
        <f>'Бюджет затрат (ориентир.)'!I100</f>
        <v>0</v>
      </c>
      <c r="M62" s="139">
        <f>'Бюджет затрат (ориентир.)'!J100</f>
        <v>0</v>
      </c>
      <c r="N62" s="139">
        <f>'Бюджет затрат (ориентир.)'!K100</f>
        <v>0</v>
      </c>
      <c r="O62" s="139">
        <f>'Бюджет затрат (ориентир.)'!L100</f>
        <v>0</v>
      </c>
      <c r="P62" s="140">
        <f>'Бюджет затрат (ориентир.)'!M100</f>
        <v>0</v>
      </c>
    </row>
    <row r="63" spans="1:16" outlineLevel="1" x14ac:dyDescent="0.35">
      <c r="A63" s="135" t="s">
        <v>249</v>
      </c>
      <c r="B63" s="138" t="s">
        <v>186</v>
      </c>
      <c r="C63" s="127"/>
      <c r="D63" s="128"/>
      <c r="E63" s="139">
        <f>'Бюджет затрат (ориентир.)'!B101</f>
        <v>7.4000000000000003E-3</v>
      </c>
      <c r="F63" s="139">
        <f>'Бюджет затрат (ориентир.)'!C101</f>
        <v>7.1000000000000004E-3</v>
      </c>
      <c r="G63" s="139">
        <f>'Бюджет затрат (ориентир.)'!D101</f>
        <v>6.1000000000000004E-3</v>
      </c>
      <c r="H63" s="139">
        <f>'Бюджет затрат (ориентир.)'!E101</f>
        <v>6.8999999999999999E-3</v>
      </c>
      <c r="I63" s="139">
        <f>'Бюджет затрат (ориентир.)'!F101</f>
        <v>6.7999999999999996E-3</v>
      </c>
      <c r="J63" s="139">
        <f>'Бюджет затрат (ориентир.)'!G101</f>
        <v>7.7999999999999996E-3</v>
      </c>
      <c r="K63" s="139">
        <f>'Бюджет затрат (ориентир.)'!H101</f>
        <v>7.0000000000000001E-3</v>
      </c>
      <c r="L63" s="139">
        <f>'Бюджет затрат (ориентир.)'!I101</f>
        <v>7.6E-3</v>
      </c>
      <c r="M63" s="139">
        <f>'Бюджет затрат (ориентир.)'!J101</f>
        <v>6.1999999999999998E-3</v>
      </c>
      <c r="N63" s="139">
        <f>'Бюджет затрат (ориентир.)'!K101</f>
        <v>5.8999999999999999E-3</v>
      </c>
      <c r="O63" s="139">
        <f>'Бюджет затрат (ориентир.)'!L101</f>
        <v>6.1000000000000004E-3</v>
      </c>
      <c r="P63" s="140">
        <f>'Бюджет затрат (ориентир.)'!M101</f>
        <v>5.5999999999999999E-3</v>
      </c>
    </row>
    <row r="64" spans="1:16" x14ac:dyDescent="0.35">
      <c r="A64" s="143" t="s">
        <v>251</v>
      </c>
      <c r="B64" s="443" t="s">
        <v>436</v>
      </c>
      <c r="C64" s="144">
        <f t="shared" si="4"/>
        <v>182880</v>
      </c>
      <c r="D64" s="145">
        <v>0.01</v>
      </c>
      <c r="E64" s="146">
        <f>E3*D64</f>
        <v>17525.999999999996</v>
      </c>
      <c r="F64" s="146">
        <f>F3*D64</f>
        <v>13563.6</v>
      </c>
      <c r="G64" s="146">
        <f>G3*D64</f>
        <v>18135.600000000002</v>
      </c>
      <c r="H64" s="146">
        <f>H3*D64</f>
        <v>15240</v>
      </c>
      <c r="I64" s="146">
        <f>I3*D64</f>
        <v>14020.800000000001</v>
      </c>
      <c r="J64" s="146">
        <f>J3*D64</f>
        <v>13563.6</v>
      </c>
      <c r="K64" s="146">
        <f>K3*D64</f>
        <v>13258.800000000001</v>
      </c>
      <c r="L64" s="146">
        <f>L3*D64</f>
        <v>14935.2</v>
      </c>
      <c r="M64" s="146">
        <f>M3*D64</f>
        <v>14020.800000000001</v>
      </c>
      <c r="N64" s="146">
        <f>N3*D64</f>
        <v>14478</v>
      </c>
      <c r="O64" s="146">
        <f>O3*D64</f>
        <v>15087.6</v>
      </c>
      <c r="P64" s="147">
        <f>P3*D64</f>
        <v>19050</v>
      </c>
    </row>
    <row r="65" spans="1:162" s="108" customFormat="1" x14ac:dyDescent="0.35">
      <c r="A65" s="406" t="s">
        <v>252</v>
      </c>
      <c r="B65" s="403" t="s">
        <v>437</v>
      </c>
      <c r="C65" s="148">
        <f>SUM(E65:P65)</f>
        <v>4784985.6761035174</v>
      </c>
      <c r="D65" s="149">
        <f>C65/C$3</f>
        <v>0.26164619838711273</v>
      </c>
      <c r="E65" s="150">
        <f>E5-E6</f>
        <v>485486.39547658706</v>
      </c>
      <c r="F65" s="150">
        <f>F5-F6</f>
        <v>339311.4236876776</v>
      </c>
      <c r="G65" s="150">
        <f>G5-G6</f>
        <v>508212.74129026558</v>
      </c>
      <c r="H65" s="150">
        <f>H5-H6</f>
        <v>390100.17867529328</v>
      </c>
      <c r="I65" s="150">
        <f>I5-I6</f>
        <v>348933.59104793635</v>
      </c>
      <c r="J65" s="150">
        <f>J5-J6</f>
        <v>330454.1676876776</v>
      </c>
      <c r="K65" s="150">
        <f>K5-K6</f>
        <v>321955.78944750503</v>
      </c>
      <c r="L65" s="150">
        <f>L5-L6</f>
        <v>400005.03243512061</v>
      </c>
      <c r="M65" s="150">
        <f>M5-M6</f>
        <v>346432.22571460309</v>
      </c>
      <c r="N65" s="150">
        <f>N5-N6</f>
        <v>372971.31307486189</v>
      </c>
      <c r="O65" s="150">
        <f>O5-O6</f>
        <v>394939.01088854019</v>
      </c>
      <c r="P65" s="151">
        <f>P5-P6</f>
        <v>546183.80667744996</v>
      </c>
      <c r="Q65" s="107"/>
    </row>
    <row r="66" spans="1:162" s="112" customFormat="1" ht="21" x14ac:dyDescent="0.35">
      <c r="A66" s="102" t="s">
        <v>202</v>
      </c>
      <c r="B66" s="446" t="s">
        <v>438</v>
      </c>
      <c r="C66" s="474">
        <f>P66</f>
        <v>4784985.6761035174</v>
      </c>
      <c r="D66" s="475"/>
      <c r="E66" s="152">
        <f>E65</f>
        <v>485486.39547658706</v>
      </c>
      <c r="F66" s="152">
        <f t="shared" ref="F66:P66" si="5">E66+F65</f>
        <v>824797.81916426471</v>
      </c>
      <c r="G66" s="152">
        <f t="shared" si="5"/>
        <v>1333010.5604545302</v>
      </c>
      <c r="H66" s="152">
        <f t="shared" si="5"/>
        <v>1723110.7391298234</v>
      </c>
      <c r="I66" s="152">
        <f t="shared" si="5"/>
        <v>2072044.3301777598</v>
      </c>
      <c r="J66" s="152">
        <f t="shared" si="5"/>
        <v>2402498.4978654375</v>
      </c>
      <c r="K66" s="152">
        <f t="shared" si="5"/>
        <v>2724454.2873129426</v>
      </c>
      <c r="L66" s="152">
        <f t="shared" si="5"/>
        <v>3124459.3197480631</v>
      </c>
      <c r="M66" s="152">
        <f t="shared" si="5"/>
        <v>3470891.5454626661</v>
      </c>
      <c r="N66" s="152">
        <f t="shared" si="5"/>
        <v>3843862.8585375277</v>
      </c>
      <c r="O66" s="152">
        <f t="shared" si="5"/>
        <v>4238801.8694260679</v>
      </c>
      <c r="P66" s="153">
        <f t="shared" si="5"/>
        <v>4784985.6761035174</v>
      </c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  <c r="AM66" s="108"/>
      <c r="AN66" s="108"/>
      <c r="AO66" s="108"/>
      <c r="AP66" s="108"/>
      <c r="AQ66" s="108"/>
      <c r="AR66" s="108"/>
      <c r="AS66" s="108"/>
      <c r="AT66" s="108"/>
      <c r="AU66" s="108"/>
      <c r="AV66" s="108"/>
      <c r="AW66" s="108"/>
      <c r="AX66" s="108"/>
      <c r="AY66" s="108"/>
      <c r="AZ66" s="108"/>
      <c r="BA66" s="108"/>
      <c r="BB66" s="108"/>
      <c r="BC66" s="108"/>
      <c r="BD66" s="108"/>
      <c r="BE66" s="108"/>
      <c r="BF66" s="108"/>
      <c r="BG66" s="108"/>
      <c r="BH66" s="108"/>
      <c r="BI66" s="108"/>
      <c r="BJ66" s="108"/>
      <c r="BK66" s="108"/>
      <c r="BL66" s="108"/>
      <c r="BM66" s="108"/>
      <c r="BN66" s="108"/>
      <c r="BO66" s="108"/>
      <c r="BP66" s="108"/>
      <c r="BQ66" s="108"/>
      <c r="BR66" s="108"/>
      <c r="BS66" s="108"/>
      <c r="BT66" s="108"/>
      <c r="BU66" s="108"/>
      <c r="BV66" s="108"/>
      <c r="BW66" s="108"/>
      <c r="BX66" s="108"/>
      <c r="BY66" s="108"/>
      <c r="BZ66" s="108"/>
      <c r="CA66" s="108"/>
      <c r="CB66" s="108"/>
      <c r="CC66" s="108"/>
      <c r="CD66" s="108"/>
      <c r="CE66" s="108"/>
      <c r="CF66" s="108"/>
      <c r="CG66" s="108"/>
      <c r="CH66" s="108"/>
      <c r="CI66" s="108"/>
      <c r="CJ66" s="108"/>
      <c r="CK66" s="108"/>
      <c r="CL66" s="108"/>
      <c r="CM66" s="108"/>
      <c r="CN66" s="108"/>
      <c r="CO66" s="108"/>
      <c r="CP66" s="108"/>
      <c r="CQ66" s="108"/>
      <c r="CR66" s="108"/>
      <c r="CS66" s="108"/>
      <c r="CT66" s="108"/>
      <c r="CU66" s="108"/>
      <c r="CV66" s="108"/>
      <c r="CW66" s="108"/>
      <c r="CX66" s="108"/>
      <c r="CY66" s="108"/>
      <c r="CZ66" s="108"/>
      <c r="DA66" s="108"/>
      <c r="DB66" s="108"/>
      <c r="DC66" s="108"/>
      <c r="DD66" s="108"/>
      <c r="DE66" s="108"/>
      <c r="DF66" s="108"/>
      <c r="DG66" s="108"/>
      <c r="DH66" s="108"/>
      <c r="DI66" s="108"/>
      <c r="DJ66" s="108"/>
      <c r="DK66" s="108"/>
      <c r="DL66" s="108"/>
      <c r="DM66" s="108"/>
      <c r="DN66" s="108"/>
      <c r="DO66" s="108"/>
      <c r="DP66" s="108"/>
      <c r="DQ66" s="108"/>
      <c r="DR66" s="108"/>
      <c r="DS66" s="108"/>
      <c r="DT66" s="108"/>
      <c r="DU66" s="108"/>
      <c r="DV66" s="108"/>
      <c r="DW66" s="108"/>
      <c r="DX66" s="108"/>
      <c r="DY66" s="108"/>
      <c r="DZ66" s="108"/>
      <c r="EA66" s="108"/>
      <c r="EB66" s="108"/>
      <c r="EC66" s="108"/>
      <c r="ED66" s="108"/>
      <c r="EE66" s="108"/>
      <c r="EF66" s="108"/>
      <c r="EG66" s="108"/>
      <c r="EH66" s="108"/>
      <c r="EI66" s="108"/>
      <c r="EJ66" s="108"/>
      <c r="EK66" s="108"/>
      <c r="EL66" s="108"/>
      <c r="EM66" s="108"/>
      <c r="EN66" s="108"/>
      <c r="EO66" s="108"/>
      <c r="EP66" s="108"/>
      <c r="EQ66" s="108"/>
      <c r="ER66" s="108"/>
      <c r="ES66" s="108"/>
      <c r="ET66" s="108"/>
      <c r="EU66" s="108"/>
      <c r="EV66" s="108"/>
      <c r="EW66" s="108"/>
      <c r="EX66" s="108"/>
      <c r="EY66" s="108"/>
      <c r="EZ66" s="108"/>
      <c r="FA66" s="108"/>
      <c r="FB66" s="108"/>
      <c r="FC66" s="108"/>
      <c r="FD66" s="108"/>
      <c r="FE66" s="108"/>
      <c r="FF66" s="108"/>
    </row>
    <row r="67" spans="1:162" s="112" customFormat="1" ht="11" thickBot="1" x14ac:dyDescent="0.4">
      <c r="A67" s="154" t="s">
        <v>203</v>
      </c>
      <c r="B67" s="405" t="s">
        <v>439</v>
      </c>
      <c r="C67" s="476">
        <f>C65/C3</f>
        <v>0.26164619838711273</v>
      </c>
      <c r="D67" s="477"/>
      <c r="E67" s="155">
        <f>IF(E3=0,0,E65/E3)</f>
        <v>0.27700924082881839</v>
      </c>
      <c r="F67" s="155">
        <f>IF(F3=0,0,F65/F3)</f>
        <v>0.25016324846477161</v>
      </c>
      <c r="G67" s="155">
        <f>IF(G3=0,0,G65/G3)</f>
        <v>0.28022935071917421</v>
      </c>
      <c r="H67" s="155">
        <f>IF(H3=0,0,H65/H3)</f>
        <v>0.25597124584992997</v>
      </c>
      <c r="I67" s="155">
        <f>IF(I3=0,0,I65/I3)</f>
        <v>0.24886853178701382</v>
      </c>
      <c r="J67" s="155">
        <f>IF(J3=0,0,J65/J3)</f>
        <v>0.2436330824321549</v>
      </c>
      <c r="K67" s="155">
        <f>IF(K3=0,0,K65/K3)</f>
        <v>0.24282422952869417</v>
      </c>
      <c r="L67" s="155">
        <f>IF(L3=0,0,L65/L3)</f>
        <v>0.26782703441207389</v>
      </c>
      <c r="M67" s="155">
        <f>IF(M3=0,0,M65/M3)</f>
        <v>0.2470844928353611</v>
      </c>
      <c r="N67" s="155">
        <f>IF(N3=0,0,N65/N3)</f>
        <v>0.25761245550135509</v>
      </c>
      <c r="O67" s="155">
        <f>IF(O3=0,0,O65/O3)</f>
        <v>0.26176397232730203</v>
      </c>
      <c r="P67" s="156">
        <f>IF(P3=0,0,P65/P3)</f>
        <v>0.28671065967320208</v>
      </c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O67" s="108"/>
      <c r="AP67" s="108"/>
      <c r="AQ67" s="108"/>
      <c r="AR67" s="108"/>
      <c r="AS67" s="108"/>
      <c r="AT67" s="108"/>
      <c r="AU67" s="108"/>
      <c r="AV67" s="108"/>
      <c r="AW67" s="108"/>
      <c r="AX67" s="108"/>
      <c r="AY67" s="108"/>
      <c r="AZ67" s="108"/>
      <c r="BA67" s="108"/>
      <c r="BB67" s="108"/>
      <c r="BC67" s="108"/>
      <c r="BD67" s="108"/>
      <c r="BE67" s="108"/>
      <c r="BF67" s="108"/>
      <c r="BG67" s="108"/>
      <c r="BH67" s="108"/>
      <c r="BI67" s="108"/>
      <c r="BJ67" s="108"/>
      <c r="BK67" s="108"/>
      <c r="BL67" s="108"/>
      <c r="BM67" s="108"/>
      <c r="BN67" s="108"/>
      <c r="BO67" s="108"/>
      <c r="BP67" s="108"/>
      <c r="BQ67" s="108"/>
      <c r="BR67" s="108"/>
      <c r="BS67" s="108"/>
      <c r="BT67" s="108"/>
      <c r="BU67" s="108"/>
      <c r="BV67" s="108"/>
      <c r="BW67" s="108"/>
      <c r="BX67" s="108"/>
      <c r="BY67" s="108"/>
      <c r="BZ67" s="108"/>
      <c r="CA67" s="108"/>
      <c r="CB67" s="108"/>
      <c r="CC67" s="108"/>
      <c r="CD67" s="108"/>
      <c r="CE67" s="108"/>
      <c r="CF67" s="108"/>
      <c r="CG67" s="108"/>
      <c r="CH67" s="108"/>
      <c r="CI67" s="108"/>
      <c r="CJ67" s="108"/>
      <c r="CK67" s="108"/>
      <c r="CL67" s="108"/>
      <c r="CM67" s="108"/>
      <c r="CN67" s="108"/>
      <c r="CO67" s="108"/>
      <c r="CP67" s="108"/>
      <c r="CQ67" s="108"/>
      <c r="CR67" s="108"/>
      <c r="CS67" s="108"/>
      <c r="CT67" s="108"/>
      <c r="CU67" s="108"/>
      <c r="CV67" s="108"/>
      <c r="CW67" s="108"/>
      <c r="CX67" s="108"/>
      <c r="CY67" s="108"/>
      <c r="CZ67" s="108"/>
      <c r="DA67" s="108"/>
      <c r="DB67" s="108"/>
      <c r="DC67" s="108"/>
      <c r="DD67" s="108"/>
      <c r="DE67" s="108"/>
      <c r="DF67" s="108"/>
      <c r="DG67" s="108"/>
      <c r="DH67" s="108"/>
      <c r="DI67" s="108"/>
      <c r="DJ67" s="108"/>
      <c r="DK67" s="108"/>
      <c r="DL67" s="108"/>
      <c r="DM67" s="108"/>
      <c r="DN67" s="108"/>
      <c r="DO67" s="108"/>
      <c r="DP67" s="108"/>
      <c r="DQ67" s="108"/>
      <c r="DR67" s="108"/>
      <c r="DS67" s="108"/>
      <c r="DT67" s="108"/>
      <c r="DU67" s="108"/>
      <c r="DV67" s="108"/>
      <c r="DW67" s="108"/>
      <c r="DX67" s="108"/>
      <c r="DY67" s="108"/>
      <c r="DZ67" s="108"/>
      <c r="EA67" s="108"/>
      <c r="EB67" s="108"/>
      <c r="EC67" s="108"/>
      <c r="ED67" s="108"/>
      <c r="EE67" s="108"/>
      <c r="EF67" s="108"/>
      <c r="EG67" s="108"/>
      <c r="EH67" s="108"/>
      <c r="EI67" s="108"/>
      <c r="EJ67" s="108"/>
      <c r="EK67" s="108"/>
      <c r="EL67" s="108"/>
      <c r="EM67" s="108"/>
      <c r="EN67" s="108"/>
      <c r="EO67" s="108"/>
      <c r="EP67" s="108"/>
      <c r="EQ67" s="108"/>
      <c r="ER67" s="108"/>
      <c r="ES67" s="108"/>
      <c r="ET67" s="108"/>
      <c r="EU67" s="108"/>
      <c r="EV67" s="108"/>
      <c r="EW67" s="108"/>
      <c r="EX67" s="108"/>
      <c r="EY67" s="108"/>
      <c r="EZ67" s="108"/>
      <c r="FA67" s="108"/>
      <c r="FB67" s="108"/>
      <c r="FC67" s="108"/>
      <c r="FD67" s="108"/>
      <c r="FE67" s="108"/>
      <c r="FF67" s="108"/>
    </row>
    <row r="68" spans="1:162" s="112" customFormat="1" ht="15" thickBot="1" x14ac:dyDescent="0.4">
      <c r="A68" s="154" t="s">
        <v>204</v>
      </c>
      <c r="B68" s="392" t="s">
        <v>440</v>
      </c>
      <c r="C68" s="484">
        <f>P68</f>
        <v>8134811.1124417856</v>
      </c>
      <c r="D68" s="485"/>
      <c r="E68" s="402">
        <f>'Год 1'!P69+'Год 2'!E65</f>
        <v>3835311.8318148535</v>
      </c>
      <c r="F68" s="423">
        <f t="shared" ref="F68:P68" si="6">E68+F65</f>
        <v>4174623.2555025313</v>
      </c>
      <c r="G68" s="423">
        <f t="shared" si="6"/>
        <v>4682835.996792797</v>
      </c>
      <c r="H68" s="423">
        <f t="shared" si="6"/>
        <v>5072936.17546809</v>
      </c>
      <c r="I68" s="423">
        <f t="shared" si="6"/>
        <v>5421869.7665160261</v>
      </c>
      <c r="J68" s="423">
        <f t="shared" si="6"/>
        <v>5752323.9342037039</v>
      </c>
      <c r="K68" s="423">
        <f t="shared" si="6"/>
        <v>6074279.7236512089</v>
      </c>
      <c r="L68" s="423">
        <f t="shared" si="6"/>
        <v>6474284.7560863299</v>
      </c>
      <c r="M68" s="423">
        <f t="shared" si="6"/>
        <v>6820716.9818009334</v>
      </c>
      <c r="N68" s="423">
        <f t="shared" si="6"/>
        <v>7193688.294875795</v>
      </c>
      <c r="O68" s="423">
        <f t="shared" si="6"/>
        <v>7588627.3057643352</v>
      </c>
      <c r="P68" s="424">
        <f t="shared" si="6"/>
        <v>8134811.1124417856</v>
      </c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108"/>
      <c r="AQ68" s="108"/>
      <c r="AR68" s="108"/>
      <c r="AS68" s="108"/>
      <c r="AT68" s="108"/>
      <c r="AU68" s="108"/>
      <c r="AV68" s="108"/>
      <c r="AW68" s="108"/>
      <c r="AX68" s="108"/>
      <c r="AY68" s="108"/>
      <c r="AZ68" s="108"/>
      <c r="BA68" s="108"/>
      <c r="BB68" s="108"/>
      <c r="BC68" s="108"/>
      <c r="BD68" s="108"/>
      <c r="BE68" s="108"/>
      <c r="BF68" s="108"/>
      <c r="BG68" s="108"/>
      <c r="BH68" s="108"/>
      <c r="BI68" s="108"/>
      <c r="BJ68" s="108"/>
      <c r="BK68" s="108"/>
      <c r="BL68" s="108"/>
      <c r="BM68" s="108"/>
      <c r="BN68" s="108"/>
      <c r="BO68" s="108"/>
      <c r="BP68" s="108"/>
      <c r="BQ68" s="108"/>
      <c r="BR68" s="108"/>
      <c r="BS68" s="108"/>
      <c r="BT68" s="108"/>
      <c r="BU68" s="108"/>
      <c r="BV68" s="108"/>
      <c r="BW68" s="108"/>
      <c r="BX68" s="108"/>
      <c r="BY68" s="108"/>
      <c r="BZ68" s="108"/>
      <c r="CA68" s="108"/>
      <c r="CB68" s="108"/>
      <c r="CC68" s="108"/>
      <c r="CD68" s="108"/>
      <c r="CE68" s="108"/>
      <c r="CF68" s="108"/>
      <c r="CG68" s="108"/>
      <c r="CH68" s="108"/>
      <c r="CI68" s="108"/>
      <c r="CJ68" s="108"/>
      <c r="CK68" s="108"/>
      <c r="CL68" s="108"/>
      <c r="CM68" s="108"/>
      <c r="CN68" s="108"/>
      <c r="CO68" s="108"/>
      <c r="CP68" s="108"/>
      <c r="CQ68" s="108"/>
      <c r="CR68" s="108"/>
      <c r="CS68" s="108"/>
      <c r="CT68" s="108"/>
      <c r="CU68" s="108"/>
      <c r="CV68" s="108"/>
      <c r="CW68" s="108"/>
      <c r="CX68" s="108"/>
      <c r="CY68" s="108"/>
      <c r="CZ68" s="108"/>
      <c r="DA68" s="108"/>
      <c r="DB68" s="108"/>
      <c r="DC68" s="108"/>
      <c r="DD68" s="108"/>
      <c r="DE68" s="108"/>
      <c r="DF68" s="108"/>
      <c r="DG68" s="108"/>
      <c r="DH68" s="108"/>
      <c r="DI68" s="108"/>
      <c r="DJ68" s="108"/>
      <c r="DK68" s="108"/>
      <c r="DL68" s="108"/>
      <c r="DM68" s="108"/>
      <c r="DN68" s="108"/>
      <c r="DO68" s="108"/>
      <c r="DP68" s="108"/>
      <c r="DQ68" s="108"/>
      <c r="DR68" s="108"/>
      <c r="DS68" s="108"/>
      <c r="DT68" s="108"/>
      <c r="DU68" s="108"/>
      <c r="DV68" s="108"/>
      <c r="DW68" s="108"/>
      <c r="DX68" s="108"/>
      <c r="DY68" s="108"/>
      <c r="DZ68" s="108"/>
      <c r="EA68" s="108"/>
      <c r="EB68" s="108"/>
      <c r="EC68" s="108"/>
      <c r="ED68" s="108"/>
      <c r="EE68" s="108"/>
      <c r="EF68" s="108"/>
      <c r="EG68" s="108"/>
      <c r="EH68" s="108"/>
      <c r="EI68" s="108"/>
      <c r="EJ68" s="108"/>
      <c r="EK68" s="108"/>
      <c r="EL68" s="108"/>
      <c r="EM68" s="108"/>
      <c r="EN68" s="108"/>
      <c r="EO68" s="108"/>
      <c r="EP68" s="108"/>
      <c r="EQ68" s="108"/>
      <c r="ER68" s="108"/>
      <c r="ES68" s="108"/>
      <c r="ET68" s="108"/>
      <c r="EU68" s="108"/>
      <c r="EV68" s="108"/>
      <c r="EW68" s="108"/>
      <c r="EX68" s="108"/>
      <c r="EY68" s="108"/>
      <c r="EZ68" s="108"/>
      <c r="FA68" s="108"/>
      <c r="FB68" s="108"/>
      <c r="FC68" s="108"/>
      <c r="FD68" s="108"/>
      <c r="FE68" s="108"/>
      <c r="FF68" s="108"/>
    </row>
    <row r="69" spans="1:162" x14ac:dyDescent="0.35">
      <c r="A69" s="397"/>
    </row>
    <row r="70" spans="1:162" ht="15" thickBot="1" x14ac:dyDescent="0.4">
      <c r="A70" s="157" t="s">
        <v>209</v>
      </c>
    </row>
    <row r="71" spans="1:162" ht="15" thickBot="1" x14ac:dyDescent="0.4">
      <c r="A71" s="92" t="s">
        <v>61</v>
      </c>
      <c r="B71" s="85" t="s">
        <v>128</v>
      </c>
      <c r="C71" s="478" t="s">
        <v>129</v>
      </c>
      <c r="D71" s="479"/>
      <c r="E71" s="86" t="s">
        <v>130</v>
      </c>
      <c r="F71" s="86" t="s">
        <v>131</v>
      </c>
      <c r="G71" s="86" t="s">
        <v>132</v>
      </c>
      <c r="H71" s="86" t="s">
        <v>133</v>
      </c>
      <c r="I71" s="86" t="s">
        <v>134</v>
      </c>
      <c r="J71" s="86" t="s">
        <v>135</v>
      </c>
      <c r="K71" s="86" t="s">
        <v>136</v>
      </c>
      <c r="L71" s="86" t="s">
        <v>137</v>
      </c>
      <c r="M71" s="86" t="s">
        <v>138</v>
      </c>
      <c r="N71" s="86" t="s">
        <v>139</v>
      </c>
      <c r="O71" s="86" t="s">
        <v>140</v>
      </c>
      <c r="P71" s="87" t="s">
        <v>141</v>
      </c>
    </row>
    <row r="72" spans="1:162" x14ac:dyDescent="0.35">
      <c r="A72" s="159" t="s">
        <v>205</v>
      </c>
      <c r="B72" s="160" t="s">
        <v>441</v>
      </c>
      <c r="C72" s="480">
        <f>SUM(E72:P72)</f>
        <v>18288000</v>
      </c>
      <c r="D72" s="481"/>
      <c r="E72" s="161">
        <f>E3</f>
        <v>1752599.9999999998</v>
      </c>
      <c r="F72" s="161">
        <f>F3</f>
        <v>1356360</v>
      </c>
      <c r="G72" s="161">
        <f>G3</f>
        <v>1813560</v>
      </c>
      <c r="H72" s="161">
        <f>H3</f>
        <v>1524000</v>
      </c>
      <c r="I72" s="161">
        <f>I3</f>
        <v>1402080</v>
      </c>
      <c r="J72" s="161">
        <f>J3</f>
        <v>1356360</v>
      </c>
      <c r="K72" s="161">
        <f>K3</f>
        <v>1325880</v>
      </c>
      <c r="L72" s="161">
        <f>L3</f>
        <v>1493520</v>
      </c>
      <c r="M72" s="161">
        <f>M3</f>
        <v>1402080</v>
      </c>
      <c r="N72" s="161">
        <f>N3</f>
        <v>1447800</v>
      </c>
      <c r="O72" s="161">
        <f>O3</f>
        <v>1508760</v>
      </c>
      <c r="P72" s="162">
        <f>P3</f>
        <v>1905000</v>
      </c>
    </row>
    <row r="73" spans="1:162" x14ac:dyDescent="0.35">
      <c r="A73" s="126" t="s">
        <v>206</v>
      </c>
      <c r="B73" s="163" t="s">
        <v>493</v>
      </c>
      <c r="C73" s="465">
        <f t="shared" ref="C73:C75" si="7">SUM(E73:P73)</f>
        <v>7917136.2558964817</v>
      </c>
      <c r="D73" s="466"/>
      <c r="E73" s="164">
        <f>E4</f>
        <v>758725.55785674613</v>
      </c>
      <c r="F73" s="164">
        <f>F4</f>
        <v>587187.60564565577</v>
      </c>
      <c r="G73" s="164">
        <f>G4</f>
        <v>785116.01204306784</v>
      </c>
      <c r="H73" s="164">
        <f>H4</f>
        <v>659761.3546580401</v>
      </c>
      <c r="I73" s="164">
        <f>I4</f>
        <v>606980.44628539693</v>
      </c>
      <c r="J73" s="164">
        <f>J4</f>
        <v>587187.60564565577</v>
      </c>
      <c r="K73" s="164">
        <f>K4</f>
        <v>573992.37855249492</v>
      </c>
      <c r="L73" s="164">
        <f>L4</f>
        <v>646566.12756487937</v>
      </c>
      <c r="M73" s="164">
        <f>M4</f>
        <v>606980.44628539693</v>
      </c>
      <c r="N73" s="164">
        <f>N4</f>
        <v>626773.28692513809</v>
      </c>
      <c r="O73" s="164">
        <f>O4</f>
        <v>653163.74111145979</v>
      </c>
      <c r="P73" s="165">
        <f>P4</f>
        <v>824701.69332255016</v>
      </c>
    </row>
    <row r="74" spans="1:162" x14ac:dyDescent="0.35">
      <c r="A74" s="166" t="s">
        <v>207</v>
      </c>
      <c r="B74" s="160" t="s">
        <v>442</v>
      </c>
      <c r="C74" s="469">
        <f t="shared" si="7"/>
        <v>5585878.067999999</v>
      </c>
      <c r="D74" s="470"/>
      <c r="E74" s="161">
        <f>E6</f>
        <v>508388.04666666657</v>
      </c>
      <c r="F74" s="161">
        <f>F6</f>
        <v>429860.97066666663</v>
      </c>
      <c r="G74" s="161">
        <f>G6</f>
        <v>520231.24666666659</v>
      </c>
      <c r="H74" s="161">
        <f>H6</f>
        <v>474138.46666666662</v>
      </c>
      <c r="I74" s="161">
        <f>I6</f>
        <v>446165.96266666672</v>
      </c>
      <c r="J74" s="161">
        <f>J6</f>
        <v>438718.22666666663</v>
      </c>
      <c r="K74" s="161">
        <f>K6</f>
        <v>429931.83200000005</v>
      </c>
      <c r="L74" s="161">
        <f>L6</f>
        <v>446948.84</v>
      </c>
      <c r="M74" s="161">
        <f>M6</f>
        <v>448667.32799999998</v>
      </c>
      <c r="N74" s="161">
        <f>N6</f>
        <v>448055.4</v>
      </c>
      <c r="O74" s="161">
        <f>O6</f>
        <v>460657.24800000002</v>
      </c>
      <c r="P74" s="162">
        <f>P6</f>
        <v>534114.5</v>
      </c>
    </row>
    <row r="75" spans="1:162" x14ac:dyDescent="0.35">
      <c r="A75" s="126" t="s">
        <v>208</v>
      </c>
      <c r="B75" s="167" t="s">
        <v>443</v>
      </c>
      <c r="C75" s="465">
        <f t="shared" si="7"/>
        <v>4784985.6761035174</v>
      </c>
      <c r="D75" s="466"/>
      <c r="E75" s="164">
        <f>E72-E73-E74</f>
        <v>485486.39547658706</v>
      </c>
      <c r="F75" s="164">
        <f t="shared" ref="F75:P75" si="8">F72-F73-F74</f>
        <v>339311.4236876776</v>
      </c>
      <c r="G75" s="164">
        <f t="shared" si="8"/>
        <v>508212.74129026558</v>
      </c>
      <c r="H75" s="164">
        <f t="shared" si="8"/>
        <v>390100.17867529328</v>
      </c>
      <c r="I75" s="164">
        <f t="shared" si="8"/>
        <v>348933.59104793635</v>
      </c>
      <c r="J75" s="164">
        <f t="shared" si="8"/>
        <v>330454.1676876776</v>
      </c>
      <c r="K75" s="164">
        <f t="shared" si="8"/>
        <v>321955.78944750503</v>
      </c>
      <c r="L75" s="164">
        <f t="shared" si="8"/>
        <v>400005.03243512061</v>
      </c>
      <c r="M75" s="164">
        <f t="shared" si="8"/>
        <v>346432.22571460309</v>
      </c>
      <c r="N75" s="164">
        <f t="shared" si="8"/>
        <v>372971.31307486189</v>
      </c>
      <c r="O75" s="164">
        <f t="shared" si="8"/>
        <v>394939.01088854019</v>
      </c>
      <c r="P75" s="165">
        <f t="shared" si="8"/>
        <v>546183.80667744996</v>
      </c>
    </row>
    <row r="76" spans="1:162" ht="15" thickBot="1" x14ac:dyDescent="0.4">
      <c r="A76" s="168" t="s">
        <v>397</v>
      </c>
      <c r="B76" s="169" t="s">
        <v>444</v>
      </c>
      <c r="C76" s="467">
        <f>P76</f>
        <v>4784985.6761035174</v>
      </c>
      <c r="D76" s="468"/>
      <c r="E76" s="170">
        <f>E75</f>
        <v>485486.39547658706</v>
      </c>
      <c r="F76" s="170">
        <f>E76+F75</f>
        <v>824797.81916426471</v>
      </c>
      <c r="G76" s="170">
        <f t="shared" ref="G76:P76" si="9">F76+G75</f>
        <v>1333010.5604545302</v>
      </c>
      <c r="H76" s="170">
        <f t="shared" si="9"/>
        <v>1723110.7391298234</v>
      </c>
      <c r="I76" s="170">
        <f t="shared" si="9"/>
        <v>2072044.3301777598</v>
      </c>
      <c r="J76" s="170">
        <f t="shared" si="9"/>
        <v>2402498.4978654375</v>
      </c>
      <c r="K76" s="170">
        <f t="shared" si="9"/>
        <v>2724454.2873129426</v>
      </c>
      <c r="L76" s="170">
        <f t="shared" si="9"/>
        <v>3124459.3197480631</v>
      </c>
      <c r="M76" s="170">
        <f t="shared" si="9"/>
        <v>3470891.5454626661</v>
      </c>
      <c r="N76" s="170">
        <f t="shared" si="9"/>
        <v>3843862.8585375277</v>
      </c>
      <c r="O76" s="170">
        <f t="shared" si="9"/>
        <v>4238801.8694260679</v>
      </c>
      <c r="P76" s="171">
        <f t="shared" si="9"/>
        <v>4784985.6761035174</v>
      </c>
    </row>
  </sheetData>
  <mergeCells count="10">
    <mergeCell ref="C74:D74"/>
    <mergeCell ref="C75:D75"/>
    <mergeCell ref="C76:D76"/>
    <mergeCell ref="A1:P1"/>
    <mergeCell ref="C66:D66"/>
    <mergeCell ref="C67:D67"/>
    <mergeCell ref="C71:D71"/>
    <mergeCell ref="C72:D72"/>
    <mergeCell ref="C73:D73"/>
    <mergeCell ref="C68:D6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ignoredErrors>
    <ignoredError sqref="A10:A26 A69:A71 A68 A72:A76 A27:A39 A64:A67 A43:A58" numberStoredAsText="1"/>
    <ignoredError sqref="C67 D4" formula="1"/>
    <ignoredError sqref="E58:P58" formulaRange="1"/>
    <ignoredError sqref="A40:A42" twoDigitTextYear="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F77"/>
  <sheetViews>
    <sheetView workbookViewId="0">
      <selection activeCell="A10" sqref="A10:XFD11"/>
    </sheetView>
  </sheetViews>
  <sheetFormatPr defaultColWidth="9.1796875" defaultRowHeight="14.5" outlineLevelRow="1" x14ac:dyDescent="0.35"/>
  <cols>
    <col min="1" max="1" width="4.453125" style="172" customWidth="1"/>
    <col min="2" max="2" width="39.453125" style="88" customWidth="1"/>
    <col min="3" max="3" width="9.7265625" style="158" customWidth="1"/>
    <col min="4" max="4" width="7.7265625" style="158" customWidth="1"/>
    <col min="5" max="16" width="8.7265625" style="88" customWidth="1"/>
    <col min="17" max="17" width="8.7265625" style="421" customWidth="1"/>
    <col min="18" max="256" width="9.1796875" style="88"/>
    <col min="257" max="257" width="3.7265625" style="88" customWidth="1"/>
    <col min="258" max="258" width="45.7265625" style="88" customWidth="1"/>
    <col min="259" max="259" width="9.7265625" style="88" customWidth="1"/>
    <col min="260" max="260" width="7.7265625" style="88" customWidth="1"/>
    <col min="261" max="273" width="8.7265625" style="88" customWidth="1"/>
    <col min="274" max="512" width="9.1796875" style="88"/>
    <col min="513" max="513" width="3.7265625" style="88" customWidth="1"/>
    <col min="514" max="514" width="45.7265625" style="88" customWidth="1"/>
    <col min="515" max="515" width="9.7265625" style="88" customWidth="1"/>
    <col min="516" max="516" width="7.7265625" style="88" customWidth="1"/>
    <col min="517" max="529" width="8.7265625" style="88" customWidth="1"/>
    <col min="530" max="768" width="9.1796875" style="88"/>
    <col min="769" max="769" width="3.7265625" style="88" customWidth="1"/>
    <col min="770" max="770" width="45.7265625" style="88" customWidth="1"/>
    <col min="771" max="771" width="9.7265625" style="88" customWidth="1"/>
    <col min="772" max="772" width="7.7265625" style="88" customWidth="1"/>
    <col min="773" max="785" width="8.7265625" style="88" customWidth="1"/>
    <col min="786" max="1024" width="9.1796875" style="88"/>
    <col min="1025" max="1025" width="3.7265625" style="88" customWidth="1"/>
    <col min="1026" max="1026" width="45.7265625" style="88" customWidth="1"/>
    <col min="1027" max="1027" width="9.7265625" style="88" customWidth="1"/>
    <col min="1028" max="1028" width="7.7265625" style="88" customWidth="1"/>
    <col min="1029" max="1041" width="8.7265625" style="88" customWidth="1"/>
    <col min="1042" max="1280" width="9.1796875" style="88"/>
    <col min="1281" max="1281" width="3.7265625" style="88" customWidth="1"/>
    <col min="1282" max="1282" width="45.7265625" style="88" customWidth="1"/>
    <col min="1283" max="1283" width="9.7265625" style="88" customWidth="1"/>
    <col min="1284" max="1284" width="7.7265625" style="88" customWidth="1"/>
    <col min="1285" max="1297" width="8.7265625" style="88" customWidth="1"/>
    <col min="1298" max="1536" width="9.1796875" style="88"/>
    <col min="1537" max="1537" width="3.7265625" style="88" customWidth="1"/>
    <col min="1538" max="1538" width="45.7265625" style="88" customWidth="1"/>
    <col min="1539" max="1539" width="9.7265625" style="88" customWidth="1"/>
    <col min="1540" max="1540" width="7.7265625" style="88" customWidth="1"/>
    <col min="1541" max="1553" width="8.7265625" style="88" customWidth="1"/>
    <col min="1554" max="1792" width="9.1796875" style="88"/>
    <col min="1793" max="1793" width="3.7265625" style="88" customWidth="1"/>
    <col min="1794" max="1794" width="45.7265625" style="88" customWidth="1"/>
    <col min="1795" max="1795" width="9.7265625" style="88" customWidth="1"/>
    <col min="1796" max="1796" width="7.7265625" style="88" customWidth="1"/>
    <col min="1797" max="1809" width="8.7265625" style="88" customWidth="1"/>
    <col min="1810" max="2048" width="9.1796875" style="88"/>
    <col min="2049" max="2049" width="3.7265625" style="88" customWidth="1"/>
    <col min="2050" max="2050" width="45.7265625" style="88" customWidth="1"/>
    <col min="2051" max="2051" width="9.7265625" style="88" customWidth="1"/>
    <col min="2052" max="2052" width="7.7265625" style="88" customWidth="1"/>
    <col min="2053" max="2065" width="8.7265625" style="88" customWidth="1"/>
    <col min="2066" max="2304" width="9.1796875" style="88"/>
    <col min="2305" max="2305" width="3.7265625" style="88" customWidth="1"/>
    <col min="2306" max="2306" width="45.7265625" style="88" customWidth="1"/>
    <col min="2307" max="2307" width="9.7265625" style="88" customWidth="1"/>
    <col min="2308" max="2308" width="7.7265625" style="88" customWidth="1"/>
    <col min="2309" max="2321" width="8.7265625" style="88" customWidth="1"/>
    <col min="2322" max="2560" width="9.1796875" style="88"/>
    <col min="2561" max="2561" width="3.7265625" style="88" customWidth="1"/>
    <col min="2562" max="2562" width="45.7265625" style="88" customWidth="1"/>
    <col min="2563" max="2563" width="9.7265625" style="88" customWidth="1"/>
    <col min="2564" max="2564" width="7.7265625" style="88" customWidth="1"/>
    <col min="2565" max="2577" width="8.7265625" style="88" customWidth="1"/>
    <col min="2578" max="2816" width="9.1796875" style="88"/>
    <col min="2817" max="2817" width="3.7265625" style="88" customWidth="1"/>
    <col min="2818" max="2818" width="45.7265625" style="88" customWidth="1"/>
    <col min="2819" max="2819" width="9.7265625" style="88" customWidth="1"/>
    <col min="2820" max="2820" width="7.7265625" style="88" customWidth="1"/>
    <col min="2821" max="2833" width="8.7265625" style="88" customWidth="1"/>
    <col min="2834" max="3072" width="9.1796875" style="88"/>
    <col min="3073" max="3073" width="3.7265625" style="88" customWidth="1"/>
    <col min="3074" max="3074" width="45.7265625" style="88" customWidth="1"/>
    <col min="3075" max="3075" width="9.7265625" style="88" customWidth="1"/>
    <col min="3076" max="3076" width="7.7265625" style="88" customWidth="1"/>
    <col min="3077" max="3089" width="8.7265625" style="88" customWidth="1"/>
    <col min="3090" max="3328" width="9.1796875" style="88"/>
    <col min="3329" max="3329" width="3.7265625" style="88" customWidth="1"/>
    <col min="3330" max="3330" width="45.7265625" style="88" customWidth="1"/>
    <col min="3331" max="3331" width="9.7265625" style="88" customWidth="1"/>
    <col min="3332" max="3332" width="7.7265625" style="88" customWidth="1"/>
    <col min="3333" max="3345" width="8.7265625" style="88" customWidth="1"/>
    <col min="3346" max="3584" width="9.1796875" style="88"/>
    <col min="3585" max="3585" width="3.7265625" style="88" customWidth="1"/>
    <col min="3586" max="3586" width="45.7265625" style="88" customWidth="1"/>
    <col min="3587" max="3587" width="9.7265625" style="88" customWidth="1"/>
    <col min="3588" max="3588" width="7.7265625" style="88" customWidth="1"/>
    <col min="3589" max="3601" width="8.7265625" style="88" customWidth="1"/>
    <col min="3602" max="3840" width="9.1796875" style="88"/>
    <col min="3841" max="3841" width="3.7265625" style="88" customWidth="1"/>
    <col min="3842" max="3842" width="45.7265625" style="88" customWidth="1"/>
    <col min="3843" max="3843" width="9.7265625" style="88" customWidth="1"/>
    <col min="3844" max="3844" width="7.7265625" style="88" customWidth="1"/>
    <col min="3845" max="3857" width="8.7265625" style="88" customWidth="1"/>
    <col min="3858" max="4096" width="9.1796875" style="88"/>
    <col min="4097" max="4097" width="3.7265625" style="88" customWidth="1"/>
    <col min="4098" max="4098" width="45.7265625" style="88" customWidth="1"/>
    <col min="4099" max="4099" width="9.7265625" style="88" customWidth="1"/>
    <col min="4100" max="4100" width="7.7265625" style="88" customWidth="1"/>
    <col min="4101" max="4113" width="8.7265625" style="88" customWidth="1"/>
    <col min="4114" max="4352" width="9.1796875" style="88"/>
    <col min="4353" max="4353" width="3.7265625" style="88" customWidth="1"/>
    <col min="4354" max="4354" width="45.7265625" style="88" customWidth="1"/>
    <col min="4355" max="4355" width="9.7265625" style="88" customWidth="1"/>
    <col min="4356" max="4356" width="7.7265625" style="88" customWidth="1"/>
    <col min="4357" max="4369" width="8.7265625" style="88" customWidth="1"/>
    <col min="4370" max="4608" width="9.1796875" style="88"/>
    <col min="4609" max="4609" width="3.7265625" style="88" customWidth="1"/>
    <col min="4610" max="4610" width="45.7265625" style="88" customWidth="1"/>
    <col min="4611" max="4611" width="9.7265625" style="88" customWidth="1"/>
    <col min="4612" max="4612" width="7.7265625" style="88" customWidth="1"/>
    <col min="4613" max="4625" width="8.7265625" style="88" customWidth="1"/>
    <col min="4626" max="4864" width="9.1796875" style="88"/>
    <col min="4865" max="4865" width="3.7265625" style="88" customWidth="1"/>
    <col min="4866" max="4866" width="45.7265625" style="88" customWidth="1"/>
    <col min="4867" max="4867" width="9.7265625" style="88" customWidth="1"/>
    <col min="4868" max="4868" width="7.7265625" style="88" customWidth="1"/>
    <col min="4869" max="4881" width="8.7265625" style="88" customWidth="1"/>
    <col min="4882" max="5120" width="9.1796875" style="88"/>
    <col min="5121" max="5121" width="3.7265625" style="88" customWidth="1"/>
    <col min="5122" max="5122" width="45.7265625" style="88" customWidth="1"/>
    <col min="5123" max="5123" width="9.7265625" style="88" customWidth="1"/>
    <col min="5124" max="5124" width="7.7265625" style="88" customWidth="1"/>
    <col min="5125" max="5137" width="8.7265625" style="88" customWidth="1"/>
    <col min="5138" max="5376" width="9.1796875" style="88"/>
    <col min="5377" max="5377" width="3.7265625" style="88" customWidth="1"/>
    <col min="5378" max="5378" width="45.7265625" style="88" customWidth="1"/>
    <col min="5379" max="5379" width="9.7265625" style="88" customWidth="1"/>
    <col min="5380" max="5380" width="7.7265625" style="88" customWidth="1"/>
    <col min="5381" max="5393" width="8.7265625" style="88" customWidth="1"/>
    <col min="5394" max="5632" width="9.1796875" style="88"/>
    <col min="5633" max="5633" width="3.7265625" style="88" customWidth="1"/>
    <col min="5634" max="5634" width="45.7265625" style="88" customWidth="1"/>
    <col min="5635" max="5635" width="9.7265625" style="88" customWidth="1"/>
    <col min="5636" max="5636" width="7.7265625" style="88" customWidth="1"/>
    <col min="5637" max="5649" width="8.7265625" style="88" customWidth="1"/>
    <col min="5650" max="5888" width="9.1796875" style="88"/>
    <col min="5889" max="5889" width="3.7265625" style="88" customWidth="1"/>
    <col min="5890" max="5890" width="45.7265625" style="88" customWidth="1"/>
    <col min="5891" max="5891" width="9.7265625" style="88" customWidth="1"/>
    <col min="5892" max="5892" width="7.7265625" style="88" customWidth="1"/>
    <col min="5893" max="5905" width="8.7265625" style="88" customWidth="1"/>
    <col min="5906" max="6144" width="9.1796875" style="88"/>
    <col min="6145" max="6145" width="3.7265625" style="88" customWidth="1"/>
    <col min="6146" max="6146" width="45.7265625" style="88" customWidth="1"/>
    <col min="6147" max="6147" width="9.7265625" style="88" customWidth="1"/>
    <col min="6148" max="6148" width="7.7265625" style="88" customWidth="1"/>
    <col min="6149" max="6161" width="8.7265625" style="88" customWidth="1"/>
    <col min="6162" max="6400" width="9.1796875" style="88"/>
    <col min="6401" max="6401" width="3.7265625" style="88" customWidth="1"/>
    <col min="6402" max="6402" width="45.7265625" style="88" customWidth="1"/>
    <col min="6403" max="6403" width="9.7265625" style="88" customWidth="1"/>
    <col min="6404" max="6404" width="7.7265625" style="88" customWidth="1"/>
    <col min="6405" max="6417" width="8.7265625" style="88" customWidth="1"/>
    <col min="6418" max="6656" width="9.1796875" style="88"/>
    <col min="6657" max="6657" width="3.7265625" style="88" customWidth="1"/>
    <col min="6658" max="6658" width="45.7265625" style="88" customWidth="1"/>
    <col min="6659" max="6659" width="9.7265625" style="88" customWidth="1"/>
    <col min="6660" max="6660" width="7.7265625" style="88" customWidth="1"/>
    <col min="6661" max="6673" width="8.7265625" style="88" customWidth="1"/>
    <col min="6674" max="6912" width="9.1796875" style="88"/>
    <col min="6913" max="6913" width="3.7265625" style="88" customWidth="1"/>
    <col min="6914" max="6914" width="45.7265625" style="88" customWidth="1"/>
    <col min="6915" max="6915" width="9.7265625" style="88" customWidth="1"/>
    <col min="6916" max="6916" width="7.7265625" style="88" customWidth="1"/>
    <col min="6917" max="6929" width="8.7265625" style="88" customWidth="1"/>
    <col min="6930" max="7168" width="9.1796875" style="88"/>
    <col min="7169" max="7169" width="3.7265625" style="88" customWidth="1"/>
    <col min="7170" max="7170" width="45.7265625" style="88" customWidth="1"/>
    <col min="7171" max="7171" width="9.7265625" style="88" customWidth="1"/>
    <col min="7172" max="7172" width="7.7265625" style="88" customWidth="1"/>
    <col min="7173" max="7185" width="8.7265625" style="88" customWidth="1"/>
    <col min="7186" max="7424" width="9.1796875" style="88"/>
    <col min="7425" max="7425" width="3.7265625" style="88" customWidth="1"/>
    <col min="7426" max="7426" width="45.7265625" style="88" customWidth="1"/>
    <col min="7427" max="7427" width="9.7265625" style="88" customWidth="1"/>
    <col min="7428" max="7428" width="7.7265625" style="88" customWidth="1"/>
    <col min="7429" max="7441" width="8.7265625" style="88" customWidth="1"/>
    <col min="7442" max="7680" width="9.1796875" style="88"/>
    <col min="7681" max="7681" width="3.7265625" style="88" customWidth="1"/>
    <col min="7682" max="7682" width="45.7265625" style="88" customWidth="1"/>
    <col min="7683" max="7683" width="9.7265625" style="88" customWidth="1"/>
    <col min="7684" max="7684" width="7.7265625" style="88" customWidth="1"/>
    <col min="7685" max="7697" width="8.7265625" style="88" customWidth="1"/>
    <col min="7698" max="7936" width="9.1796875" style="88"/>
    <col min="7937" max="7937" width="3.7265625" style="88" customWidth="1"/>
    <col min="7938" max="7938" width="45.7265625" style="88" customWidth="1"/>
    <col min="7939" max="7939" width="9.7265625" style="88" customWidth="1"/>
    <col min="7940" max="7940" width="7.7265625" style="88" customWidth="1"/>
    <col min="7941" max="7953" width="8.7265625" style="88" customWidth="1"/>
    <col min="7954" max="8192" width="9.1796875" style="88"/>
    <col min="8193" max="8193" width="3.7265625" style="88" customWidth="1"/>
    <col min="8194" max="8194" width="45.7265625" style="88" customWidth="1"/>
    <col min="8195" max="8195" width="9.7265625" style="88" customWidth="1"/>
    <col min="8196" max="8196" width="7.7265625" style="88" customWidth="1"/>
    <col min="8197" max="8209" width="8.7265625" style="88" customWidth="1"/>
    <col min="8210" max="8448" width="9.1796875" style="88"/>
    <col min="8449" max="8449" width="3.7265625" style="88" customWidth="1"/>
    <col min="8450" max="8450" width="45.7265625" style="88" customWidth="1"/>
    <col min="8451" max="8451" width="9.7265625" style="88" customWidth="1"/>
    <col min="8452" max="8452" width="7.7265625" style="88" customWidth="1"/>
    <col min="8453" max="8465" width="8.7265625" style="88" customWidth="1"/>
    <col min="8466" max="8704" width="9.1796875" style="88"/>
    <col min="8705" max="8705" width="3.7265625" style="88" customWidth="1"/>
    <col min="8706" max="8706" width="45.7265625" style="88" customWidth="1"/>
    <col min="8707" max="8707" width="9.7265625" style="88" customWidth="1"/>
    <col min="8708" max="8708" width="7.7265625" style="88" customWidth="1"/>
    <col min="8709" max="8721" width="8.7265625" style="88" customWidth="1"/>
    <col min="8722" max="8960" width="9.1796875" style="88"/>
    <col min="8961" max="8961" width="3.7265625" style="88" customWidth="1"/>
    <col min="8962" max="8962" width="45.7265625" style="88" customWidth="1"/>
    <col min="8963" max="8963" width="9.7265625" style="88" customWidth="1"/>
    <col min="8964" max="8964" width="7.7265625" style="88" customWidth="1"/>
    <col min="8965" max="8977" width="8.7265625" style="88" customWidth="1"/>
    <col min="8978" max="9216" width="9.1796875" style="88"/>
    <col min="9217" max="9217" width="3.7265625" style="88" customWidth="1"/>
    <col min="9218" max="9218" width="45.7265625" style="88" customWidth="1"/>
    <col min="9219" max="9219" width="9.7265625" style="88" customWidth="1"/>
    <col min="9220" max="9220" width="7.7265625" style="88" customWidth="1"/>
    <col min="9221" max="9233" width="8.7265625" style="88" customWidth="1"/>
    <col min="9234" max="9472" width="9.1796875" style="88"/>
    <col min="9473" max="9473" width="3.7265625" style="88" customWidth="1"/>
    <col min="9474" max="9474" width="45.7265625" style="88" customWidth="1"/>
    <col min="9475" max="9475" width="9.7265625" style="88" customWidth="1"/>
    <col min="9476" max="9476" width="7.7265625" style="88" customWidth="1"/>
    <col min="9477" max="9489" width="8.7265625" style="88" customWidth="1"/>
    <col min="9490" max="9728" width="9.1796875" style="88"/>
    <col min="9729" max="9729" width="3.7265625" style="88" customWidth="1"/>
    <col min="9730" max="9730" width="45.7265625" style="88" customWidth="1"/>
    <col min="9731" max="9731" width="9.7265625" style="88" customWidth="1"/>
    <col min="9732" max="9732" width="7.7265625" style="88" customWidth="1"/>
    <col min="9733" max="9745" width="8.7265625" style="88" customWidth="1"/>
    <col min="9746" max="9984" width="9.1796875" style="88"/>
    <col min="9985" max="9985" width="3.7265625" style="88" customWidth="1"/>
    <col min="9986" max="9986" width="45.7265625" style="88" customWidth="1"/>
    <col min="9987" max="9987" width="9.7265625" style="88" customWidth="1"/>
    <col min="9988" max="9988" width="7.7265625" style="88" customWidth="1"/>
    <col min="9989" max="10001" width="8.7265625" style="88" customWidth="1"/>
    <col min="10002" max="10240" width="9.1796875" style="88"/>
    <col min="10241" max="10241" width="3.7265625" style="88" customWidth="1"/>
    <col min="10242" max="10242" width="45.7265625" style="88" customWidth="1"/>
    <col min="10243" max="10243" width="9.7265625" style="88" customWidth="1"/>
    <col min="10244" max="10244" width="7.7265625" style="88" customWidth="1"/>
    <col min="10245" max="10257" width="8.7265625" style="88" customWidth="1"/>
    <col min="10258" max="10496" width="9.1796875" style="88"/>
    <col min="10497" max="10497" width="3.7265625" style="88" customWidth="1"/>
    <col min="10498" max="10498" width="45.7265625" style="88" customWidth="1"/>
    <col min="10499" max="10499" width="9.7265625" style="88" customWidth="1"/>
    <col min="10500" max="10500" width="7.7265625" style="88" customWidth="1"/>
    <col min="10501" max="10513" width="8.7265625" style="88" customWidth="1"/>
    <col min="10514" max="10752" width="9.1796875" style="88"/>
    <col min="10753" max="10753" width="3.7265625" style="88" customWidth="1"/>
    <col min="10754" max="10754" width="45.7265625" style="88" customWidth="1"/>
    <col min="10755" max="10755" width="9.7265625" style="88" customWidth="1"/>
    <col min="10756" max="10756" width="7.7265625" style="88" customWidth="1"/>
    <col min="10757" max="10769" width="8.7265625" style="88" customWidth="1"/>
    <col min="10770" max="11008" width="9.1796875" style="88"/>
    <col min="11009" max="11009" width="3.7265625" style="88" customWidth="1"/>
    <col min="11010" max="11010" width="45.7265625" style="88" customWidth="1"/>
    <col min="11011" max="11011" width="9.7265625" style="88" customWidth="1"/>
    <col min="11012" max="11012" width="7.7265625" style="88" customWidth="1"/>
    <col min="11013" max="11025" width="8.7265625" style="88" customWidth="1"/>
    <col min="11026" max="11264" width="9.1796875" style="88"/>
    <col min="11265" max="11265" width="3.7265625" style="88" customWidth="1"/>
    <col min="11266" max="11266" width="45.7265625" style="88" customWidth="1"/>
    <col min="11267" max="11267" width="9.7265625" style="88" customWidth="1"/>
    <col min="11268" max="11268" width="7.7265625" style="88" customWidth="1"/>
    <col min="11269" max="11281" width="8.7265625" style="88" customWidth="1"/>
    <col min="11282" max="11520" width="9.1796875" style="88"/>
    <col min="11521" max="11521" width="3.7265625" style="88" customWidth="1"/>
    <col min="11522" max="11522" width="45.7265625" style="88" customWidth="1"/>
    <col min="11523" max="11523" width="9.7265625" style="88" customWidth="1"/>
    <col min="11524" max="11524" width="7.7265625" style="88" customWidth="1"/>
    <col min="11525" max="11537" width="8.7265625" style="88" customWidth="1"/>
    <col min="11538" max="11776" width="9.1796875" style="88"/>
    <col min="11777" max="11777" width="3.7265625" style="88" customWidth="1"/>
    <col min="11778" max="11778" width="45.7265625" style="88" customWidth="1"/>
    <col min="11779" max="11779" width="9.7265625" style="88" customWidth="1"/>
    <col min="11780" max="11780" width="7.7265625" style="88" customWidth="1"/>
    <col min="11781" max="11793" width="8.7265625" style="88" customWidth="1"/>
    <col min="11794" max="12032" width="9.1796875" style="88"/>
    <col min="12033" max="12033" width="3.7265625" style="88" customWidth="1"/>
    <col min="12034" max="12034" width="45.7265625" style="88" customWidth="1"/>
    <col min="12035" max="12035" width="9.7265625" style="88" customWidth="1"/>
    <col min="12036" max="12036" width="7.7265625" style="88" customWidth="1"/>
    <col min="12037" max="12049" width="8.7265625" style="88" customWidth="1"/>
    <col min="12050" max="12288" width="9.1796875" style="88"/>
    <col min="12289" max="12289" width="3.7265625" style="88" customWidth="1"/>
    <col min="12290" max="12290" width="45.7265625" style="88" customWidth="1"/>
    <col min="12291" max="12291" width="9.7265625" style="88" customWidth="1"/>
    <col min="12292" max="12292" width="7.7265625" style="88" customWidth="1"/>
    <col min="12293" max="12305" width="8.7265625" style="88" customWidth="1"/>
    <col min="12306" max="12544" width="9.1796875" style="88"/>
    <col min="12545" max="12545" width="3.7265625" style="88" customWidth="1"/>
    <col min="12546" max="12546" width="45.7265625" style="88" customWidth="1"/>
    <col min="12547" max="12547" width="9.7265625" style="88" customWidth="1"/>
    <col min="12548" max="12548" width="7.7265625" style="88" customWidth="1"/>
    <col min="12549" max="12561" width="8.7265625" style="88" customWidth="1"/>
    <col min="12562" max="12800" width="9.1796875" style="88"/>
    <col min="12801" max="12801" width="3.7265625" style="88" customWidth="1"/>
    <col min="12802" max="12802" width="45.7265625" style="88" customWidth="1"/>
    <col min="12803" max="12803" width="9.7265625" style="88" customWidth="1"/>
    <col min="12804" max="12804" width="7.7265625" style="88" customWidth="1"/>
    <col min="12805" max="12817" width="8.7265625" style="88" customWidth="1"/>
    <col min="12818" max="13056" width="9.1796875" style="88"/>
    <col min="13057" max="13057" width="3.7265625" style="88" customWidth="1"/>
    <col min="13058" max="13058" width="45.7265625" style="88" customWidth="1"/>
    <col min="13059" max="13059" width="9.7265625" style="88" customWidth="1"/>
    <col min="13060" max="13060" width="7.7265625" style="88" customWidth="1"/>
    <col min="13061" max="13073" width="8.7265625" style="88" customWidth="1"/>
    <col min="13074" max="13312" width="9.1796875" style="88"/>
    <col min="13313" max="13313" width="3.7265625" style="88" customWidth="1"/>
    <col min="13314" max="13314" width="45.7265625" style="88" customWidth="1"/>
    <col min="13315" max="13315" width="9.7265625" style="88" customWidth="1"/>
    <col min="13316" max="13316" width="7.7265625" style="88" customWidth="1"/>
    <col min="13317" max="13329" width="8.7265625" style="88" customWidth="1"/>
    <col min="13330" max="13568" width="9.1796875" style="88"/>
    <col min="13569" max="13569" width="3.7265625" style="88" customWidth="1"/>
    <col min="13570" max="13570" width="45.7265625" style="88" customWidth="1"/>
    <col min="13571" max="13571" width="9.7265625" style="88" customWidth="1"/>
    <col min="13572" max="13572" width="7.7265625" style="88" customWidth="1"/>
    <col min="13573" max="13585" width="8.7265625" style="88" customWidth="1"/>
    <col min="13586" max="13824" width="9.1796875" style="88"/>
    <col min="13825" max="13825" width="3.7265625" style="88" customWidth="1"/>
    <col min="13826" max="13826" width="45.7265625" style="88" customWidth="1"/>
    <col min="13827" max="13827" width="9.7265625" style="88" customWidth="1"/>
    <col min="13828" max="13828" width="7.7265625" style="88" customWidth="1"/>
    <col min="13829" max="13841" width="8.7265625" style="88" customWidth="1"/>
    <col min="13842" max="14080" width="9.1796875" style="88"/>
    <col min="14081" max="14081" width="3.7265625" style="88" customWidth="1"/>
    <col min="14082" max="14082" width="45.7265625" style="88" customWidth="1"/>
    <col min="14083" max="14083" width="9.7265625" style="88" customWidth="1"/>
    <col min="14084" max="14084" width="7.7265625" style="88" customWidth="1"/>
    <col min="14085" max="14097" width="8.7265625" style="88" customWidth="1"/>
    <col min="14098" max="14336" width="9.1796875" style="88"/>
    <col min="14337" max="14337" width="3.7265625" style="88" customWidth="1"/>
    <col min="14338" max="14338" width="45.7265625" style="88" customWidth="1"/>
    <col min="14339" max="14339" width="9.7265625" style="88" customWidth="1"/>
    <col min="14340" max="14340" width="7.7265625" style="88" customWidth="1"/>
    <col min="14341" max="14353" width="8.7265625" style="88" customWidth="1"/>
    <col min="14354" max="14592" width="9.1796875" style="88"/>
    <col min="14593" max="14593" width="3.7265625" style="88" customWidth="1"/>
    <col min="14594" max="14594" width="45.7265625" style="88" customWidth="1"/>
    <col min="14595" max="14595" width="9.7265625" style="88" customWidth="1"/>
    <col min="14596" max="14596" width="7.7265625" style="88" customWidth="1"/>
    <col min="14597" max="14609" width="8.7265625" style="88" customWidth="1"/>
    <col min="14610" max="14848" width="9.1796875" style="88"/>
    <col min="14849" max="14849" width="3.7265625" style="88" customWidth="1"/>
    <col min="14850" max="14850" width="45.7265625" style="88" customWidth="1"/>
    <col min="14851" max="14851" width="9.7265625" style="88" customWidth="1"/>
    <col min="14852" max="14852" width="7.7265625" style="88" customWidth="1"/>
    <col min="14853" max="14865" width="8.7265625" style="88" customWidth="1"/>
    <col min="14866" max="15104" width="9.1796875" style="88"/>
    <col min="15105" max="15105" width="3.7265625" style="88" customWidth="1"/>
    <col min="15106" max="15106" width="45.7265625" style="88" customWidth="1"/>
    <col min="15107" max="15107" width="9.7265625" style="88" customWidth="1"/>
    <col min="15108" max="15108" width="7.7265625" style="88" customWidth="1"/>
    <col min="15109" max="15121" width="8.7265625" style="88" customWidth="1"/>
    <col min="15122" max="15360" width="9.1796875" style="88"/>
    <col min="15361" max="15361" width="3.7265625" style="88" customWidth="1"/>
    <col min="15362" max="15362" width="45.7265625" style="88" customWidth="1"/>
    <col min="15363" max="15363" width="9.7265625" style="88" customWidth="1"/>
    <col min="15364" max="15364" width="7.7265625" style="88" customWidth="1"/>
    <col min="15365" max="15377" width="8.7265625" style="88" customWidth="1"/>
    <col min="15378" max="15616" width="9.1796875" style="88"/>
    <col min="15617" max="15617" width="3.7265625" style="88" customWidth="1"/>
    <col min="15618" max="15618" width="45.7265625" style="88" customWidth="1"/>
    <col min="15619" max="15619" width="9.7265625" style="88" customWidth="1"/>
    <col min="15620" max="15620" width="7.7265625" style="88" customWidth="1"/>
    <col min="15621" max="15633" width="8.7265625" style="88" customWidth="1"/>
    <col min="15634" max="15872" width="9.1796875" style="88"/>
    <col min="15873" max="15873" width="3.7265625" style="88" customWidth="1"/>
    <col min="15874" max="15874" width="45.7265625" style="88" customWidth="1"/>
    <col min="15875" max="15875" width="9.7265625" style="88" customWidth="1"/>
    <col min="15876" max="15876" width="7.7265625" style="88" customWidth="1"/>
    <col min="15877" max="15889" width="8.7265625" style="88" customWidth="1"/>
    <col min="15890" max="16128" width="9.1796875" style="88"/>
    <col min="16129" max="16129" width="3.7265625" style="88" customWidth="1"/>
    <col min="16130" max="16130" width="45.7265625" style="88" customWidth="1"/>
    <col min="16131" max="16131" width="9.7265625" style="88" customWidth="1"/>
    <col min="16132" max="16132" width="7.7265625" style="88" customWidth="1"/>
    <col min="16133" max="16145" width="8.7265625" style="88" customWidth="1"/>
    <col min="16146" max="16384" width="9.1796875" style="88"/>
  </cols>
  <sheetData>
    <row r="1" spans="1:162" s="101" customFormat="1" ht="16" thickBot="1" x14ac:dyDescent="0.4">
      <c r="A1" s="471" t="s">
        <v>496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3"/>
      <c r="Q1" s="100">
        <v>1</v>
      </c>
    </row>
    <row r="2" spans="1:162" ht="10.5" thickBot="1" x14ac:dyDescent="0.4">
      <c r="A2" s="92" t="s">
        <v>61</v>
      </c>
      <c r="B2" s="85" t="s">
        <v>128</v>
      </c>
      <c r="C2" s="86" t="s">
        <v>445</v>
      </c>
      <c r="D2" s="86" t="s">
        <v>23</v>
      </c>
      <c r="E2" s="86" t="s">
        <v>130</v>
      </c>
      <c r="F2" s="86" t="s">
        <v>131</v>
      </c>
      <c r="G2" s="86" t="s">
        <v>132</v>
      </c>
      <c r="H2" s="86" t="s">
        <v>133</v>
      </c>
      <c r="I2" s="86" t="s">
        <v>134</v>
      </c>
      <c r="J2" s="86" t="s">
        <v>135</v>
      </c>
      <c r="K2" s="86" t="s">
        <v>136</v>
      </c>
      <c r="L2" s="86" t="s">
        <v>137</v>
      </c>
      <c r="M2" s="86" t="s">
        <v>138</v>
      </c>
      <c r="N2" s="86" t="s">
        <v>139</v>
      </c>
      <c r="O2" s="86" t="s">
        <v>140</v>
      </c>
      <c r="P2" s="87" t="s">
        <v>141</v>
      </c>
      <c r="Q2" s="88"/>
    </row>
    <row r="3" spans="1:162" s="108" customFormat="1" x14ac:dyDescent="0.35">
      <c r="A3" s="102">
        <v>1</v>
      </c>
      <c r="B3" s="94" t="s">
        <v>483</v>
      </c>
      <c r="C3" s="103">
        <f t="shared" ref="C3:C8" si="0">SUM(E3:P3)</f>
        <v>19385280.000000004</v>
      </c>
      <c r="D3" s="104">
        <f>C3/C$3</f>
        <v>1</v>
      </c>
      <c r="E3" s="105">
        <f>Операционный!D44*Операционный!D68</f>
        <v>1857756.0000000002</v>
      </c>
      <c r="F3" s="105">
        <f>Операционный!E44*Операционный!E68</f>
        <v>1437741.6000000003</v>
      </c>
      <c r="G3" s="105">
        <f>Операционный!F44*Операционный!F68</f>
        <v>1922373.6</v>
      </c>
      <c r="H3" s="105">
        <f>Операционный!G44*Операционный!G68</f>
        <v>1615440.0000000002</v>
      </c>
      <c r="I3" s="105">
        <f>Операционный!H44*Операционный!H68</f>
        <v>1486204.8000000003</v>
      </c>
      <c r="J3" s="105">
        <f>Операционный!I44*Операционный!I68</f>
        <v>1437741.6000000003</v>
      </c>
      <c r="K3" s="105">
        <f>Операционный!J44*Операционный!J68</f>
        <v>1405432.8000000003</v>
      </c>
      <c r="L3" s="105">
        <f>Операционный!K44*Операционный!K68</f>
        <v>1583131.2000000002</v>
      </c>
      <c r="M3" s="105">
        <f>Операционный!L44*Операционный!L68</f>
        <v>1486204.8000000003</v>
      </c>
      <c r="N3" s="105">
        <f>Операционный!M44*Операционный!M68</f>
        <v>1534668.0000000002</v>
      </c>
      <c r="O3" s="105">
        <f>Операционный!N44*Операционный!N68</f>
        <v>1599285.6000000003</v>
      </c>
      <c r="P3" s="106">
        <f>Операционный!O44*Операционный!O68</f>
        <v>2019300.0000000002</v>
      </c>
      <c r="Q3" s="107"/>
    </row>
    <row r="4" spans="1:162" s="112" customFormat="1" x14ac:dyDescent="0.35">
      <c r="A4" s="102">
        <v>2</v>
      </c>
      <c r="B4" s="95" t="s">
        <v>485</v>
      </c>
      <c r="C4" s="109">
        <f t="shared" si="0"/>
        <v>8392164.4312502723</v>
      </c>
      <c r="D4" s="110">
        <f>'Unit Сoste '!E6</f>
        <v>0.4329142747100001</v>
      </c>
      <c r="E4" s="105">
        <f>E3*D4</f>
        <v>804249.09132815106</v>
      </c>
      <c r="F4" s="105">
        <f>F3*D4</f>
        <v>622418.86198439519</v>
      </c>
      <c r="G4" s="105">
        <f>G3*D4</f>
        <v>832222.97276565188</v>
      </c>
      <c r="H4" s="105">
        <f>H3*D4</f>
        <v>699347.03593752265</v>
      </c>
      <c r="I4" s="105">
        <f>I3*D4</f>
        <v>643399.27306252089</v>
      </c>
      <c r="J4" s="105">
        <f>J3*D4</f>
        <v>622418.86198439519</v>
      </c>
      <c r="K4" s="105">
        <f>K3*D4</f>
        <v>608431.92126564472</v>
      </c>
      <c r="L4" s="105">
        <f>L3*D4</f>
        <v>685360.09521877219</v>
      </c>
      <c r="M4" s="105">
        <f>M3*D4</f>
        <v>643399.27306252089</v>
      </c>
      <c r="N4" s="105">
        <f>N3*D4</f>
        <v>664379.68414064648</v>
      </c>
      <c r="O4" s="105">
        <f>O3*D4</f>
        <v>692353.56557814754</v>
      </c>
      <c r="P4" s="106">
        <f>P3*D4</f>
        <v>874183.79492190329</v>
      </c>
      <c r="Q4" s="111"/>
    </row>
    <row r="5" spans="1:162" s="108" customFormat="1" x14ac:dyDescent="0.35">
      <c r="A5" s="113">
        <v>3</v>
      </c>
      <c r="B5" s="96" t="s">
        <v>484</v>
      </c>
      <c r="C5" s="114">
        <f t="shared" si="0"/>
        <v>10993115.568749731</v>
      </c>
      <c r="D5" s="115">
        <f t="shared" ref="D5:D58" si="1">C5/C$3</f>
        <v>0.5670857252899999</v>
      </c>
      <c r="E5" s="116">
        <f>E3-E4</f>
        <v>1053506.9086718492</v>
      </c>
      <c r="F5" s="116">
        <f t="shared" ref="F5:P5" si="2">F3-F4</f>
        <v>815322.73801560514</v>
      </c>
      <c r="G5" s="116">
        <f t="shared" si="2"/>
        <v>1090150.6272343481</v>
      </c>
      <c r="H5" s="116">
        <f t="shared" si="2"/>
        <v>916092.96406247758</v>
      </c>
      <c r="I5" s="116">
        <f t="shared" si="2"/>
        <v>842805.52693747939</v>
      </c>
      <c r="J5" s="116">
        <f t="shared" si="2"/>
        <v>815322.73801560514</v>
      </c>
      <c r="K5" s="116">
        <f t="shared" si="2"/>
        <v>797000.87873435556</v>
      </c>
      <c r="L5" s="116">
        <f t="shared" si="2"/>
        <v>897771.104781228</v>
      </c>
      <c r="M5" s="116">
        <f t="shared" si="2"/>
        <v>842805.52693747939</v>
      </c>
      <c r="N5" s="116">
        <f t="shared" si="2"/>
        <v>870288.31585935375</v>
      </c>
      <c r="O5" s="116">
        <f t="shared" si="2"/>
        <v>906932.03442185279</v>
      </c>
      <c r="P5" s="117">
        <f t="shared" si="2"/>
        <v>1145116.2050780971</v>
      </c>
      <c r="Q5" s="107"/>
    </row>
    <row r="6" spans="1:162" s="112" customFormat="1" ht="10.5" x14ac:dyDescent="0.35">
      <c r="A6" s="102">
        <v>4</v>
      </c>
      <c r="B6" s="93" t="s">
        <v>486</v>
      </c>
      <c r="C6" s="118">
        <f t="shared" si="0"/>
        <v>5833108.3920800015</v>
      </c>
      <c r="D6" s="119">
        <f t="shared" si="1"/>
        <v>0.30090400510490434</v>
      </c>
      <c r="E6" s="105">
        <f>SUM(E7,E8,E10,E11,E19,E25,E26,E27,E43,E48,E53,E58,E64,E65)</f>
        <v>529996.48280000011</v>
      </c>
      <c r="F6" s="105">
        <f>SUM(F7,F8,F10,F11,F19,F25,F26,F27,F43,F48,F53,F58,F64,F65)</f>
        <v>447066.66224000009</v>
      </c>
      <c r="G6" s="105">
        <f>SUM(G7,G8,G10,G11,G19,G25,G26,G27,G43,G48,G53,G58,G64,G65)</f>
        <v>542850.09480000008</v>
      </c>
      <c r="H6" s="105">
        <f>SUM(H7,H8,H10,H11,H19,H25,H26,H27,H43,H48,H53,H58,H64,H65)</f>
        <v>493891.12800000003</v>
      </c>
      <c r="I6" s="105">
        <f>SUM(I7,I8,I10,I11,I19,I25,I26,I27,I43,I48,I53,I58,I64,I65)</f>
        <v>464373.65376000007</v>
      </c>
      <c r="J6" s="105">
        <f>SUM(J7,J8,J10,J11,J19,J25,J26,J27,J43,J48,J53,J58,J64,J65)</f>
        <v>456298.27360000001</v>
      </c>
      <c r="K6" s="105">
        <f>SUM(K7,K8,K10,K11,K19,K25,K26,K27,K43,K48,K53,K58,K64,K65)</f>
        <v>449693.36192</v>
      </c>
      <c r="L6" s="105">
        <f>SUM(L7,L8,L10,L11,L19,L25,L26,L27,L43,L48,L53,L58,L64,L65)</f>
        <v>467788.63039999997</v>
      </c>
      <c r="M6" s="105">
        <f>SUM(M7,M8,M10,M11,M19,M25,M26,M27,M43,M48,M53,M58,M64,M65)</f>
        <v>469535.64768000011</v>
      </c>
      <c r="N6" s="105">
        <f>SUM(N7,N8,N10,N11,N19,N25,N26,N27,N43,N48,N53,N58,N64,N65)</f>
        <v>469026.86400000006</v>
      </c>
      <c r="O6" s="105">
        <f>SUM(O7,O8,O10,O11,O19,O25,O26,O27,O43,O48,O53,O58,O64,O65)</f>
        <v>482332.98288000003</v>
      </c>
      <c r="P6" s="106">
        <f>SUM(P7,P8,P10,P11,P19,P25,P26,P27,P43,P48,P53,P58,P64,P65)</f>
        <v>560254.61</v>
      </c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08"/>
      <c r="ED6" s="108"/>
      <c r="EE6" s="108"/>
      <c r="EF6" s="108"/>
      <c r="EG6" s="108"/>
      <c r="EH6" s="108"/>
      <c r="EI6" s="108"/>
      <c r="EJ6" s="108"/>
      <c r="EK6" s="108"/>
      <c r="EL6" s="108"/>
      <c r="EM6" s="108"/>
      <c r="EN6" s="108"/>
      <c r="EO6" s="108"/>
      <c r="EP6" s="108"/>
      <c r="EQ6" s="108"/>
      <c r="ER6" s="108"/>
      <c r="ES6" s="108"/>
      <c r="ET6" s="108"/>
      <c r="EU6" s="108"/>
      <c r="EV6" s="108"/>
      <c r="EW6" s="108"/>
      <c r="EX6" s="108"/>
      <c r="EY6" s="108"/>
      <c r="EZ6" s="108"/>
      <c r="FA6" s="108"/>
      <c r="FB6" s="108"/>
      <c r="FC6" s="108"/>
      <c r="FD6" s="108"/>
      <c r="FE6" s="108"/>
      <c r="FF6" s="108"/>
    </row>
    <row r="7" spans="1:162" s="125" customFormat="1" ht="10.5" x14ac:dyDescent="0.35">
      <c r="A7" s="120">
        <v>5</v>
      </c>
      <c r="B7" s="89" t="s">
        <v>426</v>
      </c>
      <c r="C7" s="121">
        <f t="shared" si="0"/>
        <v>1179780</v>
      </c>
      <c r="D7" s="122">
        <f t="shared" si="1"/>
        <v>6.085958005249343E-2</v>
      </c>
      <c r="E7" s="123">
        <f>Операционный!D28*Операционный!D68</f>
        <v>98315</v>
      </c>
      <c r="F7" s="123">
        <f>Операционный!E28*Операционный!E68</f>
        <v>98315</v>
      </c>
      <c r="G7" s="123">
        <f>Операционный!F28*Операционный!F68</f>
        <v>98315</v>
      </c>
      <c r="H7" s="123">
        <f>Операционный!G28*Операционный!G68</f>
        <v>98315</v>
      </c>
      <c r="I7" s="123">
        <f>Операционный!H28*Операционный!H68</f>
        <v>98315</v>
      </c>
      <c r="J7" s="123">
        <f>Операционный!I28*Операционный!I68</f>
        <v>98315</v>
      </c>
      <c r="K7" s="123">
        <f>Операционный!J28*Операционный!J68</f>
        <v>98315</v>
      </c>
      <c r="L7" s="123">
        <f>Операционный!K28*Операционный!K68</f>
        <v>98315</v>
      </c>
      <c r="M7" s="123">
        <f>Операционный!L28*Операционный!L68</f>
        <v>98315</v>
      </c>
      <c r="N7" s="123">
        <f>Операционный!M28*Операционный!M68</f>
        <v>98315</v>
      </c>
      <c r="O7" s="123">
        <f>Операционный!N28*Операционный!N68</f>
        <v>98315</v>
      </c>
      <c r="P7" s="124">
        <f>Операционный!O28*Операционный!O68</f>
        <v>98315</v>
      </c>
    </row>
    <row r="8" spans="1:162" s="125" customFormat="1" ht="10.5" x14ac:dyDescent="0.35">
      <c r="A8" s="120">
        <v>6</v>
      </c>
      <c r="B8" s="89" t="s">
        <v>487</v>
      </c>
      <c r="C8" s="121">
        <f t="shared" si="0"/>
        <v>1703100</v>
      </c>
      <c r="D8" s="122">
        <f t="shared" si="1"/>
        <v>8.7855321150893853E-2</v>
      </c>
      <c r="E8" s="123">
        <f>SUM(E9:E9)</f>
        <v>142800</v>
      </c>
      <c r="F8" s="123">
        <f>SUM(F9:F9)</f>
        <v>142800</v>
      </c>
      <c r="G8" s="123">
        <f>SUM(G9:G9)</f>
        <v>142800</v>
      </c>
      <c r="H8" s="123">
        <f>SUM(H9:H9)</f>
        <v>142800</v>
      </c>
      <c r="I8" s="123">
        <f>SUM(I9:I9)</f>
        <v>142800</v>
      </c>
      <c r="J8" s="123">
        <f>SUM(J9:J9)</f>
        <v>142800</v>
      </c>
      <c r="K8" s="123">
        <f>SUM(K9:K9)</f>
        <v>141050</v>
      </c>
      <c r="L8" s="123">
        <f>SUM(L9:L9)</f>
        <v>141050</v>
      </c>
      <c r="M8" s="123">
        <f>SUM(M9:M9)</f>
        <v>141050</v>
      </c>
      <c r="N8" s="123">
        <f>SUM(N9:N9)</f>
        <v>141050</v>
      </c>
      <c r="O8" s="123">
        <f>SUM(O9:O9)</f>
        <v>141050</v>
      </c>
      <c r="P8" s="124">
        <f>SUM(P9:P9)</f>
        <v>141050</v>
      </c>
    </row>
    <row r="9" spans="1:162" outlineLevel="1" x14ac:dyDescent="0.35">
      <c r="A9" s="135" t="s">
        <v>210</v>
      </c>
      <c r="B9" s="432" t="s">
        <v>478</v>
      </c>
      <c r="C9" s="433">
        <f>SUM(E9:P9)</f>
        <v>1703100</v>
      </c>
      <c r="D9" s="434">
        <f t="shared" si="1"/>
        <v>8.7855321150893853E-2</v>
      </c>
      <c r="E9" s="435">
        <f>Операционный!F50*Операционный!D68+'Штатное расписание'!D6*1.05/5</f>
        <v>142800</v>
      </c>
      <c r="F9" s="435">
        <f>Операционный!F50*Операционный!E68+'Штатное расписание'!D6*1.05/5</f>
        <v>142800</v>
      </c>
      <c r="G9" s="435">
        <f>Операционный!F50*Операционный!F68+'Штатное расписание'!D6*1.05/5</f>
        <v>142800</v>
      </c>
      <c r="H9" s="435">
        <f>Операционный!F50*Операционный!G68+'Штатное расписание'!D6*1.05/5</f>
        <v>142800</v>
      </c>
      <c r="I9" s="435">
        <f>Операционный!F50*Операционный!H68+'Штатное расписание'!D6*1.05/5</f>
        <v>142800</v>
      </c>
      <c r="J9" s="435">
        <f>Операционный!F50*Операционный!I68+'Штатное расписание'!D6*1.05/5</f>
        <v>142800</v>
      </c>
      <c r="K9" s="435">
        <f>Операционный!F50*Операционный!J68+'Штатное расписание'!D6*1.05/6</f>
        <v>141050</v>
      </c>
      <c r="L9" s="435">
        <f>Операционный!F50*Операционный!K68+'Штатное расписание'!D6*1.05/6</f>
        <v>141050</v>
      </c>
      <c r="M9" s="435">
        <f>Операционный!F50*Операционный!L68+'Штатное расписание'!D6*1.05/6</f>
        <v>141050</v>
      </c>
      <c r="N9" s="435">
        <f>Операционный!F50*Операционный!M68+'Штатное расписание'!D6*1.05/6</f>
        <v>141050</v>
      </c>
      <c r="O9" s="435">
        <f>Операционный!F50*Операционный!N68+'Штатное расписание'!D6*1.05/6</f>
        <v>141050</v>
      </c>
      <c r="P9" s="436">
        <f>Операционный!F50*Операционный!O68+'Штатное расписание'!D6*1.05/6</f>
        <v>141050</v>
      </c>
    </row>
    <row r="10" spans="1:162" x14ac:dyDescent="0.35">
      <c r="A10" s="120" t="s">
        <v>212</v>
      </c>
      <c r="B10" s="91" t="s">
        <v>428</v>
      </c>
      <c r="C10" s="127">
        <f t="shared" ref="C10:C66" si="3">SUM(E10:P10)</f>
        <v>46706</v>
      </c>
      <c r="D10" s="128">
        <f t="shared" si="1"/>
        <v>2.4093539015170268E-3</v>
      </c>
      <c r="E10" s="129">
        <f>'Бюджет затрат (ориентир.)'!B21*Операционный!D68</f>
        <v>7803</v>
      </c>
      <c r="F10" s="129">
        <f>'Бюджет затрат (ориентир.)'!C21*Операционный!E68</f>
        <v>2655</v>
      </c>
      <c r="G10" s="129">
        <f>'Бюджет затрат (ориентир.)'!D21*Операционный!F68</f>
        <v>2806</v>
      </c>
      <c r="H10" s="129">
        <f>'Бюджет затрат (ориентир.)'!E21*Операционный!G68</f>
        <v>4483</v>
      </c>
      <c r="I10" s="129">
        <f>'Бюджет затрат (ориентир.)'!F21*Операционный!H68</f>
        <v>2260</v>
      </c>
      <c r="J10" s="129">
        <f>'Бюджет затрат (ориентир.)'!G21*Операционный!I68</f>
        <v>5273</v>
      </c>
      <c r="K10" s="129">
        <f>'Бюджет затрат (ориентир.)'!H21*Операционный!J68</f>
        <v>4573</v>
      </c>
      <c r="L10" s="129">
        <f>'Бюджет затрат (ориентир.)'!I21*Операционный!K68</f>
        <v>3619</v>
      </c>
      <c r="M10" s="129">
        <f>'Бюджет затрат (ориентир.)'!J21*Операционный!L68</f>
        <v>4862</v>
      </c>
      <c r="N10" s="129">
        <f>'Бюджет затрат (ориентир.)'!K21*Операционный!M68</f>
        <v>2531</v>
      </c>
      <c r="O10" s="129">
        <f>'Бюджет затрат (ориентир.)'!L21*Операционный!N68</f>
        <v>3395</v>
      </c>
      <c r="P10" s="130">
        <f>'Бюджет затрат (ориентир.)'!M21*Операционный!O68</f>
        <v>2446</v>
      </c>
    </row>
    <row r="11" spans="1:162" s="125" customFormat="1" x14ac:dyDescent="0.35">
      <c r="A11" s="131" t="s">
        <v>213</v>
      </c>
      <c r="B11" s="91" t="s">
        <v>429</v>
      </c>
      <c r="C11" s="127">
        <f t="shared" si="3"/>
        <v>7700.8024800000012</v>
      </c>
      <c r="D11" s="128">
        <f t="shared" si="1"/>
        <v>3.9724999999999998E-4</v>
      </c>
      <c r="E11" s="132">
        <f>E3*SUM(E12:E18)</f>
        <v>0</v>
      </c>
      <c r="F11" s="132">
        <f>F3*SUM(F12:F18)</f>
        <v>0</v>
      </c>
      <c r="G11" s="132">
        <f>G3*SUM(G12:G18)</f>
        <v>768.9494400000001</v>
      </c>
      <c r="H11" s="132">
        <f>H3*SUM(H12:H18)</f>
        <v>1292.3520000000001</v>
      </c>
      <c r="I11" s="132">
        <f>I3*SUM(I12:I18)</f>
        <v>148.62048000000004</v>
      </c>
      <c r="J11" s="132">
        <f>J3*SUM(J12:J18)</f>
        <v>431.32248000000004</v>
      </c>
      <c r="K11" s="132">
        <f>K3*SUM(K12:K18)</f>
        <v>702.71640000000014</v>
      </c>
      <c r="L11" s="132">
        <f>L3*SUM(L12:L18)</f>
        <v>158.31312000000003</v>
      </c>
      <c r="M11" s="132">
        <f>M3*SUM(M12:M18)</f>
        <v>297.24096000000009</v>
      </c>
      <c r="N11" s="132">
        <f>N3*SUM(N12:N18)</f>
        <v>1074.2676000000001</v>
      </c>
      <c r="O11" s="132">
        <f>O3*SUM(O12:O18)</f>
        <v>0</v>
      </c>
      <c r="P11" s="133">
        <f>P3*SUM(P12:P18)</f>
        <v>2827.0200000000004</v>
      </c>
      <c r="Q11" s="134"/>
    </row>
    <row r="12" spans="1:162" outlineLevel="1" x14ac:dyDescent="0.35">
      <c r="A12" s="135" t="s">
        <v>214</v>
      </c>
      <c r="B12" s="97" t="s">
        <v>142</v>
      </c>
      <c r="C12" s="127"/>
      <c r="D12" s="128"/>
      <c r="E12" s="136">
        <f>'Бюджет затрат (ориентир.)'!B25</f>
        <v>0</v>
      </c>
      <c r="F12" s="136">
        <f>'Бюджет затрат (ориентир.)'!C25</f>
        <v>0</v>
      </c>
      <c r="G12" s="136">
        <f>'Бюджет затрат (ориентир.)'!D25</f>
        <v>0</v>
      </c>
      <c r="H12" s="136">
        <f>'Бюджет затрат (ориентир.)'!E25</f>
        <v>5.0000000000000001E-4</v>
      </c>
      <c r="I12" s="136">
        <f>'Бюджет затрат (ориентир.)'!F25</f>
        <v>0</v>
      </c>
      <c r="J12" s="136">
        <f>'Бюджет затрат (ориентир.)'!G25</f>
        <v>0</v>
      </c>
      <c r="K12" s="136">
        <f>'Бюджет затрат (ориентир.)'!H25</f>
        <v>0</v>
      </c>
      <c r="L12" s="136">
        <f>'Бюджет затрат (ориентир.)'!I25</f>
        <v>0</v>
      </c>
      <c r="M12" s="136">
        <f>'Бюджет затрат (ориентир.)'!J25</f>
        <v>0</v>
      </c>
      <c r="N12" s="136">
        <f>'Бюджет затрат (ориентир.)'!K25</f>
        <v>0</v>
      </c>
      <c r="O12" s="136">
        <f>'Бюджет затрат (ориентир.)'!L25</f>
        <v>0</v>
      </c>
      <c r="P12" s="137">
        <f>'Бюджет затрат (ориентир.)'!M25</f>
        <v>0</v>
      </c>
    </row>
    <row r="13" spans="1:162" outlineLevel="1" x14ac:dyDescent="0.35">
      <c r="A13" s="135" t="s">
        <v>215</v>
      </c>
      <c r="B13" s="97" t="s">
        <v>143</v>
      </c>
      <c r="C13" s="127"/>
      <c r="D13" s="128"/>
      <c r="E13" s="136">
        <f>'Бюджет затрат (ориентир.)'!B26</f>
        <v>0</v>
      </c>
      <c r="F13" s="136">
        <f>'Бюджет затрат (ориентир.)'!C26</f>
        <v>0</v>
      </c>
      <c r="G13" s="136">
        <f>'Бюджет затрат (ориентир.)'!D26</f>
        <v>4.0000000000000002E-4</v>
      </c>
      <c r="H13" s="136">
        <f>'Бюджет затрат (ориентир.)'!E26</f>
        <v>2.9999999999999997E-4</v>
      </c>
      <c r="I13" s="136">
        <f>'Бюджет затрат (ориентир.)'!F26</f>
        <v>1E-4</v>
      </c>
      <c r="J13" s="136">
        <f>'Бюджет затрат (ориентир.)'!G26</f>
        <v>2.9999999999999997E-4</v>
      </c>
      <c r="K13" s="136">
        <f>'Бюджет затрат (ориентир.)'!H26</f>
        <v>5.0000000000000001E-4</v>
      </c>
      <c r="L13" s="136">
        <f>'Бюджет затрат (ориентир.)'!I26</f>
        <v>1E-4</v>
      </c>
      <c r="M13" s="136">
        <f>'Бюджет затрат (ориентир.)'!J26</f>
        <v>0</v>
      </c>
      <c r="N13" s="136">
        <f>'Бюджет затрат (ориентир.)'!K26</f>
        <v>1E-4</v>
      </c>
      <c r="O13" s="136">
        <f>'Бюджет затрат (ориентир.)'!L26</f>
        <v>0</v>
      </c>
      <c r="P13" s="137">
        <f>'Бюджет затрат (ориентир.)'!M26</f>
        <v>1.4E-3</v>
      </c>
    </row>
    <row r="14" spans="1:162" outlineLevel="1" x14ac:dyDescent="0.35">
      <c r="A14" s="135" t="s">
        <v>216</v>
      </c>
      <c r="B14" s="97" t="s">
        <v>144</v>
      </c>
      <c r="C14" s="127"/>
      <c r="D14" s="128"/>
      <c r="E14" s="136">
        <f>'Бюджет затрат (ориентир.)'!B27</f>
        <v>0</v>
      </c>
      <c r="F14" s="136">
        <f>'Бюджет затрат (ориентир.)'!C27</f>
        <v>0</v>
      </c>
      <c r="G14" s="136">
        <f>'Бюджет затрат (ориентир.)'!D27</f>
        <v>0</v>
      </c>
      <c r="H14" s="136">
        <f>'Бюджет затрат (ориентир.)'!E27</f>
        <v>0</v>
      </c>
      <c r="I14" s="136">
        <f>'Бюджет затрат (ориентир.)'!F27</f>
        <v>0</v>
      </c>
      <c r="J14" s="136">
        <f>'Бюджет затрат (ориентир.)'!G27</f>
        <v>0</v>
      </c>
      <c r="K14" s="136">
        <f>'Бюджет затрат (ориентир.)'!H27</f>
        <v>0</v>
      </c>
      <c r="L14" s="136">
        <f>'Бюджет затрат (ориентир.)'!I27</f>
        <v>0</v>
      </c>
      <c r="M14" s="136">
        <f>'Бюджет затрат (ориентир.)'!J27</f>
        <v>0</v>
      </c>
      <c r="N14" s="136">
        <f>'Бюджет затрат (ориентир.)'!K27</f>
        <v>5.9999999999999995E-4</v>
      </c>
      <c r="O14" s="136">
        <f>'Бюджет затрат (ориентир.)'!L27</f>
        <v>0</v>
      </c>
      <c r="P14" s="137">
        <f>'Бюджет затрат (ориентир.)'!M27</f>
        <v>0</v>
      </c>
    </row>
    <row r="15" spans="1:162" s="421" customFormat="1" outlineLevel="1" x14ac:dyDescent="0.35">
      <c r="A15" s="135" t="s">
        <v>217</v>
      </c>
      <c r="B15" s="97" t="s">
        <v>145</v>
      </c>
      <c r="C15" s="127"/>
      <c r="D15" s="128"/>
      <c r="E15" s="136">
        <f>'Бюджет затрат (ориентир.)'!B28</f>
        <v>0</v>
      </c>
      <c r="F15" s="136">
        <f>'Бюджет затрат (ориентир.)'!C28</f>
        <v>0</v>
      </c>
      <c r="G15" s="136">
        <f>'Бюджет затрат (ориентир.)'!D28</f>
        <v>0</v>
      </c>
      <c r="H15" s="136">
        <f>'Бюджет затрат (ориентир.)'!E28</f>
        <v>0</v>
      </c>
      <c r="I15" s="136">
        <f>'Бюджет затрат (ориентир.)'!F28</f>
        <v>0</v>
      </c>
      <c r="J15" s="136">
        <f>'Бюджет затрат (ориентир.)'!G28</f>
        <v>0</v>
      </c>
      <c r="K15" s="136">
        <f>'Бюджет затрат (ориентир.)'!H28</f>
        <v>0</v>
      </c>
      <c r="L15" s="136">
        <f>'Бюджет затрат (ориентир.)'!I28</f>
        <v>0</v>
      </c>
      <c r="M15" s="136">
        <f>'Бюджет затрат (ориентир.)'!J28</f>
        <v>0</v>
      </c>
      <c r="N15" s="136">
        <f>'Бюджет затрат (ориентир.)'!K28</f>
        <v>0</v>
      </c>
      <c r="O15" s="136">
        <f>'Бюджет затрат (ориентир.)'!L28</f>
        <v>0</v>
      </c>
      <c r="P15" s="137">
        <f>'Бюджет затрат (ориентир.)'!M28</f>
        <v>0</v>
      </c>
    </row>
    <row r="16" spans="1:162" s="421" customFormat="1" outlineLevel="1" x14ac:dyDescent="0.35">
      <c r="A16" s="135" t="s">
        <v>218</v>
      </c>
      <c r="B16" s="97" t="s">
        <v>146</v>
      </c>
      <c r="C16" s="127"/>
      <c r="D16" s="128"/>
      <c r="E16" s="136">
        <f>'Бюджет затрат (ориентир.)'!B29</f>
        <v>0</v>
      </c>
      <c r="F16" s="136">
        <f>'Бюджет затрат (ориентир.)'!C29</f>
        <v>0</v>
      </c>
      <c r="G16" s="136">
        <f>'Бюджет затрат (ориентир.)'!D29</f>
        <v>0</v>
      </c>
      <c r="H16" s="136">
        <f>'Бюджет затрат (ориентир.)'!E29</f>
        <v>0</v>
      </c>
      <c r="I16" s="136">
        <f>'Бюджет затрат (ориентир.)'!F29</f>
        <v>0</v>
      </c>
      <c r="J16" s="136">
        <f>'Бюджет затрат (ориентир.)'!G29</f>
        <v>0</v>
      </c>
      <c r="K16" s="136">
        <f>'Бюджет затрат (ориентир.)'!H29</f>
        <v>0</v>
      </c>
      <c r="L16" s="136">
        <f>'Бюджет затрат (ориентир.)'!I29</f>
        <v>0</v>
      </c>
      <c r="M16" s="136">
        <f>'Бюджет затрат (ориентир.)'!J29</f>
        <v>0</v>
      </c>
      <c r="N16" s="136">
        <f>'Бюджет затрат (ориентир.)'!K29</f>
        <v>0</v>
      </c>
      <c r="O16" s="136">
        <f>'Бюджет затрат (ориентир.)'!L29</f>
        <v>0</v>
      </c>
      <c r="P16" s="137">
        <f>'Бюджет затрат (ориентир.)'!M29</f>
        <v>0</v>
      </c>
    </row>
    <row r="17" spans="1:16" s="421" customFormat="1" outlineLevel="1" x14ac:dyDescent="0.35">
      <c r="A17" s="135" t="s">
        <v>219</v>
      </c>
      <c r="B17" s="97" t="s">
        <v>147</v>
      </c>
      <c r="C17" s="127"/>
      <c r="D17" s="128"/>
      <c r="E17" s="136">
        <f>'Бюджет затрат (ориентир.)'!B30</f>
        <v>0</v>
      </c>
      <c r="F17" s="136">
        <f>'Бюджет затрат (ориентир.)'!C30</f>
        <v>0</v>
      </c>
      <c r="G17" s="136">
        <f>'Бюджет затрат (ориентир.)'!D30</f>
        <v>0</v>
      </c>
      <c r="H17" s="136">
        <f>'Бюджет затрат (ориентир.)'!E30</f>
        <v>0</v>
      </c>
      <c r="I17" s="136">
        <f>'Бюджет затрат (ориентир.)'!F30</f>
        <v>0</v>
      </c>
      <c r="J17" s="136">
        <f>'Бюджет затрат (ориентир.)'!G30</f>
        <v>0</v>
      </c>
      <c r="K17" s="136">
        <f>'Бюджет затрат (ориентир.)'!H30</f>
        <v>0</v>
      </c>
      <c r="L17" s="136">
        <f>'Бюджет затрат (ориентир.)'!I30</f>
        <v>0</v>
      </c>
      <c r="M17" s="136">
        <f>'Бюджет затрат (ориентир.)'!J30</f>
        <v>0</v>
      </c>
      <c r="N17" s="136">
        <f>'Бюджет затрат (ориентир.)'!K30</f>
        <v>0</v>
      </c>
      <c r="O17" s="136">
        <f>'Бюджет затрат (ориентир.)'!L30</f>
        <v>0</v>
      </c>
      <c r="P17" s="137">
        <f>'Бюджет затрат (ориентир.)'!M30</f>
        <v>0</v>
      </c>
    </row>
    <row r="18" spans="1:16" s="421" customFormat="1" outlineLevel="1" x14ac:dyDescent="0.35">
      <c r="A18" s="135" t="s">
        <v>220</v>
      </c>
      <c r="B18" s="138" t="s">
        <v>148</v>
      </c>
      <c r="C18" s="127"/>
      <c r="D18" s="128"/>
      <c r="E18" s="136">
        <f>'Бюджет затрат (ориентир.)'!B31</f>
        <v>0</v>
      </c>
      <c r="F18" s="136">
        <f>'Бюджет затрат (ориентир.)'!C31</f>
        <v>0</v>
      </c>
      <c r="G18" s="136">
        <f>'Бюджет затрат (ориентир.)'!D31</f>
        <v>0</v>
      </c>
      <c r="H18" s="136">
        <f>'Бюджет затрат (ориентир.)'!E31</f>
        <v>0</v>
      </c>
      <c r="I18" s="136">
        <f>'Бюджет затрат (ориентир.)'!F31</f>
        <v>0</v>
      </c>
      <c r="J18" s="136">
        <f>'Бюджет затрат (ориентир.)'!G31</f>
        <v>0</v>
      </c>
      <c r="K18" s="136">
        <f>'Бюджет затрат (ориентир.)'!H31</f>
        <v>0</v>
      </c>
      <c r="L18" s="136">
        <f>'Бюджет затрат (ориентир.)'!I31</f>
        <v>0</v>
      </c>
      <c r="M18" s="136">
        <f>'Бюджет затрат (ориентир.)'!J31</f>
        <v>2.0000000000000001E-4</v>
      </c>
      <c r="N18" s="136">
        <f>'Бюджет затрат (ориентир.)'!K31</f>
        <v>0</v>
      </c>
      <c r="O18" s="136">
        <f>'Бюджет затрат (ориентир.)'!L31</f>
        <v>0</v>
      </c>
      <c r="P18" s="137">
        <f>'Бюджет затрат (ориентир.)'!M31</f>
        <v>0</v>
      </c>
    </row>
    <row r="19" spans="1:16" s="421" customFormat="1" x14ac:dyDescent="0.35">
      <c r="A19" s="120" t="s">
        <v>211</v>
      </c>
      <c r="B19" s="89" t="s">
        <v>489</v>
      </c>
      <c r="C19" s="127">
        <f t="shared" si="3"/>
        <v>48870.290880000008</v>
      </c>
      <c r="D19" s="128">
        <f t="shared" si="1"/>
        <v>2.5209999999999998E-3</v>
      </c>
      <c r="E19" s="129">
        <f>E3*SUM(E20:E24)</f>
        <v>8545.6776000000009</v>
      </c>
      <c r="F19" s="129">
        <f>F3*SUM(F20:F24)</f>
        <v>3594.3540000000007</v>
      </c>
      <c r="G19" s="129">
        <f>G3*SUM(G20:G24)</f>
        <v>9611.8680000000004</v>
      </c>
      <c r="H19" s="129">
        <f>H3*SUM(H20:H24)</f>
        <v>5977.1280000000006</v>
      </c>
      <c r="I19" s="129">
        <f>I3*SUM(I20:I24)</f>
        <v>2972.4096000000004</v>
      </c>
      <c r="J19" s="129">
        <f>J3*SUM(J20:J24)</f>
        <v>287.5483200000001</v>
      </c>
      <c r="K19" s="129">
        <f>K3*SUM(K20:K24)</f>
        <v>1545.9760800000001</v>
      </c>
      <c r="L19" s="129">
        <f>L3*SUM(L20:L24)</f>
        <v>1424.8180800000002</v>
      </c>
      <c r="M19" s="129">
        <f>M3*SUM(M20:M24)</f>
        <v>3715.5120000000006</v>
      </c>
      <c r="N19" s="129">
        <f>N3*SUM(N20:N24)</f>
        <v>767.33400000000017</v>
      </c>
      <c r="O19" s="129">
        <f>O3*SUM(O20:O24)</f>
        <v>7196.7852000000021</v>
      </c>
      <c r="P19" s="130">
        <f>P3*SUM(P20:P24)</f>
        <v>3230.8800000000006</v>
      </c>
    </row>
    <row r="20" spans="1:16" s="421" customFormat="1" outlineLevel="1" x14ac:dyDescent="0.35">
      <c r="A20" s="135" t="s">
        <v>221</v>
      </c>
      <c r="B20" s="138" t="s">
        <v>149</v>
      </c>
      <c r="C20" s="127"/>
      <c r="D20" s="128"/>
      <c r="E20" s="139">
        <f>'Бюджет затрат (ориентир.)'!B36</f>
        <v>0</v>
      </c>
      <c r="F20" s="139">
        <f>'Бюджет затрат (ориентир.)'!C36</f>
        <v>1.2999999999999999E-3</v>
      </c>
      <c r="G20" s="139">
        <f>'Бюджет затрат (ориентир.)'!D36</f>
        <v>3.7000000000000002E-3</v>
      </c>
      <c r="H20" s="139">
        <f>'Бюджет затрат (ориентир.)'!E36</f>
        <v>8.0000000000000004E-4</v>
      </c>
      <c r="I20" s="139">
        <f>'Бюджет затрат (ориентир.)'!F36</f>
        <v>4.0000000000000002E-4</v>
      </c>
      <c r="J20" s="139">
        <f>'Бюджет затрат (ориентир.)'!G36</f>
        <v>1E-4</v>
      </c>
      <c r="K20" s="139">
        <f>'Бюджет затрат (ориентир.)'!H36</f>
        <v>5.0000000000000001E-4</v>
      </c>
      <c r="L20" s="139">
        <f>'Бюджет затрат (ориентир.)'!I36</f>
        <v>4.0000000000000002E-4</v>
      </c>
      <c r="M20" s="139">
        <f>'Бюджет затрат (ориентир.)'!J36</f>
        <v>8.9999999999999998E-4</v>
      </c>
      <c r="N20" s="139">
        <f>'Бюджет затрат (ориентир.)'!K36</f>
        <v>4.0000000000000002E-4</v>
      </c>
      <c r="O20" s="139">
        <f>'Бюджет затрат (ориентир.)'!L36</f>
        <v>1.5E-3</v>
      </c>
      <c r="P20" s="140">
        <f>'Бюджет затрат (ориентир.)'!M36</f>
        <v>1E-3</v>
      </c>
    </row>
    <row r="21" spans="1:16" s="421" customFormat="1" outlineLevel="1" x14ac:dyDescent="0.35">
      <c r="A21" s="135" t="s">
        <v>222</v>
      </c>
      <c r="B21" s="138" t="s">
        <v>150</v>
      </c>
      <c r="C21" s="127"/>
      <c r="D21" s="128"/>
      <c r="E21" s="139">
        <f>'Бюджет затрат (ориентир.)'!B37</f>
        <v>0</v>
      </c>
      <c r="F21" s="139">
        <f>'Бюджет затрат (ориентир.)'!C37</f>
        <v>1E-4</v>
      </c>
      <c r="G21" s="139">
        <f>'Бюджет затрат (ориентир.)'!D37</f>
        <v>1E-4</v>
      </c>
      <c r="H21" s="139">
        <f>'Бюджет затрат (ориентир.)'!E37</f>
        <v>2.0000000000000001E-4</v>
      </c>
      <c r="I21" s="139">
        <f>'Бюджет затрат (ориентир.)'!F37</f>
        <v>1E-4</v>
      </c>
      <c r="J21" s="139">
        <f>'Бюджет затрат (ориентир.)'!G37</f>
        <v>0</v>
      </c>
      <c r="K21" s="139">
        <f>'Бюджет затрат (ориентир.)'!H37</f>
        <v>0</v>
      </c>
      <c r="L21" s="139">
        <f>'Бюджет затрат (ориентир.)'!I37</f>
        <v>0</v>
      </c>
      <c r="M21" s="139">
        <f>'Бюджет затрат (ориентир.)'!J37</f>
        <v>1E-4</v>
      </c>
      <c r="N21" s="139">
        <f>'Бюджет затрат (ориентир.)'!K37</f>
        <v>0</v>
      </c>
      <c r="O21" s="139">
        <f>'Бюджет затрат (ориентир.)'!L37</f>
        <v>5.9999999999999995E-4</v>
      </c>
      <c r="P21" s="140">
        <f>'Бюджет затрат (ориентир.)'!M37</f>
        <v>1E-4</v>
      </c>
    </row>
    <row r="22" spans="1:16" s="421" customFormat="1" outlineLevel="1" x14ac:dyDescent="0.35">
      <c r="A22" s="135" t="s">
        <v>223</v>
      </c>
      <c r="B22" s="138" t="s">
        <v>151</v>
      </c>
      <c r="C22" s="127"/>
      <c r="D22" s="128"/>
      <c r="E22" s="139">
        <f>'Бюджет затрат (ориентир.)'!B38</f>
        <v>1E-4</v>
      </c>
      <c r="F22" s="139">
        <f>'Бюджет затрат (ориентир.)'!C38</f>
        <v>5.0000000000000001E-4</v>
      </c>
      <c r="G22" s="139">
        <f>'Бюджет затрат (ориентир.)'!D38</f>
        <v>0</v>
      </c>
      <c r="H22" s="139">
        <f>'Бюджет затрат (ориентир.)'!E38</f>
        <v>2.9999999999999997E-4</v>
      </c>
      <c r="I22" s="139">
        <f>'Бюджет затрат (ориентир.)'!F38</f>
        <v>6.9999999999999999E-4</v>
      </c>
      <c r="J22" s="139">
        <f>'Бюджет затрат (ориентир.)'!G38</f>
        <v>0</v>
      </c>
      <c r="K22" s="139">
        <f>'Бюджет затрат (ориентир.)'!H38</f>
        <v>0</v>
      </c>
      <c r="L22" s="139">
        <f>'Бюджет затрат (ориентир.)'!I38</f>
        <v>4.0000000000000002E-4</v>
      </c>
      <c r="M22" s="139">
        <f>'Бюджет затрат (ориентир.)'!J38</f>
        <v>5.0000000000000001E-4</v>
      </c>
      <c r="N22" s="139">
        <f>'Бюджет затрат (ориентир.)'!K38</f>
        <v>1E-4</v>
      </c>
      <c r="O22" s="139">
        <f>'Бюджет затрат (ориентир.)'!L38</f>
        <v>4.0000000000000002E-4</v>
      </c>
      <c r="P22" s="140">
        <f>'Бюджет затрат (ориентир.)'!M38</f>
        <v>2.9999999999999997E-4</v>
      </c>
    </row>
    <row r="23" spans="1:16" s="421" customFormat="1" outlineLevel="1" x14ac:dyDescent="0.35">
      <c r="A23" s="135" t="s">
        <v>224</v>
      </c>
      <c r="B23" s="138" t="s">
        <v>152</v>
      </c>
      <c r="C23" s="127"/>
      <c r="D23" s="128"/>
      <c r="E23" s="139">
        <f>'Бюджет затрат (ориентир.)'!B39</f>
        <v>0</v>
      </c>
      <c r="F23" s="139">
        <f>'Бюджет затрат (ориентир.)'!C39</f>
        <v>0</v>
      </c>
      <c r="G23" s="139">
        <f>'Бюджет затрат (ориентир.)'!D39</f>
        <v>0</v>
      </c>
      <c r="H23" s="139">
        <f>'Бюджет затрат (ориентир.)'!E39</f>
        <v>0</v>
      </c>
      <c r="I23" s="139">
        <f>'Бюджет затрат (ориентир.)'!F39</f>
        <v>0</v>
      </c>
      <c r="J23" s="139">
        <f>'Бюджет затрат (ориентир.)'!G39</f>
        <v>0</v>
      </c>
      <c r="K23" s="139">
        <f>'Бюджет затрат (ориентир.)'!H39</f>
        <v>0</v>
      </c>
      <c r="L23" s="139">
        <f>'Бюджет затрат (ориентир.)'!I39</f>
        <v>0</v>
      </c>
      <c r="M23" s="139">
        <f>'Бюджет затрат (ориентир.)'!J39</f>
        <v>1E-3</v>
      </c>
      <c r="N23" s="139">
        <f>'Бюджет затрат (ориентир.)'!K39</f>
        <v>0</v>
      </c>
      <c r="O23" s="139">
        <f>'Бюджет затрат (ориентир.)'!L39</f>
        <v>0</v>
      </c>
      <c r="P23" s="140">
        <f>'Бюджет затрат (ориентир.)'!M39</f>
        <v>0</v>
      </c>
    </row>
    <row r="24" spans="1:16" s="421" customFormat="1" outlineLevel="1" x14ac:dyDescent="0.35">
      <c r="A24" s="135" t="s">
        <v>225</v>
      </c>
      <c r="B24" s="138" t="s">
        <v>153</v>
      </c>
      <c r="C24" s="127"/>
      <c r="D24" s="128"/>
      <c r="E24" s="139">
        <f>'Бюджет затрат (ориентир.)'!B40</f>
        <v>4.4999999999999997E-3</v>
      </c>
      <c r="F24" s="139">
        <f>'Бюджет затрат (ориентир.)'!C40</f>
        <v>5.9999999999999995E-4</v>
      </c>
      <c r="G24" s="139">
        <f>'Бюджет затрат (ориентир.)'!D40</f>
        <v>1.1999999999999999E-3</v>
      </c>
      <c r="H24" s="139">
        <f>'Бюджет затрат (ориентир.)'!E40</f>
        <v>2.3999999999999998E-3</v>
      </c>
      <c r="I24" s="139">
        <f>'Бюджет затрат (ориентир.)'!F40</f>
        <v>8.0000000000000004E-4</v>
      </c>
      <c r="J24" s="139">
        <f>'Бюджет затрат (ориентир.)'!G40</f>
        <v>1E-4</v>
      </c>
      <c r="K24" s="139">
        <f>'Бюджет затрат (ориентир.)'!H40</f>
        <v>5.9999999999999995E-4</v>
      </c>
      <c r="L24" s="139">
        <f>'Бюджет затрат (ориентир.)'!I40</f>
        <v>1E-4</v>
      </c>
      <c r="M24" s="139">
        <f>'Бюджет затрат (ориентир.)'!J40</f>
        <v>0</v>
      </c>
      <c r="N24" s="139">
        <f>'Бюджет затрат (ориентир.)'!K40</f>
        <v>0</v>
      </c>
      <c r="O24" s="139">
        <f>'Бюджет затрат (ориентир.)'!L40</f>
        <v>2E-3</v>
      </c>
      <c r="P24" s="140">
        <f>'Бюджет затрат (ориентир.)'!M40</f>
        <v>2.0000000000000001E-4</v>
      </c>
    </row>
    <row r="25" spans="1:16" s="421" customFormat="1" x14ac:dyDescent="0.35">
      <c r="A25" s="120" t="s">
        <v>226</v>
      </c>
      <c r="B25" s="91" t="s">
        <v>430</v>
      </c>
      <c r="C25" s="127">
        <f t="shared" si="3"/>
        <v>265996.73496000003</v>
      </c>
      <c r="D25" s="128">
        <f t="shared" si="1"/>
        <v>1.3721583333333332E-2</v>
      </c>
      <c r="E25" s="141">
        <f>E3*'Бюджет затрат (ориентир.)'!B45</f>
        <v>27309.013200000001</v>
      </c>
      <c r="F25" s="141">
        <f>F3*'Бюджет затрат (ориентир.)'!C45</f>
        <v>20559.704880000005</v>
      </c>
      <c r="G25" s="141">
        <f>G3*'Бюджет затрат (ориентир.)'!D45</f>
        <v>22107.296399999999</v>
      </c>
      <c r="H25" s="141">
        <f>H3*'Бюджет затрат (ориентир.)'!E45</f>
        <v>21808.440000000002</v>
      </c>
      <c r="I25" s="141">
        <f>I3*'Бюджет затрат (ориентир.)'!F45</f>
        <v>23482.035840000008</v>
      </c>
      <c r="J25" s="141">
        <f>J3*'Бюджет затрат (ориентир.)'!G45</f>
        <v>23003.865600000005</v>
      </c>
      <c r="K25" s="141">
        <f>K3*'Бюджет затрат (ориентир.)'!H45</f>
        <v>21222.035280000004</v>
      </c>
      <c r="L25" s="141">
        <f>L3*'Бюджет затрат (ориентир.)'!I45</f>
        <v>22480.463040000002</v>
      </c>
      <c r="M25" s="141">
        <f>M3*'Бюджет затрат (ориентир.)'!J45</f>
        <v>17091.355200000002</v>
      </c>
      <c r="N25" s="141">
        <f>N3*'Бюджет затрат (ориентир.)'!K45</f>
        <v>20564.551200000005</v>
      </c>
      <c r="O25" s="141">
        <f>O3*'Бюджет затрат (ориентир.)'!L45</f>
        <v>19511.284320000006</v>
      </c>
      <c r="P25" s="142">
        <f>P3*'Бюджет затрат (ориентир.)'!M45</f>
        <v>26856.690000000002</v>
      </c>
    </row>
    <row r="26" spans="1:16" s="421" customFormat="1" x14ac:dyDescent="0.35">
      <c r="A26" s="120" t="s">
        <v>227</v>
      </c>
      <c r="B26" s="89" t="s">
        <v>467</v>
      </c>
      <c r="C26" s="127">
        <f t="shared" si="3"/>
        <v>969264.00000000012</v>
      </c>
      <c r="D26" s="128">
        <f t="shared" si="1"/>
        <v>4.9999999999999996E-2</v>
      </c>
      <c r="E26" s="129">
        <f>E3*'Бюджет затрат (ориентир.)'!C117</f>
        <v>92887.800000000017</v>
      </c>
      <c r="F26" s="129">
        <f>F3*'Бюджет затрат (ориентир.)'!C117</f>
        <v>71887.080000000016</v>
      </c>
      <c r="G26" s="129">
        <f>G3*'Бюджет затрат (ориентир.)'!C117</f>
        <v>96118.680000000008</v>
      </c>
      <c r="H26" s="129">
        <f>H3*'Бюджет затрат (ориентир.)'!C117</f>
        <v>80772.000000000015</v>
      </c>
      <c r="I26" s="129">
        <f>I3*'Бюджет затрат (ориентир.)'!C117</f>
        <v>74310.24000000002</v>
      </c>
      <c r="J26" s="129">
        <f>J3*'Бюджет затрат (ориентир.)'!C117</f>
        <v>71887.080000000016</v>
      </c>
      <c r="K26" s="129">
        <f>K3*'Бюджет затрат (ориентир.)'!C117</f>
        <v>70271.640000000014</v>
      </c>
      <c r="L26" s="129">
        <f>L3*'Бюджет затрат (ориентир.)'!C117</f>
        <v>79156.560000000012</v>
      </c>
      <c r="M26" s="129">
        <f>M3*'Бюджет затрат (ориентир.)'!C117</f>
        <v>74310.24000000002</v>
      </c>
      <c r="N26" s="129">
        <f>N3*'Бюджет затрат (ориентир.)'!C117</f>
        <v>76733.400000000009</v>
      </c>
      <c r="O26" s="129">
        <f>O3*'Бюджет затрат (ориентир.)'!C117</f>
        <v>79964.280000000028</v>
      </c>
      <c r="P26" s="130">
        <f>P3*'Бюджет затрат (ориентир.)'!C117</f>
        <v>100965.00000000001</v>
      </c>
    </row>
    <row r="27" spans="1:16" s="421" customFormat="1" x14ac:dyDescent="0.35">
      <c r="A27" s="120" t="s">
        <v>228</v>
      </c>
      <c r="B27" s="89" t="s">
        <v>431</v>
      </c>
      <c r="C27" s="127">
        <f t="shared" si="3"/>
        <v>337948.43256000004</v>
      </c>
      <c r="D27" s="128">
        <f t="shared" si="1"/>
        <v>1.7433249999999997E-2</v>
      </c>
      <c r="E27" s="129">
        <f>E3*SUM(E28:E42)</f>
        <v>31396.076400000002</v>
      </c>
      <c r="F27" s="129">
        <f>F3*SUM(F28:F42)</f>
        <v>22428.768960000005</v>
      </c>
      <c r="G27" s="129">
        <f>G3*SUM(G28:G42)</f>
        <v>32103.63912</v>
      </c>
      <c r="H27" s="129">
        <f>H3*SUM(H28:H42)</f>
        <v>34408.872000000003</v>
      </c>
      <c r="I27" s="129">
        <f>I3*SUM(I28:I42)</f>
        <v>26008.584000000003</v>
      </c>
      <c r="J27" s="129">
        <f>J3*SUM(J28:J42)</f>
        <v>23291.413920000003</v>
      </c>
      <c r="K27" s="129">
        <f>K3*SUM(K28:K42)</f>
        <v>23330.184480000004</v>
      </c>
      <c r="L27" s="129">
        <f>L3*SUM(L28:L42)</f>
        <v>22005.523680000002</v>
      </c>
      <c r="M27" s="129">
        <f>M3*SUM(M28:M42)</f>
        <v>31804.78272000001</v>
      </c>
      <c r="N27" s="129">
        <f>N3*SUM(N28:N42)</f>
        <v>31000.293600000005</v>
      </c>
      <c r="O27" s="129">
        <f>O3*SUM(O28:O42)</f>
        <v>28467.283680000004</v>
      </c>
      <c r="P27" s="130">
        <f>P3*SUM(P28:P42)</f>
        <v>31703.010000000002</v>
      </c>
    </row>
    <row r="28" spans="1:16" s="421" customFormat="1" outlineLevel="1" x14ac:dyDescent="0.35">
      <c r="A28" s="135" t="s">
        <v>187</v>
      </c>
      <c r="B28" s="97" t="s">
        <v>154</v>
      </c>
      <c r="C28" s="127"/>
      <c r="D28" s="128"/>
      <c r="E28" s="136">
        <f>'Бюджет затрат (ориентир.)'!B55</f>
        <v>0</v>
      </c>
      <c r="F28" s="136">
        <f>'Бюджет затрат (ориентир.)'!C55</f>
        <v>4.0000000000000002E-4</v>
      </c>
      <c r="G28" s="136">
        <f>'Бюджет затрат (ориентир.)'!D55</f>
        <v>4.0000000000000002E-4</v>
      </c>
      <c r="H28" s="136">
        <f>'Бюджет затрат (ориентир.)'!E55</f>
        <v>2.2000000000000001E-3</v>
      </c>
      <c r="I28" s="136">
        <f>'Бюджет затрат (ориентир.)'!F55</f>
        <v>4.0000000000000002E-4</v>
      </c>
      <c r="J28" s="136">
        <f>'Бюджет затрат (ориентир.)'!G55</f>
        <v>2.2000000000000001E-3</v>
      </c>
      <c r="K28" s="136">
        <f>'Бюджет затрат (ориентир.)'!H55</f>
        <v>4.0000000000000002E-4</v>
      </c>
      <c r="L28" s="136">
        <f>'Бюджет затрат (ориентир.)'!I55</f>
        <v>2.9999999999999997E-4</v>
      </c>
      <c r="M28" s="136">
        <f>'Бюджет затрат (ориентир.)'!J55</f>
        <v>4.0000000000000002E-4</v>
      </c>
      <c r="N28" s="136">
        <f>'Бюджет затрат (ориентир.)'!K55</f>
        <v>6.9999999999999999E-4</v>
      </c>
      <c r="O28" s="136">
        <f>'Бюджет затрат (ориентир.)'!L55</f>
        <v>4.0000000000000002E-4</v>
      </c>
      <c r="P28" s="137">
        <f>'Бюджет затрат (ориентир.)'!M55</f>
        <v>6.9999999999999999E-4</v>
      </c>
    </row>
    <row r="29" spans="1:16" s="421" customFormat="1" outlineLevel="1" x14ac:dyDescent="0.35">
      <c r="A29" s="135" t="s">
        <v>189</v>
      </c>
      <c r="B29" s="97" t="s">
        <v>155</v>
      </c>
      <c r="C29" s="127"/>
      <c r="D29" s="128"/>
      <c r="E29" s="136">
        <f>'Бюджет затрат (ориентир.)'!B56</f>
        <v>2.9999999999999997E-4</v>
      </c>
      <c r="F29" s="136">
        <f>'Бюджет затрат (ориентир.)'!C56</f>
        <v>0</v>
      </c>
      <c r="G29" s="136">
        <f>'Бюджет затрат (ориентир.)'!D56</f>
        <v>0</v>
      </c>
      <c r="H29" s="136">
        <f>'Бюджет затрат (ориентир.)'!E56</f>
        <v>1E-4</v>
      </c>
      <c r="I29" s="136">
        <f>'Бюджет затрат (ориентир.)'!F56</f>
        <v>0</v>
      </c>
      <c r="J29" s="136">
        <f>'Бюджет затрат (ориентир.)'!G56</f>
        <v>0</v>
      </c>
      <c r="K29" s="136">
        <f>'Бюджет затрат (ориентир.)'!H56</f>
        <v>0</v>
      </c>
      <c r="L29" s="136">
        <f>'Бюджет затрат (ориентир.)'!I56</f>
        <v>0</v>
      </c>
      <c r="M29" s="136">
        <f>'Бюджет затрат (ориентир.)'!J56</f>
        <v>0</v>
      </c>
      <c r="N29" s="136">
        <f>'Бюджет затрат (ориентир.)'!K56</f>
        <v>0</v>
      </c>
      <c r="O29" s="136">
        <f>'Бюджет затрат (ориентир.)'!L56</f>
        <v>0</v>
      </c>
      <c r="P29" s="137">
        <f>'Бюджет затрат (ориентир.)'!M56</f>
        <v>0</v>
      </c>
    </row>
    <row r="30" spans="1:16" s="421" customFormat="1" outlineLevel="1" x14ac:dyDescent="0.35">
      <c r="A30" s="135" t="s">
        <v>188</v>
      </c>
      <c r="B30" s="97" t="s">
        <v>156</v>
      </c>
      <c r="C30" s="127"/>
      <c r="D30" s="128"/>
      <c r="E30" s="136">
        <f>'Бюджет затрат (ориентир.)'!B57</f>
        <v>2.0000000000000001E-4</v>
      </c>
      <c r="F30" s="136">
        <f>'Бюджет затрат (ориентир.)'!C57</f>
        <v>5.0000000000000001E-4</v>
      </c>
      <c r="G30" s="136">
        <f>'Бюджет затрат (ориентир.)'!D57</f>
        <v>2.9999999999999997E-4</v>
      </c>
      <c r="H30" s="136">
        <f>'Бюджет затрат (ориентир.)'!E57</f>
        <v>1E-4</v>
      </c>
      <c r="I30" s="136">
        <f>'Бюджет затрат (ориентир.)'!F57</f>
        <v>2.9999999999999997E-4</v>
      </c>
      <c r="J30" s="136">
        <f>'Бюджет затрат (ориентир.)'!G57</f>
        <v>0</v>
      </c>
      <c r="K30" s="136">
        <f>'Бюджет затрат (ориентир.)'!H57</f>
        <v>5.0000000000000001E-4</v>
      </c>
      <c r="L30" s="136">
        <f>'Бюджет затрат (ориентир.)'!I57</f>
        <v>1E-4</v>
      </c>
      <c r="M30" s="136">
        <f>'Бюджет затрат (ориентир.)'!J57</f>
        <v>0</v>
      </c>
      <c r="N30" s="136">
        <f>'Бюджет затрат (ориентир.)'!K57</f>
        <v>0</v>
      </c>
      <c r="O30" s="136">
        <f>'Бюджет затрат (ориентир.)'!L57</f>
        <v>2.9999999999999997E-4</v>
      </c>
      <c r="P30" s="137">
        <f>'Бюджет затрат (ориентир.)'!M57</f>
        <v>1E-4</v>
      </c>
    </row>
    <row r="31" spans="1:16" s="421" customFormat="1" outlineLevel="1" x14ac:dyDescent="0.35">
      <c r="A31" s="135" t="s">
        <v>190</v>
      </c>
      <c r="B31" s="97" t="s">
        <v>157</v>
      </c>
      <c r="C31" s="127"/>
      <c r="D31" s="128"/>
      <c r="E31" s="136">
        <f>'Бюджет затрат (ориентир.)'!B58</f>
        <v>0</v>
      </c>
      <c r="F31" s="136">
        <f>'Бюджет затрат (ориентир.)'!C58</f>
        <v>0</v>
      </c>
      <c r="G31" s="136">
        <f>'Бюджет затрат (ориентир.)'!D58</f>
        <v>0</v>
      </c>
      <c r="H31" s="136">
        <f>'Бюджет затрат (ориентир.)'!E58</f>
        <v>2.0000000000000001E-4</v>
      </c>
      <c r="I31" s="136">
        <f>'Бюджет затрат (ориентир.)'!F58</f>
        <v>0</v>
      </c>
      <c r="J31" s="136">
        <f>'Бюджет затрат (ориентир.)'!G58</f>
        <v>0</v>
      </c>
      <c r="K31" s="136">
        <f>'Бюджет затрат (ориентир.)'!H58</f>
        <v>0</v>
      </c>
      <c r="L31" s="136">
        <f>'Бюджет затрат (ориентир.)'!I58</f>
        <v>0</v>
      </c>
      <c r="M31" s="136">
        <f>'Бюджет затрат (ориентир.)'!J58</f>
        <v>0</v>
      </c>
      <c r="N31" s="136">
        <f>'Бюджет затрат (ориентир.)'!K58</f>
        <v>0</v>
      </c>
      <c r="O31" s="136">
        <f>'Бюджет затрат (ориентир.)'!L58</f>
        <v>0</v>
      </c>
      <c r="P31" s="137">
        <f>'Бюджет затрат (ориентир.)'!M58</f>
        <v>0</v>
      </c>
    </row>
    <row r="32" spans="1:16" s="421" customFormat="1" outlineLevel="1" x14ac:dyDescent="0.35">
      <c r="A32" s="135" t="s">
        <v>191</v>
      </c>
      <c r="B32" s="97" t="s">
        <v>158</v>
      </c>
      <c r="C32" s="127"/>
      <c r="D32" s="128"/>
      <c r="E32" s="136">
        <f>'Бюджет затрат (ориентир.)'!B59</f>
        <v>0</v>
      </c>
      <c r="F32" s="136">
        <f>'Бюджет затрат (ориентир.)'!C59</f>
        <v>0</v>
      </c>
      <c r="G32" s="136">
        <f>'Бюджет затрат (ориентир.)'!D59</f>
        <v>2.9999999999999997E-4</v>
      </c>
      <c r="H32" s="136">
        <f>'Бюджет затрат (ориентир.)'!E59</f>
        <v>0</v>
      </c>
      <c r="I32" s="136">
        <f>'Бюджет затрат (ориентир.)'!F59</f>
        <v>0</v>
      </c>
      <c r="J32" s="136">
        <f>'Бюджет затрат (ориентир.)'!G59</f>
        <v>0</v>
      </c>
      <c r="K32" s="136">
        <f>'Бюджет затрат (ориентир.)'!H59</f>
        <v>0</v>
      </c>
      <c r="L32" s="136">
        <f>'Бюджет затрат (ориентир.)'!I59</f>
        <v>0</v>
      </c>
      <c r="M32" s="136">
        <f>'Бюджет затрат (ориентир.)'!J59</f>
        <v>0</v>
      </c>
      <c r="N32" s="136">
        <f>'Бюджет затрат (ориентир.)'!K59</f>
        <v>1E-4</v>
      </c>
      <c r="O32" s="136">
        <f>'Бюджет затрат (ориентир.)'!L59</f>
        <v>0</v>
      </c>
      <c r="P32" s="137">
        <f>'Бюджет затрат (ориентир.)'!M59</f>
        <v>2.9999999999999997E-4</v>
      </c>
    </row>
    <row r="33" spans="1:16" s="421" customFormat="1" outlineLevel="1" x14ac:dyDescent="0.35">
      <c r="A33" s="135" t="s">
        <v>229</v>
      </c>
      <c r="B33" s="97" t="s">
        <v>159</v>
      </c>
      <c r="C33" s="127"/>
      <c r="D33" s="128"/>
      <c r="E33" s="136">
        <f>'Бюджет затрат (ориентир.)'!B60</f>
        <v>2.0000000000000001E-4</v>
      </c>
      <c r="F33" s="136">
        <f>'Бюджет затрат (ориентир.)'!C60</f>
        <v>2.0000000000000001E-4</v>
      </c>
      <c r="G33" s="136">
        <f>'Бюджет затрат (ориентир.)'!D60</f>
        <v>8.9999999999999998E-4</v>
      </c>
      <c r="H33" s="136">
        <f>'Бюджет затрат (ориентир.)'!E60</f>
        <v>1E-3</v>
      </c>
      <c r="I33" s="136">
        <f>'Бюджет затрат (ориентир.)'!F60</f>
        <v>2.0000000000000001E-4</v>
      </c>
      <c r="J33" s="136">
        <f>'Бюджет затрат (ориентир.)'!G60</f>
        <v>2.9999999999999997E-4</v>
      </c>
      <c r="K33" s="136">
        <f>'Бюджет затрат (ориентир.)'!H60</f>
        <v>1.8E-3</v>
      </c>
      <c r="L33" s="136">
        <f>'Бюджет затрат (ориентир.)'!I60</f>
        <v>6.9999999999999999E-4</v>
      </c>
      <c r="M33" s="136">
        <f>'Бюджет затрат (ориентир.)'!J60</f>
        <v>1E-4</v>
      </c>
      <c r="N33" s="136">
        <f>'Бюджет затрат (ориентир.)'!K60</f>
        <v>1.5E-3</v>
      </c>
      <c r="O33" s="136">
        <f>'Бюджет затрат (ориентир.)'!L60</f>
        <v>2.9999999999999997E-4</v>
      </c>
      <c r="P33" s="137">
        <f>'Бюджет затрат (ориентир.)'!M60</f>
        <v>4.0000000000000002E-4</v>
      </c>
    </row>
    <row r="34" spans="1:16" s="421" customFormat="1" outlineLevel="1" x14ac:dyDescent="0.35">
      <c r="A34" s="135" t="s">
        <v>230</v>
      </c>
      <c r="B34" s="97" t="s">
        <v>160</v>
      </c>
      <c r="C34" s="127"/>
      <c r="D34" s="128"/>
      <c r="E34" s="136">
        <f>'Бюджет затрат (ориентир.)'!B61</f>
        <v>0</v>
      </c>
      <c r="F34" s="136">
        <f>'Бюджет затрат (ориентир.)'!C61</f>
        <v>0</v>
      </c>
      <c r="G34" s="136">
        <f>'Бюджет затрат (ориентир.)'!D61</f>
        <v>1E-4</v>
      </c>
      <c r="H34" s="136">
        <f>'Бюджет затрат (ориентир.)'!E61</f>
        <v>0</v>
      </c>
      <c r="I34" s="136">
        <f>'Бюджет затрат (ориентир.)'!F61</f>
        <v>0</v>
      </c>
      <c r="J34" s="136">
        <f>'Бюджет затрат (ориентир.)'!G61</f>
        <v>0</v>
      </c>
      <c r="K34" s="136">
        <f>'Бюджет затрат (ориентир.)'!H61</f>
        <v>0</v>
      </c>
      <c r="L34" s="136">
        <f>'Бюджет затрат (ориентир.)'!I61</f>
        <v>0</v>
      </c>
      <c r="M34" s="136">
        <f>'Бюджет затрат (ориентир.)'!J61</f>
        <v>0</v>
      </c>
      <c r="N34" s="136">
        <f>'Бюджет затрат (ориентир.)'!K61</f>
        <v>0</v>
      </c>
      <c r="O34" s="136">
        <f>'Бюджет затрат (ориентир.)'!L61</f>
        <v>0</v>
      </c>
      <c r="P34" s="137">
        <f>'Бюджет затрат (ориентир.)'!M61</f>
        <v>1E-4</v>
      </c>
    </row>
    <row r="35" spans="1:16" s="421" customFormat="1" outlineLevel="1" x14ac:dyDescent="0.35">
      <c r="A35" s="135" t="s">
        <v>231</v>
      </c>
      <c r="B35" s="97" t="s">
        <v>161</v>
      </c>
      <c r="C35" s="127"/>
      <c r="D35" s="128"/>
      <c r="E35" s="136">
        <f>'Бюджет затрат (ориентир.)'!B62</f>
        <v>2.9999999999999997E-4</v>
      </c>
      <c r="F35" s="136">
        <f>'Бюджет затрат (ориентир.)'!C62</f>
        <v>0</v>
      </c>
      <c r="G35" s="136">
        <f>'Бюджет затрат (ориентир.)'!D62</f>
        <v>2.9999999999999997E-4</v>
      </c>
      <c r="H35" s="136">
        <f>'Бюджет затрат (ориентир.)'!E62</f>
        <v>2.3E-3</v>
      </c>
      <c r="I35" s="136">
        <f>'Бюджет затрат (ориентир.)'!F62</f>
        <v>8.9999999999999998E-4</v>
      </c>
      <c r="J35" s="136">
        <f>'Бюджет затрат (ориентир.)'!G62</f>
        <v>5.9999999999999995E-4</v>
      </c>
      <c r="K35" s="136">
        <f>'Бюджет затрат (ориентир.)'!H62</f>
        <v>2.0000000000000001E-4</v>
      </c>
      <c r="L35" s="136">
        <f>'Бюджет затрат (ориентир.)'!I62</f>
        <v>6.9999999999999999E-4</v>
      </c>
      <c r="M35" s="136">
        <f>'Бюджет затрат (ориентир.)'!J62</f>
        <v>1E-3</v>
      </c>
      <c r="N35" s="136">
        <f>'Бюджет затрат (ориентир.)'!K62</f>
        <v>4.0000000000000002E-4</v>
      </c>
      <c r="O35" s="136">
        <f>'Бюджет затрат (ориентир.)'!L62</f>
        <v>8.0000000000000004E-4</v>
      </c>
      <c r="P35" s="137">
        <f>'Бюджет затрат (ориентир.)'!M62</f>
        <v>5.9999999999999995E-4</v>
      </c>
    </row>
    <row r="36" spans="1:16" s="421" customFormat="1" outlineLevel="1" x14ac:dyDescent="0.35">
      <c r="A36" s="135" t="s">
        <v>232</v>
      </c>
      <c r="B36" s="98" t="s">
        <v>162</v>
      </c>
      <c r="C36" s="127"/>
      <c r="D36" s="128"/>
      <c r="E36" s="136">
        <f>'Бюджет затрат (ориентир.)'!B63</f>
        <v>1.2999999999999999E-3</v>
      </c>
      <c r="F36" s="136">
        <f>'Бюджет затрат (ориентир.)'!C63</f>
        <v>5.0000000000000001E-4</v>
      </c>
      <c r="G36" s="136">
        <f>'Бюджет затрат (ориентир.)'!D63</f>
        <v>5.9999999999999995E-4</v>
      </c>
      <c r="H36" s="136">
        <f>'Бюджет затрат (ориентир.)'!E63</f>
        <v>4.0000000000000002E-4</v>
      </c>
      <c r="I36" s="136">
        <f>'Бюджет затрат (ориентир.)'!F63</f>
        <v>5.9999999999999995E-4</v>
      </c>
      <c r="J36" s="136">
        <f>'Бюджет затрат (ориентир.)'!G63</f>
        <v>5.0000000000000001E-4</v>
      </c>
      <c r="K36" s="136">
        <f>'Бюджет затрат (ориентир.)'!H63</f>
        <v>5.0000000000000001E-4</v>
      </c>
      <c r="L36" s="136">
        <f>'Бюджет затрат (ориентир.)'!I63</f>
        <v>8.9999999999999998E-4</v>
      </c>
      <c r="M36" s="136">
        <f>'Бюджет затрат (ориентир.)'!J63</f>
        <v>2.0000000000000001E-4</v>
      </c>
      <c r="N36" s="136">
        <f>'Бюджет затрат (ориентир.)'!K63</f>
        <v>2.9999999999999997E-4</v>
      </c>
      <c r="O36" s="136">
        <f>'Бюджет затрат (ориентир.)'!L63</f>
        <v>2.0000000000000001E-4</v>
      </c>
      <c r="P36" s="137">
        <f>'Бюджет затрат (ориентир.)'!M63</f>
        <v>5.0000000000000001E-4</v>
      </c>
    </row>
    <row r="37" spans="1:16" s="421" customFormat="1" outlineLevel="1" x14ac:dyDescent="0.35">
      <c r="A37" s="135" t="s">
        <v>233</v>
      </c>
      <c r="B37" s="97" t="s">
        <v>163</v>
      </c>
      <c r="C37" s="127"/>
      <c r="D37" s="128"/>
      <c r="E37" s="136">
        <f>'Бюджет затрат (ориентир.)'!B64</f>
        <v>5.0000000000000001E-4</v>
      </c>
      <c r="F37" s="136">
        <f>'Бюджет затрат (ориентир.)'!C64</f>
        <v>5.0000000000000001E-4</v>
      </c>
      <c r="G37" s="136">
        <f>'Бюджет затрат (ориентир.)'!D64</f>
        <v>4.0000000000000002E-4</v>
      </c>
      <c r="H37" s="136">
        <f>'Бюджет затрат (ориентир.)'!E64</f>
        <v>5.0000000000000001E-4</v>
      </c>
      <c r="I37" s="136">
        <f>'Бюджет затрат (ориентир.)'!F64</f>
        <v>5.0000000000000001E-4</v>
      </c>
      <c r="J37" s="136">
        <f>'Бюджет затрат (ориентир.)'!G64</f>
        <v>5.0000000000000001E-4</v>
      </c>
      <c r="K37" s="136">
        <f>'Бюджет затрат (ориентир.)'!H64</f>
        <v>5.0000000000000001E-4</v>
      </c>
      <c r="L37" s="136">
        <f>'Бюджет затрат (ориентир.)'!I64</f>
        <v>5.0000000000000001E-4</v>
      </c>
      <c r="M37" s="136">
        <f>'Бюджет затрат (ориентир.)'!J64</f>
        <v>2.8999999999999998E-3</v>
      </c>
      <c r="N37" s="136">
        <f>'Бюджет затрат (ориентир.)'!K64</f>
        <v>2.5999999999999999E-3</v>
      </c>
      <c r="O37" s="136">
        <f>'Бюджет затрат (ориентир.)'!L64</f>
        <v>4.0000000000000002E-4</v>
      </c>
      <c r="P37" s="137">
        <f>'Бюджет затрат (ориентир.)'!M64</f>
        <v>4.0000000000000002E-4</v>
      </c>
    </row>
    <row r="38" spans="1:16" s="421" customFormat="1" outlineLevel="1" x14ac:dyDescent="0.35">
      <c r="A38" s="135" t="s">
        <v>234</v>
      </c>
      <c r="B38" s="97" t="s">
        <v>164</v>
      </c>
      <c r="C38" s="127"/>
      <c r="D38" s="128"/>
      <c r="E38" s="136">
        <f>'Бюджет затрат (ориентир.)'!B65</f>
        <v>0</v>
      </c>
      <c r="F38" s="136">
        <f>'Бюджет затрат (ориентир.)'!C65</f>
        <v>0</v>
      </c>
      <c r="G38" s="136">
        <f>'Бюджет затрат (ориентир.)'!D65</f>
        <v>0</v>
      </c>
      <c r="H38" s="136">
        <f>'Бюджет затрат (ориентир.)'!E65</f>
        <v>0</v>
      </c>
      <c r="I38" s="136">
        <f>'Бюджет затрат (ориентир.)'!F65</f>
        <v>0</v>
      </c>
      <c r="J38" s="136">
        <f>'Бюджет затрат (ориентир.)'!G65</f>
        <v>0</v>
      </c>
      <c r="K38" s="136">
        <f>'Бюджет затрат (ориентир.)'!H65</f>
        <v>0</v>
      </c>
      <c r="L38" s="136">
        <f>'Бюджет затрат (ориентир.)'!I65</f>
        <v>0</v>
      </c>
      <c r="M38" s="136">
        <f>'Бюджет затрат (ориентир.)'!J65</f>
        <v>0</v>
      </c>
      <c r="N38" s="136">
        <f>'Бюджет затрат (ориентир.)'!K65</f>
        <v>0</v>
      </c>
      <c r="O38" s="136">
        <f>'Бюджет затрат (ориентир.)'!L65</f>
        <v>0</v>
      </c>
      <c r="P38" s="137">
        <f>'Бюджет затрат (ориентир.)'!M65</f>
        <v>0</v>
      </c>
    </row>
    <row r="39" spans="1:16" s="421" customFormat="1" outlineLevel="1" x14ac:dyDescent="0.35">
      <c r="A39" s="135" t="s">
        <v>235</v>
      </c>
      <c r="B39" s="97" t="s">
        <v>165</v>
      </c>
      <c r="C39" s="127"/>
      <c r="D39" s="128"/>
      <c r="E39" s="136">
        <f>'Бюджет затрат (ориентир.)'!B66</f>
        <v>5.0000000000000001E-4</v>
      </c>
      <c r="F39" s="136">
        <f>'Бюджет затрат (ориентир.)'!C66</f>
        <v>2.0000000000000001E-4</v>
      </c>
      <c r="G39" s="136">
        <f>'Бюджет затрат (ориентир.)'!D66</f>
        <v>1E-4</v>
      </c>
      <c r="H39" s="136">
        <f>'Бюджет затрат (ориентир.)'!E66</f>
        <v>1E-3</v>
      </c>
      <c r="I39" s="136">
        <f>'Бюджет затрат (ориентир.)'!F66</f>
        <v>2.9999999999999997E-4</v>
      </c>
      <c r="J39" s="136">
        <f>'Бюджет затрат (ориентир.)'!G66</f>
        <v>5.0000000000000001E-4</v>
      </c>
      <c r="K39" s="136">
        <f>'Бюджет затрат (ориентир.)'!H66</f>
        <v>4.0000000000000002E-4</v>
      </c>
      <c r="L39" s="136">
        <f>'Бюджет затрат (ориентир.)'!I66</f>
        <v>2.0000000000000001E-4</v>
      </c>
      <c r="M39" s="136">
        <f>'Бюджет затрат (ориентир.)'!J66</f>
        <v>8.0000000000000004E-4</v>
      </c>
      <c r="N39" s="136">
        <f>'Бюджет затрат (ориентир.)'!K66</f>
        <v>5.0000000000000001E-4</v>
      </c>
      <c r="O39" s="136">
        <f>'Бюджет затрат (ориентир.)'!L66</f>
        <v>1E-4</v>
      </c>
      <c r="P39" s="137">
        <f>'Бюджет затрат (ориентир.)'!M66</f>
        <v>2.0000000000000001E-4</v>
      </c>
    </row>
    <row r="40" spans="1:16" s="421" customFormat="1" outlineLevel="1" x14ac:dyDescent="0.35">
      <c r="A40" s="135" t="s">
        <v>236</v>
      </c>
      <c r="B40" s="97" t="s">
        <v>166</v>
      </c>
      <c r="C40" s="127"/>
      <c r="D40" s="128"/>
      <c r="E40" s="136">
        <f>'Бюджет затрат (ориентир.)'!B67</f>
        <v>0</v>
      </c>
      <c r="F40" s="136">
        <f>'Бюджет затрат (ориентир.)'!C67</f>
        <v>0</v>
      </c>
      <c r="G40" s="136">
        <f>'Бюджет затрат (ориентир.)'!D67</f>
        <v>0</v>
      </c>
      <c r="H40" s="136">
        <f>'Бюджет затрат (ориентир.)'!E67</f>
        <v>0</v>
      </c>
      <c r="I40" s="136">
        <f>'Бюджет затрат (ориентир.)'!F67</f>
        <v>5.9999999999999995E-4</v>
      </c>
      <c r="J40" s="136">
        <f>'Бюджет затрат (ориентир.)'!G67</f>
        <v>0</v>
      </c>
      <c r="K40" s="136">
        <f>'Бюджет затрат (ориентир.)'!H67</f>
        <v>0</v>
      </c>
      <c r="L40" s="136">
        <f>'Бюджет затрат (ориентир.)'!I67</f>
        <v>0</v>
      </c>
      <c r="M40" s="136">
        <f>'Бюджет затрат (ориентир.)'!J67</f>
        <v>0</v>
      </c>
      <c r="N40" s="136">
        <f>'Бюджет затрат (ориентир.)'!K67</f>
        <v>0</v>
      </c>
      <c r="O40" s="136">
        <f>'Бюджет затрат (ориентир.)'!L67</f>
        <v>0</v>
      </c>
      <c r="P40" s="137">
        <f>'Бюджет затрат (ориентир.)'!M67</f>
        <v>0</v>
      </c>
    </row>
    <row r="41" spans="1:16" s="421" customFormat="1" outlineLevel="1" x14ac:dyDescent="0.35">
      <c r="A41" s="135" t="s">
        <v>237</v>
      </c>
      <c r="B41" s="97" t="s">
        <v>167</v>
      </c>
      <c r="C41" s="127"/>
      <c r="D41" s="128"/>
      <c r="E41" s="136">
        <f>'Бюджет затрат (ориентир.)'!B68</f>
        <v>1E-4</v>
      </c>
      <c r="F41" s="136">
        <f>'Бюджет затрат (ориентир.)'!C68</f>
        <v>1E-4</v>
      </c>
      <c r="G41" s="136">
        <f>'Бюджет затрат (ориентир.)'!D68</f>
        <v>1E-4</v>
      </c>
      <c r="H41" s="136">
        <f>'Бюджет затрат (ориентир.)'!E68</f>
        <v>1E-4</v>
      </c>
      <c r="I41" s="136">
        <f>'Бюджет затрат (ориентир.)'!F68</f>
        <v>1E-4</v>
      </c>
      <c r="J41" s="136">
        <f>'Бюджет затрат (ориентир.)'!G68</f>
        <v>1E-4</v>
      </c>
      <c r="K41" s="136">
        <f>'Бюджет затрат (ориентир.)'!H68</f>
        <v>1E-4</v>
      </c>
      <c r="L41" s="136">
        <f>'Бюджет затрат (ориентир.)'!I68</f>
        <v>1E-4</v>
      </c>
      <c r="M41" s="136">
        <f>'Бюджет затрат (ориентир.)'!J68</f>
        <v>1E-4</v>
      </c>
      <c r="N41" s="136">
        <f>'Бюджет затрат (ориентир.)'!K68</f>
        <v>1E-4</v>
      </c>
      <c r="O41" s="136">
        <f>'Бюджет затрат (ориентир.)'!L68</f>
        <v>1E-4</v>
      </c>
      <c r="P41" s="137">
        <f>'Бюджет затрат (ориентир.)'!M68</f>
        <v>1E-4</v>
      </c>
    </row>
    <row r="42" spans="1:16" s="421" customFormat="1" outlineLevel="1" x14ac:dyDescent="0.35">
      <c r="A42" s="135" t="s">
        <v>238</v>
      </c>
      <c r="B42" s="138" t="s">
        <v>168</v>
      </c>
      <c r="C42" s="127"/>
      <c r="D42" s="128"/>
      <c r="E42" s="136">
        <f>'Бюджет затрат (ориентир.)'!B69</f>
        <v>1.35E-2</v>
      </c>
      <c r="F42" s="136">
        <f>'Бюджет затрат (ориентир.)'!C69</f>
        <v>1.32E-2</v>
      </c>
      <c r="G42" s="136">
        <f>'Бюджет затрат (ориентир.)'!D69</f>
        <v>1.32E-2</v>
      </c>
      <c r="H42" s="136">
        <f>'Бюджет затрат (ориентир.)'!E69</f>
        <v>1.34E-2</v>
      </c>
      <c r="I42" s="136">
        <f>'Бюджет затрат (ориентир.)'!F69</f>
        <v>1.3599999999999999E-2</v>
      </c>
      <c r="J42" s="136">
        <f>'Бюджет затрат (ориентир.)'!G69</f>
        <v>1.15E-2</v>
      </c>
      <c r="K42" s="136">
        <f>'Бюджет затрат (ориентир.)'!H69</f>
        <v>1.2200000000000001E-2</v>
      </c>
      <c r="L42" s="136">
        <f>'Бюджет затрат (ориентир.)'!I69</f>
        <v>1.04E-2</v>
      </c>
      <c r="M42" s="136">
        <f>'Бюджет затрат (ориентир.)'!J69</f>
        <v>1.5900000000000001E-2</v>
      </c>
      <c r="N42" s="136">
        <f>'Бюджет затрат (ориентир.)'!K69</f>
        <v>1.4E-2</v>
      </c>
      <c r="O42" s="136">
        <f>'Бюджет затрат (ориентир.)'!L69</f>
        <v>1.52E-2</v>
      </c>
      <c r="P42" s="137">
        <f>'Бюджет затрат (ориентир.)'!M69</f>
        <v>1.23E-2</v>
      </c>
    </row>
    <row r="43" spans="1:16" s="421" customFormat="1" x14ac:dyDescent="0.35">
      <c r="A43" s="120" t="s">
        <v>239</v>
      </c>
      <c r="B43" s="91" t="s">
        <v>432</v>
      </c>
      <c r="C43" s="127">
        <f t="shared" si="3"/>
        <v>83631.328800000018</v>
      </c>
      <c r="D43" s="128">
        <f t="shared" si="1"/>
        <v>4.3141666666666667E-3</v>
      </c>
      <c r="E43" s="129">
        <f>E3*SUM(E44:E47)</f>
        <v>3158.1852000000003</v>
      </c>
      <c r="F43" s="129">
        <f>F3*SUM(F44:F47)</f>
        <v>13658.545200000002</v>
      </c>
      <c r="G43" s="129">
        <f>G3*SUM(G44:G47)</f>
        <v>19992.685440000001</v>
      </c>
      <c r="H43" s="129">
        <f>H3*SUM(H44:H47)</f>
        <v>2100.0720000000001</v>
      </c>
      <c r="I43" s="129">
        <f>I3*SUM(I44:I47)</f>
        <v>1783.4457600000003</v>
      </c>
      <c r="J43" s="129">
        <f>J3*SUM(J44:J47)</f>
        <v>2444.1607200000008</v>
      </c>
      <c r="K43" s="129">
        <f>K3*SUM(K44:K47)</f>
        <v>1967.6059200000004</v>
      </c>
      <c r="L43" s="129">
        <f>L3*SUM(L44:L47)</f>
        <v>949.87872000000016</v>
      </c>
      <c r="M43" s="129">
        <f>M3*SUM(M44:M47)</f>
        <v>2377.9276800000002</v>
      </c>
      <c r="N43" s="129">
        <f>N3*SUM(N44:N47)</f>
        <v>1534.6680000000003</v>
      </c>
      <c r="O43" s="129">
        <f>O3*SUM(O44:O47)</f>
        <v>1759.2141600000002</v>
      </c>
      <c r="P43" s="130">
        <f>P3*SUM(P44:P47)</f>
        <v>31904.940000000006</v>
      </c>
    </row>
    <row r="44" spans="1:16" s="421" customFormat="1" outlineLevel="1" x14ac:dyDescent="0.35">
      <c r="A44" s="135" t="s">
        <v>240</v>
      </c>
      <c r="B44" s="138" t="s">
        <v>169</v>
      </c>
      <c r="C44" s="127"/>
      <c r="D44" s="128"/>
      <c r="E44" s="136">
        <f>'Бюджет затрат (ориентир.)'!B73</f>
        <v>0</v>
      </c>
      <c r="F44" s="136">
        <f>'Бюджет затрат (ориентир.)'!C73</f>
        <v>7.9000000000000008E-3</v>
      </c>
      <c r="G44" s="136">
        <f>'Бюджет затрат (ориентир.)'!D73</f>
        <v>9.2999999999999992E-3</v>
      </c>
      <c r="H44" s="136">
        <f>'Бюджет затрат (ориентир.)'!E73</f>
        <v>0</v>
      </c>
      <c r="I44" s="136">
        <f>'Бюджет затрат (ориентир.)'!F73</f>
        <v>0</v>
      </c>
      <c r="J44" s="136">
        <f>'Бюджет затрат (ориентир.)'!G73</f>
        <v>0</v>
      </c>
      <c r="K44" s="136">
        <f>'Бюджет затрат (ориентир.)'!H73</f>
        <v>0</v>
      </c>
      <c r="L44" s="136">
        <f>'Бюджет затрат (ориентир.)'!I73</f>
        <v>0</v>
      </c>
      <c r="M44" s="136">
        <f>'Бюджет затрат (ориентир.)'!J73</f>
        <v>0</v>
      </c>
      <c r="N44" s="136">
        <f>'Бюджет затрат (ориентир.)'!K73</f>
        <v>0</v>
      </c>
      <c r="O44" s="136">
        <f>'Бюджет затрат (ориентир.)'!L73</f>
        <v>0</v>
      </c>
      <c r="P44" s="137">
        <f>'Бюджет затрат (ориентир.)'!M73</f>
        <v>1.21E-2</v>
      </c>
    </row>
    <row r="45" spans="1:16" s="421" customFormat="1" outlineLevel="1" x14ac:dyDescent="0.35">
      <c r="A45" s="135" t="s">
        <v>241</v>
      </c>
      <c r="B45" s="138" t="s">
        <v>170</v>
      </c>
      <c r="C45" s="127"/>
      <c r="D45" s="128"/>
      <c r="E45" s="136">
        <f>'Бюджет затрат (ориентир.)'!B74</f>
        <v>0</v>
      </c>
      <c r="F45" s="136">
        <f>'Бюджет затрат (ориентир.)'!C74</f>
        <v>0</v>
      </c>
      <c r="G45" s="136">
        <f>'Бюджет затрат (ориентир.)'!D74</f>
        <v>0</v>
      </c>
      <c r="H45" s="136">
        <f>'Бюджет затрат (ориентир.)'!E74</f>
        <v>0</v>
      </c>
      <c r="I45" s="136">
        <f>'Бюджет затрат (ориентир.)'!F74</f>
        <v>0</v>
      </c>
      <c r="J45" s="136">
        <f>'Бюджет затрат (ориентир.)'!G74</f>
        <v>0</v>
      </c>
      <c r="K45" s="136">
        <f>'Бюджет затрат (ориентир.)'!H74</f>
        <v>0</v>
      </c>
      <c r="L45" s="136">
        <f>'Бюджет затрат (ориентир.)'!I74</f>
        <v>0</v>
      </c>
      <c r="M45" s="136">
        <f>'Бюджет затрат (ориентир.)'!J74</f>
        <v>0</v>
      </c>
      <c r="N45" s="136">
        <f>'Бюджет затрат (ориентир.)'!K74</f>
        <v>0</v>
      </c>
      <c r="O45" s="136">
        <f>'Бюджет затрат (ориентир.)'!L74</f>
        <v>0</v>
      </c>
      <c r="P45" s="137">
        <f>'Бюджет затрат (ориентир.)'!M74</f>
        <v>1.8E-3</v>
      </c>
    </row>
    <row r="46" spans="1:16" s="421" customFormat="1" outlineLevel="1" x14ac:dyDescent="0.35">
      <c r="A46" s="135" t="s">
        <v>242</v>
      </c>
      <c r="B46" s="138" t="s">
        <v>171</v>
      </c>
      <c r="C46" s="127"/>
      <c r="D46" s="128"/>
      <c r="E46" s="136">
        <f>'Бюджет затрат (ориентир.)'!B75</f>
        <v>2.9999999999999997E-4</v>
      </c>
      <c r="F46" s="136">
        <f>'Бюджет затрат (ориентир.)'!C75</f>
        <v>4.0000000000000002E-4</v>
      </c>
      <c r="G46" s="136">
        <f>'Бюджет затрат (ориентир.)'!D75</f>
        <v>2.0000000000000001E-4</v>
      </c>
      <c r="H46" s="136">
        <f>'Бюджет затрат (ориентир.)'!E75</f>
        <v>1E-4</v>
      </c>
      <c r="I46" s="136">
        <f>'Бюджет затрат (ориентир.)'!F75</f>
        <v>0</v>
      </c>
      <c r="J46" s="136">
        <f>'Бюджет затрат (ориентир.)'!G75</f>
        <v>6.9999999999999999E-4</v>
      </c>
      <c r="K46" s="136">
        <f>'Бюджет затрат (ориентир.)'!H75</f>
        <v>2.9999999999999997E-4</v>
      </c>
      <c r="L46" s="136">
        <f>'Бюджет затрат (ориентир.)'!I75</f>
        <v>1E-4</v>
      </c>
      <c r="M46" s="136">
        <f>'Бюджет затрат (ориентир.)'!J75</f>
        <v>5.9999999999999995E-4</v>
      </c>
      <c r="N46" s="136">
        <f>'Бюджет затрат (ориентир.)'!K75</f>
        <v>0</v>
      </c>
      <c r="O46" s="136">
        <f>'Бюджет затрат (ориентир.)'!L75</f>
        <v>5.0000000000000001E-4</v>
      </c>
      <c r="P46" s="137">
        <f>'Бюджет затрат (ориентир.)'!M75</f>
        <v>1E-3</v>
      </c>
    </row>
    <row r="47" spans="1:16" s="421" customFormat="1" outlineLevel="1" x14ac:dyDescent="0.35">
      <c r="A47" s="135" t="s">
        <v>243</v>
      </c>
      <c r="B47" s="138" t="s">
        <v>172</v>
      </c>
      <c r="C47" s="127"/>
      <c r="D47" s="128"/>
      <c r="E47" s="136">
        <f>'Бюджет затрат (ориентир.)'!B76</f>
        <v>1.4E-3</v>
      </c>
      <c r="F47" s="136">
        <f>'Бюджет затрат (ориентир.)'!C76</f>
        <v>1.1999999999999999E-3</v>
      </c>
      <c r="G47" s="136">
        <f>'Бюджет затрат (ориентир.)'!D76</f>
        <v>8.9999999999999998E-4</v>
      </c>
      <c r="H47" s="136">
        <f>'Бюджет затрат (ориентир.)'!E76</f>
        <v>1.1999999999999999E-3</v>
      </c>
      <c r="I47" s="136">
        <f>'Бюджет затрат (ориентир.)'!F76</f>
        <v>1.1999999999999999E-3</v>
      </c>
      <c r="J47" s="136">
        <f>'Бюджет затрат (ориентир.)'!G76</f>
        <v>1E-3</v>
      </c>
      <c r="K47" s="136">
        <f>'Бюджет затрат (ориентир.)'!H76</f>
        <v>1.1000000000000001E-3</v>
      </c>
      <c r="L47" s="136">
        <f>'Бюджет затрат (ориентир.)'!I76</f>
        <v>5.0000000000000001E-4</v>
      </c>
      <c r="M47" s="136">
        <f>'Бюджет затрат (ориентир.)'!J76</f>
        <v>1E-3</v>
      </c>
      <c r="N47" s="136">
        <f>'Бюджет затрат (ориентир.)'!K76</f>
        <v>1E-3</v>
      </c>
      <c r="O47" s="136">
        <f>'Бюджет затрат (ориентир.)'!L76</f>
        <v>5.9999999999999995E-4</v>
      </c>
      <c r="P47" s="137">
        <f>'Бюджет затрат (ориентир.)'!M76</f>
        <v>8.9999999999999998E-4</v>
      </c>
    </row>
    <row r="48" spans="1:16" s="421" customFormat="1" x14ac:dyDescent="0.35">
      <c r="A48" s="120" t="s">
        <v>244</v>
      </c>
      <c r="B48" s="91" t="s">
        <v>433</v>
      </c>
      <c r="C48" s="127">
        <f t="shared" si="3"/>
        <v>4290.6086400000013</v>
      </c>
      <c r="D48" s="128">
        <f t="shared" si="1"/>
        <v>2.2133333333333336E-4</v>
      </c>
      <c r="E48" s="129">
        <f>E3*SUM(E49:E52)</f>
        <v>0</v>
      </c>
      <c r="F48" s="129">
        <f>F3*SUM(F49:F52)</f>
        <v>0</v>
      </c>
      <c r="G48" s="129">
        <f>G3*SUM(G49:G52)</f>
        <v>0</v>
      </c>
      <c r="H48" s="129">
        <f>H3*SUM(H49:H52)</f>
        <v>0</v>
      </c>
      <c r="I48" s="129">
        <f>I3*SUM(I49:I52)</f>
        <v>0</v>
      </c>
      <c r="J48" s="129">
        <f>J3*SUM(J49:J52)</f>
        <v>0</v>
      </c>
      <c r="K48" s="129">
        <f>K3*SUM(K49:K52)</f>
        <v>0</v>
      </c>
      <c r="L48" s="129">
        <f>L3*SUM(L49:L52)</f>
        <v>2691.3230400000007</v>
      </c>
      <c r="M48" s="129">
        <f>M3*SUM(M49:M52)</f>
        <v>0</v>
      </c>
      <c r="N48" s="129">
        <f>N3*SUM(N49:N52)</f>
        <v>0</v>
      </c>
      <c r="O48" s="129">
        <f>O3*SUM(O49:O52)</f>
        <v>1599.2856000000004</v>
      </c>
      <c r="P48" s="130">
        <f>P3*SUM(P49:P52)*Операционный!O66</f>
        <v>0</v>
      </c>
    </row>
    <row r="49" spans="1:16" s="421" customFormat="1" outlineLevel="1" x14ac:dyDescent="0.35">
      <c r="A49" s="135" t="s">
        <v>192</v>
      </c>
      <c r="B49" s="97" t="s">
        <v>173</v>
      </c>
      <c r="C49" s="127"/>
      <c r="D49" s="128"/>
      <c r="E49" s="136">
        <f>'Бюджет затрат (ориентир.)'!B81</f>
        <v>0</v>
      </c>
      <c r="F49" s="136">
        <f>'Бюджет затрат (ориентир.)'!C81</f>
        <v>0</v>
      </c>
      <c r="G49" s="136">
        <f>'Бюджет затрат (ориентир.)'!D81</f>
        <v>0</v>
      </c>
      <c r="H49" s="136">
        <f>'Бюджет затрат (ориентир.)'!E81</f>
        <v>0</v>
      </c>
      <c r="I49" s="136">
        <f>'Бюджет затрат (ориентир.)'!F81</f>
        <v>0</v>
      </c>
      <c r="J49" s="136">
        <f>'Бюджет затрат (ориентир.)'!G81</f>
        <v>0</v>
      </c>
      <c r="K49" s="136">
        <f>'Бюджет затрат (ориентир.)'!H81</f>
        <v>0</v>
      </c>
      <c r="L49" s="136">
        <f>'Бюджет затрат (ориентир.)'!I81</f>
        <v>8.9999999999999998E-4</v>
      </c>
      <c r="M49" s="136">
        <f>'Бюджет затрат (ориентир.)'!J81</f>
        <v>0</v>
      </c>
      <c r="N49" s="136">
        <f>'Бюджет затрат (ориентир.)'!K81</f>
        <v>0</v>
      </c>
      <c r="O49" s="136">
        <f>'Бюджет затрат (ориентир.)'!L81</f>
        <v>5.0000000000000001E-4</v>
      </c>
      <c r="P49" s="137">
        <f>'Бюджет затрат (ориентир.)'!M81</f>
        <v>0</v>
      </c>
    </row>
    <row r="50" spans="1:16" s="421" customFormat="1" outlineLevel="1" x14ac:dyDescent="0.35">
      <c r="A50" s="135" t="s">
        <v>193</v>
      </c>
      <c r="B50" s="97" t="s">
        <v>174</v>
      </c>
      <c r="C50" s="127"/>
      <c r="D50" s="128"/>
      <c r="E50" s="136">
        <f>'Бюджет затрат (ориентир.)'!B82</f>
        <v>0</v>
      </c>
      <c r="F50" s="136">
        <f>'Бюджет затрат (ориентир.)'!C82</f>
        <v>0</v>
      </c>
      <c r="G50" s="136">
        <f>'Бюджет затрат (ориентир.)'!D82</f>
        <v>0</v>
      </c>
      <c r="H50" s="136">
        <f>'Бюджет затрат (ориентир.)'!E82</f>
        <v>0</v>
      </c>
      <c r="I50" s="136">
        <f>'Бюджет затрат (ориентир.)'!F82</f>
        <v>0</v>
      </c>
      <c r="J50" s="136">
        <f>'Бюджет затрат (ориентир.)'!G82</f>
        <v>0</v>
      </c>
      <c r="K50" s="136">
        <f>'Бюджет затрат (ориентир.)'!H82</f>
        <v>0</v>
      </c>
      <c r="L50" s="136">
        <f>'Бюджет затрат (ориентир.)'!I82</f>
        <v>8.0000000000000004E-4</v>
      </c>
      <c r="M50" s="136">
        <f>'Бюджет затрат (ориентир.)'!J82</f>
        <v>0</v>
      </c>
      <c r="N50" s="136">
        <f>'Бюджет затрат (ориентир.)'!K82</f>
        <v>0</v>
      </c>
      <c r="O50" s="136">
        <f>'Бюджет затрат (ориентир.)'!L82</f>
        <v>0</v>
      </c>
      <c r="P50" s="137">
        <f>'Бюджет затрат (ориентир.)'!M82</f>
        <v>0</v>
      </c>
    </row>
    <row r="51" spans="1:16" s="421" customFormat="1" outlineLevel="1" x14ac:dyDescent="0.35">
      <c r="A51" s="135" t="s">
        <v>245</v>
      </c>
      <c r="B51" s="97" t="s">
        <v>175</v>
      </c>
      <c r="C51" s="127"/>
      <c r="D51" s="128"/>
      <c r="E51" s="136">
        <f>'Бюджет затрат (ориентир.)'!B83</f>
        <v>0</v>
      </c>
      <c r="F51" s="136">
        <f>'Бюджет затрат (ориентир.)'!C83</f>
        <v>0</v>
      </c>
      <c r="G51" s="136">
        <f>'Бюджет затрат (ориентир.)'!D83</f>
        <v>0</v>
      </c>
      <c r="H51" s="136">
        <f>'Бюджет затрат (ориентир.)'!E83</f>
        <v>0</v>
      </c>
      <c r="I51" s="136">
        <f>'Бюджет затрат (ориентир.)'!F83</f>
        <v>0</v>
      </c>
      <c r="J51" s="136">
        <f>'Бюджет затрат (ориентир.)'!G83</f>
        <v>0</v>
      </c>
      <c r="K51" s="136">
        <f>'Бюджет затрат (ориентир.)'!H83</f>
        <v>0</v>
      </c>
      <c r="L51" s="136">
        <f>'Бюджет затрат (ориентир.)'!I83</f>
        <v>0</v>
      </c>
      <c r="M51" s="136">
        <f>'Бюджет затрат (ориентир.)'!J83</f>
        <v>0</v>
      </c>
      <c r="N51" s="136">
        <f>'Бюджет затрат (ориентир.)'!K83</f>
        <v>0</v>
      </c>
      <c r="O51" s="136">
        <f>'Бюджет затрат (ориентир.)'!L83</f>
        <v>5.0000000000000001E-4</v>
      </c>
      <c r="P51" s="137">
        <f>'Бюджет затрат (ориентир.)'!M83</f>
        <v>0</v>
      </c>
    </row>
    <row r="52" spans="1:16" s="421" customFormat="1" outlineLevel="1" x14ac:dyDescent="0.35">
      <c r="A52" s="135" t="s">
        <v>246</v>
      </c>
      <c r="B52" s="97" t="s">
        <v>176</v>
      </c>
      <c r="C52" s="127"/>
      <c r="D52" s="128"/>
      <c r="E52" s="136">
        <f>'Бюджет затрат (ориентир.)'!B84</f>
        <v>0</v>
      </c>
      <c r="F52" s="136">
        <f>'Бюджет затрат (ориентир.)'!C84</f>
        <v>0</v>
      </c>
      <c r="G52" s="136">
        <f>'Бюджет затрат (ориентир.)'!D84</f>
        <v>0</v>
      </c>
      <c r="H52" s="136">
        <f>'Бюджет затрат (ориентир.)'!E84</f>
        <v>0</v>
      </c>
      <c r="I52" s="136">
        <f>'Бюджет затрат (ориентир.)'!F84</f>
        <v>0</v>
      </c>
      <c r="J52" s="136">
        <f>'Бюджет затрат (ориентир.)'!G84</f>
        <v>0</v>
      </c>
      <c r="K52" s="136">
        <f>'Бюджет затрат (ориентир.)'!H84</f>
        <v>0</v>
      </c>
      <c r="L52" s="136">
        <f>'Бюджет затрат (ориентир.)'!I84</f>
        <v>0</v>
      </c>
      <c r="M52" s="136">
        <f>'Бюджет затрат (ориентир.)'!J84</f>
        <v>0</v>
      </c>
      <c r="N52" s="136">
        <f>'Бюджет затрат (ориентир.)'!K84</f>
        <v>0</v>
      </c>
      <c r="O52" s="136">
        <f>'Бюджет затрат (ориентир.)'!L84</f>
        <v>0</v>
      </c>
      <c r="P52" s="137">
        <f>'Бюджет затрат (ориентир.)'!M84</f>
        <v>0</v>
      </c>
    </row>
    <row r="53" spans="1:16" s="421" customFormat="1" x14ac:dyDescent="0.35">
      <c r="A53" s="120" t="s">
        <v>247</v>
      </c>
      <c r="B53" s="91" t="s">
        <v>434</v>
      </c>
      <c r="C53" s="127">
        <f t="shared" si="3"/>
        <v>234578.04240000009</v>
      </c>
      <c r="D53" s="128">
        <f t="shared" si="1"/>
        <v>1.2100833333333335E-2</v>
      </c>
      <c r="E53" s="129">
        <f>E3*SUM(E54:E57)</f>
        <v>25079.705999999998</v>
      </c>
      <c r="F53" s="129">
        <f>F3*SUM(F54:F57)*Операционный!E66</f>
        <v>0</v>
      </c>
      <c r="G53" s="129">
        <f>G3*SUM(G54:G57)*Операционный!F66</f>
        <v>25183.094160000001</v>
      </c>
      <c r="H53" s="129">
        <f>H3*SUM(H54:H57)*Операционный!G66</f>
        <v>21646.896000000004</v>
      </c>
      <c r="I53" s="129">
        <f>I3*SUM(I54:I57)*Операционный!H66</f>
        <v>18577.560000000005</v>
      </c>
      <c r="J53" s="129">
        <f>J3*SUM(J54:J57)*Операционный!I66</f>
        <v>16390.254240000006</v>
      </c>
      <c r="K53" s="129">
        <f>K3*SUM(K54:K57)*Операционный!J66</f>
        <v>17286.82344</v>
      </c>
      <c r="L53" s="129">
        <f>L3*SUM(L54:L57)*Операционный!K66</f>
        <v>16939.503840000005</v>
      </c>
      <c r="M53" s="129">
        <f>M3*SUM(M54:M57)*Операционный!L66</f>
        <v>23482.035840000008</v>
      </c>
      <c r="N53" s="129">
        <f>N3*SUM(N54:N57)*Операционный!M66</f>
        <v>21485.352000000003</v>
      </c>
      <c r="O53" s="129">
        <f>O3*SUM(O54:O57)*Операционный!N66</f>
        <v>23669.426880000006</v>
      </c>
      <c r="P53" s="130">
        <f>P3*SUM(P54:P57)</f>
        <v>24837.390000000003</v>
      </c>
    </row>
    <row r="54" spans="1:16" s="421" customFormat="1" outlineLevel="1" x14ac:dyDescent="0.35">
      <c r="A54" s="135" t="s">
        <v>194</v>
      </c>
      <c r="B54" s="99" t="s">
        <v>178</v>
      </c>
      <c r="C54" s="127"/>
      <c r="D54" s="128"/>
      <c r="E54" s="136">
        <f>'Бюджет затрат (ориентир.)'!B89</f>
        <v>6.9999999999999999E-4</v>
      </c>
      <c r="F54" s="136">
        <f>'Бюджет затрат (ориентир.)'!C89</f>
        <v>8.0000000000000004E-4</v>
      </c>
      <c r="G54" s="136">
        <f>'Бюджет затрат (ориентир.)'!D89</f>
        <v>5.0000000000000001E-4</v>
      </c>
      <c r="H54" s="136">
        <f>'Бюджет затрат (ориентир.)'!E89</f>
        <v>1E-3</v>
      </c>
      <c r="I54" s="136">
        <f>'Бюджет затрат (ориентир.)'!F89</f>
        <v>8.9999999999999998E-4</v>
      </c>
      <c r="J54" s="136">
        <f>'Бюджет затрат (ориентир.)'!G89</f>
        <v>6.9999999999999999E-4</v>
      </c>
      <c r="K54" s="136">
        <f>'Бюджет затрат (ориентир.)'!H89</f>
        <v>5.9999999999999995E-4</v>
      </c>
      <c r="L54" s="136">
        <f>'Бюджет затрат (ориентир.)'!I89</f>
        <v>4.0000000000000002E-4</v>
      </c>
      <c r="M54" s="136">
        <f>'Бюджет затрат (ориентир.)'!J89</f>
        <v>5.9999999999999995E-4</v>
      </c>
      <c r="N54" s="136">
        <f>'Бюджет затрат (ориентир.)'!K89</f>
        <v>5.0000000000000001E-4</v>
      </c>
      <c r="O54" s="136">
        <f>'Бюджет затрат (ориентир.)'!L89</f>
        <v>5.9999999999999995E-4</v>
      </c>
      <c r="P54" s="137">
        <f>'Бюджет затрат (ориентир.)'!M89</f>
        <v>4.0000000000000002E-4</v>
      </c>
    </row>
    <row r="55" spans="1:16" s="421" customFormat="1" outlineLevel="1" x14ac:dyDescent="0.35">
      <c r="A55" s="135" t="s">
        <v>195</v>
      </c>
      <c r="B55" s="99" t="s">
        <v>179</v>
      </c>
      <c r="C55" s="127"/>
      <c r="D55" s="128"/>
      <c r="E55" s="136">
        <f>'Бюджет затрат (ориентир.)'!B90</f>
        <v>3.5000000000000001E-3</v>
      </c>
      <c r="F55" s="136">
        <f>'Бюджет затрат (ориентир.)'!C90</f>
        <v>3.7000000000000002E-3</v>
      </c>
      <c r="G55" s="136">
        <f>'Бюджет затрат (ориентир.)'!D90</f>
        <v>5.3E-3</v>
      </c>
      <c r="H55" s="136">
        <f>'Бюджет затрат (ориентир.)'!E90</f>
        <v>3.3E-3</v>
      </c>
      <c r="I55" s="136">
        <f>'Бюджет затрат (ориентир.)'!F90</f>
        <v>3.3E-3</v>
      </c>
      <c r="J55" s="136">
        <f>'Бюджет затрат (ориентир.)'!G90</f>
        <v>3.0000000000000001E-3</v>
      </c>
      <c r="K55" s="136">
        <f>'Бюджет затрат (ориентир.)'!H90</f>
        <v>2.3999999999999998E-3</v>
      </c>
      <c r="L55" s="136">
        <f>'Бюджет затрат (ориентир.)'!I90</f>
        <v>2.3E-3</v>
      </c>
      <c r="M55" s="136">
        <f>'Бюджет затрат (ориентир.)'!J90</f>
        <v>8.0999999999999996E-3</v>
      </c>
      <c r="N55" s="136">
        <f>'Бюджет затрат (ориентир.)'!K90</f>
        <v>4.5999999999999999E-3</v>
      </c>
      <c r="O55" s="136">
        <f>'Бюджет затрат (ориентир.)'!L90</f>
        <v>5.1000000000000004E-3</v>
      </c>
      <c r="P55" s="137">
        <f>'Бюджет затрат (ориентир.)'!M90</f>
        <v>4.1999999999999997E-3</v>
      </c>
    </row>
    <row r="56" spans="1:16" s="421" customFormat="1" outlineLevel="1" x14ac:dyDescent="0.35">
      <c r="A56" s="135" t="s">
        <v>196</v>
      </c>
      <c r="B56" s="99" t="s">
        <v>180</v>
      </c>
      <c r="C56" s="127"/>
      <c r="D56" s="128"/>
      <c r="E56" s="136">
        <f>'Бюджет затрат (ориентир.)'!B91</f>
        <v>0</v>
      </c>
      <c r="F56" s="136">
        <f>'Бюджет затрат (ориентир.)'!C91</f>
        <v>0</v>
      </c>
      <c r="G56" s="136">
        <f>'Бюджет затрат (ориентир.)'!D91</f>
        <v>0</v>
      </c>
      <c r="H56" s="136">
        <f>'Бюджет затрат (ориентир.)'!E91</f>
        <v>0</v>
      </c>
      <c r="I56" s="136">
        <f>'Бюджет затрат (ориентир.)'!F91</f>
        <v>0</v>
      </c>
      <c r="J56" s="136">
        <f>'Бюджет затрат (ориентир.)'!G91</f>
        <v>0</v>
      </c>
      <c r="K56" s="136">
        <f>'Бюджет затрат (ориентир.)'!H91</f>
        <v>0</v>
      </c>
      <c r="L56" s="136">
        <f>'Бюджет затрат (ориентир.)'!I91</f>
        <v>0</v>
      </c>
      <c r="M56" s="136">
        <f>'Бюджет затрат (ориентир.)'!J91</f>
        <v>0</v>
      </c>
      <c r="N56" s="136">
        <f>'Бюджет затрат (ориентир.)'!K91</f>
        <v>0</v>
      </c>
      <c r="O56" s="136">
        <f>'Бюджет затрат (ориентир.)'!L91</f>
        <v>8.9999999999999998E-4</v>
      </c>
      <c r="P56" s="137">
        <f>'Бюджет затрат (ориентир.)'!M91</f>
        <v>0</v>
      </c>
    </row>
    <row r="57" spans="1:16" s="421" customFormat="1" outlineLevel="1" x14ac:dyDescent="0.35">
      <c r="A57" s="135" t="s">
        <v>197</v>
      </c>
      <c r="B57" s="99" t="s">
        <v>181</v>
      </c>
      <c r="C57" s="127"/>
      <c r="D57" s="128"/>
      <c r="E57" s="136">
        <f>'Бюджет затрат (ориентир.)'!B92</f>
        <v>9.2999999999999992E-3</v>
      </c>
      <c r="F57" s="136">
        <f>'Бюджет затрат (ориентир.)'!C92</f>
        <v>8.6999999999999994E-3</v>
      </c>
      <c r="G57" s="136">
        <f>'Бюджет затрат (ориентир.)'!D92</f>
        <v>7.3000000000000001E-3</v>
      </c>
      <c r="H57" s="136">
        <f>'Бюджет затрат (ориентир.)'!E92</f>
        <v>9.1000000000000004E-3</v>
      </c>
      <c r="I57" s="136">
        <f>'Бюджет затрат (ориентир.)'!F92</f>
        <v>8.3000000000000001E-3</v>
      </c>
      <c r="J57" s="136">
        <f>'Бюджет затрат (ориентир.)'!G92</f>
        <v>7.7000000000000002E-3</v>
      </c>
      <c r="K57" s="136">
        <f>'Бюджет затрат (ориентир.)'!H92</f>
        <v>9.2999999999999992E-3</v>
      </c>
      <c r="L57" s="136">
        <f>'Бюджет затрат (ориентир.)'!I92</f>
        <v>8.0000000000000002E-3</v>
      </c>
      <c r="M57" s="136">
        <f>'Бюджет затрат (ориентир.)'!J92</f>
        <v>7.1000000000000004E-3</v>
      </c>
      <c r="N57" s="136">
        <f>'Бюджет затрат (ориентир.)'!K92</f>
        <v>8.8999999999999999E-3</v>
      </c>
      <c r="O57" s="136">
        <f>'Бюджет затрат (ориентир.)'!L92</f>
        <v>8.2000000000000007E-3</v>
      </c>
      <c r="P57" s="137">
        <f>'Бюджет затрат (ориентир.)'!M92</f>
        <v>7.7000000000000002E-3</v>
      </c>
    </row>
    <row r="58" spans="1:16" s="421" customFormat="1" x14ac:dyDescent="0.35">
      <c r="A58" s="120" t="s">
        <v>248</v>
      </c>
      <c r="B58" s="91" t="s">
        <v>435</v>
      </c>
      <c r="C58" s="127">
        <f t="shared" si="3"/>
        <v>757389.3513600002</v>
      </c>
      <c r="D58" s="128">
        <f t="shared" si="1"/>
        <v>3.9070333333333339E-2</v>
      </c>
      <c r="E58" s="129">
        <f>E3*SUM(E59:E63)</f>
        <v>74124.464400000012</v>
      </c>
      <c r="F58" s="129">
        <f>F3*SUM(F59:F63)</f>
        <v>56790.793200000015</v>
      </c>
      <c r="G58" s="129">
        <f>G3*SUM(G59:G63)</f>
        <v>73819.146240000016</v>
      </c>
      <c r="H58" s="129">
        <f>H3*SUM(H59:H63)</f>
        <v>64132.968000000008</v>
      </c>
      <c r="I58" s="129">
        <f>I3*SUM(I59:I63)</f>
        <v>58853.710080000019</v>
      </c>
      <c r="J58" s="129">
        <f>J3*SUM(J59:J63)</f>
        <v>57797.212320000013</v>
      </c>
      <c r="K58" s="129">
        <f>K3*SUM(K59:K63)</f>
        <v>55374.05232000001</v>
      </c>
      <c r="L58" s="129">
        <f>L3*SUM(L59:L63)</f>
        <v>63166.934880000015</v>
      </c>
      <c r="M58" s="129">
        <f>M3*SUM(M59:M63)</f>
        <v>57367.505280000005</v>
      </c>
      <c r="N58" s="129">
        <f>N3*SUM(N59:N63)</f>
        <v>58624.317600000017</v>
      </c>
      <c r="O58" s="129">
        <f>O3*SUM(O59:O63)</f>
        <v>61412.567040000016</v>
      </c>
      <c r="P58" s="130">
        <f>P3*SUM(P59:P63)</f>
        <v>75925.680000000008</v>
      </c>
    </row>
    <row r="59" spans="1:16" s="421" customFormat="1" outlineLevel="1" x14ac:dyDescent="0.35">
      <c r="A59" s="135" t="s">
        <v>198</v>
      </c>
      <c r="B59" s="138" t="s">
        <v>182</v>
      </c>
      <c r="C59" s="127"/>
      <c r="D59" s="128"/>
      <c r="E59" s="139">
        <f>'Бюджет затрат (ориентир.)'!B97</f>
        <v>3.2500000000000001E-2</v>
      </c>
      <c r="F59" s="139">
        <f>'Бюджет затрат (ориентир.)'!C97</f>
        <v>3.2399999999999998E-2</v>
      </c>
      <c r="G59" s="139">
        <f>'Бюджет затрат (ориентир.)'!D97</f>
        <v>3.2300000000000002E-2</v>
      </c>
      <c r="H59" s="139">
        <f>'Бюджет затрат (ориентир.)'!E97</f>
        <v>3.2800000000000003E-2</v>
      </c>
      <c r="I59" s="139">
        <f>'Бюджет затрат (ориентир.)'!F97</f>
        <v>3.2800000000000003E-2</v>
      </c>
      <c r="J59" s="139">
        <f>'Бюджет затрат (ориентир.)'!G97</f>
        <v>3.2399999999999998E-2</v>
      </c>
      <c r="K59" s="139">
        <f>'Бюджет затрат (ориентир.)'!H97</f>
        <v>3.2399999999999998E-2</v>
      </c>
      <c r="L59" s="139">
        <f>'Бюджет затрат (ориентир.)'!I97</f>
        <v>3.2300000000000002E-2</v>
      </c>
      <c r="M59" s="139">
        <f>'Бюджет затрат (ориентир.)'!J97</f>
        <v>3.2399999999999998E-2</v>
      </c>
      <c r="N59" s="139">
        <f>'Бюджет затрат (ориентир.)'!K97</f>
        <v>3.2300000000000002E-2</v>
      </c>
      <c r="O59" s="139">
        <f>'Бюджет затрат (ориентир.)'!L97</f>
        <v>3.2300000000000002E-2</v>
      </c>
      <c r="P59" s="140">
        <f>'Бюджет затрат (ориентир.)'!M97</f>
        <v>3.2000000000000001E-2</v>
      </c>
    </row>
    <row r="60" spans="1:16" outlineLevel="1" x14ac:dyDescent="0.35">
      <c r="A60" s="135" t="s">
        <v>199</v>
      </c>
      <c r="B60" s="138" t="s">
        <v>183</v>
      </c>
      <c r="C60" s="127"/>
      <c r="D60" s="128"/>
      <c r="E60" s="139">
        <f>'Бюджет затрат (ориентир.)'!B98</f>
        <v>0</v>
      </c>
      <c r="F60" s="139">
        <f>'Бюджет затрат (ориентир.)'!C98</f>
        <v>0</v>
      </c>
      <c r="G60" s="139">
        <f>'Бюджет затрат (ориентир.)'!D98</f>
        <v>0</v>
      </c>
      <c r="H60" s="139">
        <f>'Бюджет затрат (ориентир.)'!E98</f>
        <v>0</v>
      </c>
      <c r="I60" s="139">
        <f>'Бюджет затрат (ориентир.)'!F98</f>
        <v>0</v>
      </c>
      <c r="J60" s="139">
        <f>'Бюджет затрат (ориентир.)'!G98</f>
        <v>0</v>
      </c>
      <c r="K60" s="139">
        <f>'Бюджет затрат (ориентир.)'!H98</f>
        <v>0</v>
      </c>
      <c r="L60" s="139">
        <f>'Бюджет затрат (ориентир.)'!I98</f>
        <v>0</v>
      </c>
      <c r="M60" s="139">
        <f>'Бюджет затрат (ориентир.)'!J98</f>
        <v>0</v>
      </c>
      <c r="N60" s="139">
        <f>'Бюджет затрат (ориентир.)'!K98</f>
        <v>0</v>
      </c>
      <c r="O60" s="139">
        <f>'Бюджет затрат (ориентир.)'!L98</f>
        <v>0</v>
      </c>
      <c r="P60" s="140">
        <f>'Бюджет затрат (ориентир.)'!M98</f>
        <v>0</v>
      </c>
    </row>
    <row r="61" spans="1:16" outlineLevel="1" x14ac:dyDescent="0.35">
      <c r="A61" s="135" t="s">
        <v>200</v>
      </c>
      <c r="B61" s="138" t="s">
        <v>184</v>
      </c>
      <c r="C61" s="127"/>
      <c r="D61" s="128"/>
      <c r="E61" s="139">
        <f>'Бюджет затрат (ориентир.)'!B99</f>
        <v>0</v>
      </c>
      <c r="F61" s="139">
        <f>'Бюджет затрат (ориентир.)'!C99</f>
        <v>0</v>
      </c>
      <c r="G61" s="139">
        <f>'Бюджет затрат (ориентир.)'!D99</f>
        <v>0</v>
      </c>
      <c r="H61" s="139">
        <f>'Бюджет затрат (ориентир.)'!E99</f>
        <v>0</v>
      </c>
      <c r="I61" s="139">
        <f>'Бюджет затрат (ориентир.)'!F99</f>
        <v>0</v>
      </c>
      <c r="J61" s="139">
        <f>'Бюджет затрат (ориентир.)'!G99</f>
        <v>0</v>
      </c>
      <c r="K61" s="139">
        <f>'Бюджет затрат (ориентир.)'!H99</f>
        <v>0</v>
      </c>
      <c r="L61" s="139">
        <f>'Бюджет затрат (ориентир.)'!I99</f>
        <v>0</v>
      </c>
      <c r="M61" s="139">
        <f>'Бюджет затрат (ориентир.)'!J99</f>
        <v>0</v>
      </c>
      <c r="N61" s="139">
        <f>'Бюджет затрат (ориентир.)'!K99</f>
        <v>0</v>
      </c>
      <c r="O61" s="139">
        <f>'Бюджет затрат (ориентир.)'!L99</f>
        <v>0</v>
      </c>
      <c r="P61" s="140">
        <f>'Бюджет затрат (ориентир.)'!M99</f>
        <v>0</v>
      </c>
    </row>
    <row r="62" spans="1:16" outlineLevel="1" x14ac:dyDescent="0.35">
      <c r="A62" s="135" t="s">
        <v>201</v>
      </c>
      <c r="B62" s="138" t="s">
        <v>185</v>
      </c>
      <c r="C62" s="127"/>
      <c r="D62" s="128"/>
      <c r="E62" s="139">
        <f>'Бюджет затрат (ориентир.)'!B100</f>
        <v>0</v>
      </c>
      <c r="F62" s="139">
        <f>'Бюджет затрат (ориентир.)'!C100</f>
        <v>0</v>
      </c>
      <c r="G62" s="139">
        <f>'Бюджет затрат (ориентир.)'!D100</f>
        <v>0</v>
      </c>
      <c r="H62" s="139">
        <f>'Бюджет затрат (ориентир.)'!E100</f>
        <v>0</v>
      </c>
      <c r="I62" s="139">
        <f>'Бюджет затрат (ориентир.)'!F100</f>
        <v>0</v>
      </c>
      <c r="J62" s="139">
        <f>'Бюджет затрат (ориентир.)'!G100</f>
        <v>0</v>
      </c>
      <c r="K62" s="139">
        <f>'Бюджет затрат (ориентир.)'!H100</f>
        <v>0</v>
      </c>
      <c r="L62" s="139">
        <f>'Бюджет затрат (ориентир.)'!I100</f>
        <v>0</v>
      </c>
      <c r="M62" s="139">
        <f>'Бюджет затрат (ориентир.)'!J100</f>
        <v>0</v>
      </c>
      <c r="N62" s="139">
        <f>'Бюджет затрат (ориентир.)'!K100</f>
        <v>0</v>
      </c>
      <c r="O62" s="139">
        <f>'Бюджет затрат (ориентир.)'!L100</f>
        <v>0</v>
      </c>
      <c r="P62" s="140">
        <f>'Бюджет затрат (ориентир.)'!M100</f>
        <v>0</v>
      </c>
    </row>
    <row r="63" spans="1:16" outlineLevel="1" x14ac:dyDescent="0.35">
      <c r="A63" s="135" t="s">
        <v>249</v>
      </c>
      <c r="B63" s="138" t="s">
        <v>186</v>
      </c>
      <c r="C63" s="127"/>
      <c r="D63" s="128"/>
      <c r="E63" s="139">
        <f>'Бюджет затрат (ориентир.)'!B101</f>
        <v>7.4000000000000003E-3</v>
      </c>
      <c r="F63" s="139">
        <f>'Бюджет затрат (ориентир.)'!C101</f>
        <v>7.1000000000000004E-3</v>
      </c>
      <c r="G63" s="139">
        <f>'Бюджет затрат (ориентир.)'!D101</f>
        <v>6.1000000000000004E-3</v>
      </c>
      <c r="H63" s="139">
        <f>'Бюджет затрат (ориентир.)'!E101</f>
        <v>6.8999999999999999E-3</v>
      </c>
      <c r="I63" s="139">
        <f>'Бюджет затрат (ориентир.)'!F101</f>
        <v>6.7999999999999996E-3</v>
      </c>
      <c r="J63" s="139">
        <f>'Бюджет затрат (ориентир.)'!G101</f>
        <v>7.7999999999999996E-3</v>
      </c>
      <c r="K63" s="139">
        <f>'Бюджет затрат (ориентир.)'!H101</f>
        <v>7.0000000000000001E-3</v>
      </c>
      <c r="L63" s="139">
        <f>'Бюджет затрат (ориентир.)'!I101</f>
        <v>7.6E-3</v>
      </c>
      <c r="M63" s="139">
        <f>'Бюджет затрат (ориентир.)'!J101</f>
        <v>6.1999999999999998E-3</v>
      </c>
      <c r="N63" s="139">
        <f>'Бюджет затрат (ориентир.)'!K101</f>
        <v>5.8999999999999999E-3</v>
      </c>
      <c r="O63" s="139">
        <f>'Бюджет затрат (ориентир.)'!L101</f>
        <v>6.1000000000000004E-3</v>
      </c>
      <c r="P63" s="140">
        <f>'Бюджет затрат (ориентир.)'!M101</f>
        <v>5.5999999999999999E-3</v>
      </c>
    </row>
    <row r="64" spans="1:16" x14ac:dyDescent="0.35">
      <c r="A64" s="120" t="s">
        <v>250</v>
      </c>
      <c r="B64" s="91" t="s">
        <v>470</v>
      </c>
      <c r="C64" s="127">
        <f t="shared" ref="C64" si="4">SUM(E64:P64)</f>
        <v>0</v>
      </c>
      <c r="D64" s="128">
        <f t="shared" ref="D64" si="5">C64/C$3</f>
        <v>0</v>
      </c>
      <c r="E64" s="129">
        <v>0</v>
      </c>
      <c r="F64" s="129">
        <v>0</v>
      </c>
      <c r="G64" s="129">
        <v>0</v>
      </c>
      <c r="H64" s="129">
        <v>0</v>
      </c>
      <c r="I64" s="129">
        <v>0</v>
      </c>
      <c r="J64" s="129">
        <v>0</v>
      </c>
      <c r="K64" s="129">
        <v>0</v>
      </c>
      <c r="L64" s="129">
        <v>0</v>
      </c>
      <c r="M64" s="129">
        <v>0</v>
      </c>
      <c r="N64" s="129">
        <v>0</v>
      </c>
      <c r="O64" s="129">
        <v>0</v>
      </c>
      <c r="P64" s="130">
        <v>0</v>
      </c>
    </row>
    <row r="65" spans="1:162" x14ac:dyDescent="0.35">
      <c r="A65" s="143" t="s">
        <v>251</v>
      </c>
      <c r="B65" s="90" t="s">
        <v>436</v>
      </c>
      <c r="C65" s="144">
        <f t="shared" si="3"/>
        <v>193852.80000000002</v>
      </c>
      <c r="D65" s="145">
        <v>0.01</v>
      </c>
      <c r="E65" s="146">
        <f>E3*D65</f>
        <v>18577.560000000001</v>
      </c>
      <c r="F65" s="146">
        <f>F3*D65</f>
        <v>14377.416000000003</v>
      </c>
      <c r="G65" s="146">
        <f>G3*D65</f>
        <v>19223.736000000001</v>
      </c>
      <c r="H65" s="146">
        <f>H3*D65</f>
        <v>16154.400000000003</v>
      </c>
      <c r="I65" s="146">
        <f>I3*D65</f>
        <v>14862.048000000003</v>
      </c>
      <c r="J65" s="146">
        <f>J3*D65</f>
        <v>14377.416000000003</v>
      </c>
      <c r="K65" s="146">
        <f>K3*D65</f>
        <v>14054.328000000003</v>
      </c>
      <c r="L65" s="146">
        <f>L3*D65</f>
        <v>15831.312000000002</v>
      </c>
      <c r="M65" s="146">
        <f>M3*D65</f>
        <v>14862.048000000003</v>
      </c>
      <c r="N65" s="146">
        <f>N3*D65</f>
        <v>15346.680000000002</v>
      </c>
      <c r="O65" s="146">
        <f>O3*D65</f>
        <v>15992.856000000003</v>
      </c>
      <c r="P65" s="147">
        <f>P3*D65</f>
        <v>20193.000000000004</v>
      </c>
    </row>
    <row r="66" spans="1:162" s="108" customFormat="1" x14ac:dyDescent="0.35">
      <c r="A66" s="406" t="s">
        <v>252</v>
      </c>
      <c r="B66" s="403" t="s">
        <v>437</v>
      </c>
      <c r="C66" s="148">
        <f t="shared" si="3"/>
        <v>5160007.1766697308</v>
      </c>
      <c r="D66" s="149">
        <f>C66/C$3</f>
        <v>0.26618172018509562</v>
      </c>
      <c r="E66" s="150">
        <f>E5-E6</f>
        <v>523510.42587184906</v>
      </c>
      <c r="F66" s="150">
        <f>F5-F6</f>
        <v>368256.07577560504</v>
      </c>
      <c r="G66" s="150">
        <f>G5-G6</f>
        <v>547300.53243434802</v>
      </c>
      <c r="H66" s="150">
        <f>H5-H6</f>
        <v>422201.83606247755</v>
      </c>
      <c r="I66" s="150">
        <f>I5-I6</f>
        <v>378431.87317747931</v>
      </c>
      <c r="J66" s="150">
        <f>J5-J6</f>
        <v>359024.46441560512</v>
      </c>
      <c r="K66" s="150">
        <f>K5-K6</f>
        <v>347307.51681435556</v>
      </c>
      <c r="L66" s="150">
        <f>L5-L6</f>
        <v>429982.47438122804</v>
      </c>
      <c r="M66" s="150">
        <f>M5-M6</f>
        <v>373269.87925747928</v>
      </c>
      <c r="N66" s="150">
        <f>N5-N6</f>
        <v>401261.45185935369</v>
      </c>
      <c r="O66" s="150">
        <f>O5-O6</f>
        <v>424599.05154185276</v>
      </c>
      <c r="P66" s="151">
        <f>P5-P6</f>
        <v>584861.59507809707</v>
      </c>
      <c r="Q66" s="107"/>
    </row>
    <row r="67" spans="1:162" s="112" customFormat="1" ht="21" x14ac:dyDescent="0.35">
      <c r="A67" s="102" t="s">
        <v>202</v>
      </c>
      <c r="B67" s="404" t="s">
        <v>438</v>
      </c>
      <c r="C67" s="474">
        <f>P67</f>
        <v>5160007.1766697308</v>
      </c>
      <c r="D67" s="475"/>
      <c r="E67" s="152">
        <f>E66</f>
        <v>523510.42587184906</v>
      </c>
      <c r="F67" s="152">
        <f t="shared" ref="F67:P67" si="6">E67+F66</f>
        <v>891766.5016474541</v>
      </c>
      <c r="G67" s="152">
        <f t="shared" si="6"/>
        <v>1439067.0340818022</v>
      </c>
      <c r="H67" s="152">
        <f t="shared" si="6"/>
        <v>1861268.8701442797</v>
      </c>
      <c r="I67" s="152">
        <f t="shared" si="6"/>
        <v>2239700.7433217592</v>
      </c>
      <c r="J67" s="152">
        <f t="shared" si="6"/>
        <v>2598725.2077373643</v>
      </c>
      <c r="K67" s="152">
        <f t="shared" si="6"/>
        <v>2946032.7245517201</v>
      </c>
      <c r="L67" s="152">
        <f t="shared" si="6"/>
        <v>3376015.1989329481</v>
      </c>
      <c r="M67" s="152">
        <f t="shared" si="6"/>
        <v>3749285.0781904273</v>
      </c>
      <c r="N67" s="152">
        <f t="shared" si="6"/>
        <v>4150546.5300497808</v>
      </c>
      <c r="O67" s="152">
        <f t="shared" si="6"/>
        <v>4575145.5815916341</v>
      </c>
      <c r="P67" s="153">
        <f t="shared" si="6"/>
        <v>5160007.1766697308</v>
      </c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O67" s="108"/>
      <c r="AP67" s="108"/>
      <c r="AQ67" s="108"/>
      <c r="AR67" s="108"/>
      <c r="AS67" s="108"/>
      <c r="AT67" s="108"/>
      <c r="AU67" s="108"/>
      <c r="AV67" s="108"/>
      <c r="AW67" s="108"/>
      <c r="AX67" s="108"/>
      <c r="AY67" s="108"/>
      <c r="AZ67" s="108"/>
      <c r="BA67" s="108"/>
      <c r="BB67" s="108"/>
      <c r="BC67" s="108"/>
      <c r="BD67" s="108"/>
      <c r="BE67" s="108"/>
      <c r="BF67" s="108"/>
      <c r="BG67" s="108"/>
      <c r="BH67" s="108"/>
      <c r="BI67" s="108"/>
      <c r="BJ67" s="108"/>
      <c r="BK67" s="108"/>
      <c r="BL67" s="108"/>
      <c r="BM67" s="108"/>
      <c r="BN67" s="108"/>
      <c r="BO67" s="108"/>
      <c r="BP67" s="108"/>
      <c r="BQ67" s="108"/>
      <c r="BR67" s="108"/>
      <c r="BS67" s="108"/>
      <c r="BT67" s="108"/>
      <c r="BU67" s="108"/>
      <c r="BV67" s="108"/>
      <c r="BW67" s="108"/>
      <c r="BX67" s="108"/>
      <c r="BY67" s="108"/>
      <c r="BZ67" s="108"/>
      <c r="CA67" s="108"/>
      <c r="CB67" s="108"/>
      <c r="CC67" s="108"/>
      <c r="CD67" s="108"/>
      <c r="CE67" s="108"/>
      <c r="CF67" s="108"/>
      <c r="CG67" s="108"/>
      <c r="CH67" s="108"/>
      <c r="CI67" s="108"/>
      <c r="CJ67" s="108"/>
      <c r="CK67" s="108"/>
      <c r="CL67" s="108"/>
      <c r="CM67" s="108"/>
      <c r="CN67" s="108"/>
      <c r="CO67" s="108"/>
      <c r="CP67" s="108"/>
      <c r="CQ67" s="108"/>
      <c r="CR67" s="108"/>
      <c r="CS67" s="108"/>
      <c r="CT67" s="108"/>
      <c r="CU67" s="108"/>
      <c r="CV67" s="108"/>
      <c r="CW67" s="108"/>
      <c r="CX67" s="108"/>
      <c r="CY67" s="108"/>
      <c r="CZ67" s="108"/>
      <c r="DA67" s="108"/>
      <c r="DB67" s="108"/>
      <c r="DC67" s="108"/>
      <c r="DD67" s="108"/>
      <c r="DE67" s="108"/>
      <c r="DF67" s="108"/>
      <c r="DG67" s="108"/>
      <c r="DH67" s="108"/>
      <c r="DI67" s="108"/>
      <c r="DJ67" s="108"/>
      <c r="DK67" s="108"/>
      <c r="DL67" s="108"/>
      <c r="DM67" s="108"/>
      <c r="DN67" s="108"/>
      <c r="DO67" s="108"/>
      <c r="DP67" s="108"/>
      <c r="DQ67" s="108"/>
      <c r="DR67" s="108"/>
      <c r="DS67" s="108"/>
      <c r="DT67" s="108"/>
      <c r="DU67" s="108"/>
      <c r="DV67" s="108"/>
      <c r="DW67" s="108"/>
      <c r="DX67" s="108"/>
      <c r="DY67" s="108"/>
      <c r="DZ67" s="108"/>
      <c r="EA67" s="108"/>
      <c r="EB67" s="108"/>
      <c r="EC67" s="108"/>
      <c r="ED67" s="108"/>
      <c r="EE67" s="108"/>
      <c r="EF67" s="108"/>
      <c r="EG67" s="108"/>
      <c r="EH67" s="108"/>
      <c r="EI67" s="108"/>
      <c r="EJ67" s="108"/>
      <c r="EK67" s="108"/>
      <c r="EL67" s="108"/>
      <c r="EM67" s="108"/>
      <c r="EN67" s="108"/>
      <c r="EO67" s="108"/>
      <c r="EP67" s="108"/>
      <c r="EQ67" s="108"/>
      <c r="ER67" s="108"/>
      <c r="ES67" s="108"/>
      <c r="ET67" s="108"/>
      <c r="EU67" s="108"/>
      <c r="EV67" s="108"/>
      <c r="EW67" s="108"/>
      <c r="EX67" s="108"/>
      <c r="EY67" s="108"/>
      <c r="EZ67" s="108"/>
      <c r="FA67" s="108"/>
      <c r="FB67" s="108"/>
      <c r="FC67" s="108"/>
      <c r="FD67" s="108"/>
      <c r="FE67" s="108"/>
      <c r="FF67" s="108"/>
    </row>
    <row r="68" spans="1:162" s="112" customFormat="1" ht="11" thickBot="1" x14ac:dyDescent="0.4">
      <c r="A68" s="154" t="s">
        <v>203</v>
      </c>
      <c r="B68" s="405" t="s">
        <v>439</v>
      </c>
      <c r="C68" s="476">
        <f>C66/C3</f>
        <v>0.26618172018509562</v>
      </c>
      <c r="D68" s="477"/>
      <c r="E68" s="155">
        <f>IF(E3=0,0,E66/E3)</f>
        <v>0.28179719288854349</v>
      </c>
      <c r="F68" s="155">
        <f>IF(F3=0,0,F66/F3)</f>
        <v>0.25613509115657845</v>
      </c>
      <c r="G68" s="155">
        <f>IF(G3=0,0,G66/G3)</f>
        <v>0.2847003997736694</v>
      </c>
      <c r="H68" s="155">
        <f>IF(H3=0,0,H66/H3)</f>
        <v>0.26135408066067295</v>
      </c>
      <c r="I68" s="155">
        <f>IF(I3=0,0,I66/I3)</f>
        <v>0.25462969381977452</v>
      </c>
      <c r="J68" s="155">
        <f>IF(J3=0,0,J66/J3)</f>
        <v>0.24971417980505331</v>
      </c>
      <c r="K68" s="155">
        <f>IF(K3=0,0,K66/K3)</f>
        <v>0.24711783929787001</v>
      </c>
      <c r="L68" s="155">
        <f>IF(L3=0,0,L66/L3)</f>
        <v>0.27160255219607066</v>
      </c>
      <c r="M68" s="155">
        <f>IF(M3=0,0,M66/M3)</f>
        <v>0.25115642154935791</v>
      </c>
      <c r="N68" s="155">
        <f>IF(N3=0,0,N66/N3)</f>
        <v>0.26146466327528406</v>
      </c>
      <c r="O68" s="155">
        <f>IF(O3=0,0,O66/O3)</f>
        <v>0.26549294981575067</v>
      </c>
      <c r="P68" s="156">
        <f>IF(P3=0,0,P66/P3)</f>
        <v>0.28963581195369537</v>
      </c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108"/>
      <c r="AQ68" s="108"/>
      <c r="AR68" s="108"/>
      <c r="AS68" s="108"/>
      <c r="AT68" s="108"/>
      <c r="AU68" s="108"/>
      <c r="AV68" s="108"/>
      <c r="AW68" s="108"/>
      <c r="AX68" s="108"/>
      <c r="AY68" s="108"/>
      <c r="AZ68" s="108"/>
      <c r="BA68" s="108"/>
      <c r="BB68" s="108"/>
      <c r="BC68" s="108"/>
      <c r="BD68" s="108"/>
      <c r="BE68" s="108"/>
      <c r="BF68" s="108"/>
      <c r="BG68" s="108"/>
      <c r="BH68" s="108"/>
      <c r="BI68" s="108"/>
      <c r="BJ68" s="108"/>
      <c r="BK68" s="108"/>
      <c r="BL68" s="108"/>
      <c r="BM68" s="108"/>
      <c r="BN68" s="108"/>
      <c r="BO68" s="108"/>
      <c r="BP68" s="108"/>
      <c r="BQ68" s="108"/>
      <c r="BR68" s="108"/>
      <c r="BS68" s="108"/>
      <c r="BT68" s="108"/>
      <c r="BU68" s="108"/>
      <c r="BV68" s="108"/>
      <c r="BW68" s="108"/>
      <c r="BX68" s="108"/>
      <c r="BY68" s="108"/>
      <c r="BZ68" s="108"/>
      <c r="CA68" s="108"/>
      <c r="CB68" s="108"/>
      <c r="CC68" s="108"/>
      <c r="CD68" s="108"/>
      <c r="CE68" s="108"/>
      <c r="CF68" s="108"/>
      <c r="CG68" s="108"/>
      <c r="CH68" s="108"/>
      <c r="CI68" s="108"/>
      <c r="CJ68" s="108"/>
      <c r="CK68" s="108"/>
      <c r="CL68" s="108"/>
      <c r="CM68" s="108"/>
      <c r="CN68" s="108"/>
      <c r="CO68" s="108"/>
      <c r="CP68" s="108"/>
      <c r="CQ68" s="108"/>
      <c r="CR68" s="108"/>
      <c r="CS68" s="108"/>
      <c r="CT68" s="108"/>
      <c r="CU68" s="108"/>
      <c r="CV68" s="108"/>
      <c r="CW68" s="108"/>
      <c r="CX68" s="108"/>
      <c r="CY68" s="108"/>
      <c r="CZ68" s="108"/>
      <c r="DA68" s="108"/>
      <c r="DB68" s="108"/>
      <c r="DC68" s="108"/>
      <c r="DD68" s="108"/>
      <c r="DE68" s="108"/>
      <c r="DF68" s="108"/>
      <c r="DG68" s="108"/>
      <c r="DH68" s="108"/>
      <c r="DI68" s="108"/>
      <c r="DJ68" s="108"/>
      <c r="DK68" s="108"/>
      <c r="DL68" s="108"/>
      <c r="DM68" s="108"/>
      <c r="DN68" s="108"/>
      <c r="DO68" s="108"/>
      <c r="DP68" s="108"/>
      <c r="DQ68" s="108"/>
      <c r="DR68" s="108"/>
      <c r="DS68" s="108"/>
      <c r="DT68" s="108"/>
      <c r="DU68" s="108"/>
      <c r="DV68" s="108"/>
      <c r="DW68" s="108"/>
      <c r="DX68" s="108"/>
      <c r="DY68" s="108"/>
      <c r="DZ68" s="108"/>
      <c r="EA68" s="108"/>
      <c r="EB68" s="108"/>
      <c r="EC68" s="108"/>
      <c r="ED68" s="108"/>
      <c r="EE68" s="108"/>
      <c r="EF68" s="108"/>
      <c r="EG68" s="108"/>
      <c r="EH68" s="108"/>
      <c r="EI68" s="108"/>
      <c r="EJ68" s="108"/>
      <c r="EK68" s="108"/>
      <c r="EL68" s="108"/>
      <c r="EM68" s="108"/>
      <c r="EN68" s="108"/>
      <c r="EO68" s="108"/>
      <c r="EP68" s="108"/>
      <c r="EQ68" s="108"/>
      <c r="ER68" s="108"/>
      <c r="ES68" s="108"/>
      <c r="ET68" s="108"/>
      <c r="EU68" s="108"/>
      <c r="EV68" s="108"/>
      <c r="EW68" s="108"/>
      <c r="EX68" s="108"/>
      <c r="EY68" s="108"/>
      <c r="EZ68" s="108"/>
      <c r="FA68" s="108"/>
      <c r="FB68" s="108"/>
      <c r="FC68" s="108"/>
      <c r="FD68" s="108"/>
      <c r="FE68" s="108"/>
      <c r="FF68" s="108"/>
    </row>
    <row r="69" spans="1:162" s="112" customFormat="1" ht="11" thickBot="1" x14ac:dyDescent="0.4">
      <c r="A69" s="418" t="s">
        <v>204</v>
      </c>
      <c r="B69" s="392" t="s">
        <v>440</v>
      </c>
      <c r="C69" s="425"/>
      <c r="D69" s="425"/>
      <c r="E69" s="402">
        <f>'Год 2'!P68+'Год 3'!E66</f>
        <v>8658321.5383136347</v>
      </c>
      <c r="F69" s="423">
        <f t="shared" ref="F69:P69" si="7">E69+F66</f>
        <v>9026577.6140892394</v>
      </c>
      <c r="G69" s="423">
        <f t="shared" si="7"/>
        <v>9573878.1465235874</v>
      </c>
      <c r="H69" s="423">
        <f t="shared" si="7"/>
        <v>9996079.9825860653</v>
      </c>
      <c r="I69" s="423">
        <f t="shared" si="7"/>
        <v>10374511.855763545</v>
      </c>
      <c r="J69" s="423">
        <f t="shared" si="7"/>
        <v>10733536.32017915</v>
      </c>
      <c r="K69" s="423">
        <f t="shared" si="7"/>
        <v>11080843.836993504</v>
      </c>
      <c r="L69" s="423">
        <f t="shared" si="7"/>
        <v>11510826.311374733</v>
      </c>
      <c r="M69" s="423">
        <f t="shared" si="7"/>
        <v>11884096.190632213</v>
      </c>
      <c r="N69" s="423">
        <f t="shared" si="7"/>
        <v>12285357.642491566</v>
      </c>
      <c r="O69" s="423">
        <f t="shared" si="7"/>
        <v>12709956.694033418</v>
      </c>
      <c r="P69" s="424">
        <f t="shared" si="7"/>
        <v>13294818.289111516</v>
      </c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  <c r="AC69" s="108"/>
      <c r="AD69" s="108"/>
      <c r="AE69" s="108"/>
      <c r="AF69" s="108"/>
      <c r="AG69" s="108"/>
      <c r="AH69" s="108"/>
      <c r="AI69" s="108"/>
      <c r="AJ69" s="108"/>
      <c r="AK69" s="108"/>
      <c r="AL69" s="108"/>
      <c r="AM69" s="108"/>
      <c r="AN69" s="108"/>
      <c r="AO69" s="108"/>
      <c r="AP69" s="108"/>
      <c r="AQ69" s="108"/>
      <c r="AR69" s="108"/>
      <c r="AS69" s="108"/>
      <c r="AT69" s="108"/>
      <c r="AU69" s="108"/>
      <c r="AV69" s="108"/>
      <c r="AW69" s="108"/>
      <c r="AX69" s="108"/>
      <c r="AY69" s="108"/>
      <c r="AZ69" s="108"/>
      <c r="BA69" s="108"/>
      <c r="BB69" s="108"/>
      <c r="BC69" s="108"/>
      <c r="BD69" s="108"/>
      <c r="BE69" s="108"/>
      <c r="BF69" s="108"/>
      <c r="BG69" s="108"/>
      <c r="BH69" s="108"/>
      <c r="BI69" s="108"/>
      <c r="BJ69" s="108"/>
      <c r="BK69" s="108"/>
      <c r="BL69" s="108"/>
      <c r="BM69" s="108"/>
      <c r="BN69" s="108"/>
      <c r="BO69" s="108"/>
      <c r="BP69" s="108"/>
      <c r="BQ69" s="108"/>
      <c r="BR69" s="108"/>
      <c r="BS69" s="108"/>
      <c r="BT69" s="108"/>
      <c r="BU69" s="108"/>
      <c r="BV69" s="108"/>
      <c r="BW69" s="108"/>
      <c r="BX69" s="108"/>
      <c r="BY69" s="108"/>
      <c r="BZ69" s="108"/>
      <c r="CA69" s="108"/>
      <c r="CB69" s="108"/>
      <c r="CC69" s="108"/>
      <c r="CD69" s="108"/>
      <c r="CE69" s="108"/>
      <c r="CF69" s="108"/>
      <c r="CG69" s="108"/>
      <c r="CH69" s="108"/>
      <c r="CI69" s="108"/>
      <c r="CJ69" s="108"/>
      <c r="CK69" s="108"/>
      <c r="CL69" s="108"/>
      <c r="CM69" s="108"/>
      <c r="CN69" s="108"/>
      <c r="CO69" s="108"/>
      <c r="CP69" s="108"/>
      <c r="CQ69" s="108"/>
      <c r="CR69" s="108"/>
      <c r="CS69" s="108"/>
      <c r="CT69" s="108"/>
      <c r="CU69" s="108"/>
      <c r="CV69" s="108"/>
      <c r="CW69" s="108"/>
      <c r="CX69" s="108"/>
      <c r="CY69" s="108"/>
      <c r="CZ69" s="108"/>
      <c r="DA69" s="108"/>
      <c r="DB69" s="108"/>
      <c r="DC69" s="108"/>
      <c r="DD69" s="108"/>
      <c r="DE69" s="108"/>
      <c r="DF69" s="108"/>
      <c r="DG69" s="108"/>
      <c r="DH69" s="108"/>
      <c r="DI69" s="108"/>
      <c r="DJ69" s="108"/>
      <c r="DK69" s="108"/>
      <c r="DL69" s="108"/>
      <c r="DM69" s="108"/>
      <c r="DN69" s="108"/>
      <c r="DO69" s="108"/>
      <c r="DP69" s="108"/>
      <c r="DQ69" s="108"/>
      <c r="DR69" s="108"/>
      <c r="DS69" s="108"/>
      <c r="DT69" s="108"/>
      <c r="DU69" s="108"/>
      <c r="DV69" s="108"/>
      <c r="DW69" s="108"/>
      <c r="DX69" s="108"/>
      <c r="DY69" s="108"/>
      <c r="DZ69" s="108"/>
      <c r="EA69" s="108"/>
      <c r="EB69" s="108"/>
      <c r="EC69" s="108"/>
      <c r="ED69" s="108"/>
      <c r="EE69" s="108"/>
      <c r="EF69" s="108"/>
      <c r="EG69" s="108"/>
      <c r="EH69" s="108"/>
      <c r="EI69" s="108"/>
      <c r="EJ69" s="108"/>
      <c r="EK69" s="108"/>
      <c r="EL69" s="108"/>
      <c r="EM69" s="108"/>
      <c r="EN69" s="108"/>
      <c r="EO69" s="108"/>
      <c r="EP69" s="108"/>
      <c r="EQ69" s="108"/>
      <c r="ER69" s="108"/>
      <c r="ES69" s="108"/>
      <c r="ET69" s="108"/>
      <c r="EU69" s="108"/>
      <c r="EV69" s="108"/>
      <c r="EW69" s="108"/>
      <c r="EX69" s="108"/>
      <c r="EY69" s="108"/>
      <c r="EZ69" s="108"/>
      <c r="FA69" s="108"/>
      <c r="FB69" s="108"/>
      <c r="FC69" s="108"/>
      <c r="FD69" s="108"/>
      <c r="FE69" s="108"/>
      <c r="FF69" s="108"/>
    </row>
    <row r="71" spans="1:162" ht="15" thickBot="1" x14ac:dyDescent="0.4">
      <c r="A71" s="157" t="s">
        <v>209</v>
      </c>
    </row>
    <row r="72" spans="1:162" ht="15" thickBot="1" x14ac:dyDescent="0.4">
      <c r="A72" s="92" t="s">
        <v>61</v>
      </c>
      <c r="B72" s="85" t="s">
        <v>128</v>
      </c>
      <c r="C72" s="478" t="s">
        <v>129</v>
      </c>
      <c r="D72" s="479"/>
      <c r="E72" s="86" t="s">
        <v>130</v>
      </c>
      <c r="F72" s="86" t="s">
        <v>131</v>
      </c>
      <c r="G72" s="86" t="s">
        <v>132</v>
      </c>
      <c r="H72" s="86" t="s">
        <v>133</v>
      </c>
      <c r="I72" s="86" t="s">
        <v>134</v>
      </c>
      <c r="J72" s="86" t="s">
        <v>135</v>
      </c>
      <c r="K72" s="86" t="s">
        <v>136</v>
      </c>
      <c r="L72" s="86" t="s">
        <v>137</v>
      </c>
      <c r="M72" s="86" t="s">
        <v>138</v>
      </c>
      <c r="N72" s="86" t="s">
        <v>139</v>
      </c>
      <c r="O72" s="86" t="s">
        <v>140</v>
      </c>
      <c r="P72" s="87" t="s">
        <v>141</v>
      </c>
    </row>
    <row r="73" spans="1:162" x14ac:dyDescent="0.35">
      <c r="A73" s="159" t="s">
        <v>205</v>
      </c>
      <c r="B73" s="160" t="s">
        <v>441</v>
      </c>
      <c r="C73" s="480">
        <f>SUM(E73:P73)</f>
        <v>19385280.000000004</v>
      </c>
      <c r="D73" s="481"/>
      <c r="E73" s="161">
        <f>E3</f>
        <v>1857756.0000000002</v>
      </c>
      <c r="F73" s="161">
        <f>F3</f>
        <v>1437741.6000000003</v>
      </c>
      <c r="G73" s="161">
        <f>G3</f>
        <v>1922373.6</v>
      </c>
      <c r="H73" s="161">
        <f>H3</f>
        <v>1615440.0000000002</v>
      </c>
      <c r="I73" s="161">
        <f>I3</f>
        <v>1486204.8000000003</v>
      </c>
      <c r="J73" s="161">
        <f>J3</f>
        <v>1437741.6000000003</v>
      </c>
      <c r="K73" s="161">
        <f>K3</f>
        <v>1405432.8000000003</v>
      </c>
      <c r="L73" s="161">
        <f>L3</f>
        <v>1583131.2000000002</v>
      </c>
      <c r="M73" s="161">
        <f>M3</f>
        <v>1486204.8000000003</v>
      </c>
      <c r="N73" s="161">
        <f>N3</f>
        <v>1534668.0000000002</v>
      </c>
      <c r="O73" s="161">
        <f>O3</f>
        <v>1599285.6000000003</v>
      </c>
      <c r="P73" s="162">
        <f>P3</f>
        <v>2019300.0000000002</v>
      </c>
    </row>
    <row r="74" spans="1:162" x14ac:dyDescent="0.35">
      <c r="A74" s="126" t="s">
        <v>206</v>
      </c>
      <c r="B74" s="163" t="s">
        <v>493</v>
      </c>
      <c r="C74" s="465">
        <f t="shared" ref="C74:C76" si="8">SUM(E74:P74)</f>
        <v>8392164.4312502723</v>
      </c>
      <c r="D74" s="466"/>
      <c r="E74" s="164">
        <f>E4</f>
        <v>804249.09132815106</v>
      </c>
      <c r="F74" s="164">
        <f>F4</f>
        <v>622418.86198439519</v>
      </c>
      <c r="G74" s="164">
        <f>G4</f>
        <v>832222.97276565188</v>
      </c>
      <c r="H74" s="164">
        <f>H4</f>
        <v>699347.03593752265</v>
      </c>
      <c r="I74" s="164">
        <f>I4</f>
        <v>643399.27306252089</v>
      </c>
      <c r="J74" s="164">
        <f>J4</f>
        <v>622418.86198439519</v>
      </c>
      <c r="K74" s="164">
        <f>K4</f>
        <v>608431.92126564472</v>
      </c>
      <c r="L74" s="164">
        <f>L4</f>
        <v>685360.09521877219</v>
      </c>
      <c r="M74" s="164">
        <f>M4</f>
        <v>643399.27306252089</v>
      </c>
      <c r="N74" s="164">
        <f>N4</f>
        <v>664379.68414064648</v>
      </c>
      <c r="O74" s="164">
        <f>O4</f>
        <v>692353.56557814754</v>
      </c>
      <c r="P74" s="165">
        <f>P4</f>
        <v>874183.79492190329</v>
      </c>
    </row>
    <row r="75" spans="1:162" x14ac:dyDescent="0.35">
      <c r="A75" s="166" t="s">
        <v>207</v>
      </c>
      <c r="B75" s="160" t="s">
        <v>442</v>
      </c>
      <c r="C75" s="469">
        <f t="shared" si="8"/>
        <v>5833108.3920800015</v>
      </c>
      <c r="D75" s="470"/>
      <c r="E75" s="161">
        <f>E6</f>
        <v>529996.48280000011</v>
      </c>
      <c r="F75" s="161">
        <f>F6</f>
        <v>447066.66224000009</v>
      </c>
      <c r="G75" s="161">
        <f>G6</f>
        <v>542850.09480000008</v>
      </c>
      <c r="H75" s="161">
        <f>H6</f>
        <v>493891.12800000003</v>
      </c>
      <c r="I75" s="161">
        <f>I6</f>
        <v>464373.65376000007</v>
      </c>
      <c r="J75" s="161">
        <f>J6</f>
        <v>456298.27360000001</v>
      </c>
      <c r="K75" s="161">
        <f>K6</f>
        <v>449693.36192</v>
      </c>
      <c r="L75" s="161">
        <f>L6</f>
        <v>467788.63039999997</v>
      </c>
      <c r="M75" s="161">
        <f>M6</f>
        <v>469535.64768000011</v>
      </c>
      <c r="N75" s="161">
        <f>N6</f>
        <v>469026.86400000006</v>
      </c>
      <c r="O75" s="161">
        <f>O6</f>
        <v>482332.98288000003</v>
      </c>
      <c r="P75" s="162">
        <f>P6</f>
        <v>560254.61</v>
      </c>
    </row>
    <row r="76" spans="1:162" x14ac:dyDescent="0.35">
      <c r="A76" s="126" t="s">
        <v>208</v>
      </c>
      <c r="B76" s="167" t="s">
        <v>443</v>
      </c>
      <c r="C76" s="465">
        <f t="shared" si="8"/>
        <v>5160007.1766697308</v>
      </c>
      <c r="D76" s="466"/>
      <c r="E76" s="164">
        <f>E73-E74-E75</f>
        <v>523510.42587184906</v>
      </c>
      <c r="F76" s="164">
        <f t="shared" ref="F76:P76" si="9">F73-F74-F75</f>
        <v>368256.07577560504</v>
      </c>
      <c r="G76" s="164">
        <f t="shared" si="9"/>
        <v>547300.53243434802</v>
      </c>
      <c r="H76" s="164">
        <f t="shared" si="9"/>
        <v>422201.83606247755</v>
      </c>
      <c r="I76" s="164">
        <f t="shared" si="9"/>
        <v>378431.87317747931</v>
      </c>
      <c r="J76" s="164">
        <f t="shared" si="9"/>
        <v>359024.46441560512</v>
      </c>
      <c r="K76" s="164">
        <f t="shared" si="9"/>
        <v>347307.51681435556</v>
      </c>
      <c r="L76" s="164">
        <f t="shared" si="9"/>
        <v>429982.47438122804</v>
      </c>
      <c r="M76" s="164">
        <f t="shared" si="9"/>
        <v>373269.87925747928</v>
      </c>
      <c r="N76" s="164">
        <f t="shared" si="9"/>
        <v>401261.45185935369</v>
      </c>
      <c r="O76" s="164">
        <f t="shared" si="9"/>
        <v>424599.05154185276</v>
      </c>
      <c r="P76" s="165">
        <f t="shared" si="9"/>
        <v>584861.59507809707</v>
      </c>
    </row>
    <row r="77" spans="1:162" s="421" customFormat="1" ht="15" thickBot="1" x14ac:dyDescent="0.4">
      <c r="A77" s="168" t="s">
        <v>397</v>
      </c>
      <c r="B77" s="169" t="s">
        <v>444</v>
      </c>
      <c r="C77" s="467">
        <f>P77</f>
        <v>5160007.1766697308</v>
      </c>
      <c r="D77" s="468"/>
      <c r="E77" s="170">
        <f>E76</f>
        <v>523510.42587184906</v>
      </c>
      <c r="F77" s="170">
        <f>E77+F76</f>
        <v>891766.5016474541</v>
      </c>
      <c r="G77" s="170">
        <f t="shared" ref="G77:P77" si="10">F77+G76</f>
        <v>1439067.0340818022</v>
      </c>
      <c r="H77" s="170">
        <f t="shared" si="10"/>
        <v>1861268.8701442797</v>
      </c>
      <c r="I77" s="170">
        <f t="shared" si="10"/>
        <v>2239700.7433217592</v>
      </c>
      <c r="J77" s="170">
        <f t="shared" si="10"/>
        <v>2598725.2077373643</v>
      </c>
      <c r="K77" s="170">
        <f t="shared" si="10"/>
        <v>2946032.7245517201</v>
      </c>
      <c r="L77" s="170">
        <f t="shared" si="10"/>
        <v>3376015.1989329481</v>
      </c>
      <c r="M77" s="170">
        <f t="shared" si="10"/>
        <v>3749285.0781904273</v>
      </c>
      <c r="N77" s="170">
        <f t="shared" si="10"/>
        <v>4150546.5300497808</v>
      </c>
      <c r="O77" s="170">
        <f t="shared" si="10"/>
        <v>4575145.5815916341</v>
      </c>
      <c r="P77" s="171">
        <f t="shared" si="10"/>
        <v>5160007.1766697308</v>
      </c>
    </row>
  </sheetData>
  <mergeCells count="9">
    <mergeCell ref="C75:D75"/>
    <mergeCell ref="C76:D76"/>
    <mergeCell ref="C77:D77"/>
    <mergeCell ref="A1:P1"/>
    <mergeCell ref="C67:D67"/>
    <mergeCell ref="C68:D68"/>
    <mergeCell ref="C72:D72"/>
    <mergeCell ref="C73:D73"/>
    <mergeCell ref="C74:D74"/>
  </mergeCells>
  <phoneticPr fontId="17" type="noConversion"/>
  <pageMargins left="0.7" right="0.7" top="0.75" bottom="0.75" header="0.3" footer="0.3"/>
  <pageSetup paperSize="9" orientation="portrait" r:id="rId1"/>
  <ignoredErrors>
    <ignoredError sqref="A10:A26 A70:A72 A69 A73:A77 A64:A68 A27:A39 A43:A59" numberStoredAsText="1"/>
    <ignoredError sqref="D4" formula="1"/>
    <ignoredError sqref="E58:P58" formulaRange="1"/>
    <ignoredError sqref="A40:A42" twoDigitTextYear="1" numberStoredAsText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FF77"/>
  <sheetViews>
    <sheetView workbookViewId="0">
      <selection activeCell="F20" sqref="F20"/>
    </sheetView>
  </sheetViews>
  <sheetFormatPr defaultColWidth="9.1796875" defaultRowHeight="14.5" outlineLevelRow="1" x14ac:dyDescent="0.35"/>
  <cols>
    <col min="1" max="1" width="4.453125" style="172" customWidth="1"/>
    <col min="2" max="2" width="39.453125" style="88" customWidth="1"/>
    <col min="3" max="3" width="9.7265625" style="158" customWidth="1"/>
    <col min="4" max="4" width="7.7265625" style="158" customWidth="1"/>
    <col min="5" max="16" width="8.7265625" style="88" customWidth="1"/>
    <col min="17" max="17" width="8.7265625" style="421" customWidth="1"/>
    <col min="18" max="256" width="9.1796875" style="88"/>
    <col min="257" max="257" width="3.7265625" style="88" customWidth="1"/>
    <col min="258" max="258" width="45.7265625" style="88" customWidth="1"/>
    <col min="259" max="259" width="9.7265625" style="88" customWidth="1"/>
    <col min="260" max="260" width="7.7265625" style="88" customWidth="1"/>
    <col min="261" max="273" width="8.7265625" style="88" customWidth="1"/>
    <col min="274" max="512" width="9.1796875" style="88"/>
    <col min="513" max="513" width="3.7265625" style="88" customWidth="1"/>
    <col min="514" max="514" width="45.7265625" style="88" customWidth="1"/>
    <col min="515" max="515" width="9.7265625" style="88" customWidth="1"/>
    <col min="516" max="516" width="7.7265625" style="88" customWidth="1"/>
    <col min="517" max="529" width="8.7265625" style="88" customWidth="1"/>
    <col min="530" max="768" width="9.1796875" style="88"/>
    <col min="769" max="769" width="3.7265625" style="88" customWidth="1"/>
    <col min="770" max="770" width="45.7265625" style="88" customWidth="1"/>
    <col min="771" max="771" width="9.7265625" style="88" customWidth="1"/>
    <col min="772" max="772" width="7.7265625" style="88" customWidth="1"/>
    <col min="773" max="785" width="8.7265625" style="88" customWidth="1"/>
    <col min="786" max="1024" width="9.1796875" style="88"/>
    <col min="1025" max="1025" width="3.7265625" style="88" customWidth="1"/>
    <col min="1026" max="1026" width="45.7265625" style="88" customWidth="1"/>
    <col min="1027" max="1027" width="9.7265625" style="88" customWidth="1"/>
    <col min="1028" max="1028" width="7.7265625" style="88" customWidth="1"/>
    <col min="1029" max="1041" width="8.7265625" style="88" customWidth="1"/>
    <col min="1042" max="1280" width="9.1796875" style="88"/>
    <col min="1281" max="1281" width="3.7265625" style="88" customWidth="1"/>
    <col min="1282" max="1282" width="45.7265625" style="88" customWidth="1"/>
    <col min="1283" max="1283" width="9.7265625" style="88" customWidth="1"/>
    <col min="1284" max="1284" width="7.7265625" style="88" customWidth="1"/>
    <col min="1285" max="1297" width="8.7265625" style="88" customWidth="1"/>
    <col min="1298" max="1536" width="9.1796875" style="88"/>
    <col min="1537" max="1537" width="3.7265625" style="88" customWidth="1"/>
    <col min="1538" max="1538" width="45.7265625" style="88" customWidth="1"/>
    <col min="1539" max="1539" width="9.7265625" style="88" customWidth="1"/>
    <col min="1540" max="1540" width="7.7265625" style="88" customWidth="1"/>
    <col min="1541" max="1553" width="8.7265625" style="88" customWidth="1"/>
    <col min="1554" max="1792" width="9.1796875" style="88"/>
    <col min="1793" max="1793" width="3.7265625" style="88" customWidth="1"/>
    <col min="1794" max="1794" width="45.7265625" style="88" customWidth="1"/>
    <col min="1795" max="1795" width="9.7265625" style="88" customWidth="1"/>
    <col min="1796" max="1796" width="7.7265625" style="88" customWidth="1"/>
    <col min="1797" max="1809" width="8.7265625" style="88" customWidth="1"/>
    <col min="1810" max="2048" width="9.1796875" style="88"/>
    <col min="2049" max="2049" width="3.7265625" style="88" customWidth="1"/>
    <col min="2050" max="2050" width="45.7265625" style="88" customWidth="1"/>
    <col min="2051" max="2051" width="9.7265625" style="88" customWidth="1"/>
    <col min="2052" max="2052" width="7.7265625" style="88" customWidth="1"/>
    <col min="2053" max="2065" width="8.7265625" style="88" customWidth="1"/>
    <col min="2066" max="2304" width="9.1796875" style="88"/>
    <col min="2305" max="2305" width="3.7265625" style="88" customWidth="1"/>
    <col min="2306" max="2306" width="45.7265625" style="88" customWidth="1"/>
    <col min="2307" max="2307" width="9.7265625" style="88" customWidth="1"/>
    <col min="2308" max="2308" width="7.7265625" style="88" customWidth="1"/>
    <col min="2309" max="2321" width="8.7265625" style="88" customWidth="1"/>
    <col min="2322" max="2560" width="9.1796875" style="88"/>
    <col min="2561" max="2561" width="3.7265625" style="88" customWidth="1"/>
    <col min="2562" max="2562" width="45.7265625" style="88" customWidth="1"/>
    <col min="2563" max="2563" width="9.7265625" style="88" customWidth="1"/>
    <col min="2564" max="2564" width="7.7265625" style="88" customWidth="1"/>
    <col min="2565" max="2577" width="8.7265625" style="88" customWidth="1"/>
    <col min="2578" max="2816" width="9.1796875" style="88"/>
    <col min="2817" max="2817" width="3.7265625" style="88" customWidth="1"/>
    <col min="2818" max="2818" width="45.7265625" style="88" customWidth="1"/>
    <col min="2819" max="2819" width="9.7265625" style="88" customWidth="1"/>
    <col min="2820" max="2820" width="7.7265625" style="88" customWidth="1"/>
    <col min="2821" max="2833" width="8.7265625" style="88" customWidth="1"/>
    <col min="2834" max="3072" width="9.1796875" style="88"/>
    <col min="3073" max="3073" width="3.7265625" style="88" customWidth="1"/>
    <col min="3074" max="3074" width="45.7265625" style="88" customWidth="1"/>
    <col min="3075" max="3075" width="9.7265625" style="88" customWidth="1"/>
    <col min="3076" max="3076" width="7.7265625" style="88" customWidth="1"/>
    <col min="3077" max="3089" width="8.7265625" style="88" customWidth="1"/>
    <col min="3090" max="3328" width="9.1796875" style="88"/>
    <col min="3329" max="3329" width="3.7265625" style="88" customWidth="1"/>
    <col min="3330" max="3330" width="45.7265625" style="88" customWidth="1"/>
    <col min="3331" max="3331" width="9.7265625" style="88" customWidth="1"/>
    <col min="3332" max="3332" width="7.7265625" style="88" customWidth="1"/>
    <col min="3333" max="3345" width="8.7265625" style="88" customWidth="1"/>
    <col min="3346" max="3584" width="9.1796875" style="88"/>
    <col min="3585" max="3585" width="3.7265625" style="88" customWidth="1"/>
    <col min="3586" max="3586" width="45.7265625" style="88" customWidth="1"/>
    <col min="3587" max="3587" width="9.7265625" style="88" customWidth="1"/>
    <col min="3588" max="3588" width="7.7265625" style="88" customWidth="1"/>
    <col min="3589" max="3601" width="8.7265625" style="88" customWidth="1"/>
    <col min="3602" max="3840" width="9.1796875" style="88"/>
    <col min="3841" max="3841" width="3.7265625" style="88" customWidth="1"/>
    <col min="3842" max="3842" width="45.7265625" style="88" customWidth="1"/>
    <col min="3843" max="3843" width="9.7265625" style="88" customWidth="1"/>
    <col min="3844" max="3844" width="7.7265625" style="88" customWidth="1"/>
    <col min="3845" max="3857" width="8.7265625" style="88" customWidth="1"/>
    <col min="3858" max="4096" width="9.1796875" style="88"/>
    <col min="4097" max="4097" width="3.7265625" style="88" customWidth="1"/>
    <col min="4098" max="4098" width="45.7265625" style="88" customWidth="1"/>
    <col min="4099" max="4099" width="9.7265625" style="88" customWidth="1"/>
    <col min="4100" max="4100" width="7.7265625" style="88" customWidth="1"/>
    <col min="4101" max="4113" width="8.7265625" style="88" customWidth="1"/>
    <col min="4114" max="4352" width="9.1796875" style="88"/>
    <col min="4353" max="4353" width="3.7265625" style="88" customWidth="1"/>
    <col min="4354" max="4354" width="45.7265625" style="88" customWidth="1"/>
    <col min="4355" max="4355" width="9.7265625" style="88" customWidth="1"/>
    <col min="4356" max="4356" width="7.7265625" style="88" customWidth="1"/>
    <col min="4357" max="4369" width="8.7265625" style="88" customWidth="1"/>
    <col min="4370" max="4608" width="9.1796875" style="88"/>
    <col min="4609" max="4609" width="3.7265625" style="88" customWidth="1"/>
    <col min="4610" max="4610" width="45.7265625" style="88" customWidth="1"/>
    <col min="4611" max="4611" width="9.7265625" style="88" customWidth="1"/>
    <col min="4612" max="4612" width="7.7265625" style="88" customWidth="1"/>
    <col min="4613" max="4625" width="8.7265625" style="88" customWidth="1"/>
    <col min="4626" max="4864" width="9.1796875" style="88"/>
    <col min="4865" max="4865" width="3.7265625" style="88" customWidth="1"/>
    <col min="4866" max="4866" width="45.7265625" style="88" customWidth="1"/>
    <col min="4867" max="4867" width="9.7265625" style="88" customWidth="1"/>
    <col min="4868" max="4868" width="7.7265625" style="88" customWidth="1"/>
    <col min="4869" max="4881" width="8.7265625" style="88" customWidth="1"/>
    <col min="4882" max="5120" width="9.1796875" style="88"/>
    <col min="5121" max="5121" width="3.7265625" style="88" customWidth="1"/>
    <col min="5122" max="5122" width="45.7265625" style="88" customWidth="1"/>
    <col min="5123" max="5123" width="9.7265625" style="88" customWidth="1"/>
    <col min="5124" max="5124" width="7.7265625" style="88" customWidth="1"/>
    <col min="5125" max="5137" width="8.7265625" style="88" customWidth="1"/>
    <col min="5138" max="5376" width="9.1796875" style="88"/>
    <col min="5377" max="5377" width="3.7265625" style="88" customWidth="1"/>
    <col min="5378" max="5378" width="45.7265625" style="88" customWidth="1"/>
    <col min="5379" max="5379" width="9.7265625" style="88" customWidth="1"/>
    <col min="5380" max="5380" width="7.7265625" style="88" customWidth="1"/>
    <col min="5381" max="5393" width="8.7265625" style="88" customWidth="1"/>
    <col min="5394" max="5632" width="9.1796875" style="88"/>
    <col min="5633" max="5633" width="3.7265625" style="88" customWidth="1"/>
    <col min="5634" max="5634" width="45.7265625" style="88" customWidth="1"/>
    <col min="5635" max="5635" width="9.7265625" style="88" customWidth="1"/>
    <col min="5636" max="5636" width="7.7265625" style="88" customWidth="1"/>
    <col min="5637" max="5649" width="8.7265625" style="88" customWidth="1"/>
    <col min="5650" max="5888" width="9.1796875" style="88"/>
    <col min="5889" max="5889" width="3.7265625" style="88" customWidth="1"/>
    <col min="5890" max="5890" width="45.7265625" style="88" customWidth="1"/>
    <col min="5891" max="5891" width="9.7265625" style="88" customWidth="1"/>
    <col min="5892" max="5892" width="7.7265625" style="88" customWidth="1"/>
    <col min="5893" max="5905" width="8.7265625" style="88" customWidth="1"/>
    <col min="5906" max="6144" width="9.1796875" style="88"/>
    <col min="6145" max="6145" width="3.7265625" style="88" customWidth="1"/>
    <col min="6146" max="6146" width="45.7265625" style="88" customWidth="1"/>
    <col min="6147" max="6147" width="9.7265625" style="88" customWidth="1"/>
    <col min="6148" max="6148" width="7.7265625" style="88" customWidth="1"/>
    <col min="6149" max="6161" width="8.7265625" style="88" customWidth="1"/>
    <col min="6162" max="6400" width="9.1796875" style="88"/>
    <col min="6401" max="6401" width="3.7265625" style="88" customWidth="1"/>
    <col min="6402" max="6402" width="45.7265625" style="88" customWidth="1"/>
    <col min="6403" max="6403" width="9.7265625" style="88" customWidth="1"/>
    <col min="6404" max="6404" width="7.7265625" style="88" customWidth="1"/>
    <col min="6405" max="6417" width="8.7265625" style="88" customWidth="1"/>
    <col min="6418" max="6656" width="9.1796875" style="88"/>
    <col min="6657" max="6657" width="3.7265625" style="88" customWidth="1"/>
    <col min="6658" max="6658" width="45.7265625" style="88" customWidth="1"/>
    <col min="6659" max="6659" width="9.7265625" style="88" customWidth="1"/>
    <col min="6660" max="6660" width="7.7265625" style="88" customWidth="1"/>
    <col min="6661" max="6673" width="8.7265625" style="88" customWidth="1"/>
    <col min="6674" max="6912" width="9.1796875" style="88"/>
    <col min="6913" max="6913" width="3.7265625" style="88" customWidth="1"/>
    <col min="6914" max="6914" width="45.7265625" style="88" customWidth="1"/>
    <col min="6915" max="6915" width="9.7265625" style="88" customWidth="1"/>
    <col min="6916" max="6916" width="7.7265625" style="88" customWidth="1"/>
    <col min="6917" max="6929" width="8.7265625" style="88" customWidth="1"/>
    <col min="6930" max="7168" width="9.1796875" style="88"/>
    <col min="7169" max="7169" width="3.7265625" style="88" customWidth="1"/>
    <col min="7170" max="7170" width="45.7265625" style="88" customWidth="1"/>
    <col min="7171" max="7171" width="9.7265625" style="88" customWidth="1"/>
    <col min="7172" max="7172" width="7.7265625" style="88" customWidth="1"/>
    <col min="7173" max="7185" width="8.7265625" style="88" customWidth="1"/>
    <col min="7186" max="7424" width="9.1796875" style="88"/>
    <col min="7425" max="7425" width="3.7265625" style="88" customWidth="1"/>
    <col min="7426" max="7426" width="45.7265625" style="88" customWidth="1"/>
    <col min="7427" max="7427" width="9.7265625" style="88" customWidth="1"/>
    <col min="7428" max="7428" width="7.7265625" style="88" customWidth="1"/>
    <col min="7429" max="7441" width="8.7265625" style="88" customWidth="1"/>
    <col min="7442" max="7680" width="9.1796875" style="88"/>
    <col min="7681" max="7681" width="3.7265625" style="88" customWidth="1"/>
    <col min="7682" max="7682" width="45.7265625" style="88" customWidth="1"/>
    <col min="7683" max="7683" width="9.7265625" style="88" customWidth="1"/>
    <col min="7684" max="7684" width="7.7265625" style="88" customWidth="1"/>
    <col min="7685" max="7697" width="8.7265625" style="88" customWidth="1"/>
    <col min="7698" max="7936" width="9.1796875" style="88"/>
    <col min="7937" max="7937" width="3.7265625" style="88" customWidth="1"/>
    <col min="7938" max="7938" width="45.7265625" style="88" customWidth="1"/>
    <col min="7939" max="7939" width="9.7265625" style="88" customWidth="1"/>
    <col min="7940" max="7940" width="7.7265625" style="88" customWidth="1"/>
    <col min="7941" max="7953" width="8.7265625" style="88" customWidth="1"/>
    <col min="7954" max="8192" width="9.1796875" style="88"/>
    <col min="8193" max="8193" width="3.7265625" style="88" customWidth="1"/>
    <col min="8194" max="8194" width="45.7265625" style="88" customWidth="1"/>
    <col min="8195" max="8195" width="9.7265625" style="88" customWidth="1"/>
    <col min="8196" max="8196" width="7.7265625" style="88" customWidth="1"/>
    <col min="8197" max="8209" width="8.7265625" style="88" customWidth="1"/>
    <col min="8210" max="8448" width="9.1796875" style="88"/>
    <col min="8449" max="8449" width="3.7265625" style="88" customWidth="1"/>
    <col min="8450" max="8450" width="45.7265625" style="88" customWidth="1"/>
    <col min="8451" max="8451" width="9.7265625" style="88" customWidth="1"/>
    <col min="8452" max="8452" width="7.7265625" style="88" customWidth="1"/>
    <col min="8453" max="8465" width="8.7265625" style="88" customWidth="1"/>
    <col min="8466" max="8704" width="9.1796875" style="88"/>
    <col min="8705" max="8705" width="3.7265625" style="88" customWidth="1"/>
    <col min="8706" max="8706" width="45.7265625" style="88" customWidth="1"/>
    <col min="8707" max="8707" width="9.7265625" style="88" customWidth="1"/>
    <col min="8708" max="8708" width="7.7265625" style="88" customWidth="1"/>
    <col min="8709" max="8721" width="8.7265625" style="88" customWidth="1"/>
    <col min="8722" max="8960" width="9.1796875" style="88"/>
    <col min="8961" max="8961" width="3.7265625" style="88" customWidth="1"/>
    <col min="8962" max="8962" width="45.7265625" style="88" customWidth="1"/>
    <col min="8963" max="8963" width="9.7265625" style="88" customWidth="1"/>
    <col min="8964" max="8964" width="7.7265625" style="88" customWidth="1"/>
    <col min="8965" max="8977" width="8.7265625" style="88" customWidth="1"/>
    <col min="8978" max="9216" width="9.1796875" style="88"/>
    <col min="9217" max="9217" width="3.7265625" style="88" customWidth="1"/>
    <col min="9218" max="9218" width="45.7265625" style="88" customWidth="1"/>
    <col min="9219" max="9219" width="9.7265625" style="88" customWidth="1"/>
    <col min="9220" max="9220" width="7.7265625" style="88" customWidth="1"/>
    <col min="9221" max="9233" width="8.7265625" style="88" customWidth="1"/>
    <col min="9234" max="9472" width="9.1796875" style="88"/>
    <col min="9473" max="9473" width="3.7265625" style="88" customWidth="1"/>
    <col min="9474" max="9474" width="45.7265625" style="88" customWidth="1"/>
    <col min="9475" max="9475" width="9.7265625" style="88" customWidth="1"/>
    <col min="9476" max="9476" width="7.7265625" style="88" customWidth="1"/>
    <col min="9477" max="9489" width="8.7265625" style="88" customWidth="1"/>
    <col min="9490" max="9728" width="9.1796875" style="88"/>
    <col min="9729" max="9729" width="3.7265625" style="88" customWidth="1"/>
    <col min="9730" max="9730" width="45.7265625" style="88" customWidth="1"/>
    <col min="9731" max="9731" width="9.7265625" style="88" customWidth="1"/>
    <col min="9732" max="9732" width="7.7265625" style="88" customWidth="1"/>
    <col min="9733" max="9745" width="8.7265625" style="88" customWidth="1"/>
    <col min="9746" max="9984" width="9.1796875" style="88"/>
    <col min="9985" max="9985" width="3.7265625" style="88" customWidth="1"/>
    <col min="9986" max="9986" width="45.7265625" style="88" customWidth="1"/>
    <col min="9987" max="9987" width="9.7265625" style="88" customWidth="1"/>
    <col min="9988" max="9988" width="7.7265625" style="88" customWidth="1"/>
    <col min="9989" max="10001" width="8.7265625" style="88" customWidth="1"/>
    <col min="10002" max="10240" width="9.1796875" style="88"/>
    <col min="10241" max="10241" width="3.7265625" style="88" customWidth="1"/>
    <col min="10242" max="10242" width="45.7265625" style="88" customWidth="1"/>
    <col min="10243" max="10243" width="9.7265625" style="88" customWidth="1"/>
    <col min="10244" max="10244" width="7.7265625" style="88" customWidth="1"/>
    <col min="10245" max="10257" width="8.7265625" style="88" customWidth="1"/>
    <col min="10258" max="10496" width="9.1796875" style="88"/>
    <col min="10497" max="10497" width="3.7265625" style="88" customWidth="1"/>
    <col min="10498" max="10498" width="45.7265625" style="88" customWidth="1"/>
    <col min="10499" max="10499" width="9.7265625" style="88" customWidth="1"/>
    <col min="10500" max="10500" width="7.7265625" style="88" customWidth="1"/>
    <col min="10501" max="10513" width="8.7265625" style="88" customWidth="1"/>
    <col min="10514" max="10752" width="9.1796875" style="88"/>
    <col min="10753" max="10753" width="3.7265625" style="88" customWidth="1"/>
    <col min="10754" max="10754" width="45.7265625" style="88" customWidth="1"/>
    <col min="10755" max="10755" width="9.7265625" style="88" customWidth="1"/>
    <col min="10756" max="10756" width="7.7265625" style="88" customWidth="1"/>
    <col min="10757" max="10769" width="8.7265625" style="88" customWidth="1"/>
    <col min="10770" max="11008" width="9.1796875" style="88"/>
    <col min="11009" max="11009" width="3.7265625" style="88" customWidth="1"/>
    <col min="11010" max="11010" width="45.7265625" style="88" customWidth="1"/>
    <col min="11011" max="11011" width="9.7265625" style="88" customWidth="1"/>
    <col min="11012" max="11012" width="7.7265625" style="88" customWidth="1"/>
    <col min="11013" max="11025" width="8.7265625" style="88" customWidth="1"/>
    <col min="11026" max="11264" width="9.1796875" style="88"/>
    <col min="11265" max="11265" width="3.7265625" style="88" customWidth="1"/>
    <col min="11266" max="11266" width="45.7265625" style="88" customWidth="1"/>
    <col min="11267" max="11267" width="9.7265625" style="88" customWidth="1"/>
    <col min="11268" max="11268" width="7.7265625" style="88" customWidth="1"/>
    <col min="11269" max="11281" width="8.7265625" style="88" customWidth="1"/>
    <col min="11282" max="11520" width="9.1796875" style="88"/>
    <col min="11521" max="11521" width="3.7265625" style="88" customWidth="1"/>
    <col min="11522" max="11522" width="45.7265625" style="88" customWidth="1"/>
    <col min="11523" max="11523" width="9.7265625" style="88" customWidth="1"/>
    <col min="11524" max="11524" width="7.7265625" style="88" customWidth="1"/>
    <col min="11525" max="11537" width="8.7265625" style="88" customWidth="1"/>
    <col min="11538" max="11776" width="9.1796875" style="88"/>
    <col min="11777" max="11777" width="3.7265625" style="88" customWidth="1"/>
    <col min="11778" max="11778" width="45.7265625" style="88" customWidth="1"/>
    <col min="11779" max="11779" width="9.7265625" style="88" customWidth="1"/>
    <col min="11780" max="11780" width="7.7265625" style="88" customWidth="1"/>
    <col min="11781" max="11793" width="8.7265625" style="88" customWidth="1"/>
    <col min="11794" max="12032" width="9.1796875" style="88"/>
    <col min="12033" max="12033" width="3.7265625" style="88" customWidth="1"/>
    <col min="12034" max="12034" width="45.7265625" style="88" customWidth="1"/>
    <col min="12035" max="12035" width="9.7265625" style="88" customWidth="1"/>
    <col min="12036" max="12036" width="7.7265625" style="88" customWidth="1"/>
    <col min="12037" max="12049" width="8.7265625" style="88" customWidth="1"/>
    <col min="12050" max="12288" width="9.1796875" style="88"/>
    <col min="12289" max="12289" width="3.7265625" style="88" customWidth="1"/>
    <col min="12290" max="12290" width="45.7265625" style="88" customWidth="1"/>
    <col min="12291" max="12291" width="9.7265625" style="88" customWidth="1"/>
    <col min="12292" max="12292" width="7.7265625" style="88" customWidth="1"/>
    <col min="12293" max="12305" width="8.7265625" style="88" customWidth="1"/>
    <col min="12306" max="12544" width="9.1796875" style="88"/>
    <col min="12545" max="12545" width="3.7265625" style="88" customWidth="1"/>
    <col min="12546" max="12546" width="45.7265625" style="88" customWidth="1"/>
    <col min="12547" max="12547" width="9.7265625" style="88" customWidth="1"/>
    <col min="12548" max="12548" width="7.7265625" style="88" customWidth="1"/>
    <col min="12549" max="12561" width="8.7265625" style="88" customWidth="1"/>
    <col min="12562" max="12800" width="9.1796875" style="88"/>
    <col min="12801" max="12801" width="3.7265625" style="88" customWidth="1"/>
    <col min="12802" max="12802" width="45.7265625" style="88" customWidth="1"/>
    <col min="12803" max="12803" width="9.7265625" style="88" customWidth="1"/>
    <col min="12804" max="12804" width="7.7265625" style="88" customWidth="1"/>
    <col min="12805" max="12817" width="8.7265625" style="88" customWidth="1"/>
    <col min="12818" max="13056" width="9.1796875" style="88"/>
    <col min="13057" max="13057" width="3.7265625" style="88" customWidth="1"/>
    <col min="13058" max="13058" width="45.7265625" style="88" customWidth="1"/>
    <col min="13059" max="13059" width="9.7265625" style="88" customWidth="1"/>
    <col min="13060" max="13060" width="7.7265625" style="88" customWidth="1"/>
    <col min="13061" max="13073" width="8.7265625" style="88" customWidth="1"/>
    <col min="13074" max="13312" width="9.1796875" style="88"/>
    <col min="13313" max="13313" width="3.7265625" style="88" customWidth="1"/>
    <col min="13314" max="13314" width="45.7265625" style="88" customWidth="1"/>
    <col min="13315" max="13315" width="9.7265625" style="88" customWidth="1"/>
    <col min="13316" max="13316" width="7.7265625" style="88" customWidth="1"/>
    <col min="13317" max="13329" width="8.7265625" style="88" customWidth="1"/>
    <col min="13330" max="13568" width="9.1796875" style="88"/>
    <col min="13569" max="13569" width="3.7265625" style="88" customWidth="1"/>
    <col min="13570" max="13570" width="45.7265625" style="88" customWidth="1"/>
    <col min="13571" max="13571" width="9.7265625" style="88" customWidth="1"/>
    <col min="13572" max="13572" width="7.7265625" style="88" customWidth="1"/>
    <col min="13573" max="13585" width="8.7265625" style="88" customWidth="1"/>
    <col min="13586" max="13824" width="9.1796875" style="88"/>
    <col min="13825" max="13825" width="3.7265625" style="88" customWidth="1"/>
    <col min="13826" max="13826" width="45.7265625" style="88" customWidth="1"/>
    <col min="13827" max="13827" width="9.7265625" style="88" customWidth="1"/>
    <col min="13828" max="13828" width="7.7265625" style="88" customWidth="1"/>
    <col min="13829" max="13841" width="8.7265625" style="88" customWidth="1"/>
    <col min="13842" max="14080" width="9.1796875" style="88"/>
    <col min="14081" max="14081" width="3.7265625" style="88" customWidth="1"/>
    <col min="14082" max="14082" width="45.7265625" style="88" customWidth="1"/>
    <col min="14083" max="14083" width="9.7265625" style="88" customWidth="1"/>
    <col min="14084" max="14084" width="7.7265625" style="88" customWidth="1"/>
    <col min="14085" max="14097" width="8.7265625" style="88" customWidth="1"/>
    <col min="14098" max="14336" width="9.1796875" style="88"/>
    <col min="14337" max="14337" width="3.7265625" style="88" customWidth="1"/>
    <col min="14338" max="14338" width="45.7265625" style="88" customWidth="1"/>
    <col min="14339" max="14339" width="9.7265625" style="88" customWidth="1"/>
    <col min="14340" max="14340" width="7.7265625" style="88" customWidth="1"/>
    <col min="14341" max="14353" width="8.7265625" style="88" customWidth="1"/>
    <col min="14354" max="14592" width="9.1796875" style="88"/>
    <col min="14593" max="14593" width="3.7265625" style="88" customWidth="1"/>
    <col min="14594" max="14594" width="45.7265625" style="88" customWidth="1"/>
    <col min="14595" max="14595" width="9.7265625" style="88" customWidth="1"/>
    <col min="14596" max="14596" width="7.7265625" style="88" customWidth="1"/>
    <col min="14597" max="14609" width="8.7265625" style="88" customWidth="1"/>
    <col min="14610" max="14848" width="9.1796875" style="88"/>
    <col min="14849" max="14849" width="3.7265625" style="88" customWidth="1"/>
    <col min="14850" max="14850" width="45.7265625" style="88" customWidth="1"/>
    <col min="14851" max="14851" width="9.7265625" style="88" customWidth="1"/>
    <col min="14852" max="14852" width="7.7265625" style="88" customWidth="1"/>
    <col min="14853" max="14865" width="8.7265625" style="88" customWidth="1"/>
    <col min="14866" max="15104" width="9.1796875" style="88"/>
    <col min="15105" max="15105" width="3.7265625" style="88" customWidth="1"/>
    <col min="15106" max="15106" width="45.7265625" style="88" customWidth="1"/>
    <col min="15107" max="15107" width="9.7265625" style="88" customWidth="1"/>
    <col min="15108" max="15108" width="7.7265625" style="88" customWidth="1"/>
    <col min="15109" max="15121" width="8.7265625" style="88" customWidth="1"/>
    <col min="15122" max="15360" width="9.1796875" style="88"/>
    <col min="15361" max="15361" width="3.7265625" style="88" customWidth="1"/>
    <col min="15362" max="15362" width="45.7265625" style="88" customWidth="1"/>
    <col min="15363" max="15363" width="9.7265625" style="88" customWidth="1"/>
    <col min="15364" max="15364" width="7.7265625" style="88" customWidth="1"/>
    <col min="15365" max="15377" width="8.7265625" style="88" customWidth="1"/>
    <col min="15378" max="15616" width="9.1796875" style="88"/>
    <col min="15617" max="15617" width="3.7265625" style="88" customWidth="1"/>
    <col min="15618" max="15618" width="45.7265625" style="88" customWidth="1"/>
    <col min="15619" max="15619" width="9.7265625" style="88" customWidth="1"/>
    <col min="15620" max="15620" width="7.7265625" style="88" customWidth="1"/>
    <col min="15621" max="15633" width="8.7265625" style="88" customWidth="1"/>
    <col min="15634" max="15872" width="9.1796875" style="88"/>
    <col min="15873" max="15873" width="3.7265625" style="88" customWidth="1"/>
    <col min="15874" max="15874" width="45.7265625" style="88" customWidth="1"/>
    <col min="15875" max="15875" width="9.7265625" style="88" customWidth="1"/>
    <col min="15876" max="15876" width="7.7265625" style="88" customWidth="1"/>
    <col min="15877" max="15889" width="8.7265625" style="88" customWidth="1"/>
    <col min="15890" max="16128" width="9.1796875" style="88"/>
    <col min="16129" max="16129" width="3.7265625" style="88" customWidth="1"/>
    <col min="16130" max="16130" width="45.7265625" style="88" customWidth="1"/>
    <col min="16131" max="16131" width="9.7265625" style="88" customWidth="1"/>
    <col min="16132" max="16132" width="7.7265625" style="88" customWidth="1"/>
    <col min="16133" max="16145" width="8.7265625" style="88" customWidth="1"/>
    <col min="16146" max="16384" width="9.1796875" style="88"/>
  </cols>
  <sheetData>
    <row r="1" spans="1:162" s="101" customFormat="1" ht="16" thickBot="1" x14ac:dyDescent="0.4">
      <c r="A1" s="471" t="s">
        <v>497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3"/>
      <c r="Q1" s="100">
        <v>1</v>
      </c>
    </row>
    <row r="2" spans="1:162" ht="10.5" thickBot="1" x14ac:dyDescent="0.4">
      <c r="A2" s="92" t="s">
        <v>61</v>
      </c>
      <c r="B2" s="85" t="s">
        <v>128</v>
      </c>
      <c r="C2" s="86" t="s">
        <v>445</v>
      </c>
      <c r="D2" s="86" t="s">
        <v>23</v>
      </c>
      <c r="E2" s="86" t="s">
        <v>130</v>
      </c>
      <c r="F2" s="86" t="s">
        <v>131</v>
      </c>
      <c r="G2" s="86" t="s">
        <v>132</v>
      </c>
      <c r="H2" s="86" t="s">
        <v>133</v>
      </c>
      <c r="I2" s="86" t="s">
        <v>134</v>
      </c>
      <c r="J2" s="86" t="s">
        <v>135</v>
      </c>
      <c r="K2" s="86" t="s">
        <v>136</v>
      </c>
      <c r="L2" s="86" t="s">
        <v>137</v>
      </c>
      <c r="M2" s="86" t="s">
        <v>138</v>
      </c>
      <c r="N2" s="86" t="s">
        <v>139</v>
      </c>
      <c r="O2" s="86" t="s">
        <v>140</v>
      </c>
      <c r="P2" s="87" t="s">
        <v>141</v>
      </c>
      <c r="Q2" s="88"/>
    </row>
    <row r="3" spans="1:162" s="108" customFormat="1" x14ac:dyDescent="0.35">
      <c r="A3" s="102">
        <v>1</v>
      </c>
      <c r="B3" s="94" t="s">
        <v>483</v>
      </c>
      <c r="C3" s="103">
        <f t="shared" ref="C3:C8" si="0">SUM(E3:P3)</f>
        <v>20548396.800000001</v>
      </c>
      <c r="D3" s="104">
        <f>C3/C$3</f>
        <v>1</v>
      </c>
      <c r="E3" s="105">
        <f>Операционный!D45*Операционный!D68</f>
        <v>1969221.36</v>
      </c>
      <c r="F3" s="105">
        <f>Операционный!E45*Операционный!E68</f>
        <v>1524006.0960000001</v>
      </c>
      <c r="G3" s="105">
        <f>Операционный!F45*Операционный!F68</f>
        <v>2037716.0160000001</v>
      </c>
      <c r="H3" s="105">
        <f>Операционный!G45*Операционный!G68</f>
        <v>1712366.4000000001</v>
      </c>
      <c r="I3" s="105">
        <f>Операционный!H45*Операционный!H68</f>
        <v>1575377.0880000002</v>
      </c>
      <c r="J3" s="105">
        <f>Операционный!I45*Операционный!I68</f>
        <v>1524006.0960000001</v>
      </c>
      <c r="K3" s="105">
        <f>Операционный!J45*Операционный!J68</f>
        <v>1489758.7680000002</v>
      </c>
      <c r="L3" s="105">
        <f>Операционный!K45*Операционный!K68</f>
        <v>1678119.0720000002</v>
      </c>
      <c r="M3" s="105">
        <f>Операционный!L45*Операционный!L68</f>
        <v>1575377.0880000002</v>
      </c>
      <c r="N3" s="105">
        <f>Операционный!M45*Операционный!M68</f>
        <v>1626748.08</v>
      </c>
      <c r="O3" s="105">
        <f>Операционный!N45*Операционный!N68</f>
        <v>1695242.736</v>
      </c>
      <c r="P3" s="106">
        <f>Операционный!O45*Операционный!O68</f>
        <v>2140458</v>
      </c>
      <c r="Q3" s="107"/>
    </row>
    <row r="4" spans="1:162" s="112" customFormat="1" x14ac:dyDescent="0.35">
      <c r="A4" s="102">
        <v>2</v>
      </c>
      <c r="B4" s="95" t="s">
        <v>485</v>
      </c>
      <c r="C4" s="109">
        <f t="shared" si="0"/>
        <v>8895694.2971252892</v>
      </c>
      <c r="D4" s="110">
        <f>'Unit Сoste '!E6</f>
        <v>0.4329142747100001</v>
      </c>
      <c r="E4" s="105">
        <f>E3*D4</f>
        <v>852504.03680784011</v>
      </c>
      <c r="F4" s="105">
        <f>F3*D4</f>
        <v>659763.99370345881</v>
      </c>
      <c r="G4" s="105">
        <f>G3*D4</f>
        <v>882156.35113159101</v>
      </c>
      <c r="H4" s="105">
        <f>H3*D4</f>
        <v>741307.85809377395</v>
      </c>
      <c r="I4" s="105">
        <f>I3*D4</f>
        <v>682003.22944627213</v>
      </c>
      <c r="J4" s="105">
        <f>J3*D4</f>
        <v>659763.99370345881</v>
      </c>
      <c r="K4" s="105">
        <f>K3*D4</f>
        <v>644937.83654158341</v>
      </c>
      <c r="L4" s="105">
        <f>L3*D4</f>
        <v>726481.70093189855</v>
      </c>
      <c r="M4" s="105">
        <f>M3*D4</f>
        <v>682003.22944627213</v>
      </c>
      <c r="N4" s="105">
        <f>N3*D4</f>
        <v>704242.46518908523</v>
      </c>
      <c r="O4" s="105">
        <f>O3*D4</f>
        <v>733894.77951283625</v>
      </c>
      <c r="P4" s="106">
        <f>P3*D4</f>
        <v>926634.82261721743</v>
      </c>
      <c r="Q4" s="111"/>
    </row>
    <row r="5" spans="1:162" s="108" customFormat="1" x14ac:dyDescent="0.35">
      <c r="A5" s="113">
        <v>3</v>
      </c>
      <c r="B5" s="96" t="s">
        <v>484</v>
      </c>
      <c r="C5" s="114">
        <f t="shared" si="0"/>
        <v>11652702.502874715</v>
      </c>
      <c r="D5" s="115">
        <f t="shared" ref="D5:D66" si="1">C5/C$3</f>
        <v>0.56708572529000001</v>
      </c>
      <c r="E5" s="116">
        <f>E3-E4</f>
        <v>1116717.3231921601</v>
      </c>
      <c r="F5" s="116">
        <f t="shared" ref="F5:P5" si="2">F3-F4</f>
        <v>864242.10229654133</v>
      </c>
      <c r="G5" s="116">
        <f t="shared" si="2"/>
        <v>1155559.664868409</v>
      </c>
      <c r="H5" s="116">
        <f t="shared" si="2"/>
        <v>971058.54190622619</v>
      </c>
      <c r="I5" s="116">
        <f t="shared" si="2"/>
        <v>893373.85855372809</v>
      </c>
      <c r="J5" s="116">
        <f t="shared" si="2"/>
        <v>864242.10229654133</v>
      </c>
      <c r="K5" s="116">
        <f t="shared" si="2"/>
        <v>844820.93145841674</v>
      </c>
      <c r="L5" s="116">
        <f t="shared" si="2"/>
        <v>951637.37106810161</v>
      </c>
      <c r="M5" s="116">
        <f t="shared" si="2"/>
        <v>893373.85855372809</v>
      </c>
      <c r="N5" s="116">
        <f t="shared" si="2"/>
        <v>922505.61481091485</v>
      </c>
      <c r="O5" s="116">
        <f t="shared" si="2"/>
        <v>961347.95648716378</v>
      </c>
      <c r="P5" s="117">
        <f t="shared" si="2"/>
        <v>1213823.1773827826</v>
      </c>
      <c r="Q5" s="107"/>
    </row>
    <row r="6" spans="1:162" s="112" customFormat="1" ht="10.5" x14ac:dyDescent="0.35">
      <c r="A6" s="102">
        <v>4</v>
      </c>
      <c r="B6" s="93" t="s">
        <v>486</v>
      </c>
      <c r="C6" s="118">
        <f t="shared" si="0"/>
        <v>6065692.3856047988</v>
      </c>
      <c r="D6" s="119">
        <f t="shared" si="1"/>
        <v>0.29519054185311422</v>
      </c>
      <c r="E6" s="105">
        <f>SUM(E7,E8,E10,E11,E19,E25,E26,E27,E43,E48,E53,E58,E64,E65)</f>
        <v>556750.09176800016</v>
      </c>
      <c r="F6" s="105">
        <f>SUM(F7,F8,F10,F11,F19,F25,F26,F27,F43,F48,F53,F58,F64,F65)</f>
        <v>463254.4619744001</v>
      </c>
      <c r="G6" s="105">
        <f>SUM(G7,G8,G10,G11,G19,G25,G26,G27,G43,G48,G53,G58,G64,G65)</f>
        <v>564775.84048800007</v>
      </c>
      <c r="H6" s="105">
        <f>SUM(H7,H8,H10,H11,H19,H25,H26,H27,H43,H48,H53,H58,H64,H65)</f>
        <v>512778.71568000002</v>
      </c>
      <c r="I6" s="105">
        <f>SUM(I7,I8,I10,I11,I19,I25,I26,I27,I43,I48,I53,I58,I64,I65)</f>
        <v>481623.57298560004</v>
      </c>
      <c r="J6" s="105">
        <f>SUM(J7,J8,J10,J11,J19,J25,J26,J27,J43,J48,J53,J58,J64,J65)</f>
        <v>472882.89001600002</v>
      </c>
      <c r="K6" s="105">
        <f>SUM(K7,K8,K10,K11,K19,K25,K26,K27,K43,K48,K53,K58,K64,K65)</f>
        <v>466794.30863519997</v>
      </c>
      <c r="L6" s="105">
        <f>SUM(L7,L8,L10,L11,L19,L25,L26,L27,L43,L48,L53,L58,L64,L65)</f>
        <v>486032.53322400001</v>
      </c>
      <c r="M6" s="105">
        <f>SUM(M7,M8,M10,M11,M19,M25,M26,M27,M43,M48,M53,M58,M64,M65)</f>
        <v>487809.79154080007</v>
      </c>
      <c r="N6" s="105">
        <f>SUM(N7,N8,N10,N11,N19,N25,N26,N27,N43,N48,N53,N58,N64,N65)</f>
        <v>487410.34083999996</v>
      </c>
      <c r="O6" s="105">
        <f>SUM(O7,O8,O10,O11,O19,O25,O26,O27,O43,O48,O53,O58,O64,O65)</f>
        <v>501462.98685279989</v>
      </c>
      <c r="P6" s="106">
        <f>SUM(P7,P8,P10,P11,P19,P25,P26,P27,P43,P48,P53,P58,P64,P65)</f>
        <v>584116.85159999994</v>
      </c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08"/>
      <c r="ED6" s="108"/>
      <c r="EE6" s="108"/>
      <c r="EF6" s="108"/>
      <c r="EG6" s="108"/>
      <c r="EH6" s="108"/>
      <c r="EI6" s="108"/>
      <c r="EJ6" s="108"/>
      <c r="EK6" s="108"/>
      <c r="EL6" s="108"/>
      <c r="EM6" s="108"/>
      <c r="EN6" s="108"/>
      <c r="EO6" s="108"/>
      <c r="EP6" s="108"/>
      <c r="EQ6" s="108"/>
      <c r="ER6" s="108"/>
      <c r="ES6" s="108"/>
      <c r="ET6" s="108"/>
      <c r="EU6" s="108"/>
      <c r="EV6" s="108"/>
      <c r="EW6" s="108"/>
      <c r="EX6" s="108"/>
      <c r="EY6" s="108"/>
      <c r="EZ6" s="108"/>
      <c r="FA6" s="108"/>
      <c r="FB6" s="108"/>
      <c r="FC6" s="108"/>
      <c r="FD6" s="108"/>
      <c r="FE6" s="108"/>
      <c r="FF6" s="108"/>
    </row>
    <row r="7" spans="1:162" s="125" customFormat="1" ht="10.5" x14ac:dyDescent="0.35">
      <c r="A7" s="120">
        <v>5</v>
      </c>
      <c r="B7" s="89" t="s">
        <v>426</v>
      </c>
      <c r="C7" s="121">
        <f t="shared" si="0"/>
        <v>1185678.8999999999</v>
      </c>
      <c r="D7" s="122">
        <f t="shared" si="1"/>
        <v>5.7701771653543302E-2</v>
      </c>
      <c r="E7" s="123">
        <f>Операционный!D29*Операционный!D68</f>
        <v>104213.9</v>
      </c>
      <c r="F7" s="123">
        <f>Операционный!E28*Операционный!E68</f>
        <v>98315</v>
      </c>
      <c r="G7" s="123">
        <f>Операционный!F28*Операционный!F68</f>
        <v>98315</v>
      </c>
      <c r="H7" s="123">
        <f>Операционный!G28*Операционный!G68</f>
        <v>98315</v>
      </c>
      <c r="I7" s="123">
        <f>Операционный!H28*Операционный!H68</f>
        <v>98315</v>
      </c>
      <c r="J7" s="123">
        <f>Операционный!I28*Операционный!I68</f>
        <v>98315</v>
      </c>
      <c r="K7" s="123">
        <f>Операционный!J28*Операционный!J68</f>
        <v>98315</v>
      </c>
      <c r="L7" s="123">
        <f>Операционный!K28*Операционный!K68</f>
        <v>98315</v>
      </c>
      <c r="M7" s="123">
        <f>Операционный!L28*Операционный!L68</f>
        <v>98315</v>
      </c>
      <c r="N7" s="123">
        <f>Операционный!M28*Операционный!M68</f>
        <v>98315</v>
      </c>
      <c r="O7" s="123">
        <f>Операционный!N28*Операционный!N68</f>
        <v>98315</v>
      </c>
      <c r="P7" s="124">
        <f>Операционный!O28*Операционный!O68</f>
        <v>98315</v>
      </c>
    </row>
    <row r="8" spans="1:162" s="125" customFormat="1" ht="10.5" x14ac:dyDescent="0.35">
      <c r="A8" s="120">
        <v>6</v>
      </c>
      <c r="B8" s="89" t="s">
        <v>487</v>
      </c>
      <c r="C8" s="121">
        <f t="shared" si="0"/>
        <v>1755573.75</v>
      </c>
      <c r="D8" s="122">
        <f t="shared" si="1"/>
        <v>8.5436044820781348E-2</v>
      </c>
      <c r="E8" s="123">
        <f>SUM(E9:E9)</f>
        <v>146790</v>
      </c>
      <c r="F8" s="123">
        <f>SUM(F9:F9)</f>
        <v>146790</v>
      </c>
      <c r="G8" s="123">
        <f>SUM(G9:G9)</f>
        <v>146790</v>
      </c>
      <c r="H8" s="123">
        <f>SUM(H9:H9)</f>
        <v>146790</v>
      </c>
      <c r="I8" s="123">
        <f>SUM(I9:I9)</f>
        <v>146790</v>
      </c>
      <c r="J8" s="123">
        <f>SUM(J9:J9)</f>
        <v>146790</v>
      </c>
      <c r="K8" s="123">
        <f>SUM(K9:K9)</f>
        <v>145805.625</v>
      </c>
      <c r="L8" s="123">
        <f>SUM(L9:L9)</f>
        <v>145805.625</v>
      </c>
      <c r="M8" s="123">
        <f>SUM(M9:M9)</f>
        <v>145805.625</v>
      </c>
      <c r="N8" s="123">
        <f>SUM(N9:N9)</f>
        <v>145805.625</v>
      </c>
      <c r="O8" s="123">
        <f>SUM(O9:O9)</f>
        <v>145805.625</v>
      </c>
      <c r="P8" s="124">
        <f>SUM(P9:P9)</f>
        <v>145805.625</v>
      </c>
    </row>
    <row r="9" spans="1:162" outlineLevel="1" x14ac:dyDescent="0.35">
      <c r="A9" s="135" t="s">
        <v>210</v>
      </c>
      <c r="B9" s="432" t="s">
        <v>478</v>
      </c>
      <c r="C9" s="433">
        <f>SUM(E9:P9)</f>
        <v>1755573.75</v>
      </c>
      <c r="D9" s="434">
        <f t="shared" si="1"/>
        <v>8.5436044820781348E-2</v>
      </c>
      <c r="E9" s="435">
        <f>Операционный!G50*Операционный!D68+'Штатное расписание'!D6*1.05*1.05/7</f>
        <v>146790</v>
      </c>
      <c r="F9" s="435">
        <f>Операционный!G50*Операционный!E68+'Штатное расписание'!D6*1.05*1.05/7</f>
        <v>146790</v>
      </c>
      <c r="G9" s="435">
        <f>Операционный!G50*Операционный!F68+'Штатное расписание'!D6*1.05*1.05/7</f>
        <v>146790</v>
      </c>
      <c r="H9" s="435">
        <f>Операционный!G50*Операционный!G68+'Штатное расписание'!D6*1.05*1.05/7</f>
        <v>146790</v>
      </c>
      <c r="I9" s="435">
        <f>Операционный!G50*Операционный!H68+'Штатное расписание'!D6*1.05*1.05/7</f>
        <v>146790</v>
      </c>
      <c r="J9" s="435">
        <f>Операционный!G50*Операционный!I68+'Штатное расписание'!D6*1.05*1.05/7</f>
        <v>146790</v>
      </c>
      <c r="K9" s="435">
        <f>Операционный!G50*Операционный!J68+'Штатное расписание'!D6*1.05*1.05/8</f>
        <v>145805.625</v>
      </c>
      <c r="L9" s="435">
        <f>Операционный!G50*Операционный!K68+'Штатное расписание'!D6*1.05*1.05/8</f>
        <v>145805.625</v>
      </c>
      <c r="M9" s="435">
        <f>Операционный!G50*Операционный!L68+'Штатное расписание'!D6*1.05*1.05/8</f>
        <v>145805.625</v>
      </c>
      <c r="N9" s="435">
        <f>Операционный!G50*Операционный!M68+'Штатное расписание'!D6*1.05*1.05/8</f>
        <v>145805.625</v>
      </c>
      <c r="O9" s="435">
        <f>Операционный!G50*Операционный!N68+'Штатное расписание'!D6*1.05*1.05/8</f>
        <v>145805.625</v>
      </c>
      <c r="P9" s="436">
        <f>Операционный!G50*Операционный!O68+'Штатное расписание'!D6*1.05*1.05/8</f>
        <v>145805.625</v>
      </c>
    </row>
    <row r="10" spans="1:162" x14ac:dyDescent="0.35">
      <c r="A10" s="120" t="s">
        <v>212</v>
      </c>
      <c r="B10" s="91" t="s">
        <v>428</v>
      </c>
      <c r="C10" s="127">
        <f t="shared" ref="C10:C66" si="3">SUM(E10:P10)</f>
        <v>46706</v>
      </c>
      <c r="D10" s="128">
        <f t="shared" si="1"/>
        <v>2.2729753787896485E-3</v>
      </c>
      <c r="E10" s="129">
        <f>'Бюджет затрат (ориентир.)'!B21*Операционный!D68</f>
        <v>7803</v>
      </c>
      <c r="F10" s="129">
        <f>'Бюджет затрат (ориентир.)'!C21*Операционный!E68</f>
        <v>2655</v>
      </c>
      <c r="G10" s="129">
        <f>'Бюджет затрат (ориентир.)'!D21*Операционный!F68</f>
        <v>2806</v>
      </c>
      <c r="H10" s="129">
        <f>'Бюджет затрат (ориентир.)'!E21*Операционный!G68</f>
        <v>4483</v>
      </c>
      <c r="I10" s="129">
        <f>'Бюджет затрат (ориентир.)'!F21*Операционный!H68</f>
        <v>2260</v>
      </c>
      <c r="J10" s="129">
        <f>'Бюджет затрат (ориентир.)'!G21*Операционный!I68</f>
        <v>5273</v>
      </c>
      <c r="K10" s="129">
        <f>'Бюджет затрат (ориентир.)'!H21*Операционный!J68</f>
        <v>4573</v>
      </c>
      <c r="L10" s="129">
        <f>'Бюджет затрат (ориентир.)'!I21*Операционный!K68</f>
        <v>3619</v>
      </c>
      <c r="M10" s="129">
        <f>'Бюджет затрат (ориентир.)'!J21*Операционный!L68</f>
        <v>4862</v>
      </c>
      <c r="N10" s="129">
        <f>'Бюджет затрат (ориентир.)'!K21*Операционный!M68</f>
        <v>2531</v>
      </c>
      <c r="O10" s="129">
        <f>'Бюджет затрат (ориентир.)'!L21*Операционный!N68</f>
        <v>3395</v>
      </c>
      <c r="P10" s="130">
        <f>'Бюджет затрат (ориентир.)'!M21*Операционный!O68</f>
        <v>2446</v>
      </c>
    </row>
    <row r="11" spans="1:162" s="125" customFormat="1" x14ac:dyDescent="0.35">
      <c r="A11" s="131" t="s">
        <v>213</v>
      </c>
      <c r="B11" s="91" t="s">
        <v>429</v>
      </c>
      <c r="C11" s="127">
        <f t="shared" si="3"/>
        <v>8162.8506287999999</v>
      </c>
      <c r="D11" s="128">
        <f t="shared" si="1"/>
        <v>3.9724999999999998E-4</v>
      </c>
      <c r="E11" s="132">
        <f>E3*SUM(E12:E18)</f>
        <v>0</v>
      </c>
      <c r="F11" s="132">
        <f>F3*SUM(F12:F18)</f>
        <v>0</v>
      </c>
      <c r="G11" s="132">
        <f>G3*SUM(G12:G18)</f>
        <v>815.0864064000001</v>
      </c>
      <c r="H11" s="132">
        <f>H3*SUM(H12:H18)</f>
        <v>1369.89312</v>
      </c>
      <c r="I11" s="132">
        <f>I3*SUM(I12:I18)</f>
        <v>157.53770880000002</v>
      </c>
      <c r="J11" s="132">
        <f>J3*SUM(J12:J18)</f>
        <v>457.20182879999999</v>
      </c>
      <c r="K11" s="132">
        <f>K3*SUM(K12:K18)</f>
        <v>744.87938400000007</v>
      </c>
      <c r="L11" s="132">
        <f>L3*SUM(L12:L18)</f>
        <v>167.81190720000004</v>
      </c>
      <c r="M11" s="132">
        <f>M3*SUM(M12:M18)</f>
        <v>315.07541760000004</v>
      </c>
      <c r="N11" s="132">
        <f>N3*SUM(N12:N18)</f>
        <v>1138.7236560000001</v>
      </c>
      <c r="O11" s="132">
        <f>O3*SUM(O12:O18)</f>
        <v>0</v>
      </c>
      <c r="P11" s="133">
        <f>P3*SUM(P12:P18)</f>
        <v>2996.6412</v>
      </c>
      <c r="Q11" s="134"/>
    </row>
    <row r="12" spans="1:162" outlineLevel="1" x14ac:dyDescent="0.35">
      <c r="A12" s="135" t="s">
        <v>214</v>
      </c>
      <c r="B12" s="97" t="s">
        <v>142</v>
      </c>
      <c r="C12" s="127"/>
      <c r="D12" s="128"/>
      <c r="E12" s="136">
        <f>'Бюджет затрат (ориентир.)'!B25</f>
        <v>0</v>
      </c>
      <c r="F12" s="136">
        <f>'Бюджет затрат (ориентир.)'!C25</f>
        <v>0</v>
      </c>
      <c r="G12" s="136">
        <f>'Бюджет затрат (ориентир.)'!D25</f>
        <v>0</v>
      </c>
      <c r="H12" s="136">
        <f>'Бюджет затрат (ориентир.)'!E25</f>
        <v>5.0000000000000001E-4</v>
      </c>
      <c r="I12" s="136">
        <f>'Бюджет затрат (ориентир.)'!F25</f>
        <v>0</v>
      </c>
      <c r="J12" s="136">
        <f>'Бюджет затрат (ориентир.)'!G25</f>
        <v>0</v>
      </c>
      <c r="K12" s="136">
        <f>'Бюджет затрат (ориентир.)'!H25</f>
        <v>0</v>
      </c>
      <c r="L12" s="136">
        <f>'Бюджет затрат (ориентир.)'!I25</f>
        <v>0</v>
      </c>
      <c r="M12" s="136">
        <f>'Бюджет затрат (ориентир.)'!J25</f>
        <v>0</v>
      </c>
      <c r="N12" s="136">
        <f>'Бюджет затрат (ориентир.)'!K25</f>
        <v>0</v>
      </c>
      <c r="O12" s="136">
        <f>'Бюджет затрат (ориентир.)'!L25</f>
        <v>0</v>
      </c>
      <c r="P12" s="137">
        <f>'Бюджет затрат (ориентир.)'!M25</f>
        <v>0</v>
      </c>
    </row>
    <row r="13" spans="1:162" outlineLevel="1" x14ac:dyDescent="0.35">
      <c r="A13" s="135" t="s">
        <v>215</v>
      </c>
      <c r="B13" s="97" t="s">
        <v>143</v>
      </c>
      <c r="C13" s="127"/>
      <c r="D13" s="128"/>
      <c r="E13" s="136">
        <f>'Бюджет затрат (ориентир.)'!B26</f>
        <v>0</v>
      </c>
      <c r="F13" s="136">
        <f>'Бюджет затрат (ориентир.)'!C26</f>
        <v>0</v>
      </c>
      <c r="G13" s="136">
        <f>'Бюджет затрат (ориентир.)'!D26</f>
        <v>4.0000000000000002E-4</v>
      </c>
      <c r="H13" s="136">
        <f>'Бюджет затрат (ориентир.)'!E26</f>
        <v>2.9999999999999997E-4</v>
      </c>
      <c r="I13" s="136">
        <f>'Бюджет затрат (ориентир.)'!F26</f>
        <v>1E-4</v>
      </c>
      <c r="J13" s="136">
        <f>'Бюджет затрат (ориентир.)'!G26</f>
        <v>2.9999999999999997E-4</v>
      </c>
      <c r="K13" s="136">
        <f>'Бюджет затрат (ориентир.)'!H26</f>
        <v>5.0000000000000001E-4</v>
      </c>
      <c r="L13" s="136">
        <f>'Бюджет затрат (ориентир.)'!I26</f>
        <v>1E-4</v>
      </c>
      <c r="M13" s="136">
        <f>'Бюджет затрат (ориентир.)'!J26</f>
        <v>0</v>
      </c>
      <c r="N13" s="136">
        <f>'Бюджет затрат (ориентир.)'!K26</f>
        <v>1E-4</v>
      </c>
      <c r="O13" s="136">
        <f>'Бюджет затрат (ориентир.)'!L26</f>
        <v>0</v>
      </c>
      <c r="P13" s="137">
        <f>'Бюджет затрат (ориентир.)'!M26</f>
        <v>1.4E-3</v>
      </c>
    </row>
    <row r="14" spans="1:162" outlineLevel="1" x14ac:dyDescent="0.35">
      <c r="A14" s="135" t="s">
        <v>216</v>
      </c>
      <c r="B14" s="97" t="s">
        <v>144</v>
      </c>
      <c r="C14" s="127"/>
      <c r="D14" s="128"/>
      <c r="E14" s="136">
        <f>'Бюджет затрат (ориентир.)'!B27</f>
        <v>0</v>
      </c>
      <c r="F14" s="136">
        <f>'Бюджет затрат (ориентир.)'!C27</f>
        <v>0</v>
      </c>
      <c r="G14" s="136">
        <f>'Бюджет затрат (ориентир.)'!D27</f>
        <v>0</v>
      </c>
      <c r="H14" s="136">
        <f>'Бюджет затрат (ориентир.)'!E27</f>
        <v>0</v>
      </c>
      <c r="I14" s="136">
        <f>'Бюджет затрат (ориентир.)'!F27</f>
        <v>0</v>
      </c>
      <c r="J14" s="136">
        <f>'Бюджет затрат (ориентир.)'!G27</f>
        <v>0</v>
      </c>
      <c r="K14" s="136">
        <f>'Бюджет затрат (ориентир.)'!H27</f>
        <v>0</v>
      </c>
      <c r="L14" s="136">
        <f>'Бюджет затрат (ориентир.)'!I27</f>
        <v>0</v>
      </c>
      <c r="M14" s="136">
        <f>'Бюджет затрат (ориентир.)'!J27</f>
        <v>0</v>
      </c>
      <c r="N14" s="136">
        <f>'Бюджет затрат (ориентир.)'!K27</f>
        <v>5.9999999999999995E-4</v>
      </c>
      <c r="O14" s="136">
        <f>'Бюджет затрат (ориентир.)'!L27</f>
        <v>0</v>
      </c>
      <c r="P14" s="137">
        <f>'Бюджет затрат (ориентир.)'!M27</f>
        <v>0</v>
      </c>
    </row>
    <row r="15" spans="1:162" s="421" customFormat="1" outlineLevel="1" x14ac:dyDescent="0.35">
      <c r="A15" s="135" t="s">
        <v>217</v>
      </c>
      <c r="B15" s="97" t="s">
        <v>145</v>
      </c>
      <c r="C15" s="127"/>
      <c r="D15" s="128"/>
      <c r="E15" s="136">
        <f>'Бюджет затрат (ориентир.)'!B28</f>
        <v>0</v>
      </c>
      <c r="F15" s="136">
        <f>'Бюджет затрат (ориентир.)'!C28</f>
        <v>0</v>
      </c>
      <c r="G15" s="136">
        <f>'Бюджет затрат (ориентир.)'!D28</f>
        <v>0</v>
      </c>
      <c r="H15" s="136">
        <f>'Бюджет затрат (ориентир.)'!E28</f>
        <v>0</v>
      </c>
      <c r="I15" s="136">
        <f>'Бюджет затрат (ориентир.)'!F28</f>
        <v>0</v>
      </c>
      <c r="J15" s="136">
        <f>'Бюджет затрат (ориентир.)'!G28</f>
        <v>0</v>
      </c>
      <c r="K15" s="136">
        <f>'Бюджет затрат (ориентир.)'!H28</f>
        <v>0</v>
      </c>
      <c r="L15" s="136">
        <f>'Бюджет затрат (ориентир.)'!I28</f>
        <v>0</v>
      </c>
      <c r="M15" s="136">
        <f>'Бюджет затрат (ориентир.)'!J28</f>
        <v>0</v>
      </c>
      <c r="N15" s="136">
        <f>'Бюджет затрат (ориентир.)'!K28</f>
        <v>0</v>
      </c>
      <c r="O15" s="136">
        <f>'Бюджет затрат (ориентир.)'!L28</f>
        <v>0</v>
      </c>
      <c r="P15" s="137">
        <f>'Бюджет затрат (ориентир.)'!M28</f>
        <v>0</v>
      </c>
    </row>
    <row r="16" spans="1:162" s="421" customFormat="1" outlineLevel="1" x14ac:dyDescent="0.35">
      <c r="A16" s="135" t="s">
        <v>218</v>
      </c>
      <c r="B16" s="97" t="s">
        <v>146</v>
      </c>
      <c r="C16" s="127"/>
      <c r="D16" s="128"/>
      <c r="E16" s="136">
        <f>'Бюджет затрат (ориентир.)'!B29</f>
        <v>0</v>
      </c>
      <c r="F16" s="136">
        <f>'Бюджет затрат (ориентир.)'!C29</f>
        <v>0</v>
      </c>
      <c r="G16" s="136">
        <f>'Бюджет затрат (ориентир.)'!D29</f>
        <v>0</v>
      </c>
      <c r="H16" s="136">
        <f>'Бюджет затрат (ориентир.)'!E29</f>
        <v>0</v>
      </c>
      <c r="I16" s="136">
        <f>'Бюджет затрат (ориентир.)'!F29</f>
        <v>0</v>
      </c>
      <c r="J16" s="136">
        <f>'Бюджет затрат (ориентир.)'!G29</f>
        <v>0</v>
      </c>
      <c r="K16" s="136">
        <f>'Бюджет затрат (ориентир.)'!H29</f>
        <v>0</v>
      </c>
      <c r="L16" s="136">
        <f>'Бюджет затрат (ориентир.)'!I29</f>
        <v>0</v>
      </c>
      <c r="M16" s="136">
        <f>'Бюджет затрат (ориентир.)'!J29</f>
        <v>0</v>
      </c>
      <c r="N16" s="136">
        <f>'Бюджет затрат (ориентир.)'!K29</f>
        <v>0</v>
      </c>
      <c r="O16" s="136">
        <f>'Бюджет затрат (ориентир.)'!L29</f>
        <v>0</v>
      </c>
      <c r="P16" s="137">
        <f>'Бюджет затрат (ориентир.)'!M29</f>
        <v>0</v>
      </c>
    </row>
    <row r="17" spans="1:16" s="421" customFormat="1" outlineLevel="1" x14ac:dyDescent="0.35">
      <c r="A17" s="135" t="s">
        <v>219</v>
      </c>
      <c r="B17" s="97" t="s">
        <v>147</v>
      </c>
      <c r="C17" s="127"/>
      <c r="D17" s="128"/>
      <c r="E17" s="136">
        <f>'Бюджет затрат (ориентир.)'!B30</f>
        <v>0</v>
      </c>
      <c r="F17" s="136">
        <f>'Бюджет затрат (ориентир.)'!C30</f>
        <v>0</v>
      </c>
      <c r="G17" s="136">
        <f>'Бюджет затрат (ориентир.)'!D30</f>
        <v>0</v>
      </c>
      <c r="H17" s="136">
        <f>'Бюджет затрат (ориентир.)'!E30</f>
        <v>0</v>
      </c>
      <c r="I17" s="136">
        <f>'Бюджет затрат (ориентир.)'!F30</f>
        <v>0</v>
      </c>
      <c r="J17" s="136">
        <f>'Бюджет затрат (ориентир.)'!G30</f>
        <v>0</v>
      </c>
      <c r="K17" s="136">
        <f>'Бюджет затрат (ориентир.)'!H30</f>
        <v>0</v>
      </c>
      <c r="L17" s="136">
        <f>'Бюджет затрат (ориентир.)'!I30</f>
        <v>0</v>
      </c>
      <c r="M17" s="136">
        <f>'Бюджет затрат (ориентир.)'!J30</f>
        <v>0</v>
      </c>
      <c r="N17" s="136">
        <f>'Бюджет затрат (ориентир.)'!K30</f>
        <v>0</v>
      </c>
      <c r="O17" s="136">
        <f>'Бюджет затрат (ориентир.)'!L30</f>
        <v>0</v>
      </c>
      <c r="P17" s="137">
        <f>'Бюджет затрат (ориентир.)'!M30</f>
        <v>0</v>
      </c>
    </row>
    <row r="18" spans="1:16" s="421" customFormat="1" outlineLevel="1" x14ac:dyDescent="0.35">
      <c r="A18" s="135" t="s">
        <v>220</v>
      </c>
      <c r="B18" s="138" t="s">
        <v>148</v>
      </c>
      <c r="C18" s="127"/>
      <c r="D18" s="128"/>
      <c r="E18" s="136">
        <f>'Бюджет затрат (ориентир.)'!B31</f>
        <v>0</v>
      </c>
      <c r="F18" s="136">
        <f>'Бюджет затрат (ориентир.)'!C31</f>
        <v>0</v>
      </c>
      <c r="G18" s="136">
        <f>'Бюджет затрат (ориентир.)'!D31</f>
        <v>0</v>
      </c>
      <c r="H18" s="136">
        <f>'Бюджет затрат (ориентир.)'!E31</f>
        <v>0</v>
      </c>
      <c r="I18" s="136">
        <f>'Бюджет затрат (ориентир.)'!F31</f>
        <v>0</v>
      </c>
      <c r="J18" s="136">
        <f>'Бюджет затрат (ориентир.)'!G31</f>
        <v>0</v>
      </c>
      <c r="K18" s="136">
        <f>'Бюджет затрат (ориентир.)'!H31</f>
        <v>0</v>
      </c>
      <c r="L18" s="136">
        <f>'Бюджет затрат (ориентир.)'!I31</f>
        <v>0</v>
      </c>
      <c r="M18" s="136">
        <f>'Бюджет затрат (ориентир.)'!J31</f>
        <v>2.0000000000000001E-4</v>
      </c>
      <c r="N18" s="136">
        <f>'Бюджет затрат (ориентир.)'!K31</f>
        <v>0</v>
      </c>
      <c r="O18" s="136">
        <f>'Бюджет затрат (ориентир.)'!L31</f>
        <v>0</v>
      </c>
      <c r="P18" s="137">
        <f>'Бюджет затрат (ориентир.)'!M31</f>
        <v>0</v>
      </c>
    </row>
    <row r="19" spans="1:16" s="421" customFormat="1" x14ac:dyDescent="0.35">
      <c r="A19" s="120" t="s">
        <v>211</v>
      </c>
      <c r="B19" s="89" t="s">
        <v>489</v>
      </c>
      <c r="C19" s="127">
        <f t="shared" si="3"/>
        <v>51802.508332800004</v>
      </c>
      <c r="D19" s="128">
        <f t="shared" si="1"/>
        <v>2.5210000000000002E-3</v>
      </c>
      <c r="E19" s="129">
        <f>E3*SUM(E20:E24)</f>
        <v>9058.4182560000008</v>
      </c>
      <c r="F19" s="129">
        <f>F3*SUM(F20:F24)</f>
        <v>3810.0152400000006</v>
      </c>
      <c r="G19" s="129">
        <f>G3*SUM(G20:G24)</f>
        <v>10188.58008</v>
      </c>
      <c r="H19" s="129">
        <f>H3*SUM(H20:H24)</f>
        <v>6335.7556800000002</v>
      </c>
      <c r="I19" s="129">
        <f>I3*SUM(I20:I24)</f>
        <v>3150.7541760000004</v>
      </c>
      <c r="J19" s="129">
        <f>J3*SUM(J20:J24)</f>
        <v>304.80121920000005</v>
      </c>
      <c r="K19" s="129">
        <f>K3*SUM(K20:K24)</f>
        <v>1638.7346447999998</v>
      </c>
      <c r="L19" s="129">
        <f>L3*SUM(L20:L24)</f>
        <v>1510.3071648000002</v>
      </c>
      <c r="M19" s="129">
        <f>M3*SUM(M20:M24)</f>
        <v>3938.4427200000005</v>
      </c>
      <c r="N19" s="129">
        <f>N3*SUM(N20:N24)</f>
        <v>813.37404000000004</v>
      </c>
      <c r="O19" s="129">
        <f>O3*SUM(O20:O24)</f>
        <v>7628.5923120000007</v>
      </c>
      <c r="P19" s="130">
        <f>P3*SUM(P20:P24)</f>
        <v>3424.7328000000002</v>
      </c>
    </row>
    <row r="20" spans="1:16" s="421" customFormat="1" outlineLevel="1" x14ac:dyDescent="0.35">
      <c r="A20" s="135" t="s">
        <v>221</v>
      </c>
      <c r="B20" s="138" t="s">
        <v>149</v>
      </c>
      <c r="C20" s="127"/>
      <c r="D20" s="128"/>
      <c r="E20" s="139">
        <f>'Бюджет затрат (ориентир.)'!B36</f>
        <v>0</v>
      </c>
      <c r="F20" s="139">
        <f>'Бюджет затрат (ориентир.)'!C36</f>
        <v>1.2999999999999999E-3</v>
      </c>
      <c r="G20" s="139">
        <f>'Бюджет затрат (ориентир.)'!D36</f>
        <v>3.7000000000000002E-3</v>
      </c>
      <c r="H20" s="139">
        <f>'Бюджет затрат (ориентир.)'!E36</f>
        <v>8.0000000000000004E-4</v>
      </c>
      <c r="I20" s="139">
        <f>'Бюджет затрат (ориентир.)'!F36</f>
        <v>4.0000000000000002E-4</v>
      </c>
      <c r="J20" s="139">
        <f>'Бюджет затрат (ориентир.)'!G36</f>
        <v>1E-4</v>
      </c>
      <c r="K20" s="139">
        <f>'Бюджет затрат (ориентир.)'!H36</f>
        <v>5.0000000000000001E-4</v>
      </c>
      <c r="L20" s="139">
        <f>'Бюджет затрат (ориентир.)'!I36</f>
        <v>4.0000000000000002E-4</v>
      </c>
      <c r="M20" s="139">
        <f>'Бюджет затрат (ориентир.)'!J36</f>
        <v>8.9999999999999998E-4</v>
      </c>
      <c r="N20" s="139">
        <f>'Бюджет затрат (ориентир.)'!K36</f>
        <v>4.0000000000000002E-4</v>
      </c>
      <c r="O20" s="139">
        <f>'Бюджет затрат (ориентир.)'!L36</f>
        <v>1.5E-3</v>
      </c>
      <c r="P20" s="140">
        <f>'Бюджет затрат (ориентир.)'!M36</f>
        <v>1E-3</v>
      </c>
    </row>
    <row r="21" spans="1:16" s="421" customFormat="1" outlineLevel="1" x14ac:dyDescent="0.35">
      <c r="A21" s="135" t="s">
        <v>222</v>
      </c>
      <c r="B21" s="138" t="s">
        <v>150</v>
      </c>
      <c r="C21" s="127"/>
      <c r="D21" s="128"/>
      <c r="E21" s="139">
        <f>'Бюджет затрат (ориентир.)'!B37</f>
        <v>0</v>
      </c>
      <c r="F21" s="139">
        <f>'Бюджет затрат (ориентир.)'!C37</f>
        <v>1E-4</v>
      </c>
      <c r="G21" s="139">
        <f>'Бюджет затрат (ориентир.)'!D37</f>
        <v>1E-4</v>
      </c>
      <c r="H21" s="139">
        <f>'Бюджет затрат (ориентир.)'!E37</f>
        <v>2.0000000000000001E-4</v>
      </c>
      <c r="I21" s="139">
        <f>'Бюджет затрат (ориентир.)'!F37</f>
        <v>1E-4</v>
      </c>
      <c r="J21" s="139">
        <f>'Бюджет затрат (ориентир.)'!G37</f>
        <v>0</v>
      </c>
      <c r="K21" s="139">
        <f>'Бюджет затрат (ориентир.)'!H37</f>
        <v>0</v>
      </c>
      <c r="L21" s="139">
        <f>'Бюджет затрат (ориентир.)'!I37</f>
        <v>0</v>
      </c>
      <c r="M21" s="139">
        <f>'Бюджет затрат (ориентир.)'!J37</f>
        <v>1E-4</v>
      </c>
      <c r="N21" s="139">
        <f>'Бюджет затрат (ориентир.)'!K37</f>
        <v>0</v>
      </c>
      <c r="O21" s="139">
        <f>'Бюджет затрат (ориентир.)'!L37</f>
        <v>5.9999999999999995E-4</v>
      </c>
      <c r="P21" s="140">
        <f>'Бюджет затрат (ориентир.)'!M37</f>
        <v>1E-4</v>
      </c>
    </row>
    <row r="22" spans="1:16" s="421" customFormat="1" outlineLevel="1" x14ac:dyDescent="0.35">
      <c r="A22" s="135" t="s">
        <v>223</v>
      </c>
      <c r="B22" s="138" t="s">
        <v>151</v>
      </c>
      <c r="C22" s="127"/>
      <c r="D22" s="128"/>
      <c r="E22" s="139">
        <f>'Бюджет затрат (ориентир.)'!B38</f>
        <v>1E-4</v>
      </c>
      <c r="F22" s="139">
        <f>'Бюджет затрат (ориентир.)'!C38</f>
        <v>5.0000000000000001E-4</v>
      </c>
      <c r="G22" s="139">
        <f>'Бюджет затрат (ориентир.)'!D38</f>
        <v>0</v>
      </c>
      <c r="H22" s="139">
        <f>'Бюджет затрат (ориентир.)'!E38</f>
        <v>2.9999999999999997E-4</v>
      </c>
      <c r="I22" s="139">
        <f>'Бюджет затрат (ориентир.)'!F38</f>
        <v>6.9999999999999999E-4</v>
      </c>
      <c r="J22" s="139">
        <f>'Бюджет затрат (ориентир.)'!G38</f>
        <v>0</v>
      </c>
      <c r="K22" s="139">
        <f>'Бюджет затрат (ориентир.)'!H38</f>
        <v>0</v>
      </c>
      <c r="L22" s="139">
        <f>'Бюджет затрат (ориентир.)'!I38</f>
        <v>4.0000000000000002E-4</v>
      </c>
      <c r="M22" s="139">
        <f>'Бюджет затрат (ориентир.)'!J38</f>
        <v>5.0000000000000001E-4</v>
      </c>
      <c r="N22" s="139">
        <f>'Бюджет затрат (ориентир.)'!K38</f>
        <v>1E-4</v>
      </c>
      <c r="O22" s="139">
        <f>'Бюджет затрат (ориентир.)'!L38</f>
        <v>4.0000000000000002E-4</v>
      </c>
      <c r="P22" s="140">
        <f>'Бюджет затрат (ориентир.)'!M38</f>
        <v>2.9999999999999997E-4</v>
      </c>
    </row>
    <row r="23" spans="1:16" s="421" customFormat="1" outlineLevel="1" x14ac:dyDescent="0.35">
      <c r="A23" s="135" t="s">
        <v>224</v>
      </c>
      <c r="B23" s="138" t="s">
        <v>152</v>
      </c>
      <c r="C23" s="127"/>
      <c r="D23" s="128"/>
      <c r="E23" s="139">
        <f>'Бюджет затрат (ориентир.)'!B39</f>
        <v>0</v>
      </c>
      <c r="F23" s="139">
        <f>'Бюджет затрат (ориентир.)'!C39</f>
        <v>0</v>
      </c>
      <c r="G23" s="139">
        <f>'Бюджет затрат (ориентир.)'!D39</f>
        <v>0</v>
      </c>
      <c r="H23" s="139">
        <f>'Бюджет затрат (ориентир.)'!E39</f>
        <v>0</v>
      </c>
      <c r="I23" s="139">
        <f>'Бюджет затрат (ориентир.)'!F39</f>
        <v>0</v>
      </c>
      <c r="J23" s="139">
        <f>'Бюджет затрат (ориентир.)'!G39</f>
        <v>0</v>
      </c>
      <c r="K23" s="139">
        <f>'Бюджет затрат (ориентир.)'!H39</f>
        <v>0</v>
      </c>
      <c r="L23" s="139">
        <f>'Бюджет затрат (ориентир.)'!I39</f>
        <v>0</v>
      </c>
      <c r="M23" s="139">
        <f>'Бюджет затрат (ориентир.)'!J39</f>
        <v>1E-3</v>
      </c>
      <c r="N23" s="139">
        <f>'Бюджет затрат (ориентир.)'!K39</f>
        <v>0</v>
      </c>
      <c r="O23" s="139">
        <f>'Бюджет затрат (ориентир.)'!L39</f>
        <v>0</v>
      </c>
      <c r="P23" s="140">
        <f>'Бюджет затрат (ориентир.)'!M39</f>
        <v>0</v>
      </c>
    </row>
    <row r="24" spans="1:16" s="421" customFormat="1" outlineLevel="1" x14ac:dyDescent="0.35">
      <c r="A24" s="135" t="s">
        <v>225</v>
      </c>
      <c r="B24" s="138" t="s">
        <v>153</v>
      </c>
      <c r="C24" s="127"/>
      <c r="D24" s="128"/>
      <c r="E24" s="139">
        <f>'Бюджет затрат (ориентир.)'!B40</f>
        <v>4.4999999999999997E-3</v>
      </c>
      <c r="F24" s="139">
        <f>'Бюджет затрат (ориентир.)'!C40</f>
        <v>5.9999999999999995E-4</v>
      </c>
      <c r="G24" s="139">
        <f>'Бюджет затрат (ориентир.)'!D40</f>
        <v>1.1999999999999999E-3</v>
      </c>
      <c r="H24" s="139">
        <f>'Бюджет затрат (ориентир.)'!E40</f>
        <v>2.3999999999999998E-3</v>
      </c>
      <c r="I24" s="139">
        <f>'Бюджет затрат (ориентир.)'!F40</f>
        <v>8.0000000000000004E-4</v>
      </c>
      <c r="J24" s="139">
        <f>'Бюджет затрат (ориентир.)'!G40</f>
        <v>1E-4</v>
      </c>
      <c r="K24" s="139">
        <f>'Бюджет затрат (ориентир.)'!H40</f>
        <v>5.9999999999999995E-4</v>
      </c>
      <c r="L24" s="139">
        <f>'Бюджет затрат (ориентир.)'!I40</f>
        <v>1E-4</v>
      </c>
      <c r="M24" s="139">
        <f>'Бюджет затрат (ориентир.)'!J40</f>
        <v>0</v>
      </c>
      <c r="N24" s="139">
        <f>'Бюджет затрат (ориентир.)'!K40</f>
        <v>0</v>
      </c>
      <c r="O24" s="139">
        <f>'Бюджет затрат (ориентир.)'!L40</f>
        <v>2E-3</v>
      </c>
      <c r="P24" s="140">
        <f>'Бюджет затрат (ориентир.)'!M40</f>
        <v>2.0000000000000001E-4</v>
      </c>
    </row>
    <row r="25" spans="1:16" s="421" customFormat="1" collapsed="1" x14ac:dyDescent="0.35">
      <c r="A25" s="120" t="s">
        <v>226</v>
      </c>
      <c r="B25" s="91" t="s">
        <v>430</v>
      </c>
      <c r="C25" s="127">
        <f t="shared" si="3"/>
        <v>281956.53905760002</v>
      </c>
      <c r="D25" s="128">
        <f t="shared" si="1"/>
        <v>1.3721583333333334E-2</v>
      </c>
      <c r="E25" s="141">
        <f>E3*'Бюджет затрат (ориентир.)'!B45</f>
        <v>28947.553992000001</v>
      </c>
      <c r="F25" s="141">
        <f>F3*'Бюджет затрат (ориентир.)'!C45</f>
        <v>21793.287172800003</v>
      </c>
      <c r="G25" s="141">
        <f>G3*'Бюджет затрат (ориентир.)'!D45</f>
        <v>23433.734184000001</v>
      </c>
      <c r="H25" s="141">
        <f>H3*'Бюджет затрат (ориентир.)'!E45</f>
        <v>23116.946400000001</v>
      </c>
      <c r="I25" s="141">
        <f>I3*'Бюджет затрат (ориентир.)'!F45</f>
        <v>24890.957990400006</v>
      </c>
      <c r="J25" s="141">
        <f>J3*'Бюджет затрат (ориентир.)'!G45</f>
        <v>24384.097536000001</v>
      </c>
      <c r="K25" s="141">
        <f>K3*'Бюджет затрат (ориентир.)'!H45</f>
        <v>22495.357396800002</v>
      </c>
      <c r="L25" s="141">
        <f>L3*'Бюджет затрат (ориентир.)'!I45</f>
        <v>23829.290822400002</v>
      </c>
      <c r="M25" s="141">
        <f>M3*'Бюджет затрат (ориентир.)'!J45</f>
        <v>18116.836512000002</v>
      </c>
      <c r="N25" s="141">
        <f>N3*'Бюджет затрат (ориентир.)'!K45</f>
        <v>21798.424272</v>
      </c>
      <c r="O25" s="141">
        <f>O3*'Бюджет затрат (ориентир.)'!L45</f>
        <v>20681.961379200002</v>
      </c>
      <c r="P25" s="142">
        <f>P3*'Бюджет затрат (ориентир.)'!M45</f>
        <v>28468.091399999998</v>
      </c>
    </row>
    <row r="26" spans="1:16" s="421" customFormat="1" x14ac:dyDescent="0.35">
      <c r="A26" s="120" t="s">
        <v>227</v>
      </c>
      <c r="B26" s="89" t="s">
        <v>467</v>
      </c>
      <c r="C26" s="127">
        <f t="shared" si="3"/>
        <v>1027419.8400000001</v>
      </c>
      <c r="D26" s="128">
        <f t="shared" si="1"/>
        <v>0.05</v>
      </c>
      <c r="E26" s="129">
        <f>E3*'Бюджет затрат (ориентир.)'!C117</f>
        <v>98461.068000000014</v>
      </c>
      <c r="F26" s="129">
        <f>F3*'Бюджет затрат (ориентир.)'!C117</f>
        <v>76200.304800000013</v>
      </c>
      <c r="G26" s="129">
        <f>G3*'Бюджет затрат (ориентир.)'!C117</f>
        <v>101885.80080000001</v>
      </c>
      <c r="H26" s="129">
        <f>H3*'Бюджет затрат (ориентир.)'!C117</f>
        <v>85618.32</v>
      </c>
      <c r="I26" s="129">
        <f>I3*'Бюджет затрат (ориентир.)'!C117</f>
        <v>78768.854400000011</v>
      </c>
      <c r="J26" s="129">
        <f>J3*'Бюджет затрат (ориентир.)'!C117</f>
        <v>76200.304800000013</v>
      </c>
      <c r="K26" s="129">
        <f>K3*'Бюджет затрат (ориентир.)'!C117</f>
        <v>74487.938400000014</v>
      </c>
      <c r="L26" s="129">
        <f>L3*'Бюджет затрат (ориентир.)'!C117</f>
        <v>83905.953600000008</v>
      </c>
      <c r="M26" s="129">
        <f>M3*'Бюджет затрат (ориентир.)'!C117</f>
        <v>78768.854400000011</v>
      </c>
      <c r="N26" s="129">
        <f>N3*'Бюджет затрат (ориентир.)'!C117</f>
        <v>81337.40400000001</v>
      </c>
      <c r="O26" s="129">
        <f>O3*'Бюджет затрат (ориентир.)'!C117</f>
        <v>84762.136800000007</v>
      </c>
      <c r="P26" s="130">
        <f>P3*'Бюджет затрат (ориентир.)'!C117</f>
        <v>107022.90000000001</v>
      </c>
    </row>
    <row r="27" spans="1:16" s="421" customFormat="1" x14ac:dyDescent="0.35">
      <c r="A27" s="120" t="s">
        <v>228</v>
      </c>
      <c r="B27" s="89" t="s">
        <v>431</v>
      </c>
      <c r="C27" s="127">
        <f t="shared" si="3"/>
        <v>358225.3385136</v>
      </c>
      <c r="D27" s="128">
        <f t="shared" si="1"/>
        <v>1.7433250000000001E-2</v>
      </c>
      <c r="E27" s="129">
        <f>E3*SUM(E28:E42)</f>
        <v>33279.840983999995</v>
      </c>
      <c r="F27" s="129">
        <f>F3*SUM(F28:F42)</f>
        <v>23774.4950976</v>
      </c>
      <c r="G27" s="129">
        <f>G3*SUM(G28:G42)</f>
        <v>34029.857467200003</v>
      </c>
      <c r="H27" s="129">
        <f>H3*SUM(H28:H42)</f>
        <v>36473.404320000001</v>
      </c>
      <c r="I27" s="129">
        <f>I3*SUM(I28:I42)</f>
        <v>27569.099040000001</v>
      </c>
      <c r="J27" s="129">
        <f>J3*SUM(J28:J42)</f>
        <v>24688.8987552</v>
      </c>
      <c r="K27" s="129">
        <f>K3*SUM(K28:K42)</f>
        <v>24729.995548800001</v>
      </c>
      <c r="L27" s="129">
        <f>L3*SUM(L28:L42)</f>
        <v>23325.855100799999</v>
      </c>
      <c r="M27" s="129">
        <f>M3*SUM(M28:M42)</f>
        <v>33713.06968320001</v>
      </c>
      <c r="N27" s="129">
        <f>N3*SUM(N28:N42)</f>
        <v>32860.311216000002</v>
      </c>
      <c r="O27" s="129">
        <f>O3*SUM(O28:O42)</f>
        <v>30175.320700799999</v>
      </c>
      <c r="P27" s="130">
        <f>P3*SUM(P28:P42)</f>
        <v>33605.190599999994</v>
      </c>
    </row>
    <row r="28" spans="1:16" s="421" customFormat="1" outlineLevel="1" x14ac:dyDescent="0.35">
      <c r="A28" s="135" t="s">
        <v>187</v>
      </c>
      <c r="B28" s="97" t="s">
        <v>154</v>
      </c>
      <c r="C28" s="127"/>
      <c r="D28" s="128"/>
      <c r="E28" s="136">
        <f>'Бюджет затрат (ориентир.)'!B55</f>
        <v>0</v>
      </c>
      <c r="F28" s="136">
        <f>'Бюджет затрат (ориентир.)'!C55</f>
        <v>4.0000000000000002E-4</v>
      </c>
      <c r="G28" s="136">
        <f>'Бюджет затрат (ориентир.)'!D55</f>
        <v>4.0000000000000002E-4</v>
      </c>
      <c r="H28" s="136">
        <f>'Бюджет затрат (ориентир.)'!E55</f>
        <v>2.2000000000000001E-3</v>
      </c>
      <c r="I28" s="136">
        <f>'Бюджет затрат (ориентир.)'!F55</f>
        <v>4.0000000000000002E-4</v>
      </c>
      <c r="J28" s="136">
        <f>'Бюджет затрат (ориентир.)'!G55</f>
        <v>2.2000000000000001E-3</v>
      </c>
      <c r="K28" s="136">
        <f>'Бюджет затрат (ориентир.)'!H55</f>
        <v>4.0000000000000002E-4</v>
      </c>
      <c r="L28" s="136">
        <f>'Бюджет затрат (ориентир.)'!I55</f>
        <v>2.9999999999999997E-4</v>
      </c>
      <c r="M28" s="136">
        <f>'Бюджет затрат (ориентир.)'!J55</f>
        <v>4.0000000000000002E-4</v>
      </c>
      <c r="N28" s="136">
        <f>'Бюджет затрат (ориентир.)'!K55</f>
        <v>6.9999999999999999E-4</v>
      </c>
      <c r="O28" s="136">
        <f>'Бюджет затрат (ориентир.)'!L55</f>
        <v>4.0000000000000002E-4</v>
      </c>
      <c r="P28" s="137">
        <f>'Бюджет затрат (ориентир.)'!M55</f>
        <v>6.9999999999999999E-4</v>
      </c>
    </row>
    <row r="29" spans="1:16" s="421" customFormat="1" outlineLevel="1" x14ac:dyDescent="0.35">
      <c r="A29" s="135" t="s">
        <v>189</v>
      </c>
      <c r="B29" s="97" t="s">
        <v>155</v>
      </c>
      <c r="C29" s="127"/>
      <c r="D29" s="128"/>
      <c r="E29" s="136">
        <f>'Бюджет затрат (ориентир.)'!B56</f>
        <v>2.9999999999999997E-4</v>
      </c>
      <c r="F29" s="136">
        <f>'Бюджет затрат (ориентир.)'!C56</f>
        <v>0</v>
      </c>
      <c r="G29" s="136">
        <f>'Бюджет затрат (ориентир.)'!D56</f>
        <v>0</v>
      </c>
      <c r="H29" s="136">
        <f>'Бюджет затрат (ориентир.)'!E56</f>
        <v>1E-4</v>
      </c>
      <c r="I29" s="136">
        <f>'Бюджет затрат (ориентир.)'!F56</f>
        <v>0</v>
      </c>
      <c r="J29" s="136">
        <f>'Бюджет затрат (ориентир.)'!G56</f>
        <v>0</v>
      </c>
      <c r="K29" s="136">
        <f>'Бюджет затрат (ориентир.)'!H56</f>
        <v>0</v>
      </c>
      <c r="L29" s="136">
        <f>'Бюджет затрат (ориентир.)'!I56</f>
        <v>0</v>
      </c>
      <c r="M29" s="136">
        <f>'Бюджет затрат (ориентир.)'!J56</f>
        <v>0</v>
      </c>
      <c r="N29" s="136">
        <f>'Бюджет затрат (ориентир.)'!K56</f>
        <v>0</v>
      </c>
      <c r="O29" s="136">
        <f>'Бюджет затрат (ориентир.)'!L56</f>
        <v>0</v>
      </c>
      <c r="P29" s="137">
        <f>'Бюджет затрат (ориентир.)'!M56</f>
        <v>0</v>
      </c>
    </row>
    <row r="30" spans="1:16" s="421" customFormat="1" outlineLevel="1" x14ac:dyDescent="0.35">
      <c r="A30" s="135" t="s">
        <v>188</v>
      </c>
      <c r="B30" s="97" t="s">
        <v>156</v>
      </c>
      <c r="C30" s="127"/>
      <c r="D30" s="128"/>
      <c r="E30" s="136">
        <f>'Бюджет затрат (ориентир.)'!B57</f>
        <v>2.0000000000000001E-4</v>
      </c>
      <c r="F30" s="136">
        <f>'Бюджет затрат (ориентир.)'!C57</f>
        <v>5.0000000000000001E-4</v>
      </c>
      <c r="G30" s="136">
        <f>'Бюджет затрат (ориентир.)'!D57</f>
        <v>2.9999999999999997E-4</v>
      </c>
      <c r="H30" s="136">
        <f>'Бюджет затрат (ориентир.)'!E57</f>
        <v>1E-4</v>
      </c>
      <c r="I30" s="136">
        <f>'Бюджет затрат (ориентир.)'!F57</f>
        <v>2.9999999999999997E-4</v>
      </c>
      <c r="J30" s="136">
        <f>'Бюджет затрат (ориентир.)'!G57</f>
        <v>0</v>
      </c>
      <c r="K30" s="136">
        <f>'Бюджет затрат (ориентир.)'!H57</f>
        <v>5.0000000000000001E-4</v>
      </c>
      <c r="L30" s="136">
        <f>'Бюджет затрат (ориентир.)'!I57</f>
        <v>1E-4</v>
      </c>
      <c r="M30" s="136">
        <f>'Бюджет затрат (ориентир.)'!J57</f>
        <v>0</v>
      </c>
      <c r="N30" s="136">
        <f>'Бюджет затрат (ориентир.)'!K57</f>
        <v>0</v>
      </c>
      <c r="O30" s="136">
        <f>'Бюджет затрат (ориентир.)'!L57</f>
        <v>2.9999999999999997E-4</v>
      </c>
      <c r="P30" s="137">
        <f>'Бюджет затрат (ориентир.)'!M57</f>
        <v>1E-4</v>
      </c>
    </row>
    <row r="31" spans="1:16" s="421" customFormat="1" outlineLevel="1" x14ac:dyDescent="0.35">
      <c r="A31" s="135" t="s">
        <v>190</v>
      </c>
      <c r="B31" s="97" t="s">
        <v>157</v>
      </c>
      <c r="C31" s="127"/>
      <c r="D31" s="128"/>
      <c r="E31" s="136">
        <f>'Бюджет затрат (ориентир.)'!B58</f>
        <v>0</v>
      </c>
      <c r="F31" s="136">
        <f>'Бюджет затрат (ориентир.)'!C58</f>
        <v>0</v>
      </c>
      <c r="G31" s="136">
        <f>'Бюджет затрат (ориентир.)'!D58</f>
        <v>0</v>
      </c>
      <c r="H31" s="136">
        <f>'Бюджет затрат (ориентир.)'!E58</f>
        <v>2.0000000000000001E-4</v>
      </c>
      <c r="I31" s="136">
        <f>'Бюджет затрат (ориентир.)'!F58</f>
        <v>0</v>
      </c>
      <c r="J31" s="136">
        <f>'Бюджет затрат (ориентир.)'!G58</f>
        <v>0</v>
      </c>
      <c r="K31" s="136">
        <f>'Бюджет затрат (ориентир.)'!H58</f>
        <v>0</v>
      </c>
      <c r="L31" s="136">
        <f>'Бюджет затрат (ориентир.)'!I58</f>
        <v>0</v>
      </c>
      <c r="M31" s="136">
        <f>'Бюджет затрат (ориентир.)'!J58</f>
        <v>0</v>
      </c>
      <c r="N31" s="136">
        <f>'Бюджет затрат (ориентир.)'!K58</f>
        <v>0</v>
      </c>
      <c r="O31" s="136">
        <f>'Бюджет затрат (ориентир.)'!L58</f>
        <v>0</v>
      </c>
      <c r="P31" s="137">
        <f>'Бюджет затрат (ориентир.)'!M58</f>
        <v>0</v>
      </c>
    </row>
    <row r="32" spans="1:16" s="421" customFormat="1" outlineLevel="1" x14ac:dyDescent="0.35">
      <c r="A32" s="135" t="s">
        <v>191</v>
      </c>
      <c r="B32" s="97" t="s">
        <v>158</v>
      </c>
      <c r="C32" s="127"/>
      <c r="D32" s="128"/>
      <c r="E32" s="136">
        <f>'Бюджет затрат (ориентир.)'!B59</f>
        <v>0</v>
      </c>
      <c r="F32" s="136">
        <f>'Бюджет затрат (ориентир.)'!C59</f>
        <v>0</v>
      </c>
      <c r="G32" s="136">
        <f>'Бюджет затрат (ориентир.)'!D59</f>
        <v>2.9999999999999997E-4</v>
      </c>
      <c r="H32" s="136">
        <f>'Бюджет затрат (ориентир.)'!E59</f>
        <v>0</v>
      </c>
      <c r="I32" s="136">
        <f>'Бюджет затрат (ориентир.)'!F59</f>
        <v>0</v>
      </c>
      <c r="J32" s="136">
        <f>'Бюджет затрат (ориентир.)'!G59</f>
        <v>0</v>
      </c>
      <c r="K32" s="136">
        <f>'Бюджет затрат (ориентир.)'!H59</f>
        <v>0</v>
      </c>
      <c r="L32" s="136">
        <f>'Бюджет затрат (ориентир.)'!I59</f>
        <v>0</v>
      </c>
      <c r="M32" s="136">
        <f>'Бюджет затрат (ориентир.)'!J59</f>
        <v>0</v>
      </c>
      <c r="N32" s="136">
        <f>'Бюджет затрат (ориентир.)'!K59</f>
        <v>1E-4</v>
      </c>
      <c r="O32" s="136">
        <f>'Бюджет затрат (ориентир.)'!L59</f>
        <v>0</v>
      </c>
      <c r="P32" s="137">
        <f>'Бюджет затрат (ориентир.)'!M59</f>
        <v>2.9999999999999997E-4</v>
      </c>
    </row>
    <row r="33" spans="1:16" s="421" customFormat="1" outlineLevel="1" x14ac:dyDescent="0.35">
      <c r="A33" s="135" t="s">
        <v>229</v>
      </c>
      <c r="B33" s="97" t="s">
        <v>159</v>
      </c>
      <c r="C33" s="127"/>
      <c r="D33" s="128"/>
      <c r="E33" s="136">
        <f>'Бюджет затрат (ориентир.)'!B60</f>
        <v>2.0000000000000001E-4</v>
      </c>
      <c r="F33" s="136">
        <f>'Бюджет затрат (ориентир.)'!C60</f>
        <v>2.0000000000000001E-4</v>
      </c>
      <c r="G33" s="136">
        <f>'Бюджет затрат (ориентир.)'!D60</f>
        <v>8.9999999999999998E-4</v>
      </c>
      <c r="H33" s="136">
        <f>'Бюджет затрат (ориентир.)'!E60</f>
        <v>1E-3</v>
      </c>
      <c r="I33" s="136">
        <f>'Бюджет затрат (ориентир.)'!F60</f>
        <v>2.0000000000000001E-4</v>
      </c>
      <c r="J33" s="136">
        <f>'Бюджет затрат (ориентир.)'!G60</f>
        <v>2.9999999999999997E-4</v>
      </c>
      <c r="K33" s="136">
        <f>'Бюджет затрат (ориентир.)'!H60</f>
        <v>1.8E-3</v>
      </c>
      <c r="L33" s="136">
        <f>'Бюджет затрат (ориентир.)'!I60</f>
        <v>6.9999999999999999E-4</v>
      </c>
      <c r="M33" s="136">
        <f>'Бюджет затрат (ориентир.)'!J60</f>
        <v>1E-4</v>
      </c>
      <c r="N33" s="136">
        <f>'Бюджет затрат (ориентир.)'!K60</f>
        <v>1.5E-3</v>
      </c>
      <c r="O33" s="136">
        <f>'Бюджет затрат (ориентир.)'!L60</f>
        <v>2.9999999999999997E-4</v>
      </c>
      <c r="P33" s="137">
        <f>'Бюджет затрат (ориентир.)'!M60</f>
        <v>4.0000000000000002E-4</v>
      </c>
    </row>
    <row r="34" spans="1:16" s="421" customFormat="1" outlineLevel="1" x14ac:dyDescent="0.35">
      <c r="A34" s="135" t="s">
        <v>230</v>
      </c>
      <c r="B34" s="97" t="s">
        <v>160</v>
      </c>
      <c r="C34" s="127"/>
      <c r="D34" s="128"/>
      <c r="E34" s="136">
        <f>'Бюджет затрат (ориентир.)'!B61</f>
        <v>0</v>
      </c>
      <c r="F34" s="136">
        <f>'Бюджет затрат (ориентир.)'!C61</f>
        <v>0</v>
      </c>
      <c r="G34" s="136">
        <f>'Бюджет затрат (ориентир.)'!D61</f>
        <v>1E-4</v>
      </c>
      <c r="H34" s="136">
        <f>'Бюджет затрат (ориентир.)'!E61</f>
        <v>0</v>
      </c>
      <c r="I34" s="136">
        <f>'Бюджет затрат (ориентир.)'!F61</f>
        <v>0</v>
      </c>
      <c r="J34" s="136">
        <f>'Бюджет затрат (ориентир.)'!G61</f>
        <v>0</v>
      </c>
      <c r="K34" s="136">
        <f>'Бюджет затрат (ориентир.)'!H61</f>
        <v>0</v>
      </c>
      <c r="L34" s="136">
        <f>'Бюджет затрат (ориентир.)'!I61</f>
        <v>0</v>
      </c>
      <c r="M34" s="136">
        <f>'Бюджет затрат (ориентир.)'!J61</f>
        <v>0</v>
      </c>
      <c r="N34" s="136">
        <f>'Бюджет затрат (ориентир.)'!K61</f>
        <v>0</v>
      </c>
      <c r="O34" s="136">
        <f>'Бюджет затрат (ориентир.)'!L61</f>
        <v>0</v>
      </c>
      <c r="P34" s="137">
        <f>'Бюджет затрат (ориентир.)'!M61</f>
        <v>1E-4</v>
      </c>
    </row>
    <row r="35" spans="1:16" s="421" customFormat="1" outlineLevel="1" x14ac:dyDescent="0.35">
      <c r="A35" s="135" t="s">
        <v>231</v>
      </c>
      <c r="B35" s="97" t="s">
        <v>161</v>
      </c>
      <c r="C35" s="127"/>
      <c r="D35" s="128"/>
      <c r="E35" s="136">
        <f>'Бюджет затрат (ориентир.)'!B62</f>
        <v>2.9999999999999997E-4</v>
      </c>
      <c r="F35" s="136">
        <f>'Бюджет затрат (ориентир.)'!C62</f>
        <v>0</v>
      </c>
      <c r="G35" s="136">
        <f>'Бюджет затрат (ориентир.)'!D62</f>
        <v>2.9999999999999997E-4</v>
      </c>
      <c r="H35" s="136">
        <f>'Бюджет затрат (ориентир.)'!E62</f>
        <v>2.3E-3</v>
      </c>
      <c r="I35" s="136">
        <f>'Бюджет затрат (ориентир.)'!F62</f>
        <v>8.9999999999999998E-4</v>
      </c>
      <c r="J35" s="136">
        <f>'Бюджет затрат (ориентир.)'!G62</f>
        <v>5.9999999999999995E-4</v>
      </c>
      <c r="K35" s="136">
        <f>'Бюджет затрат (ориентир.)'!H62</f>
        <v>2.0000000000000001E-4</v>
      </c>
      <c r="L35" s="136">
        <f>'Бюджет затрат (ориентир.)'!I62</f>
        <v>6.9999999999999999E-4</v>
      </c>
      <c r="M35" s="136">
        <f>'Бюджет затрат (ориентир.)'!J62</f>
        <v>1E-3</v>
      </c>
      <c r="N35" s="136">
        <f>'Бюджет затрат (ориентир.)'!K62</f>
        <v>4.0000000000000002E-4</v>
      </c>
      <c r="O35" s="136">
        <f>'Бюджет затрат (ориентир.)'!L62</f>
        <v>8.0000000000000004E-4</v>
      </c>
      <c r="P35" s="137">
        <f>'Бюджет затрат (ориентир.)'!M62</f>
        <v>5.9999999999999995E-4</v>
      </c>
    </row>
    <row r="36" spans="1:16" s="421" customFormat="1" outlineLevel="1" x14ac:dyDescent="0.35">
      <c r="A36" s="135" t="s">
        <v>232</v>
      </c>
      <c r="B36" s="98" t="s">
        <v>162</v>
      </c>
      <c r="C36" s="127"/>
      <c r="D36" s="128"/>
      <c r="E36" s="136">
        <f>'Бюджет затрат (ориентир.)'!B63</f>
        <v>1.2999999999999999E-3</v>
      </c>
      <c r="F36" s="136">
        <f>'Бюджет затрат (ориентир.)'!C63</f>
        <v>5.0000000000000001E-4</v>
      </c>
      <c r="G36" s="136">
        <f>'Бюджет затрат (ориентир.)'!D63</f>
        <v>5.9999999999999995E-4</v>
      </c>
      <c r="H36" s="136">
        <f>'Бюджет затрат (ориентир.)'!E63</f>
        <v>4.0000000000000002E-4</v>
      </c>
      <c r="I36" s="136">
        <f>'Бюджет затрат (ориентир.)'!F63</f>
        <v>5.9999999999999995E-4</v>
      </c>
      <c r="J36" s="136">
        <f>'Бюджет затрат (ориентир.)'!G63</f>
        <v>5.0000000000000001E-4</v>
      </c>
      <c r="K36" s="136">
        <f>'Бюджет затрат (ориентир.)'!H63</f>
        <v>5.0000000000000001E-4</v>
      </c>
      <c r="L36" s="136">
        <f>'Бюджет затрат (ориентир.)'!I63</f>
        <v>8.9999999999999998E-4</v>
      </c>
      <c r="M36" s="136">
        <f>'Бюджет затрат (ориентир.)'!J63</f>
        <v>2.0000000000000001E-4</v>
      </c>
      <c r="N36" s="136">
        <f>'Бюджет затрат (ориентир.)'!K63</f>
        <v>2.9999999999999997E-4</v>
      </c>
      <c r="O36" s="136">
        <f>'Бюджет затрат (ориентир.)'!L63</f>
        <v>2.0000000000000001E-4</v>
      </c>
      <c r="P36" s="137">
        <f>'Бюджет затрат (ориентир.)'!M63</f>
        <v>5.0000000000000001E-4</v>
      </c>
    </row>
    <row r="37" spans="1:16" s="421" customFormat="1" outlineLevel="1" x14ac:dyDescent="0.35">
      <c r="A37" s="135" t="s">
        <v>233</v>
      </c>
      <c r="B37" s="97" t="s">
        <v>163</v>
      </c>
      <c r="C37" s="127"/>
      <c r="D37" s="128"/>
      <c r="E37" s="136">
        <f>'Бюджет затрат (ориентир.)'!B64</f>
        <v>5.0000000000000001E-4</v>
      </c>
      <c r="F37" s="136">
        <f>'Бюджет затрат (ориентир.)'!C64</f>
        <v>5.0000000000000001E-4</v>
      </c>
      <c r="G37" s="136">
        <f>'Бюджет затрат (ориентир.)'!D64</f>
        <v>4.0000000000000002E-4</v>
      </c>
      <c r="H37" s="136">
        <f>'Бюджет затрат (ориентир.)'!E64</f>
        <v>5.0000000000000001E-4</v>
      </c>
      <c r="I37" s="136">
        <f>'Бюджет затрат (ориентир.)'!F64</f>
        <v>5.0000000000000001E-4</v>
      </c>
      <c r="J37" s="136">
        <f>'Бюджет затрат (ориентир.)'!G64</f>
        <v>5.0000000000000001E-4</v>
      </c>
      <c r="K37" s="136">
        <f>'Бюджет затрат (ориентир.)'!H64</f>
        <v>5.0000000000000001E-4</v>
      </c>
      <c r="L37" s="136">
        <f>'Бюджет затрат (ориентир.)'!I64</f>
        <v>5.0000000000000001E-4</v>
      </c>
      <c r="M37" s="136">
        <f>'Бюджет затрат (ориентир.)'!J64</f>
        <v>2.8999999999999998E-3</v>
      </c>
      <c r="N37" s="136">
        <f>'Бюджет затрат (ориентир.)'!K64</f>
        <v>2.5999999999999999E-3</v>
      </c>
      <c r="O37" s="136">
        <f>'Бюджет затрат (ориентир.)'!L64</f>
        <v>4.0000000000000002E-4</v>
      </c>
      <c r="P37" s="137">
        <f>'Бюджет затрат (ориентир.)'!M64</f>
        <v>4.0000000000000002E-4</v>
      </c>
    </row>
    <row r="38" spans="1:16" s="421" customFormat="1" outlineLevel="1" x14ac:dyDescent="0.35">
      <c r="A38" s="135" t="s">
        <v>234</v>
      </c>
      <c r="B38" s="97" t="s">
        <v>164</v>
      </c>
      <c r="C38" s="127"/>
      <c r="D38" s="128"/>
      <c r="E38" s="136">
        <f>'Бюджет затрат (ориентир.)'!B65</f>
        <v>0</v>
      </c>
      <c r="F38" s="136">
        <f>'Бюджет затрат (ориентир.)'!C65</f>
        <v>0</v>
      </c>
      <c r="G38" s="136">
        <f>'Бюджет затрат (ориентир.)'!D65</f>
        <v>0</v>
      </c>
      <c r="H38" s="136">
        <f>'Бюджет затрат (ориентир.)'!E65</f>
        <v>0</v>
      </c>
      <c r="I38" s="136">
        <f>'Бюджет затрат (ориентир.)'!F65</f>
        <v>0</v>
      </c>
      <c r="J38" s="136">
        <f>'Бюджет затрат (ориентир.)'!G65</f>
        <v>0</v>
      </c>
      <c r="K38" s="136">
        <f>'Бюджет затрат (ориентир.)'!H65</f>
        <v>0</v>
      </c>
      <c r="L38" s="136">
        <f>'Бюджет затрат (ориентир.)'!I65</f>
        <v>0</v>
      </c>
      <c r="M38" s="136">
        <f>'Бюджет затрат (ориентир.)'!J65</f>
        <v>0</v>
      </c>
      <c r="N38" s="136">
        <f>'Бюджет затрат (ориентир.)'!K65</f>
        <v>0</v>
      </c>
      <c r="O38" s="136">
        <f>'Бюджет затрат (ориентир.)'!L65</f>
        <v>0</v>
      </c>
      <c r="P38" s="137">
        <f>'Бюджет затрат (ориентир.)'!M65</f>
        <v>0</v>
      </c>
    </row>
    <row r="39" spans="1:16" s="421" customFormat="1" outlineLevel="1" x14ac:dyDescent="0.35">
      <c r="A39" s="135" t="s">
        <v>235</v>
      </c>
      <c r="B39" s="97" t="s">
        <v>165</v>
      </c>
      <c r="C39" s="127"/>
      <c r="D39" s="128"/>
      <c r="E39" s="136">
        <f>'Бюджет затрат (ориентир.)'!B66</f>
        <v>5.0000000000000001E-4</v>
      </c>
      <c r="F39" s="136">
        <f>'Бюджет затрат (ориентир.)'!C66</f>
        <v>2.0000000000000001E-4</v>
      </c>
      <c r="G39" s="136">
        <f>'Бюджет затрат (ориентир.)'!D66</f>
        <v>1E-4</v>
      </c>
      <c r="H39" s="136">
        <f>'Бюджет затрат (ориентир.)'!E66</f>
        <v>1E-3</v>
      </c>
      <c r="I39" s="136">
        <f>'Бюджет затрат (ориентир.)'!F66</f>
        <v>2.9999999999999997E-4</v>
      </c>
      <c r="J39" s="136">
        <f>'Бюджет затрат (ориентир.)'!G66</f>
        <v>5.0000000000000001E-4</v>
      </c>
      <c r="K39" s="136">
        <f>'Бюджет затрат (ориентир.)'!H66</f>
        <v>4.0000000000000002E-4</v>
      </c>
      <c r="L39" s="136">
        <f>'Бюджет затрат (ориентир.)'!I66</f>
        <v>2.0000000000000001E-4</v>
      </c>
      <c r="M39" s="136">
        <f>'Бюджет затрат (ориентир.)'!J66</f>
        <v>8.0000000000000004E-4</v>
      </c>
      <c r="N39" s="136">
        <f>'Бюджет затрат (ориентир.)'!K66</f>
        <v>5.0000000000000001E-4</v>
      </c>
      <c r="O39" s="136">
        <f>'Бюджет затрат (ориентир.)'!L66</f>
        <v>1E-4</v>
      </c>
      <c r="P39" s="137">
        <f>'Бюджет затрат (ориентир.)'!M66</f>
        <v>2.0000000000000001E-4</v>
      </c>
    </row>
    <row r="40" spans="1:16" s="421" customFormat="1" outlineLevel="1" x14ac:dyDescent="0.35">
      <c r="A40" s="135" t="s">
        <v>236</v>
      </c>
      <c r="B40" s="97" t="s">
        <v>166</v>
      </c>
      <c r="C40" s="127"/>
      <c r="D40" s="128"/>
      <c r="E40" s="136">
        <f>'Бюджет затрат (ориентир.)'!B67</f>
        <v>0</v>
      </c>
      <c r="F40" s="136">
        <f>'Бюджет затрат (ориентир.)'!C67</f>
        <v>0</v>
      </c>
      <c r="G40" s="136">
        <f>'Бюджет затрат (ориентир.)'!D67</f>
        <v>0</v>
      </c>
      <c r="H40" s="136">
        <f>'Бюджет затрат (ориентир.)'!E67</f>
        <v>0</v>
      </c>
      <c r="I40" s="136">
        <f>'Бюджет затрат (ориентир.)'!F67</f>
        <v>5.9999999999999995E-4</v>
      </c>
      <c r="J40" s="136">
        <f>'Бюджет затрат (ориентир.)'!G67</f>
        <v>0</v>
      </c>
      <c r="K40" s="136">
        <f>'Бюджет затрат (ориентир.)'!H67</f>
        <v>0</v>
      </c>
      <c r="L40" s="136">
        <f>'Бюджет затрат (ориентир.)'!I67</f>
        <v>0</v>
      </c>
      <c r="M40" s="136">
        <f>'Бюджет затрат (ориентир.)'!J67</f>
        <v>0</v>
      </c>
      <c r="N40" s="136">
        <f>'Бюджет затрат (ориентир.)'!K67</f>
        <v>0</v>
      </c>
      <c r="O40" s="136">
        <f>'Бюджет затрат (ориентир.)'!L67</f>
        <v>0</v>
      </c>
      <c r="P40" s="137">
        <f>'Бюджет затрат (ориентир.)'!M67</f>
        <v>0</v>
      </c>
    </row>
    <row r="41" spans="1:16" s="421" customFormat="1" outlineLevel="1" x14ac:dyDescent="0.35">
      <c r="A41" s="135" t="s">
        <v>237</v>
      </c>
      <c r="B41" s="97" t="s">
        <v>167</v>
      </c>
      <c r="C41" s="127"/>
      <c r="D41" s="128"/>
      <c r="E41" s="136">
        <f>'Бюджет затрат (ориентир.)'!B68</f>
        <v>1E-4</v>
      </c>
      <c r="F41" s="136">
        <f>'Бюджет затрат (ориентир.)'!C68</f>
        <v>1E-4</v>
      </c>
      <c r="G41" s="136">
        <f>'Бюджет затрат (ориентир.)'!D68</f>
        <v>1E-4</v>
      </c>
      <c r="H41" s="136">
        <f>'Бюджет затрат (ориентир.)'!E68</f>
        <v>1E-4</v>
      </c>
      <c r="I41" s="136">
        <f>'Бюджет затрат (ориентир.)'!F68</f>
        <v>1E-4</v>
      </c>
      <c r="J41" s="136">
        <f>'Бюджет затрат (ориентир.)'!G68</f>
        <v>1E-4</v>
      </c>
      <c r="K41" s="136">
        <f>'Бюджет затрат (ориентир.)'!H68</f>
        <v>1E-4</v>
      </c>
      <c r="L41" s="136">
        <f>'Бюджет затрат (ориентир.)'!I68</f>
        <v>1E-4</v>
      </c>
      <c r="M41" s="136">
        <f>'Бюджет затрат (ориентир.)'!J68</f>
        <v>1E-4</v>
      </c>
      <c r="N41" s="136">
        <f>'Бюджет затрат (ориентир.)'!K68</f>
        <v>1E-4</v>
      </c>
      <c r="O41" s="136">
        <f>'Бюджет затрат (ориентир.)'!L68</f>
        <v>1E-4</v>
      </c>
      <c r="P41" s="137">
        <f>'Бюджет затрат (ориентир.)'!M68</f>
        <v>1E-4</v>
      </c>
    </row>
    <row r="42" spans="1:16" s="421" customFormat="1" outlineLevel="1" x14ac:dyDescent="0.35">
      <c r="A42" s="135" t="s">
        <v>238</v>
      </c>
      <c r="B42" s="138" t="s">
        <v>168</v>
      </c>
      <c r="C42" s="127"/>
      <c r="D42" s="128"/>
      <c r="E42" s="136">
        <f>'Бюджет затрат (ориентир.)'!B69</f>
        <v>1.35E-2</v>
      </c>
      <c r="F42" s="136">
        <f>'Бюджет затрат (ориентир.)'!C69</f>
        <v>1.32E-2</v>
      </c>
      <c r="G42" s="136">
        <f>'Бюджет затрат (ориентир.)'!D69</f>
        <v>1.32E-2</v>
      </c>
      <c r="H42" s="136">
        <f>'Бюджет затрат (ориентир.)'!E69</f>
        <v>1.34E-2</v>
      </c>
      <c r="I42" s="136">
        <f>'Бюджет затрат (ориентир.)'!F69</f>
        <v>1.3599999999999999E-2</v>
      </c>
      <c r="J42" s="136">
        <f>'Бюджет затрат (ориентир.)'!G69</f>
        <v>1.15E-2</v>
      </c>
      <c r="K42" s="136">
        <f>'Бюджет затрат (ориентир.)'!H69</f>
        <v>1.2200000000000001E-2</v>
      </c>
      <c r="L42" s="136">
        <f>'Бюджет затрат (ориентир.)'!I69</f>
        <v>1.04E-2</v>
      </c>
      <c r="M42" s="136">
        <f>'Бюджет затрат (ориентир.)'!J69</f>
        <v>1.5900000000000001E-2</v>
      </c>
      <c r="N42" s="136">
        <f>'Бюджет затрат (ориентир.)'!K69</f>
        <v>1.4E-2</v>
      </c>
      <c r="O42" s="136">
        <f>'Бюджет затрат (ориентир.)'!L69</f>
        <v>1.52E-2</v>
      </c>
      <c r="P42" s="137">
        <f>'Бюджет затрат (ориентир.)'!M69</f>
        <v>1.23E-2</v>
      </c>
    </row>
    <row r="43" spans="1:16" s="421" customFormat="1" x14ac:dyDescent="0.35">
      <c r="A43" s="120" t="s">
        <v>239</v>
      </c>
      <c r="B43" s="91" t="s">
        <v>432</v>
      </c>
      <c r="C43" s="127">
        <f t="shared" si="3"/>
        <v>88649.208528000003</v>
      </c>
      <c r="D43" s="128">
        <f t="shared" si="1"/>
        <v>4.3141666666666667E-3</v>
      </c>
      <c r="E43" s="129">
        <f>E3*SUM(E44:E47)</f>
        <v>3347.6763120000001</v>
      </c>
      <c r="F43" s="129">
        <f>F3*SUM(F44:F47)</f>
        <v>14478.057912</v>
      </c>
      <c r="G43" s="129">
        <f>G3*SUM(G44:G47)</f>
        <v>21192.246566400001</v>
      </c>
      <c r="H43" s="129">
        <f>H3*SUM(H44:H47)</f>
        <v>2226.0763200000001</v>
      </c>
      <c r="I43" s="129">
        <f>I3*SUM(I44:I47)</f>
        <v>1890.4525056</v>
      </c>
      <c r="J43" s="129">
        <f>J3*SUM(J44:J47)</f>
        <v>2590.8103632000002</v>
      </c>
      <c r="K43" s="129">
        <f>K3*SUM(K44:K47)</f>
        <v>2085.6622752000003</v>
      </c>
      <c r="L43" s="129">
        <f>L3*SUM(L44:L47)</f>
        <v>1006.8714432000002</v>
      </c>
      <c r="M43" s="129">
        <f>M3*SUM(M44:M47)</f>
        <v>2520.6033408000003</v>
      </c>
      <c r="N43" s="129">
        <f>N3*SUM(N44:N47)</f>
        <v>1626.7480800000001</v>
      </c>
      <c r="O43" s="129">
        <f>O3*SUM(O44:O47)</f>
        <v>1864.7670095999997</v>
      </c>
      <c r="P43" s="130">
        <f>P3*SUM(P44:P47)</f>
        <v>33819.236400000002</v>
      </c>
    </row>
    <row r="44" spans="1:16" s="421" customFormat="1" outlineLevel="1" x14ac:dyDescent="0.35">
      <c r="A44" s="135" t="s">
        <v>240</v>
      </c>
      <c r="B44" s="138" t="s">
        <v>169</v>
      </c>
      <c r="C44" s="127"/>
      <c r="D44" s="128"/>
      <c r="E44" s="136">
        <f>'Бюджет затрат (ориентир.)'!B73</f>
        <v>0</v>
      </c>
      <c r="F44" s="136">
        <f>'Бюджет затрат (ориентир.)'!C73</f>
        <v>7.9000000000000008E-3</v>
      </c>
      <c r="G44" s="136">
        <f>'Бюджет затрат (ориентир.)'!D73</f>
        <v>9.2999999999999992E-3</v>
      </c>
      <c r="H44" s="136">
        <f>'Бюджет затрат (ориентир.)'!E73</f>
        <v>0</v>
      </c>
      <c r="I44" s="136">
        <f>'Бюджет затрат (ориентир.)'!F73</f>
        <v>0</v>
      </c>
      <c r="J44" s="136">
        <f>'Бюджет затрат (ориентир.)'!G73</f>
        <v>0</v>
      </c>
      <c r="K44" s="136">
        <f>'Бюджет затрат (ориентир.)'!H73</f>
        <v>0</v>
      </c>
      <c r="L44" s="136">
        <f>'Бюджет затрат (ориентир.)'!I73</f>
        <v>0</v>
      </c>
      <c r="M44" s="136">
        <f>'Бюджет затрат (ориентир.)'!J73</f>
        <v>0</v>
      </c>
      <c r="N44" s="136">
        <f>'Бюджет затрат (ориентир.)'!K73</f>
        <v>0</v>
      </c>
      <c r="O44" s="136">
        <f>'Бюджет затрат (ориентир.)'!L73</f>
        <v>0</v>
      </c>
      <c r="P44" s="137">
        <f>'Бюджет затрат (ориентир.)'!M73</f>
        <v>1.21E-2</v>
      </c>
    </row>
    <row r="45" spans="1:16" s="421" customFormat="1" outlineLevel="1" x14ac:dyDescent="0.35">
      <c r="A45" s="135" t="s">
        <v>241</v>
      </c>
      <c r="B45" s="138" t="s">
        <v>170</v>
      </c>
      <c r="C45" s="127"/>
      <c r="D45" s="128"/>
      <c r="E45" s="136">
        <f>'Бюджет затрат (ориентир.)'!B74</f>
        <v>0</v>
      </c>
      <c r="F45" s="136">
        <f>'Бюджет затрат (ориентир.)'!C74</f>
        <v>0</v>
      </c>
      <c r="G45" s="136">
        <f>'Бюджет затрат (ориентир.)'!D74</f>
        <v>0</v>
      </c>
      <c r="H45" s="136">
        <f>'Бюджет затрат (ориентир.)'!E74</f>
        <v>0</v>
      </c>
      <c r="I45" s="136">
        <f>'Бюджет затрат (ориентир.)'!F74</f>
        <v>0</v>
      </c>
      <c r="J45" s="136">
        <f>'Бюджет затрат (ориентир.)'!G74</f>
        <v>0</v>
      </c>
      <c r="K45" s="136">
        <f>'Бюджет затрат (ориентир.)'!H74</f>
        <v>0</v>
      </c>
      <c r="L45" s="136">
        <f>'Бюджет затрат (ориентир.)'!I74</f>
        <v>0</v>
      </c>
      <c r="M45" s="136">
        <f>'Бюджет затрат (ориентир.)'!J74</f>
        <v>0</v>
      </c>
      <c r="N45" s="136">
        <f>'Бюджет затрат (ориентир.)'!K74</f>
        <v>0</v>
      </c>
      <c r="O45" s="136">
        <f>'Бюджет затрат (ориентир.)'!L74</f>
        <v>0</v>
      </c>
      <c r="P45" s="137">
        <f>'Бюджет затрат (ориентир.)'!M74</f>
        <v>1.8E-3</v>
      </c>
    </row>
    <row r="46" spans="1:16" s="421" customFormat="1" outlineLevel="1" x14ac:dyDescent="0.35">
      <c r="A46" s="135" t="s">
        <v>242</v>
      </c>
      <c r="B46" s="138" t="s">
        <v>171</v>
      </c>
      <c r="C46" s="127"/>
      <c r="D46" s="128"/>
      <c r="E46" s="136">
        <f>'Бюджет затрат (ориентир.)'!B75</f>
        <v>2.9999999999999997E-4</v>
      </c>
      <c r="F46" s="136">
        <f>'Бюджет затрат (ориентир.)'!C75</f>
        <v>4.0000000000000002E-4</v>
      </c>
      <c r="G46" s="136">
        <f>'Бюджет затрат (ориентир.)'!D75</f>
        <v>2.0000000000000001E-4</v>
      </c>
      <c r="H46" s="136">
        <f>'Бюджет затрат (ориентир.)'!E75</f>
        <v>1E-4</v>
      </c>
      <c r="I46" s="136">
        <f>'Бюджет затрат (ориентир.)'!F75</f>
        <v>0</v>
      </c>
      <c r="J46" s="136">
        <f>'Бюджет затрат (ориентир.)'!G75</f>
        <v>6.9999999999999999E-4</v>
      </c>
      <c r="K46" s="136">
        <f>'Бюджет затрат (ориентир.)'!H75</f>
        <v>2.9999999999999997E-4</v>
      </c>
      <c r="L46" s="136">
        <f>'Бюджет затрат (ориентир.)'!I75</f>
        <v>1E-4</v>
      </c>
      <c r="M46" s="136">
        <f>'Бюджет затрат (ориентир.)'!J75</f>
        <v>5.9999999999999995E-4</v>
      </c>
      <c r="N46" s="136">
        <f>'Бюджет затрат (ориентир.)'!K75</f>
        <v>0</v>
      </c>
      <c r="O46" s="136">
        <f>'Бюджет затрат (ориентир.)'!L75</f>
        <v>5.0000000000000001E-4</v>
      </c>
      <c r="P46" s="137">
        <f>'Бюджет затрат (ориентир.)'!M75</f>
        <v>1E-3</v>
      </c>
    </row>
    <row r="47" spans="1:16" s="421" customFormat="1" outlineLevel="1" x14ac:dyDescent="0.35">
      <c r="A47" s="135" t="s">
        <v>243</v>
      </c>
      <c r="B47" s="138" t="s">
        <v>172</v>
      </c>
      <c r="C47" s="127"/>
      <c r="D47" s="128"/>
      <c r="E47" s="136">
        <f>'Бюджет затрат (ориентир.)'!B76</f>
        <v>1.4E-3</v>
      </c>
      <c r="F47" s="136">
        <f>'Бюджет затрат (ориентир.)'!C76</f>
        <v>1.1999999999999999E-3</v>
      </c>
      <c r="G47" s="136">
        <f>'Бюджет затрат (ориентир.)'!D76</f>
        <v>8.9999999999999998E-4</v>
      </c>
      <c r="H47" s="136">
        <f>'Бюджет затрат (ориентир.)'!E76</f>
        <v>1.1999999999999999E-3</v>
      </c>
      <c r="I47" s="136">
        <f>'Бюджет затрат (ориентир.)'!F76</f>
        <v>1.1999999999999999E-3</v>
      </c>
      <c r="J47" s="136">
        <f>'Бюджет затрат (ориентир.)'!G76</f>
        <v>1E-3</v>
      </c>
      <c r="K47" s="136">
        <f>'Бюджет затрат (ориентир.)'!H76</f>
        <v>1.1000000000000001E-3</v>
      </c>
      <c r="L47" s="136">
        <f>'Бюджет затрат (ориентир.)'!I76</f>
        <v>5.0000000000000001E-4</v>
      </c>
      <c r="M47" s="136">
        <f>'Бюджет затрат (ориентир.)'!J76</f>
        <v>1E-3</v>
      </c>
      <c r="N47" s="136">
        <f>'Бюджет затрат (ориентир.)'!K76</f>
        <v>1E-3</v>
      </c>
      <c r="O47" s="136">
        <f>'Бюджет затрат (ориентир.)'!L76</f>
        <v>5.9999999999999995E-4</v>
      </c>
      <c r="P47" s="137">
        <f>'Бюджет затрат (ориентир.)'!M76</f>
        <v>8.9999999999999998E-4</v>
      </c>
    </row>
    <row r="48" spans="1:16" s="421" customFormat="1" x14ac:dyDescent="0.35">
      <c r="A48" s="120" t="s">
        <v>244</v>
      </c>
      <c r="B48" s="91" t="s">
        <v>433</v>
      </c>
      <c r="C48" s="127">
        <f t="shared" si="3"/>
        <v>4548.0451584000002</v>
      </c>
      <c r="D48" s="128">
        <f t="shared" si="1"/>
        <v>2.2133333333333334E-4</v>
      </c>
      <c r="E48" s="129">
        <f>E3*SUM(E49:E52)</f>
        <v>0</v>
      </c>
      <c r="F48" s="129">
        <f>F3*SUM(F49:F52)</f>
        <v>0</v>
      </c>
      <c r="G48" s="129">
        <f>G3*SUM(G49:G52)</f>
        <v>0</v>
      </c>
      <c r="H48" s="129">
        <f>H3*SUM(H49:H52)</f>
        <v>0</v>
      </c>
      <c r="I48" s="129">
        <f>I3*SUM(I49:I52)</f>
        <v>0</v>
      </c>
      <c r="J48" s="129">
        <f>J3*SUM(J49:J52)</f>
        <v>0</v>
      </c>
      <c r="K48" s="129">
        <f>K3*SUM(K49:K52)</f>
        <v>0</v>
      </c>
      <c r="L48" s="129">
        <f>L3*SUM(L49:L52)</f>
        <v>2852.8024224000005</v>
      </c>
      <c r="M48" s="129">
        <f>M3*SUM(M49:M52)</f>
        <v>0</v>
      </c>
      <c r="N48" s="129">
        <f>N3*SUM(N49:N52)</f>
        <v>0</v>
      </c>
      <c r="O48" s="129">
        <f>O3*SUM(O49:O52)</f>
        <v>1695.2427360000001</v>
      </c>
      <c r="P48" s="130">
        <f>P3*SUM(P49:P52)*Операционный!O66</f>
        <v>0</v>
      </c>
    </row>
    <row r="49" spans="1:16" s="421" customFormat="1" outlineLevel="1" x14ac:dyDescent="0.35">
      <c r="A49" s="135" t="s">
        <v>192</v>
      </c>
      <c r="B49" s="97" t="s">
        <v>173</v>
      </c>
      <c r="C49" s="127"/>
      <c r="D49" s="128"/>
      <c r="E49" s="136">
        <f>'Бюджет затрат (ориентир.)'!B81</f>
        <v>0</v>
      </c>
      <c r="F49" s="136">
        <f>'Бюджет затрат (ориентир.)'!C81</f>
        <v>0</v>
      </c>
      <c r="G49" s="136">
        <f>'Бюджет затрат (ориентир.)'!D81</f>
        <v>0</v>
      </c>
      <c r="H49" s="136">
        <f>'Бюджет затрат (ориентир.)'!E81</f>
        <v>0</v>
      </c>
      <c r="I49" s="136">
        <f>'Бюджет затрат (ориентир.)'!F81</f>
        <v>0</v>
      </c>
      <c r="J49" s="136">
        <f>'Бюджет затрат (ориентир.)'!G81</f>
        <v>0</v>
      </c>
      <c r="K49" s="136">
        <f>'Бюджет затрат (ориентир.)'!H81</f>
        <v>0</v>
      </c>
      <c r="L49" s="136">
        <f>'Бюджет затрат (ориентир.)'!I81</f>
        <v>8.9999999999999998E-4</v>
      </c>
      <c r="M49" s="136">
        <f>'Бюджет затрат (ориентир.)'!J81</f>
        <v>0</v>
      </c>
      <c r="N49" s="136">
        <f>'Бюджет затрат (ориентир.)'!K81</f>
        <v>0</v>
      </c>
      <c r="O49" s="136">
        <f>'Бюджет затрат (ориентир.)'!L81</f>
        <v>5.0000000000000001E-4</v>
      </c>
      <c r="P49" s="137">
        <f>'Бюджет затрат (ориентир.)'!M81</f>
        <v>0</v>
      </c>
    </row>
    <row r="50" spans="1:16" s="421" customFormat="1" outlineLevel="1" x14ac:dyDescent="0.35">
      <c r="A50" s="135" t="s">
        <v>193</v>
      </c>
      <c r="B50" s="97" t="s">
        <v>174</v>
      </c>
      <c r="C50" s="127"/>
      <c r="D50" s="128"/>
      <c r="E50" s="136">
        <f>'Бюджет затрат (ориентир.)'!B82</f>
        <v>0</v>
      </c>
      <c r="F50" s="136">
        <f>'Бюджет затрат (ориентир.)'!C82</f>
        <v>0</v>
      </c>
      <c r="G50" s="136">
        <f>'Бюджет затрат (ориентир.)'!D82</f>
        <v>0</v>
      </c>
      <c r="H50" s="136">
        <f>'Бюджет затрат (ориентир.)'!E82</f>
        <v>0</v>
      </c>
      <c r="I50" s="136">
        <f>'Бюджет затрат (ориентир.)'!F82</f>
        <v>0</v>
      </c>
      <c r="J50" s="136">
        <f>'Бюджет затрат (ориентир.)'!G82</f>
        <v>0</v>
      </c>
      <c r="K50" s="136">
        <f>'Бюджет затрат (ориентир.)'!H82</f>
        <v>0</v>
      </c>
      <c r="L50" s="136">
        <f>'Бюджет затрат (ориентир.)'!I82</f>
        <v>8.0000000000000004E-4</v>
      </c>
      <c r="M50" s="136">
        <f>'Бюджет затрат (ориентир.)'!J82</f>
        <v>0</v>
      </c>
      <c r="N50" s="136">
        <f>'Бюджет затрат (ориентир.)'!K82</f>
        <v>0</v>
      </c>
      <c r="O50" s="136">
        <f>'Бюджет затрат (ориентир.)'!L82</f>
        <v>0</v>
      </c>
      <c r="P50" s="137">
        <f>'Бюджет затрат (ориентир.)'!M82</f>
        <v>0</v>
      </c>
    </row>
    <row r="51" spans="1:16" s="421" customFormat="1" outlineLevel="1" x14ac:dyDescent="0.35">
      <c r="A51" s="135" t="s">
        <v>245</v>
      </c>
      <c r="B51" s="97" t="s">
        <v>175</v>
      </c>
      <c r="C51" s="127"/>
      <c r="D51" s="128"/>
      <c r="E51" s="136">
        <f>'Бюджет затрат (ориентир.)'!B83</f>
        <v>0</v>
      </c>
      <c r="F51" s="136">
        <f>'Бюджет затрат (ориентир.)'!C83</f>
        <v>0</v>
      </c>
      <c r="G51" s="136">
        <f>'Бюджет затрат (ориентир.)'!D83</f>
        <v>0</v>
      </c>
      <c r="H51" s="136">
        <f>'Бюджет затрат (ориентир.)'!E83</f>
        <v>0</v>
      </c>
      <c r="I51" s="136">
        <f>'Бюджет затрат (ориентир.)'!F83</f>
        <v>0</v>
      </c>
      <c r="J51" s="136">
        <f>'Бюджет затрат (ориентир.)'!G83</f>
        <v>0</v>
      </c>
      <c r="K51" s="136">
        <f>'Бюджет затрат (ориентир.)'!H83</f>
        <v>0</v>
      </c>
      <c r="L51" s="136">
        <f>'Бюджет затрат (ориентир.)'!I83</f>
        <v>0</v>
      </c>
      <c r="M51" s="136">
        <f>'Бюджет затрат (ориентир.)'!J83</f>
        <v>0</v>
      </c>
      <c r="N51" s="136">
        <f>'Бюджет затрат (ориентир.)'!K83</f>
        <v>0</v>
      </c>
      <c r="O51" s="136">
        <f>'Бюджет затрат (ориентир.)'!L83</f>
        <v>5.0000000000000001E-4</v>
      </c>
      <c r="P51" s="137">
        <f>'Бюджет затрат (ориентир.)'!M83</f>
        <v>0</v>
      </c>
    </row>
    <row r="52" spans="1:16" s="421" customFormat="1" outlineLevel="1" x14ac:dyDescent="0.35">
      <c r="A52" s="135" t="s">
        <v>246</v>
      </c>
      <c r="B52" s="97" t="s">
        <v>176</v>
      </c>
      <c r="C52" s="127"/>
      <c r="D52" s="128"/>
      <c r="E52" s="136">
        <f>'Бюджет затрат (ориентир.)'!B84</f>
        <v>0</v>
      </c>
      <c r="F52" s="136">
        <f>'Бюджет затрат (ориентир.)'!C84</f>
        <v>0</v>
      </c>
      <c r="G52" s="136">
        <f>'Бюджет затрат (ориентир.)'!D84</f>
        <v>0</v>
      </c>
      <c r="H52" s="136">
        <f>'Бюджет затрат (ориентир.)'!E84</f>
        <v>0</v>
      </c>
      <c r="I52" s="136">
        <f>'Бюджет затрат (ориентир.)'!F84</f>
        <v>0</v>
      </c>
      <c r="J52" s="136">
        <f>'Бюджет затрат (ориентир.)'!G84</f>
        <v>0</v>
      </c>
      <c r="K52" s="136">
        <f>'Бюджет затрат (ориентир.)'!H84</f>
        <v>0</v>
      </c>
      <c r="L52" s="136">
        <f>'Бюджет затрат (ориентир.)'!I84</f>
        <v>0</v>
      </c>
      <c r="M52" s="136">
        <f>'Бюджет затрат (ориентир.)'!J84</f>
        <v>0</v>
      </c>
      <c r="N52" s="136">
        <f>'Бюджет затрат (ориентир.)'!K84</f>
        <v>0</v>
      </c>
      <c r="O52" s="136">
        <f>'Бюджет затрат (ориентир.)'!L84</f>
        <v>0</v>
      </c>
      <c r="P52" s="137">
        <f>'Бюджет затрат (ориентир.)'!M84</f>
        <v>0</v>
      </c>
    </row>
    <row r="53" spans="1:16" s="421" customFormat="1" x14ac:dyDescent="0.35">
      <c r="A53" s="120" t="s">
        <v>247</v>
      </c>
      <c r="B53" s="91" t="s">
        <v>434</v>
      </c>
      <c r="C53" s="127">
        <f t="shared" si="3"/>
        <v>248652.72494400002</v>
      </c>
      <c r="D53" s="128">
        <f t="shared" si="1"/>
        <v>1.2100833333333333E-2</v>
      </c>
      <c r="E53" s="129">
        <f>E3*SUM(E54:E57)</f>
        <v>26584.488359999999</v>
      </c>
      <c r="F53" s="129">
        <f>F3*SUM(F54:F57)*Операционный!E66</f>
        <v>0</v>
      </c>
      <c r="G53" s="129">
        <f>G3*SUM(G54:G57)*Операционный!F66</f>
        <v>26694.079809600004</v>
      </c>
      <c r="H53" s="129">
        <f>H3*SUM(H54:H57)*Операционный!G66</f>
        <v>22945.709760000002</v>
      </c>
      <c r="I53" s="129">
        <f>I3*SUM(I54:I57)*Операционный!H66</f>
        <v>19692.213600000003</v>
      </c>
      <c r="J53" s="129">
        <f>J3*SUM(J54:J57)*Операционный!I66</f>
        <v>17373.669494400001</v>
      </c>
      <c r="K53" s="129">
        <f>K3*SUM(K54:K57)*Операционный!J66</f>
        <v>18324.032846400001</v>
      </c>
      <c r="L53" s="129">
        <f>L3*SUM(L54:L57)*Операционный!K66</f>
        <v>17955.874070400005</v>
      </c>
      <c r="M53" s="129">
        <f>M3*SUM(M54:M57)*Операционный!L66</f>
        <v>24890.957990400006</v>
      </c>
      <c r="N53" s="129">
        <f>N3*SUM(N54:N57)*Операционный!M66</f>
        <v>22774.473120000002</v>
      </c>
      <c r="O53" s="129">
        <f>O3*SUM(O54:O57)*Операционный!N66</f>
        <v>25089.592492800002</v>
      </c>
      <c r="P53" s="130">
        <f>P3*SUM(P54:P57)</f>
        <v>26327.633399999999</v>
      </c>
    </row>
    <row r="54" spans="1:16" s="421" customFormat="1" outlineLevel="1" x14ac:dyDescent="0.35">
      <c r="A54" s="135" t="s">
        <v>194</v>
      </c>
      <c r="B54" s="99" t="s">
        <v>178</v>
      </c>
      <c r="C54" s="127"/>
      <c r="D54" s="128"/>
      <c r="E54" s="136">
        <f>'Бюджет затрат (ориентир.)'!B89</f>
        <v>6.9999999999999999E-4</v>
      </c>
      <c r="F54" s="136">
        <f>'Бюджет затрат (ориентир.)'!C89</f>
        <v>8.0000000000000004E-4</v>
      </c>
      <c r="G54" s="136">
        <f>'Бюджет затрат (ориентир.)'!D89</f>
        <v>5.0000000000000001E-4</v>
      </c>
      <c r="H54" s="136">
        <f>'Бюджет затрат (ориентир.)'!E89</f>
        <v>1E-3</v>
      </c>
      <c r="I54" s="136">
        <f>'Бюджет затрат (ориентир.)'!F89</f>
        <v>8.9999999999999998E-4</v>
      </c>
      <c r="J54" s="136">
        <f>'Бюджет затрат (ориентир.)'!G89</f>
        <v>6.9999999999999999E-4</v>
      </c>
      <c r="K54" s="136">
        <f>'Бюджет затрат (ориентир.)'!H89</f>
        <v>5.9999999999999995E-4</v>
      </c>
      <c r="L54" s="136">
        <f>'Бюджет затрат (ориентир.)'!I89</f>
        <v>4.0000000000000002E-4</v>
      </c>
      <c r="M54" s="136">
        <f>'Бюджет затрат (ориентир.)'!J89</f>
        <v>5.9999999999999995E-4</v>
      </c>
      <c r="N54" s="136">
        <f>'Бюджет затрат (ориентир.)'!K89</f>
        <v>5.0000000000000001E-4</v>
      </c>
      <c r="O54" s="136">
        <f>'Бюджет затрат (ориентир.)'!L89</f>
        <v>5.9999999999999995E-4</v>
      </c>
      <c r="P54" s="137">
        <f>'Бюджет затрат (ориентир.)'!M89</f>
        <v>4.0000000000000002E-4</v>
      </c>
    </row>
    <row r="55" spans="1:16" s="421" customFormat="1" outlineLevel="1" x14ac:dyDescent="0.35">
      <c r="A55" s="135" t="s">
        <v>195</v>
      </c>
      <c r="B55" s="99" t="s">
        <v>179</v>
      </c>
      <c r="C55" s="127"/>
      <c r="D55" s="128"/>
      <c r="E55" s="136">
        <f>'Бюджет затрат (ориентир.)'!B90</f>
        <v>3.5000000000000001E-3</v>
      </c>
      <c r="F55" s="136">
        <f>'Бюджет затрат (ориентир.)'!C90</f>
        <v>3.7000000000000002E-3</v>
      </c>
      <c r="G55" s="136">
        <f>'Бюджет затрат (ориентир.)'!D90</f>
        <v>5.3E-3</v>
      </c>
      <c r="H55" s="136">
        <f>'Бюджет затрат (ориентир.)'!E90</f>
        <v>3.3E-3</v>
      </c>
      <c r="I55" s="136">
        <f>'Бюджет затрат (ориентир.)'!F90</f>
        <v>3.3E-3</v>
      </c>
      <c r="J55" s="136">
        <f>'Бюджет затрат (ориентир.)'!G90</f>
        <v>3.0000000000000001E-3</v>
      </c>
      <c r="K55" s="136">
        <f>'Бюджет затрат (ориентир.)'!H90</f>
        <v>2.3999999999999998E-3</v>
      </c>
      <c r="L55" s="136">
        <f>'Бюджет затрат (ориентир.)'!I90</f>
        <v>2.3E-3</v>
      </c>
      <c r="M55" s="136">
        <f>'Бюджет затрат (ориентир.)'!J90</f>
        <v>8.0999999999999996E-3</v>
      </c>
      <c r="N55" s="136">
        <f>'Бюджет затрат (ориентир.)'!K90</f>
        <v>4.5999999999999999E-3</v>
      </c>
      <c r="O55" s="136">
        <f>'Бюджет затрат (ориентир.)'!L90</f>
        <v>5.1000000000000004E-3</v>
      </c>
      <c r="P55" s="137">
        <f>'Бюджет затрат (ориентир.)'!M90</f>
        <v>4.1999999999999997E-3</v>
      </c>
    </row>
    <row r="56" spans="1:16" s="421" customFormat="1" outlineLevel="1" x14ac:dyDescent="0.35">
      <c r="A56" s="135" t="s">
        <v>196</v>
      </c>
      <c r="B56" s="99" t="s">
        <v>180</v>
      </c>
      <c r="C56" s="127"/>
      <c r="D56" s="128"/>
      <c r="E56" s="136">
        <f>'Бюджет затрат (ориентир.)'!B91</f>
        <v>0</v>
      </c>
      <c r="F56" s="136">
        <f>'Бюджет затрат (ориентир.)'!C91</f>
        <v>0</v>
      </c>
      <c r="G56" s="136">
        <f>'Бюджет затрат (ориентир.)'!D91</f>
        <v>0</v>
      </c>
      <c r="H56" s="136">
        <f>'Бюджет затрат (ориентир.)'!E91</f>
        <v>0</v>
      </c>
      <c r="I56" s="136">
        <f>'Бюджет затрат (ориентир.)'!F91</f>
        <v>0</v>
      </c>
      <c r="J56" s="136">
        <f>'Бюджет затрат (ориентир.)'!G91</f>
        <v>0</v>
      </c>
      <c r="K56" s="136">
        <f>'Бюджет затрат (ориентир.)'!H91</f>
        <v>0</v>
      </c>
      <c r="L56" s="136">
        <f>'Бюджет затрат (ориентир.)'!I91</f>
        <v>0</v>
      </c>
      <c r="M56" s="136">
        <f>'Бюджет затрат (ориентир.)'!J91</f>
        <v>0</v>
      </c>
      <c r="N56" s="136">
        <f>'Бюджет затрат (ориентир.)'!K91</f>
        <v>0</v>
      </c>
      <c r="O56" s="136">
        <f>'Бюджет затрат (ориентир.)'!L91</f>
        <v>8.9999999999999998E-4</v>
      </c>
      <c r="P56" s="137">
        <f>'Бюджет затрат (ориентир.)'!M91</f>
        <v>0</v>
      </c>
    </row>
    <row r="57" spans="1:16" s="421" customFormat="1" outlineLevel="1" x14ac:dyDescent="0.35">
      <c r="A57" s="135" t="s">
        <v>197</v>
      </c>
      <c r="B57" s="99" t="s">
        <v>181</v>
      </c>
      <c r="C57" s="127"/>
      <c r="D57" s="128"/>
      <c r="E57" s="136">
        <f>'Бюджет затрат (ориентир.)'!B92</f>
        <v>9.2999999999999992E-3</v>
      </c>
      <c r="F57" s="136">
        <f>'Бюджет затрат (ориентир.)'!C92</f>
        <v>8.6999999999999994E-3</v>
      </c>
      <c r="G57" s="136">
        <f>'Бюджет затрат (ориентир.)'!D92</f>
        <v>7.3000000000000001E-3</v>
      </c>
      <c r="H57" s="136">
        <f>'Бюджет затрат (ориентир.)'!E92</f>
        <v>9.1000000000000004E-3</v>
      </c>
      <c r="I57" s="136">
        <f>'Бюджет затрат (ориентир.)'!F92</f>
        <v>8.3000000000000001E-3</v>
      </c>
      <c r="J57" s="136">
        <f>'Бюджет затрат (ориентир.)'!G92</f>
        <v>7.7000000000000002E-3</v>
      </c>
      <c r="K57" s="136">
        <f>'Бюджет затрат (ориентир.)'!H92</f>
        <v>9.2999999999999992E-3</v>
      </c>
      <c r="L57" s="136">
        <f>'Бюджет затрат (ориентир.)'!I92</f>
        <v>8.0000000000000002E-3</v>
      </c>
      <c r="M57" s="136">
        <f>'Бюджет затрат (ориентир.)'!J92</f>
        <v>7.1000000000000004E-3</v>
      </c>
      <c r="N57" s="136">
        <f>'Бюджет затрат (ориентир.)'!K92</f>
        <v>8.8999999999999999E-3</v>
      </c>
      <c r="O57" s="136">
        <f>'Бюджет затрат (ориентир.)'!L92</f>
        <v>8.2000000000000007E-3</v>
      </c>
      <c r="P57" s="137">
        <f>'Бюджет затрат (ориентир.)'!M92</f>
        <v>7.7000000000000002E-3</v>
      </c>
    </row>
    <row r="58" spans="1:16" s="421" customFormat="1" x14ac:dyDescent="0.35">
      <c r="A58" s="120" t="s">
        <v>248</v>
      </c>
      <c r="B58" s="91" t="s">
        <v>435</v>
      </c>
      <c r="C58" s="127">
        <f t="shared" si="3"/>
        <v>802832.71244160016</v>
      </c>
      <c r="D58" s="128">
        <f t="shared" si="1"/>
        <v>3.9070333333333339E-2</v>
      </c>
      <c r="E58" s="129">
        <f>E3*SUM(E59:E63)</f>
        <v>78571.932264000017</v>
      </c>
      <c r="F58" s="129">
        <f>F3*SUM(F59:F63)</f>
        <v>60198.240792000004</v>
      </c>
      <c r="G58" s="129">
        <f>G3*SUM(G59:G63)</f>
        <v>78248.295014400006</v>
      </c>
      <c r="H58" s="129">
        <f>H3*SUM(H59:H63)</f>
        <v>67980.946080000009</v>
      </c>
      <c r="I58" s="129">
        <f>I3*SUM(I59:I63)</f>
        <v>62384.932684800013</v>
      </c>
      <c r="J58" s="129">
        <f>J3*SUM(J59:J63)</f>
        <v>61265.045059200005</v>
      </c>
      <c r="K58" s="129">
        <f>K3*SUM(K59:K63)</f>
        <v>58696.495459199999</v>
      </c>
      <c r="L58" s="129">
        <f>L3*SUM(L59:L63)</f>
        <v>66956.950972800012</v>
      </c>
      <c r="M58" s="129">
        <f>M3*SUM(M59:M63)</f>
        <v>60809.555596800004</v>
      </c>
      <c r="N58" s="129">
        <f>N3*SUM(N59:N63)</f>
        <v>62141.776656000009</v>
      </c>
      <c r="O58" s="129">
        <f>O3*SUM(O59:O63)</f>
        <v>65097.321062400006</v>
      </c>
      <c r="P58" s="130">
        <f>P3*SUM(P59:P63)</f>
        <v>80481.22080000001</v>
      </c>
    </row>
    <row r="59" spans="1:16" s="421" customFormat="1" outlineLevel="1" x14ac:dyDescent="0.35">
      <c r="A59" s="135" t="s">
        <v>198</v>
      </c>
      <c r="B59" s="138" t="s">
        <v>182</v>
      </c>
      <c r="C59" s="127"/>
      <c r="D59" s="128"/>
      <c r="E59" s="139">
        <f>'Бюджет затрат (ориентир.)'!B97</f>
        <v>3.2500000000000001E-2</v>
      </c>
      <c r="F59" s="139">
        <f>'Бюджет затрат (ориентир.)'!C97</f>
        <v>3.2399999999999998E-2</v>
      </c>
      <c r="G59" s="139">
        <f>'Бюджет затрат (ориентир.)'!D97</f>
        <v>3.2300000000000002E-2</v>
      </c>
      <c r="H59" s="139">
        <f>'Бюджет затрат (ориентир.)'!E97</f>
        <v>3.2800000000000003E-2</v>
      </c>
      <c r="I59" s="139">
        <f>'Бюджет затрат (ориентир.)'!F97</f>
        <v>3.2800000000000003E-2</v>
      </c>
      <c r="J59" s="139">
        <f>'Бюджет затрат (ориентир.)'!G97</f>
        <v>3.2399999999999998E-2</v>
      </c>
      <c r="K59" s="139">
        <f>'Бюджет затрат (ориентир.)'!H97</f>
        <v>3.2399999999999998E-2</v>
      </c>
      <c r="L59" s="139">
        <f>'Бюджет затрат (ориентир.)'!I97</f>
        <v>3.2300000000000002E-2</v>
      </c>
      <c r="M59" s="139">
        <f>'Бюджет затрат (ориентир.)'!J97</f>
        <v>3.2399999999999998E-2</v>
      </c>
      <c r="N59" s="139">
        <f>'Бюджет затрат (ориентир.)'!K97</f>
        <v>3.2300000000000002E-2</v>
      </c>
      <c r="O59" s="139">
        <f>'Бюджет затрат (ориентир.)'!L97</f>
        <v>3.2300000000000002E-2</v>
      </c>
      <c r="P59" s="140">
        <f>'Бюджет затрат (ориентир.)'!M97</f>
        <v>3.2000000000000001E-2</v>
      </c>
    </row>
    <row r="60" spans="1:16" outlineLevel="1" x14ac:dyDescent="0.35">
      <c r="A60" s="135" t="s">
        <v>199</v>
      </c>
      <c r="B60" s="138" t="s">
        <v>183</v>
      </c>
      <c r="C60" s="127"/>
      <c r="D60" s="128"/>
      <c r="E60" s="139">
        <f>'Бюджет затрат (ориентир.)'!B98</f>
        <v>0</v>
      </c>
      <c r="F60" s="139">
        <f>'Бюджет затрат (ориентир.)'!C98</f>
        <v>0</v>
      </c>
      <c r="G60" s="139">
        <f>'Бюджет затрат (ориентир.)'!D98</f>
        <v>0</v>
      </c>
      <c r="H60" s="139">
        <f>'Бюджет затрат (ориентир.)'!E98</f>
        <v>0</v>
      </c>
      <c r="I60" s="139">
        <f>'Бюджет затрат (ориентир.)'!F98</f>
        <v>0</v>
      </c>
      <c r="J60" s="139">
        <f>'Бюджет затрат (ориентир.)'!G98</f>
        <v>0</v>
      </c>
      <c r="K60" s="139">
        <f>'Бюджет затрат (ориентир.)'!H98</f>
        <v>0</v>
      </c>
      <c r="L60" s="139">
        <f>'Бюджет затрат (ориентир.)'!I98</f>
        <v>0</v>
      </c>
      <c r="M60" s="139">
        <f>'Бюджет затрат (ориентир.)'!J98</f>
        <v>0</v>
      </c>
      <c r="N60" s="139">
        <f>'Бюджет затрат (ориентир.)'!K98</f>
        <v>0</v>
      </c>
      <c r="O60" s="139">
        <f>'Бюджет затрат (ориентир.)'!L98</f>
        <v>0</v>
      </c>
      <c r="P60" s="140">
        <f>'Бюджет затрат (ориентир.)'!M98</f>
        <v>0</v>
      </c>
    </row>
    <row r="61" spans="1:16" outlineLevel="1" x14ac:dyDescent="0.35">
      <c r="A61" s="135" t="s">
        <v>200</v>
      </c>
      <c r="B61" s="138" t="s">
        <v>184</v>
      </c>
      <c r="C61" s="127"/>
      <c r="D61" s="128"/>
      <c r="E61" s="139">
        <f>'Бюджет затрат (ориентир.)'!B99</f>
        <v>0</v>
      </c>
      <c r="F61" s="139">
        <f>'Бюджет затрат (ориентир.)'!C99</f>
        <v>0</v>
      </c>
      <c r="G61" s="139">
        <f>'Бюджет затрат (ориентир.)'!D99</f>
        <v>0</v>
      </c>
      <c r="H61" s="139">
        <f>'Бюджет затрат (ориентир.)'!E99</f>
        <v>0</v>
      </c>
      <c r="I61" s="139">
        <f>'Бюджет затрат (ориентир.)'!F99</f>
        <v>0</v>
      </c>
      <c r="J61" s="139">
        <f>'Бюджет затрат (ориентир.)'!G99</f>
        <v>0</v>
      </c>
      <c r="K61" s="139">
        <f>'Бюджет затрат (ориентир.)'!H99</f>
        <v>0</v>
      </c>
      <c r="L61" s="139">
        <f>'Бюджет затрат (ориентир.)'!I99</f>
        <v>0</v>
      </c>
      <c r="M61" s="139">
        <f>'Бюджет затрат (ориентир.)'!J99</f>
        <v>0</v>
      </c>
      <c r="N61" s="139">
        <f>'Бюджет затрат (ориентир.)'!K99</f>
        <v>0</v>
      </c>
      <c r="O61" s="139">
        <f>'Бюджет затрат (ориентир.)'!L99</f>
        <v>0</v>
      </c>
      <c r="P61" s="140">
        <f>'Бюджет затрат (ориентир.)'!M99</f>
        <v>0</v>
      </c>
    </row>
    <row r="62" spans="1:16" outlineLevel="1" x14ac:dyDescent="0.35">
      <c r="A62" s="135" t="s">
        <v>201</v>
      </c>
      <c r="B62" s="138" t="s">
        <v>185</v>
      </c>
      <c r="C62" s="127"/>
      <c r="D62" s="128"/>
      <c r="E62" s="139">
        <f>'Бюджет затрат (ориентир.)'!B100</f>
        <v>0</v>
      </c>
      <c r="F62" s="139">
        <f>'Бюджет затрат (ориентир.)'!C100</f>
        <v>0</v>
      </c>
      <c r="G62" s="139">
        <f>'Бюджет затрат (ориентир.)'!D100</f>
        <v>0</v>
      </c>
      <c r="H62" s="139">
        <f>'Бюджет затрат (ориентир.)'!E100</f>
        <v>0</v>
      </c>
      <c r="I62" s="139">
        <f>'Бюджет затрат (ориентир.)'!F100</f>
        <v>0</v>
      </c>
      <c r="J62" s="139">
        <f>'Бюджет затрат (ориентир.)'!G100</f>
        <v>0</v>
      </c>
      <c r="K62" s="139">
        <f>'Бюджет затрат (ориентир.)'!H100</f>
        <v>0</v>
      </c>
      <c r="L62" s="139">
        <f>'Бюджет затрат (ориентир.)'!I100</f>
        <v>0</v>
      </c>
      <c r="M62" s="139">
        <f>'Бюджет затрат (ориентир.)'!J100</f>
        <v>0</v>
      </c>
      <c r="N62" s="139">
        <f>'Бюджет затрат (ориентир.)'!K100</f>
        <v>0</v>
      </c>
      <c r="O62" s="139">
        <f>'Бюджет затрат (ориентир.)'!L100</f>
        <v>0</v>
      </c>
      <c r="P62" s="140">
        <f>'Бюджет затрат (ориентир.)'!M100</f>
        <v>0</v>
      </c>
    </row>
    <row r="63" spans="1:16" outlineLevel="1" x14ac:dyDescent="0.35">
      <c r="A63" s="135" t="s">
        <v>249</v>
      </c>
      <c r="B63" s="138" t="s">
        <v>186</v>
      </c>
      <c r="C63" s="127"/>
      <c r="D63" s="128"/>
      <c r="E63" s="139">
        <f>'Бюджет затрат (ориентир.)'!B101</f>
        <v>7.4000000000000003E-3</v>
      </c>
      <c r="F63" s="139">
        <f>'Бюджет затрат (ориентир.)'!C101</f>
        <v>7.1000000000000004E-3</v>
      </c>
      <c r="G63" s="139">
        <f>'Бюджет затрат (ориентир.)'!D101</f>
        <v>6.1000000000000004E-3</v>
      </c>
      <c r="H63" s="139">
        <f>'Бюджет затрат (ориентир.)'!E101</f>
        <v>6.8999999999999999E-3</v>
      </c>
      <c r="I63" s="139">
        <f>'Бюджет затрат (ориентир.)'!F101</f>
        <v>6.7999999999999996E-3</v>
      </c>
      <c r="J63" s="139">
        <f>'Бюджет затрат (ориентир.)'!G101</f>
        <v>7.7999999999999996E-3</v>
      </c>
      <c r="K63" s="139">
        <f>'Бюджет затрат (ориентир.)'!H101</f>
        <v>7.0000000000000001E-3</v>
      </c>
      <c r="L63" s="139">
        <f>'Бюджет затрат (ориентир.)'!I101</f>
        <v>7.6E-3</v>
      </c>
      <c r="M63" s="139">
        <f>'Бюджет затрат (ориентир.)'!J101</f>
        <v>6.1999999999999998E-3</v>
      </c>
      <c r="N63" s="139">
        <f>'Бюджет затрат (ориентир.)'!K101</f>
        <v>5.8999999999999999E-3</v>
      </c>
      <c r="O63" s="139">
        <f>'Бюджет затрат (ориентир.)'!L101</f>
        <v>6.1000000000000004E-3</v>
      </c>
      <c r="P63" s="140">
        <f>'Бюджет затрат (ориентир.)'!M101</f>
        <v>5.5999999999999999E-3</v>
      </c>
    </row>
    <row r="64" spans="1:16" collapsed="1" x14ac:dyDescent="0.35">
      <c r="A64" s="120" t="s">
        <v>250</v>
      </c>
      <c r="B64" s="91" t="s">
        <v>470</v>
      </c>
      <c r="C64" s="127">
        <f t="shared" ref="C64" si="4">SUM(E64:P64)</f>
        <v>0</v>
      </c>
      <c r="D64" s="128">
        <f t="shared" ref="D64" si="5">C64/C$3</f>
        <v>0</v>
      </c>
      <c r="E64" s="129">
        <v>0</v>
      </c>
      <c r="F64" s="129">
        <v>0</v>
      </c>
      <c r="G64" s="129">
        <v>0</v>
      </c>
      <c r="H64" s="129">
        <v>0</v>
      </c>
      <c r="I64" s="129">
        <v>0</v>
      </c>
      <c r="J64" s="129">
        <v>0</v>
      </c>
      <c r="K64" s="129">
        <v>0</v>
      </c>
      <c r="L64" s="129">
        <v>0</v>
      </c>
      <c r="M64" s="129">
        <v>0</v>
      </c>
      <c r="N64" s="129">
        <v>0</v>
      </c>
      <c r="O64" s="129">
        <v>0</v>
      </c>
      <c r="P64" s="130">
        <v>0</v>
      </c>
    </row>
    <row r="65" spans="1:162" x14ac:dyDescent="0.35">
      <c r="A65" s="143" t="s">
        <v>251</v>
      </c>
      <c r="B65" s="90" t="s">
        <v>436</v>
      </c>
      <c r="C65" s="144">
        <f t="shared" si="3"/>
        <v>205483.96799999999</v>
      </c>
      <c r="D65" s="145">
        <v>0.01</v>
      </c>
      <c r="E65" s="146">
        <f>E3*D65</f>
        <v>19692.213600000003</v>
      </c>
      <c r="F65" s="146">
        <f>F3*D65</f>
        <v>15240.060960000003</v>
      </c>
      <c r="G65" s="146">
        <f>G3*D65</f>
        <v>20377.160159999999</v>
      </c>
      <c r="H65" s="146">
        <f>H3*D65</f>
        <v>17123.664000000001</v>
      </c>
      <c r="I65" s="146">
        <f>I3*D65</f>
        <v>15753.770880000002</v>
      </c>
      <c r="J65" s="146">
        <f>J3*D65</f>
        <v>15240.060960000003</v>
      </c>
      <c r="K65" s="146">
        <f>K3*D65</f>
        <v>14897.587680000002</v>
      </c>
      <c r="L65" s="146">
        <f>L3*D65</f>
        <v>16781.190720000002</v>
      </c>
      <c r="M65" s="146">
        <f>M3*D65</f>
        <v>15753.770880000002</v>
      </c>
      <c r="N65" s="146">
        <f>N3*D65</f>
        <v>16267.480800000001</v>
      </c>
      <c r="O65" s="146">
        <f>O3*D65</f>
        <v>16952.427360000001</v>
      </c>
      <c r="P65" s="147">
        <f>P3*D65</f>
        <v>21404.58</v>
      </c>
    </row>
    <row r="66" spans="1:162" s="108" customFormat="1" x14ac:dyDescent="0.35">
      <c r="A66" s="406" t="s">
        <v>252</v>
      </c>
      <c r="B66" s="403" t="s">
        <v>437</v>
      </c>
      <c r="C66" s="148">
        <f t="shared" si="3"/>
        <v>5587010.1172699137</v>
      </c>
      <c r="D66" s="149">
        <f t="shared" si="1"/>
        <v>0.27189518343688562</v>
      </c>
      <c r="E66" s="150">
        <f>E5-E6</f>
        <v>559967.23142415995</v>
      </c>
      <c r="F66" s="150">
        <f>F5-F6</f>
        <v>400987.64032214123</v>
      </c>
      <c r="G66" s="150">
        <f>G5-G6</f>
        <v>590783.82438040897</v>
      </c>
      <c r="H66" s="150">
        <f>H5-H6</f>
        <v>458279.82622622617</v>
      </c>
      <c r="I66" s="150">
        <f>I5-I6</f>
        <v>411750.28556812805</v>
      </c>
      <c r="J66" s="150">
        <f>J5-J6</f>
        <v>391359.21228054131</v>
      </c>
      <c r="K66" s="150">
        <f>K5-K6</f>
        <v>378026.62282321678</v>
      </c>
      <c r="L66" s="150">
        <f>L5-L6</f>
        <v>465604.8378441016</v>
      </c>
      <c r="M66" s="150">
        <f>M5-M6</f>
        <v>405564.06701292802</v>
      </c>
      <c r="N66" s="150">
        <f>N5-N6</f>
        <v>435095.27397091489</v>
      </c>
      <c r="O66" s="150">
        <f>O5-O6</f>
        <v>459884.96963436389</v>
      </c>
      <c r="P66" s="151">
        <f>P5-P6</f>
        <v>629706.32578278263</v>
      </c>
      <c r="Q66" s="107"/>
    </row>
    <row r="67" spans="1:162" s="112" customFormat="1" ht="21" x14ac:dyDescent="0.35">
      <c r="A67" s="102" t="s">
        <v>202</v>
      </c>
      <c r="B67" s="404" t="s">
        <v>438</v>
      </c>
      <c r="C67" s="486">
        <f>P67</f>
        <v>5587010.1172699137</v>
      </c>
      <c r="D67" s="487"/>
      <c r="E67" s="152">
        <f>E66</f>
        <v>559967.23142415995</v>
      </c>
      <c r="F67" s="152">
        <f t="shared" ref="F67:P67" si="6">E67+F66</f>
        <v>960954.87174630119</v>
      </c>
      <c r="G67" s="152">
        <f t="shared" si="6"/>
        <v>1551738.6961267102</v>
      </c>
      <c r="H67" s="152">
        <f t="shared" si="6"/>
        <v>2010018.5223529362</v>
      </c>
      <c r="I67" s="152">
        <f t="shared" si="6"/>
        <v>2421768.8079210641</v>
      </c>
      <c r="J67" s="152">
        <f t="shared" si="6"/>
        <v>2813128.0202016053</v>
      </c>
      <c r="K67" s="152">
        <f t="shared" si="6"/>
        <v>3191154.6430248222</v>
      </c>
      <c r="L67" s="152">
        <f t="shared" si="6"/>
        <v>3656759.4808689239</v>
      </c>
      <c r="M67" s="152">
        <f t="shared" si="6"/>
        <v>4062323.5478818519</v>
      </c>
      <c r="N67" s="152">
        <f t="shared" si="6"/>
        <v>4497418.8218527669</v>
      </c>
      <c r="O67" s="152">
        <f t="shared" si="6"/>
        <v>4957303.7914871313</v>
      </c>
      <c r="P67" s="153">
        <f t="shared" si="6"/>
        <v>5587010.1172699137</v>
      </c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O67" s="108"/>
      <c r="AP67" s="108"/>
      <c r="AQ67" s="108"/>
      <c r="AR67" s="108"/>
      <c r="AS67" s="108"/>
      <c r="AT67" s="108"/>
      <c r="AU67" s="108"/>
      <c r="AV67" s="108"/>
      <c r="AW67" s="108"/>
      <c r="AX67" s="108"/>
      <c r="AY67" s="108"/>
      <c r="AZ67" s="108"/>
      <c r="BA67" s="108"/>
      <c r="BB67" s="108"/>
      <c r="BC67" s="108"/>
      <c r="BD67" s="108"/>
      <c r="BE67" s="108"/>
      <c r="BF67" s="108"/>
      <c r="BG67" s="108"/>
      <c r="BH67" s="108"/>
      <c r="BI67" s="108"/>
      <c r="BJ67" s="108"/>
      <c r="BK67" s="108"/>
      <c r="BL67" s="108"/>
      <c r="BM67" s="108"/>
      <c r="BN67" s="108"/>
      <c r="BO67" s="108"/>
      <c r="BP67" s="108"/>
      <c r="BQ67" s="108"/>
      <c r="BR67" s="108"/>
      <c r="BS67" s="108"/>
      <c r="BT67" s="108"/>
      <c r="BU67" s="108"/>
      <c r="BV67" s="108"/>
      <c r="BW67" s="108"/>
      <c r="BX67" s="108"/>
      <c r="BY67" s="108"/>
      <c r="BZ67" s="108"/>
      <c r="CA67" s="108"/>
      <c r="CB67" s="108"/>
      <c r="CC67" s="108"/>
      <c r="CD67" s="108"/>
      <c r="CE67" s="108"/>
      <c r="CF67" s="108"/>
      <c r="CG67" s="108"/>
      <c r="CH67" s="108"/>
      <c r="CI67" s="108"/>
      <c r="CJ67" s="108"/>
      <c r="CK67" s="108"/>
      <c r="CL67" s="108"/>
      <c r="CM67" s="108"/>
      <c r="CN67" s="108"/>
      <c r="CO67" s="108"/>
      <c r="CP67" s="108"/>
      <c r="CQ67" s="108"/>
      <c r="CR67" s="108"/>
      <c r="CS67" s="108"/>
      <c r="CT67" s="108"/>
      <c r="CU67" s="108"/>
      <c r="CV67" s="108"/>
      <c r="CW67" s="108"/>
      <c r="CX67" s="108"/>
      <c r="CY67" s="108"/>
      <c r="CZ67" s="108"/>
      <c r="DA67" s="108"/>
      <c r="DB67" s="108"/>
      <c r="DC67" s="108"/>
      <c r="DD67" s="108"/>
      <c r="DE67" s="108"/>
      <c r="DF67" s="108"/>
      <c r="DG67" s="108"/>
      <c r="DH67" s="108"/>
      <c r="DI67" s="108"/>
      <c r="DJ67" s="108"/>
      <c r="DK67" s="108"/>
      <c r="DL67" s="108"/>
      <c r="DM67" s="108"/>
      <c r="DN67" s="108"/>
      <c r="DO67" s="108"/>
      <c r="DP67" s="108"/>
      <c r="DQ67" s="108"/>
      <c r="DR67" s="108"/>
      <c r="DS67" s="108"/>
      <c r="DT67" s="108"/>
      <c r="DU67" s="108"/>
      <c r="DV67" s="108"/>
      <c r="DW67" s="108"/>
      <c r="DX67" s="108"/>
      <c r="DY67" s="108"/>
      <c r="DZ67" s="108"/>
      <c r="EA67" s="108"/>
      <c r="EB67" s="108"/>
      <c r="EC67" s="108"/>
      <c r="ED67" s="108"/>
      <c r="EE67" s="108"/>
      <c r="EF67" s="108"/>
      <c r="EG67" s="108"/>
      <c r="EH67" s="108"/>
      <c r="EI67" s="108"/>
      <c r="EJ67" s="108"/>
      <c r="EK67" s="108"/>
      <c r="EL67" s="108"/>
      <c r="EM67" s="108"/>
      <c r="EN67" s="108"/>
      <c r="EO67" s="108"/>
      <c r="EP67" s="108"/>
      <c r="EQ67" s="108"/>
      <c r="ER67" s="108"/>
      <c r="ES67" s="108"/>
      <c r="ET67" s="108"/>
      <c r="EU67" s="108"/>
      <c r="EV67" s="108"/>
      <c r="EW67" s="108"/>
      <c r="EX67" s="108"/>
      <c r="EY67" s="108"/>
      <c r="EZ67" s="108"/>
      <c r="FA67" s="108"/>
      <c r="FB67" s="108"/>
      <c r="FC67" s="108"/>
      <c r="FD67" s="108"/>
      <c r="FE67" s="108"/>
      <c r="FF67" s="108"/>
    </row>
    <row r="68" spans="1:162" s="112" customFormat="1" ht="11" thickBot="1" x14ac:dyDescent="0.4">
      <c r="A68" s="154" t="s">
        <v>203</v>
      </c>
      <c r="B68" s="405" t="s">
        <v>439</v>
      </c>
      <c r="C68" s="476">
        <f>C66/C3</f>
        <v>0.27189518343688562</v>
      </c>
      <c r="D68" s="477"/>
      <c r="E68" s="155">
        <f>IF(E3=0,0,E66/E3)</f>
        <v>0.28435971841386076</v>
      </c>
      <c r="F68" s="155">
        <f>IF(F3=0,0,F66/F3)</f>
        <v>0.26311419709842238</v>
      </c>
      <c r="G68" s="155">
        <f>IF(G3=0,0,G66/G3)</f>
        <v>0.28992451339716463</v>
      </c>
      <c r="H68" s="155">
        <f>IF(H3=0,0,H66/H3)</f>
        <v>0.26762953666121114</v>
      </c>
      <c r="I68" s="155">
        <f>IF(I3=0,0,I66/I3)</f>
        <v>0.26136617620284192</v>
      </c>
      <c r="J68" s="155">
        <f>IF(J3=0,0,J66/J3)</f>
        <v>0.25679635620075714</v>
      </c>
      <c r="K68" s="155">
        <f>IF(K3=0,0,K66/K3)</f>
        <v>0.25375022516613022</v>
      </c>
      <c r="L68" s="155">
        <f>IF(L3=0,0,L66/L3)</f>
        <v>0.27745637697162262</v>
      </c>
      <c r="M68" s="155">
        <f>IF(M3=0,0,M66/M3)</f>
        <v>0.25743935855243816</v>
      </c>
      <c r="N68" s="155">
        <f>IF(N3=0,0,N66/N3)</f>
        <v>0.26746321653621674</v>
      </c>
      <c r="O68" s="155">
        <f>IF(O3=0,0,O66/O3)</f>
        <v>0.27127971697993097</v>
      </c>
      <c r="P68" s="156">
        <f>IF(P3=0,0,P66/P3)</f>
        <v>0.29419232976436943</v>
      </c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108"/>
      <c r="AQ68" s="108"/>
      <c r="AR68" s="108"/>
      <c r="AS68" s="108"/>
      <c r="AT68" s="108"/>
      <c r="AU68" s="108"/>
      <c r="AV68" s="108"/>
      <c r="AW68" s="108"/>
      <c r="AX68" s="108"/>
      <c r="AY68" s="108"/>
      <c r="AZ68" s="108"/>
      <c r="BA68" s="108"/>
      <c r="BB68" s="108"/>
      <c r="BC68" s="108"/>
      <c r="BD68" s="108"/>
      <c r="BE68" s="108"/>
      <c r="BF68" s="108"/>
      <c r="BG68" s="108"/>
      <c r="BH68" s="108"/>
      <c r="BI68" s="108"/>
      <c r="BJ68" s="108"/>
      <c r="BK68" s="108"/>
      <c r="BL68" s="108"/>
      <c r="BM68" s="108"/>
      <c r="BN68" s="108"/>
      <c r="BO68" s="108"/>
      <c r="BP68" s="108"/>
      <c r="BQ68" s="108"/>
      <c r="BR68" s="108"/>
      <c r="BS68" s="108"/>
      <c r="BT68" s="108"/>
      <c r="BU68" s="108"/>
      <c r="BV68" s="108"/>
      <c r="BW68" s="108"/>
      <c r="BX68" s="108"/>
      <c r="BY68" s="108"/>
      <c r="BZ68" s="108"/>
      <c r="CA68" s="108"/>
      <c r="CB68" s="108"/>
      <c r="CC68" s="108"/>
      <c r="CD68" s="108"/>
      <c r="CE68" s="108"/>
      <c r="CF68" s="108"/>
      <c r="CG68" s="108"/>
      <c r="CH68" s="108"/>
      <c r="CI68" s="108"/>
      <c r="CJ68" s="108"/>
      <c r="CK68" s="108"/>
      <c r="CL68" s="108"/>
      <c r="CM68" s="108"/>
      <c r="CN68" s="108"/>
      <c r="CO68" s="108"/>
      <c r="CP68" s="108"/>
      <c r="CQ68" s="108"/>
      <c r="CR68" s="108"/>
      <c r="CS68" s="108"/>
      <c r="CT68" s="108"/>
      <c r="CU68" s="108"/>
      <c r="CV68" s="108"/>
      <c r="CW68" s="108"/>
      <c r="CX68" s="108"/>
      <c r="CY68" s="108"/>
      <c r="CZ68" s="108"/>
      <c r="DA68" s="108"/>
      <c r="DB68" s="108"/>
      <c r="DC68" s="108"/>
      <c r="DD68" s="108"/>
      <c r="DE68" s="108"/>
      <c r="DF68" s="108"/>
      <c r="DG68" s="108"/>
      <c r="DH68" s="108"/>
      <c r="DI68" s="108"/>
      <c r="DJ68" s="108"/>
      <c r="DK68" s="108"/>
      <c r="DL68" s="108"/>
      <c r="DM68" s="108"/>
      <c r="DN68" s="108"/>
      <c r="DO68" s="108"/>
      <c r="DP68" s="108"/>
      <c r="DQ68" s="108"/>
      <c r="DR68" s="108"/>
      <c r="DS68" s="108"/>
      <c r="DT68" s="108"/>
      <c r="DU68" s="108"/>
      <c r="DV68" s="108"/>
      <c r="DW68" s="108"/>
      <c r="DX68" s="108"/>
      <c r="DY68" s="108"/>
      <c r="DZ68" s="108"/>
      <c r="EA68" s="108"/>
      <c r="EB68" s="108"/>
      <c r="EC68" s="108"/>
      <c r="ED68" s="108"/>
      <c r="EE68" s="108"/>
      <c r="EF68" s="108"/>
      <c r="EG68" s="108"/>
      <c r="EH68" s="108"/>
      <c r="EI68" s="108"/>
      <c r="EJ68" s="108"/>
      <c r="EK68" s="108"/>
      <c r="EL68" s="108"/>
      <c r="EM68" s="108"/>
      <c r="EN68" s="108"/>
      <c r="EO68" s="108"/>
      <c r="EP68" s="108"/>
      <c r="EQ68" s="108"/>
      <c r="ER68" s="108"/>
      <c r="ES68" s="108"/>
      <c r="ET68" s="108"/>
      <c r="EU68" s="108"/>
      <c r="EV68" s="108"/>
      <c r="EW68" s="108"/>
      <c r="EX68" s="108"/>
      <c r="EY68" s="108"/>
      <c r="EZ68" s="108"/>
      <c r="FA68" s="108"/>
      <c r="FB68" s="108"/>
      <c r="FC68" s="108"/>
      <c r="FD68" s="108"/>
      <c r="FE68" s="108"/>
      <c r="FF68" s="108"/>
    </row>
    <row r="69" spans="1:162" s="112" customFormat="1" ht="11" thickBot="1" x14ac:dyDescent="0.4">
      <c r="A69" s="418" t="s">
        <v>204</v>
      </c>
      <c r="B69" s="392" t="s">
        <v>440</v>
      </c>
      <c r="C69" s="425"/>
      <c r="D69" s="425"/>
      <c r="E69" s="402">
        <f>'Год 3'!P69+'Год 4'!E66</f>
        <v>13854785.520535676</v>
      </c>
      <c r="F69" s="423">
        <f t="shared" ref="F69:P69" si="7">E69+F66</f>
        <v>14255773.160857817</v>
      </c>
      <c r="G69" s="423">
        <f t="shared" si="7"/>
        <v>14846556.985238226</v>
      </c>
      <c r="H69" s="423">
        <f t="shared" si="7"/>
        <v>15304836.811464453</v>
      </c>
      <c r="I69" s="423">
        <f t="shared" si="7"/>
        <v>15716587.097032581</v>
      </c>
      <c r="J69" s="423">
        <f t="shared" si="7"/>
        <v>16107946.309313122</v>
      </c>
      <c r="K69" s="423">
        <f t="shared" si="7"/>
        <v>16485972.932136338</v>
      </c>
      <c r="L69" s="423">
        <f t="shared" si="7"/>
        <v>16951577.769980438</v>
      </c>
      <c r="M69" s="423">
        <f t="shared" si="7"/>
        <v>17357141.836993366</v>
      </c>
      <c r="N69" s="423">
        <f t="shared" si="7"/>
        <v>17792237.11096428</v>
      </c>
      <c r="O69" s="423">
        <f t="shared" si="7"/>
        <v>18252122.080598645</v>
      </c>
      <c r="P69" s="424">
        <f t="shared" si="7"/>
        <v>18881828.406381428</v>
      </c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  <c r="AC69" s="108"/>
      <c r="AD69" s="108"/>
      <c r="AE69" s="108"/>
      <c r="AF69" s="108"/>
      <c r="AG69" s="108"/>
      <c r="AH69" s="108"/>
      <c r="AI69" s="108"/>
      <c r="AJ69" s="108"/>
      <c r="AK69" s="108"/>
      <c r="AL69" s="108"/>
      <c r="AM69" s="108"/>
      <c r="AN69" s="108"/>
      <c r="AO69" s="108"/>
      <c r="AP69" s="108"/>
      <c r="AQ69" s="108"/>
      <c r="AR69" s="108"/>
      <c r="AS69" s="108"/>
      <c r="AT69" s="108"/>
      <c r="AU69" s="108"/>
      <c r="AV69" s="108"/>
      <c r="AW69" s="108"/>
      <c r="AX69" s="108"/>
      <c r="AY69" s="108"/>
      <c r="AZ69" s="108"/>
      <c r="BA69" s="108"/>
      <c r="BB69" s="108"/>
      <c r="BC69" s="108"/>
      <c r="BD69" s="108"/>
      <c r="BE69" s="108"/>
      <c r="BF69" s="108"/>
      <c r="BG69" s="108"/>
      <c r="BH69" s="108"/>
      <c r="BI69" s="108"/>
      <c r="BJ69" s="108"/>
      <c r="BK69" s="108"/>
      <c r="BL69" s="108"/>
      <c r="BM69" s="108"/>
      <c r="BN69" s="108"/>
      <c r="BO69" s="108"/>
      <c r="BP69" s="108"/>
      <c r="BQ69" s="108"/>
      <c r="BR69" s="108"/>
      <c r="BS69" s="108"/>
      <c r="BT69" s="108"/>
      <c r="BU69" s="108"/>
      <c r="BV69" s="108"/>
      <c r="BW69" s="108"/>
      <c r="BX69" s="108"/>
      <c r="BY69" s="108"/>
      <c r="BZ69" s="108"/>
      <c r="CA69" s="108"/>
      <c r="CB69" s="108"/>
      <c r="CC69" s="108"/>
      <c r="CD69" s="108"/>
      <c r="CE69" s="108"/>
      <c r="CF69" s="108"/>
      <c r="CG69" s="108"/>
      <c r="CH69" s="108"/>
      <c r="CI69" s="108"/>
      <c r="CJ69" s="108"/>
      <c r="CK69" s="108"/>
      <c r="CL69" s="108"/>
      <c r="CM69" s="108"/>
      <c r="CN69" s="108"/>
      <c r="CO69" s="108"/>
      <c r="CP69" s="108"/>
      <c r="CQ69" s="108"/>
      <c r="CR69" s="108"/>
      <c r="CS69" s="108"/>
      <c r="CT69" s="108"/>
      <c r="CU69" s="108"/>
      <c r="CV69" s="108"/>
      <c r="CW69" s="108"/>
      <c r="CX69" s="108"/>
      <c r="CY69" s="108"/>
      <c r="CZ69" s="108"/>
      <c r="DA69" s="108"/>
      <c r="DB69" s="108"/>
      <c r="DC69" s="108"/>
      <c r="DD69" s="108"/>
      <c r="DE69" s="108"/>
      <c r="DF69" s="108"/>
      <c r="DG69" s="108"/>
      <c r="DH69" s="108"/>
      <c r="DI69" s="108"/>
      <c r="DJ69" s="108"/>
      <c r="DK69" s="108"/>
      <c r="DL69" s="108"/>
      <c r="DM69" s="108"/>
      <c r="DN69" s="108"/>
      <c r="DO69" s="108"/>
      <c r="DP69" s="108"/>
      <c r="DQ69" s="108"/>
      <c r="DR69" s="108"/>
      <c r="DS69" s="108"/>
      <c r="DT69" s="108"/>
      <c r="DU69" s="108"/>
      <c r="DV69" s="108"/>
      <c r="DW69" s="108"/>
      <c r="DX69" s="108"/>
      <c r="DY69" s="108"/>
      <c r="DZ69" s="108"/>
      <c r="EA69" s="108"/>
      <c r="EB69" s="108"/>
      <c r="EC69" s="108"/>
      <c r="ED69" s="108"/>
      <c r="EE69" s="108"/>
      <c r="EF69" s="108"/>
      <c r="EG69" s="108"/>
      <c r="EH69" s="108"/>
      <c r="EI69" s="108"/>
      <c r="EJ69" s="108"/>
      <c r="EK69" s="108"/>
      <c r="EL69" s="108"/>
      <c r="EM69" s="108"/>
      <c r="EN69" s="108"/>
      <c r="EO69" s="108"/>
      <c r="EP69" s="108"/>
      <c r="EQ69" s="108"/>
      <c r="ER69" s="108"/>
      <c r="ES69" s="108"/>
      <c r="ET69" s="108"/>
      <c r="EU69" s="108"/>
      <c r="EV69" s="108"/>
      <c r="EW69" s="108"/>
      <c r="EX69" s="108"/>
      <c r="EY69" s="108"/>
      <c r="EZ69" s="108"/>
      <c r="FA69" s="108"/>
      <c r="FB69" s="108"/>
      <c r="FC69" s="108"/>
      <c r="FD69" s="108"/>
      <c r="FE69" s="108"/>
      <c r="FF69" s="108"/>
    </row>
    <row r="71" spans="1:162" ht="15" thickBot="1" x14ac:dyDescent="0.4">
      <c r="A71" s="157" t="s">
        <v>209</v>
      </c>
    </row>
    <row r="72" spans="1:162" ht="15" thickBot="1" x14ac:dyDescent="0.4">
      <c r="A72" s="92" t="s">
        <v>61</v>
      </c>
      <c r="B72" s="85" t="s">
        <v>128</v>
      </c>
      <c r="C72" s="478" t="s">
        <v>129</v>
      </c>
      <c r="D72" s="479"/>
      <c r="E72" s="86" t="s">
        <v>130</v>
      </c>
      <c r="F72" s="86" t="s">
        <v>131</v>
      </c>
      <c r="G72" s="86" t="s">
        <v>132</v>
      </c>
      <c r="H72" s="86" t="s">
        <v>133</v>
      </c>
      <c r="I72" s="86" t="s">
        <v>134</v>
      </c>
      <c r="J72" s="86" t="s">
        <v>135</v>
      </c>
      <c r="K72" s="86" t="s">
        <v>136</v>
      </c>
      <c r="L72" s="86" t="s">
        <v>137</v>
      </c>
      <c r="M72" s="86" t="s">
        <v>138</v>
      </c>
      <c r="N72" s="86" t="s">
        <v>139</v>
      </c>
      <c r="O72" s="86" t="s">
        <v>140</v>
      </c>
      <c r="P72" s="87" t="s">
        <v>141</v>
      </c>
    </row>
    <row r="73" spans="1:162" x14ac:dyDescent="0.35">
      <c r="A73" s="159" t="s">
        <v>205</v>
      </c>
      <c r="B73" s="160" t="s">
        <v>441</v>
      </c>
      <c r="C73" s="480">
        <f>SUM(E73:P73)</f>
        <v>20548396.800000001</v>
      </c>
      <c r="D73" s="481"/>
      <c r="E73" s="161">
        <f>E3</f>
        <v>1969221.36</v>
      </c>
      <c r="F73" s="161">
        <f>F3</f>
        <v>1524006.0960000001</v>
      </c>
      <c r="G73" s="161">
        <f>G3</f>
        <v>2037716.0160000001</v>
      </c>
      <c r="H73" s="161">
        <f>H3</f>
        <v>1712366.4000000001</v>
      </c>
      <c r="I73" s="161">
        <f>I3</f>
        <v>1575377.0880000002</v>
      </c>
      <c r="J73" s="161">
        <f>J3</f>
        <v>1524006.0960000001</v>
      </c>
      <c r="K73" s="161">
        <f>K3</f>
        <v>1489758.7680000002</v>
      </c>
      <c r="L73" s="161">
        <f>L3</f>
        <v>1678119.0720000002</v>
      </c>
      <c r="M73" s="161">
        <f>M3</f>
        <v>1575377.0880000002</v>
      </c>
      <c r="N73" s="161">
        <f>N3</f>
        <v>1626748.08</v>
      </c>
      <c r="O73" s="161">
        <f>O3</f>
        <v>1695242.736</v>
      </c>
      <c r="P73" s="162">
        <f>P3</f>
        <v>2140458</v>
      </c>
    </row>
    <row r="74" spans="1:162" x14ac:dyDescent="0.35">
      <c r="A74" s="126" t="s">
        <v>206</v>
      </c>
      <c r="B74" s="163" t="s">
        <v>493</v>
      </c>
      <c r="C74" s="465">
        <f t="shared" ref="C74:C76" si="8">SUM(E74:P74)</f>
        <v>8895694.2971252892</v>
      </c>
      <c r="D74" s="466"/>
      <c r="E74" s="164">
        <f>E4</f>
        <v>852504.03680784011</v>
      </c>
      <c r="F74" s="164">
        <f>F4</f>
        <v>659763.99370345881</v>
      </c>
      <c r="G74" s="164">
        <f>G4</f>
        <v>882156.35113159101</v>
      </c>
      <c r="H74" s="164">
        <f>H4</f>
        <v>741307.85809377395</v>
      </c>
      <c r="I74" s="164">
        <f>I4</f>
        <v>682003.22944627213</v>
      </c>
      <c r="J74" s="164">
        <f>J4</f>
        <v>659763.99370345881</v>
      </c>
      <c r="K74" s="164">
        <f>K4</f>
        <v>644937.83654158341</v>
      </c>
      <c r="L74" s="164">
        <f>L4</f>
        <v>726481.70093189855</v>
      </c>
      <c r="M74" s="164">
        <f>M4</f>
        <v>682003.22944627213</v>
      </c>
      <c r="N74" s="164">
        <f>N4</f>
        <v>704242.46518908523</v>
      </c>
      <c r="O74" s="164">
        <f>O4</f>
        <v>733894.77951283625</v>
      </c>
      <c r="P74" s="165">
        <f>P4</f>
        <v>926634.82261721743</v>
      </c>
    </row>
    <row r="75" spans="1:162" x14ac:dyDescent="0.35">
      <c r="A75" s="166" t="s">
        <v>207</v>
      </c>
      <c r="B75" s="160" t="s">
        <v>442</v>
      </c>
      <c r="C75" s="469">
        <f t="shared" si="8"/>
        <v>6065692.3856047988</v>
      </c>
      <c r="D75" s="470"/>
      <c r="E75" s="161">
        <f>E6</f>
        <v>556750.09176800016</v>
      </c>
      <c r="F75" s="161">
        <f>F6</f>
        <v>463254.4619744001</v>
      </c>
      <c r="G75" s="161">
        <f>G6</f>
        <v>564775.84048800007</v>
      </c>
      <c r="H75" s="161">
        <f>H6</f>
        <v>512778.71568000002</v>
      </c>
      <c r="I75" s="161">
        <f>I6</f>
        <v>481623.57298560004</v>
      </c>
      <c r="J75" s="161">
        <f>J6</f>
        <v>472882.89001600002</v>
      </c>
      <c r="K75" s="161">
        <f>K6</f>
        <v>466794.30863519997</v>
      </c>
      <c r="L75" s="161">
        <f>L6</f>
        <v>486032.53322400001</v>
      </c>
      <c r="M75" s="161">
        <f>M6</f>
        <v>487809.79154080007</v>
      </c>
      <c r="N75" s="161">
        <f>N6</f>
        <v>487410.34083999996</v>
      </c>
      <c r="O75" s="161">
        <f>O6</f>
        <v>501462.98685279989</v>
      </c>
      <c r="P75" s="162">
        <f>P6</f>
        <v>584116.85159999994</v>
      </c>
    </row>
    <row r="76" spans="1:162" x14ac:dyDescent="0.35">
      <c r="A76" s="126" t="s">
        <v>208</v>
      </c>
      <c r="B76" s="167" t="s">
        <v>443</v>
      </c>
      <c r="C76" s="465">
        <f t="shared" si="8"/>
        <v>5587010.1172699137</v>
      </c>
      <c r="D76" s="466"/>
      <c r="E76" s="164">
        <f>E73-E74-E75</f>
        <v>559967.23142415995</v>
      </c>
      <c r="F76" s="164">
        <f t="shared" ref="F76:P76" si="9">F73-F74-F75</f>
        <v>400987.64032214123</v>
      </c>
      <c r="G76" s="164">
        <f t="shared" si="9"/>
        <v>590783.82438040897</v>
      </c>
      <c r="H76" s="164">
        <f t="shared" si="9"/>
        <v>458279.82622622617</v>
      </c>
      <c r="I76" s="164">
        <f t="shared" si="9"/>
        <v>411750.28556812805</v>
      </c>
      <c r="J76" s="164">
        <f t="shared" si="9"/>
        <v>391359.21228054131</v>
      </c>
      <c r="K76" s="164">
        <f t="shared" si="9"/>
        <v>378026.62282321678</v>
      </c>
      <c r="L76" s="164">
        <f t="shared" si="9"/>
        <v>465604.8378441016</v>
      </c>
      <c r="M76" s="164">
        <f t="shared" si="9"/>
        <v>405564.06701292802</v>
      </c>
      <c r="N76" s="164">
        <f t="shared" si="9"/>
        <v>435095.27397091489</v>
      </c>
      <c r="O76" s="164">
        <f t="shared" si="9"/>
        <v>459884.96963436389</v>
      </c>
      <c r="P76" s="165">
        <f t="shared" si="9"/>
        <v>629706.32578278263</v>
      </c>
    </row>
    <row r="77" spans="1:162" s="421" customFormat="1" ht="15" thickBot="1" x14ac:dyDescent="0.4">
      <c r="A77" s="168" t="s">
        <v>397</v>
      </c>
      <c r="B77" s="169" t="s">
        <v>444</v>
      </c>
      <c r="C77" s="467">
        <f>P77</f>
        <v>5587010.1172699137</v>
      </c>
      <c r="D77" s="468"/>
      <c r="E77" s="170">
        <f>E76</f>
        <v>559967.23142415995</v>
      </c>
      <c r="F77" s="170">
        <f>E77+F76</f>
        <v>960954.87174630119</v>
      </c>
      <c r="G77" s="170">
        <f t="shared" ref="G77:P77" si="10">F77+G76</f>
        <v>1551738.6961267102</v>
      </c>
      <c r="H77" s="170">
        <f t="shared" si="10"/>
        <v>2010018.5223529362</v>
      </c>
      <c r="I77" s="170">
        <f t="shared" si="10"/>
        <v>2421768.8079210641</v>
      </c>
      <c r="J77" s="170">
        <f t="shared" si="10"/>
        <v>2813128.0202016053</v>
      </c>
      <c r="K77" s="170">
        <f t="shared" si="10"/>
        <v>3191154.6430248222</v>
      </c>
      <c r="L77" s="170">
        <f t="shared" si="10"/>
        <v>3656759.4808689239</v>
      </c>
      <c r="M77" s="170">
        <f t="shared" si="10"/>
        <v>4062323.5478818519</v>
      </c>
      <c r="N77" s="170">
        <f t="shared" si="10"/>
        <v>4497418.8218527669</v>
      </c>
      <c r="O77" s="170">
        <f t="shared" si="10"/>
        <v>4957303.7914871313</v>
      </c>
      <c r="P77" s="171">
        <f t="shared" si="10"/>
        <v>5587010.1172699137</v>
      </c>
    </row>
  </sheetData>
  <mergeCells count="9">
    <mergeCell ref="C75:D75"/>
    <mergeCell ref="C76:D76"/>
    <mergeCell ref="C77:D77"/>
    <mergeCell ref="A1:P1"/>
    <mergeCell ref="C67:D67"/>
    <mergeCell ref="C68:D68"/>
    <mergeCell ref="C72:D72"/>
    <mergeCell ref="C73:D73"/>
    <mergeCell ref="C74:D74"/>
  </mergeCells>
  <phoneticPr fontId="17" type="noConversion"/>
  <pageMargins left="0.7" right="0.7" top="0.75" bottom="0.75" header="0.3" footer="0.3"/>
  <pageSetup paperSize="9" orientation="portrait" r:id="rId1"/>
  <ignoredErrors>
    <ignoredError sqref="A10:A26 A70:B72 A68 A67 A66 A69 A73:A77 A64:A65 A27:A39 A43:A59" numberStoredAsText="1"/>
    <ignoredError sqref="D4" formula="1"/>
    <ignoredError sqref="E58:P58" formulaRange="1"/>
    <ignoredError sqref="A40:A42" twoDigitTextYear="1" numberStoredAsText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F77"/>
  <sheetViews>
    <sheetView workbookViewId="0">
      <selection activeCell="A10" sqref="A10:XFD11"/>
    </sheetView>
  </sheetViews>
  <sheetFormatPr defaultColWidth="9.1796875" defaultRowHeight="14.5" outlineLevelRow="1" x14ac:dyDescent="0.35"/>
  <cols>
    <col min="1" max="1" width="4.453125" style="172" customWidth="1"/>
    <col min="2" max="2" width="39.453125" style="88" customWidth="1"/>
    <col min="3" max="3" width="9.7265625" style="158" customWidth="1"/>
    <col min="4" max="4" width="7.7265625" style="158" customWidth="1"/>
    <col min="5" max="16" width="8.7265625" style="88" customWidth="1"/>
    <col min="17" max="17" width="8.7265625" style="421" customWidth="1"/>
    <col min="18" max="256" width="9.1796875" style="88"/>
    <col min="257" max="257" width="3.7265625" style="88" customWidth="1"/>
    <col min="258" max="258" width="45.7265625" style="88" customWidth="1"/>
    <col min="259" max="259" width="9.7265625" style="88" customWidth="1"/>
    <col min="260" max="260" width="7.7265625" style="88" customWidth="1"/>
    <col min="261" max="273" width="8.7265625" style="88" customWidth="1"/>
    <col min="274" max="512" width="9.1796875" style="88"/>
    <col min="513" max="513" width="3.7265625" style="88" customWidth="1"/>
    <col min="514" max="514" width="45.7265625" style="88" customWidth="1"/>
    <col min="515" max="515" width="9.7265625" style="88" customWidth="1"/>
    <col min="516" max="516" width="7.7265625" style="88" customWidth="1"/>
    <col min="517" max="529" width="8.7265625" style="88" customWidth="1"/>
    <col min="530" max="768" width="9.1796875" style="88"/>
    <col min="769" max="769" width="3.7265625" style="88" customWidth="1"/>
    <col min="770" max="770" width="45.7265625" style="88" customWidth="1"/>
    <col min="771" max="771" width="9.7265625" style="88" customWidth="1"/>
    <col min="772" max="772" width="7.7265625" style="88" customWidth="1"/>
    <col min="773" max="785" width="8.7265625" style="88" customWidth="1"/>
    <col min="786" max="1024" width="9.1796875" style="88"/>
    <col min="1025" max="1025" width="3.7265625" style="88" customWidth="1"/>
    <col min="1026" max="1026" width="45.7265625" style="88" customWidth="1"/>
    <col min="1027" max="1027" width="9.7265625" style="88" customWidth="1"/>
    <col min="1028" max="1028" width="7.7265625" style="88" customWidth="1"/>
    <col min="1029" max="1041" width="8.7265625" style="88" customWidth="1"/>
    <col min="1042" max="1280" width="9.1796875" style="88"/>
    <col min="1281" max="1281" width="3.7265625" style="88" customWidth="1"/>
    <col min="1282" max="1282" width="45.7265625" style="88" customWidth="1"/>
    <col min="1283" max="1283" width="9.7265625" style="88" customWidth="1"/>
    <col min="1284" max="1284" width="7.7265625" style="88" customWidth="1"/>
    <col min="1285" max="1297" width="8.7265625" style="88" customWidth="1"/>
    <col min="1298" max="1536" width="9.1796875" style="88"/>
    <col min="1537" max="1537" width="3.7265625" style="88" customWidth="1"/>
    <col min="1538" max="1538" width="45.7265625" style="88" customWidth="1"/>
    <col min="1539" max="1539" width="9.7265625" style="88" customWidth="1"/>
    <col min="1540" max="1540" width="7.7265625" style="88" customWidth="1"/>
    <col min="1541" max="1553" width="8.7265625" style="88" customWidth="1"/>
    <col min="1554" max="1792" width="9.1796875" style="88"/>
    <col min="1793" max="1793" width="3.7265625" style="88" customWidth="1"/>
    <col min="1794" max="1794" width="45.7265625" style="88" customWidth="1"/>
    <col min="1795" max="1795" width="9.7265625" style="88" customWidth="1"/>
    <col min="1796" max="1796" width="7.7265625" style="88" customWidth="1"/>
    <col min="1797" max="1809" width="8.7265625" style="88" customWidth="1"/>
    <col min="1810" max="2048" width="9.1796875" style="88"/>
    <col min="2049" max="2049" width="3.7265625" style="88" customWidth="1"/>
    <col min="2050" max="2050" width="45.7265625" style="88" customWidth="1"/>
    <col min="2051" max="2051" width="9.7265625" style="88" customWidth="1"/>
    <col min="2052" max="2052" width="7.7265625" style="88" customWidth="1"/>
    <col min="2053" max="2065" width="8.7265625" style="88" customWidth="1"/>
    <col min="2066" max="2304" width="9.1796875" style="88"/>
    <col min="2305" max="2305" width="3.7265625" style="88" customWidth="1"/>
    <col min="2306" max="2306" width="45.7265625" style="88" customWidth="1"/>
    <col min="2307" max="2307" width="9.7265625" style="88" customWidth="1"/>
    <col min="2308" max="2308" width="7.7265625" style="88" customWidth="1"/>
    <col min="2309" max="2321" width="8.7265625" style="88" customWidth="1"/>
    <col min="2322" max="2560" width="9.1796875" style="88"/>
    <col min="2561" max="2561" width="3.7265625" style="88" customWidth="1"/>
    <col min="2562" max="2562" width="45.7265625" style="88" customWidth="1"/>
    <col min="2563" max="2563" width="9.7265625" style="88" customWidth="1"/>
    <col min="2564" max="2564" width="7.7265625" style="88" customWidth="1"/>
    <col min="2565" max="2577" width="8.7265625" style="88" customWidth="1"/>
    <col min="2578" max="2816" width="9.1796875" style="88"/>
    <col min="2817" max="2817" width="3.7265625" style="88" customWidth="1"/>
    <col min="2818" max="2818" width="45.7265625" style="88" customWidth="1"/>
    <col min="2819" max="2819" width="9.7265625" style="88" customWidth="1"/>
    <col min="2820" max="2820" width="7.7265625" style="88" customWidth="1"/>
    <col min="2821" max="2833" width="8.7265625" style="88" customWidth="1"/>
    <col min="2834" max="3072" width="9.1796875" style="88"/>
    <col min="3073" max="3073" width="3.7265625" style="88" customWidth="1"/>
    <col min="3074" max="3074" width="45.7265625" style="88" customWidth="1"/>
    <col min="3075" max="3075" width="9.7265625" style="88" customWidth="1"/>
    <col min="3076" max="3076" width="7.7265625" style="88" customWidth="1"/>
    <col min="3077" max="3089" width="8.7265625" style="88" customWidth="1"/>
    <col min="3090" max="3328" width="9.1796875" style="88"/>
    <col min="3329" max="3329" width="3.7265625" style="88" customWidth="1"/>
    <col min="3330" max="3330" width="45.7265625" style="88" customWidth="1"/>
    <col min="3331" max="3331" width="9.7265625" style="88" customWidth="1"/>
    <col min="3332" max="3332" width="7.7265625" style="88" customWidth="1"/>
    <col min="3333" max="3345" width="8.7265625" style="88" customWidth="1"/>
    <col min="3346" max="3584" width="9.1796875" style="88"/>
    <col min="3585" max="3585" width="3.7265625" style="88" customWidth="1"/>
    <col min="3586" max="3586" width="45.7265625" style="88" customWidth="1"/>
    <col min="3587" max="3587" width="9.7265625" style="88" customWidth="1"/>
    <col min="3588" max="3588" width="7.7265625" style="88" customWidth="1"/>
    <col min="3589" max="3601" width="8.7265625" style="88" customWidth="1"/>
    <col min="3602" max="3840" width="9.1796875" style="88"/>
    <col min="3841" max="3841" width="3.7265625" style="88" customWidth="1"/>
    <col min="3842" max="3842" width="45.7265625" style="88" customWidth="1"/>
    <col min="3843" max="3843" width="9.7265625" style="88" customWidth="1"/>
    <col min="3844" max="3844" width="7.7265625" style="88" customWidth="1"/>
    <col min="3845" max="3857" width="8.7265625" style="88" customWidth="1"/>
    <col min="3858" max="4096" width="9.1796875" style="88"/>
    <col min="4097" max="4097" width="3.7265625" style="88" customWidth="1"/>
    <col min="4098" max="4098" width="45.7265625" style="88" customWidth="1"/>
    <col min="4099" max="4099" width="9.7265625" style="88" customWidth="1"/>
    <col min="4100" max="4100" width="7.7265625" style="88" customWidth="1"/>
    <col min="4101" max="4113" width="8.7265625" style="88" customWidth="1"/>
    <col min="4114" max="4352" width="9.1796875" style="88"/>
    <col min="4353" max="4353" width="3.7265625" style="88" customWidth="1"/>
    <col min="4354" max="4354" width="45.7265625" style="88" customWidth="1"/>
    <col min="4355" max="4355" width="9.7265625" style="88" customWidth="1"/>
    <col min="4356" max="4356" width="7.7265625" style="88" customWidth="1"/>
    <col min="4357" max="4369" width="8.7265625" style="88" customWidth="1"/>
    <col min="4370" max="4608" width="9.1796875" style="88"/>
    <col min="4609" max="4609" width="3.7265625" style="88" customWidth="1"/>
    <col min="4610" max="4610" width="45.7265625" style="88" customWidth="1"/>
    <col min="4611" max="4611" width="9.7265625" style="88" customWidth="1"/>
    <col min="4612" max="4612" width="7.7265625" style="88" customWidth="1"/>
    <col min="4613" max="4625" width="8.7265625" style="88" customWidth="1"/>
    <col min="4626" max="4864" width="9.1796875" style="88"/>
    <col min="4865" max="4865" width="3.7265625" style="88" customWidth="1"/>
    <col min="4866" max="4866" width="45.7265625" style="88" customWidth="1"/>
    <col min="4867" max="4867" width="9.7265625" style="88" customWidth="1"/>
    <col min="4868" max="4868" width="7.7265625" style="88" customWidth="1"/>
    <col min="4869" max="4881" width="8.7265625" style="88" customWidth="1"/>
    <col min="4882" max="5120" width="9.1796875" style="88"/>
    <col min="5121" max="5121" width="3.7265625" style="88" customWidth="1"/>
    <col min="5122" max="5122" width="45.7265625" style="88" customWidth="1"/>
    <col min="5123" max="5123" width="9.7265625" style="88" customWidth="1"/>
    <col min="5124" max="5124" width="7.7265625" style="88" customWidth="1"/>
    <col min="5125" max="5137" width="8.7265625" style="88" customWidth="1"/>
    <col min="5138" max="5376" width="9.1796875" style="88"/>
    <col min="5377" max="5377" width="3.7265625" style="88" customWidth="1"/>
    <col min="5378" max="5378" width="45.7265625" style="88" customWidth="1"/>
    <col min="5379" max="5379" width="9.7265625" style="88" customWidth="1"/>
    <col min="5380" max="5380" width="7.7265625" style="88" customWidth="1"/>
    <col min="5381" max="5393" width="8.7265625" style="88" customWidth="1"/>
    <col min="5394" max="5632" width="9.1796875" style="88"/>
    <col min="5633" max="5633" width="3.7265625" style="88" customWidth="1"/>
    <col min="5634" max="5634" width="45.7265625" style="88" customWidth="1"/>
    <col min="5635" max="5635" width="9.7265625" style="88" customWidth="1"/>
    <col min="5636" max="5636" width="7.7265625" style="88" customWidth="1"/>
    <col min="5637" max="5649" width="8.7265625" style="88" customWidth="1"/>
    <col min="5650" max="5888" width="9.1796875" style="88"/>
    <col min="5889" max="5889" width="3.7265625" style="88" customWidth="1"/>
    <col min="5890" max="5890" width="45.7265625" style="88" customWidth="1"/>
    <col min="5891" max="5891" width="9.7265625" style="88" customWidth="1"/>
    <col min="5892" max="5892" width="7.7265625" style="88" customWidth="1"/>
    <col min="5893" max="5905" width="8.7265625" style="88" customWidth="1"/>
    <col min="5906" max="6144" width="9.1796875" style="88"/>
    <col min="6145" max="6145" width="3.7265625" style="88" customWidth="1"/>
    <col min="6146" max="6146" width="45.7265625" style="88" customWidth="1"/>
    <col min="6147" max="6147" width="9.7265625" style="88" customWidth="1"/>
    <col min="6148" max="6148" width="7.7265625" style="88" customWidth="1"/>
    <col min="6149" max="6161" width="8.7265625" style="88" customWidth="1"/>
    <col min="6162" max="6400" width="9.1796875" style="88"/>
    <col min="6401" max="6401" width="3.7265625" style="88" customWidth="1"/>
    <col min="6402" max="6402" width="45.7265625" style="88" customWidth="1"/>
    <col min="6403" max="6403" width="9.7265625" style="88" customWidth="1"/>
    <col min="6404" max="6404" width="7.7265625" style="88" customWidth="1"/>
    <col min="6405" max="6417" width="8.7265625" style="88" customWidth="1"/>
    <col min="6418" max="6656" width="9.1796875" style="88"/>
    <col min="6657" max="6657" width="3.7265625" style="88" customWidth="1"/>
    <col min="6658" max="6658" width="45.7265625" style="88" customWidth="1"/>
    <col min="6659" max="6659" width="9.7265625" style="88" customWidth="1"/>
    <col min="6660" max="6660" width="7.7265625" style="88" customWidth="1"/>
    <col min="6661" max="6673" width="8.7265625" style="88" customWidth="1"/>
    <col min="6674" max="6912" width="9.1796875" style="88"/>
    <col min="6913" max="6913" width="3.7265625" style="88" customWidth="1"/>
    <col min="6914" max="6914" width="45.7265625" style="88" customWidth="1"/>
    <col min="6915" max="6915" width="9.7265625" style="88" customWidth="1"/>
    <col min="6916" max="6916" width="7.7265625" style="88" customWidth="1"/>
    <col min="6917" max="6929" width="8.7265625" style="88" customWidth="1"/>
    <col min="6930" max="7168" width="9.1796875" style="88"/>
    <col min="7169" max="7169" width="3.7265625" style="88" customWidth="1"/>
    <col min="7170" max="7170" width="45.7265625" style="88" customWidth="1"/>
    <col min="7171" max="7171" width="9.7265625" style="88" customWidth="1"/>
    <col min="7172" max="7172" width="7.7265625" style="88" customWidth="1"/>
    <col min="7173" max="7185" width="8.7265625" style="88" customWidth="1"/>
    <col min="7186" max="7424" width="9.1796875" style="88"/>
    <col min="7425" max="7425" width="3.7265625" style="88" customWidth="1"/>
    <col min="7426" max="7426" width="45.7265625" style="88" customWidth="1"/>
    <col min="7427" max="7427" width="9.7265625" style="88" customWidth="1"/>
    <col min="7428" max="7428" width="7.7265625" style="88" customWidth="1"/>
    <col min="7429" max="7441" width="8.7265625" style="88" customWidth="1"/>
    <col min="7442" max="7680" width="9.1796875" style="88"/>
    <col min="7681" max="7681" width="3.7265625" style="88" customWidth="1"/>
    <col min="7682" max="7682" width="45.7265625" style="88" customWidth="1"/>
    <col min="7683" max="7683" width="9.7265625" style="88" customWidth="1"/>
    <col min="7684" max="7684" width="7.7265625" style="88" customWidth="1"/>
    <col min="7685" max="7697" width="8.7265625" style="88" customWidth="1"/>
    <col min="7698" max="7936" width="9.1796875" style="88"/>
    <col min="7937" max="7937" width="3.7265625" style="88" customWidth="1"/>
    <col min="7938" max="7938" width="45.7265625" style="88" customWidth="1"/>
    <col min="7939" max="7939" width="9.7265625" style="88" customWidth="1"/>
    <col min="7940" max="7940" width="7.7265625" style="88" customWidth="1"/>
    <col min="7941" max="7953" width="8.7265625" style="88" customWidth="1"/>
    <col min="7954" max="8192" width="9.1796875" style="88"/>
    <col min="8193" max="8193" width="3.7265625" style="88" customWidth="1"/>
    <col min="8194" max="8194" width="45.7265625" style="88" customWidth="1"/>
    <col min="8195" max="8195" width="9.7265625" style="88" customWidth="1"/>
    <col min="8196" max="8196" width="7.7265625" style="88" customWidth="1"/>
    <col min="8197" max="8209" width="8.7265625" style="88" customWidth="1"/>
    <col min="8210" max="8448" width="9.1796875" style="88"/>
    <col min="8449" max="8449" width="3.7265625" style="88" customWidth="1"/>
    <col min="8450" max="8450" width="45.7265625" style="88" customWidth="1"/>
    <col min="8451" max="8451" width="9.7265625" style="88" customWidth="1"/>
    <col min="8452" max="8452" width="7.7265625" style="88" customWidth="1"/>
    <col min="8453" max="8465" width="8.7265625" style="88" customWidth="1"/>
    <col min="8466" max="8704" width="9.1796875" style="88"/>
    <col min="8705" max="8705" width="3.7265625" style="88" customWidth="1"/>
    <col min="8706" max="8706" width="45.7265625" style="88" customWidth="1"/>
    <col min="8707" max="8707" width="9.7265625" style="88" customWidth="1"/>
    <col min="8708" max="8708" width="7.7265625" style="88" customWidth="1"/>
    <col min="8709" max="8721" width="8.7265625" style="88" customWidth="1"/>
    <col min="8722" max="8960" width="9.1796875" style="88"/>
    <col min="8961" max="8961" width="3.7265625" style="88" customWidth="1"/>
    <col min="8962" max="8962" width="45.7265625" style="88" customWidth="1"/>
    <col min="8963" max="8963" width="9.7265625" style="88" customWidth="1"/>
    <col min="8964" max="8964" width="7.7265625" style="88" customWidth="1"/>
    <col min="8965" max="8977" width="8.7265625" style="88" customWidth="1"/>
    <col min="8978" max="9216" width="9.1796875" style="88"/>
    <col min="9217" max="9217" width="3.7265625" style="88" customWidth="1"/>
    <col min="9218" max="9218" width="45.7265625" style="88" customWidth="1"/>
    <col min="9219" max="9219" width="9.7265625" style="88" customWidth="1"/>
    <col min="9220" max="9220" width="7.7265625" style="88" customWidth="1"/>
    <col min="9221" max="9233" width="8.7265625" style="88" customWidth="1"/>
    <col min="9234" max="9472" width="9.1796875" style="88"/>
    <col min="9473" max="9473" width="3.7265625" style="88" customWidth="1"/>
    <col min="9474" max="9474" width="45.7265625" style="88" customWidth="1"/>
    <col min="9475" max="9475" width="9.7265625" style="88" customWidth="1"/>
    <col min="9476" max="9476" width="7.7265625" style="88" customWidth="1"/>
    <col min="9477" max="9489" width="8.7265625" style="88" customWidth="1"/>
    <col min="9490" max="9728" width="9.1796875" style="88"/>
    <col min="9729" max="9729" width="3.7265625" style="88" customWidth="1"/>
    <col min="9730" max="9730" width="45.7265625" style="88" customWidth="1"/>
    <col min="9731" max="9731" width="9.7265625" style="88" customWidth="1"/>
    <col min="9732" max="9732" width="7.7265625" style="88" customWidth="1"/>
    <col min="9733" max="9745" width="8.7265625" style="88" customWidth="1"/>
    <col min="9746" max="9984" width="9.1796875" style="88"/>
    <col min="9985" max="9985" width="3.7265625" style="88" customWidth="1"/>
    <col min="9986" max="9986" width="45.7265625" style="88" customWidth="1"/>
    <col min="9987" max="9987" width="9.7265625" style="88" customWidth="1"/>
    <col min="9988" max="9988" width="7.7265625" style="88" customWidth="1"/>
    <col min="9989" max="10001" width="8.7265625" style="88" customWidth="1"/>
    <col min="10002" max="10240" width="9.1796875" style="88"/>
    <col min="10241" max="10241" width="3.7265625" style="88" customWidth="1"/>
    <col min="10242" max="10242" width="45.7265625" style="88" customWidth="1"/>
    <col min="10243" max="10243" width="9.7265625" style="88" customWidth="1"/>
    <col min="10244" max="10244" width="7.7265625" style="88" customWidth="1"/>
    <col min="10245" max="10257" width="8.7265625" style="88" customWidth="1"/>
    <col min="10258" max="10496" width="9.1796875" style="88"/>
    <col min="10497" max="10497" width="3.7265625" style="88" customWidth="1"/>
    <col min="10498" max="10498" width="45.7265625" style="88" customWidth="1"/>
    <col min="10499" max="10499" width="9.7265625" style="88" customWidth="1"/>
    <col min="10500" max="10500" width="7.7265625" style="88" customWidth="1"/>
    <col min="10501" max="10513" width="8.7265625" style="88" customWidth="1"/>
    <col min="10514" max="10752" width="9.1796875" style="88"/>
    <col min="10753" max="10753" width="3.7265625" style="88" customWidth="1"/>
    <col min="10754" max="10754" width="45.7265625" style="88" customWidth="1"/>
    <col min="10755" max="10755" width="9.7265625" style="88" customWidth="1"/>
    <col min="10756" max="10756" width="7.7265625" style="88" customWidth="1"/>
    <col min="10757" max="10769" width="8.7265625" style="88" customWidth="1"/>
    <col min="10770" max="11008" width="9.1796875" style="88"/>
    <col min="11009" max="11009" width="3.7265625" style="88" customWidth="1"/>
    <col min="11010" max="11010" width="45.7265625" style="88" customWidth="1"/>
    <col min="11011" max="11011" width="9.7265625" style="88" customWidth="1"/>
    <col min="11012" max="11012" width="7.7265625" style="88" customWidth="1"/>
    <col min="11013" max="11025" width="8.7265625" style="88" customWidth="1"/>
    <col min="11026" max="11264" width="9.1796875" style="88"/>
    <col min="11265" max="11265" width="3.7265625" style="88" customWidth="1"/>
    <col min="11266" max="11266" width="45.7265625" style="88" customWidth="1"/>
    <col min="11267" max="11267" width="9.7265625" style="88" customWidth="1"/>
    <col min="11268" max="11268" width="7.7265625" style="88" customWidth="1"/>
    <col min="11269" max="11281" width="8.7265625" style="88" customWidth="1"/>
    <col min="11282" max="11520" width="9.1796875" style="88"/>
    <col min="11521" max="11521" width="3.7265625" style="88" customWidth="1"/>
    <col min="11522" max="11522" width="45.7265625" style="88" customWidth="1"/>
    <col min="11523" max="11523" width="9.7265625" style="88" customWidth="1"/>
    <col min="11524" max="11524" width="7.7265625" style="88" customWidth="1"/>
    <col min="11525" max="11537" width="8.7265625" style="88" customWidth="1"/>
    <col min="11538" max="11776" width="9.1796875" style="88"/>
    <col min="11777" max="11777" width="3.7265625" style="88" customWidth="1"/>
    <col min="11778" max="11778" width="45.7265625" style="88" customWidth="1"/>
    <col min="11779" max="11779" width="9.7265625" style="88" customWidth="1"/>
    <col min="11780" max="11780" width="7.7265625" style="88" customWidth="1"/>
    <col min="11781" max="11793" width="8.7265625" style="88" customWidth="1"/>
    <col min="11794" max="12032" width="9.1796875" style="88"/>
    <col min="12033" max="12033" width="3.7265625" style="88" customWidth="1"/>
    <col min="12034" max="12034" width="45.7265625" style="88" customWidth="1"/>
    <col min="12035" max="12035" width="9.7265625" style="88" customWidth="1"/>
    <col min="12036" max="12036" width="7.7265625" style="88" customWidth="1"/>
    <col min="12037" max="12049" width="8.7265625" style="88" customWidth="1"/>
    <col min="12050" max="12288" width="9.1796875" style="88"/>
    <col min="12289" max="12289" width="3.7265625" style="88" customWidth="1"/>
    <col min="12290" max="12290" width="45.7265625" style="88" customWidth="1"/>
    <col min="12291" max="12291" width="9.7265625" style="88" customWidth="1"/>
    <col min="12292" max="12292" width="7.7265625" style="88" customWidth="1"/>
    <col min="12293" max="12305" width="8.7265625" style="88" customWidth="1"/>
    <col min="12306" max="12544" width="9.1796875" style="88"/>
    <col min="12545" max="12545" width="3.7265625" style="88" customWidth="1"/>
    <col min="12546" max="12546" width="45.7265625" style="88" customWidth="1"/>
    <col min="12547" max="12547" width="9.7265625" style="88" customWidth="1"/>
    <col min="12548" max="12548" width="7.7265625" style="88" customWidth="1"/>
    <col min="12549" max="12561" width="8.7265625" style="88" customWidth="1"/>
    <col min="12562" max="12800" width="9.1796875" style="88"/>
    <col min="12801" max="12801" width="3.7265625" style="88" customWidth="1"/>
    <col min="12802" max="12802" width="45.7265625" style="88" customWidth="1"/>
    <col min="12803" max="12803" width="9.7265625" style="88" customWidth="1"/>
    <col min="12804" max="12804" width="7.7265625" style="88" customWidth="1"/>
    <col min="12805" max="12817" width="8.7265625" style="88" customWidth="1"/>
    <col min="12818" max="13056" width="9.1796875" style="88"/>
    <col min="13057" max="13057" width="3.7265625" style="88" customWidth="1"/>
    <col min="13058" max="13058" width="45.7265625" style="88" customWidth="1"/>
    <col min="13059" max="13059" width="9.7265625" style="88" customWidth="1"/>
    <col min="13060" max="13060" width="7.7265625" style="88" customWidth="1"/>
    <col min="13061" max="13073" width="8.7265625" style="88" customWidth="1"/>
    <col min="13074" max="13312" width="9.1796875" style="88"/>
    <col min="13313" max="13313" width="3.7265625" style="88" customWidth="1"/>
    <col min="13314" max="13314" width="45.7265625" style="88" customWidth="1"/>
    <col min="13315" max="13315" width="9.7265625" style="88" customWidth="1"/>
    <col min="13316" max="13316" width="7.7265625" style="88" customWidth="1"/>
    <col min="13317" max="13329" width="8.7265625" style="88" customWidth="1"/>
    <col min="13330" max="13568" width="9.1796875" style="88"/>
    <col min="13569" max="13569" width="3.7265625" style="88" customWidth="1"/>
    <col min="13570" max="13570" width="45.7265625" style="88" customWidth="1"/>
    <col min="13571" max="13571" width="9.7265625" style="88" customWidth="1"/>
    <col min="13572" max="13572" width="7.7265625" style="88" customWidth="1"/>
    <col min="13573" max="13585" width="8.7265625" style="88" customWidth="1"/>
    <col min="13586" max="13824" width="9.1796875" style="88"/>
    <col min="13825" max="13825" width="3.7265625" style="88" customWidth="1"/>
    <col min="13826" max="13826" width="45.7265625" style="88" customWidth="1"/>
    <col min="13827" max="13827" width="9.7265625" style="88" customWidth="1"/>
    <col min="13828" max="13828" width="7.7265625" style="88" customWidth="1"/>
    <col min="13829" max="13841" width="8.7265625" style="88" customWidth="1"/>
    <col min="13842" max="14080" width="9.1796875" style="88"/>
    <col min="14081" max="14081" width="3.7265625" style="88" customWidth="1"/>
    <col min="14082" max="14082" width="45.7265625" style="88" customWidth="1"/>
    <col min="14083" max="14083" width="9.7265625" style="88" customWidth="1"/>
    <col min="14084" max="14084" width="7.7265625" style="88" customWidth="1"/>
    <col min="14085" max="14097" width="8.7265625" style="88" customWidth="1"/>
    <col min="14098" max="14336" width="9.1796875" style="88"/>
    <col min="14337" max="14337" width="3.7265625" style="88" customWidth="1"/>
    <col min="14338" max="14338" width="45.7265625" style="88" customWidth="1"/>
    <col min="14339" max="14339" width="9.7265625" style="88" customWidth="1"/>
    <col min="14340" max="14340" width="7.7265625" style="88" customWidth="1"/>
    <col min="14341" max="14353" width="8.7265625" style="88" customWidth="1"/>
    <col min="14354" max="14592" width="9.1796875" style="88"/>
    <col min="14593" max="14593" width="3.7265625" style="88" customWidth="1"/>
    <col min="14594" max="14594" width="45.7265625" style="88" customWidth="1"/>
    <col min="14595" max="14595" width="9.7265625" style="88" customWidth="1"/>
    <col min="14596" max="14596" width="7.7265625" style="88" customWidth="1"/>
    <col min="14597" max="14609" width="8.7265625" style="88" customWidth="1"/>
    <col min="14610" max="14848" width="9.1796875" style="88"/>
    <col min="14849" max="14849" width="3.7265625" style="88" customWidth="1"/>
    <col min="14850" max="14850" width="45.7265625" style="88" customWidth="1"/>
    <col min="14851" max="14851" width="9.7265625" style="88" customWidth="1"/>
    <col min="14852" max="14852" width="7.7265625" style="88" customWidth="1"/>
    <col min="14853" max="14865" width="8.7265625" style="88" customWidth="1"/>
    <col min="14866" max="15104" width="9.1796875" style="88"/>
    <col min="15105" max="15105" width="3.7265625" style="88" customWidth="1"/>
    <col min="15106" max="15106" width="45.7265625" style="88" customWidth="1"/>
    <col min="15107" max="15107" width="9.7265625" style="88" customWidth="1"/>
    <col min="15108" max="15108" width="7.7265625" style="88" customWidth="1"/>
    <col min="15109" max="15121" width="8.7265625" style="88" customWidth="1"/>
    <col min="15122" max="15360" width="9.1796875" style="88"/>
    <col min="15361" max="15361" width="3.7265625" style="88" customWidth="1"/>
    <col min="15362" max="15362" width="45.7265625" style="88" customWidth="1"/>
    <col min="15363" max="15363" width="9.7265625" style="88" customWidth="1"/>
    <col min="15364" max="15364" width="7.7265625" style="88" customWidth="1"/>
    <col min="15365" max="15377" width="8.7265625" style="88" customWidth="1"/>
    <col min="15378" max="15616" width="9.1796875" style="88"/>
    <col min="15617" max="15617" width="3.7265625" style="88" customWidth="1"/>
    <col min="15618" max="15618" width="45.7265625" style="88" customWidth="1"/>
    <col min="15619" max="15619" width="9.7265625" style="88" customWidth="1"/>
    <col min="15620" max="15620" width="7.7265625" style="88" customWidth="1"/>
    <col min="15621" max="15633" width="8.7265625" style="88" customWidth="1"/>
    <col min="15634" max="15872" width="9.1796875" style="88"/>
    <col min="15873" max="15873" width="3.7265625" style="88" customWidth="1"/>
    <col min="15874" max="15874" width="45.7265625" style="88" customWidth="1"/>
    <col min="15875" max="15875" width="9.7265625" style="88" customWidth="1"/>
    <col min="15876" max="15876" width="7.7265625" style="88" customWidth="1"/>
    <col min="15877" max="15889" width="8.7265625" style="88" customWidth="1"/>
    <col min="15890" max="16128" width="9.1796875" style="88"/>
    <col min="16129" max="16129" width="3.7265625" style="88" customWidth="1"/>
    <col min="16130" max="16130" width="45.7265625" style="88" customWidth="1"/>
    <col min="16131" max="16131" width="9.7265625" style="88" customWidth="1"/>
    <col min="16132" max="16132" width="7.7265625" style="88" customWidth="1"/>
    <col min="16133" max="16145" width="8.7265625" style="88" customWidth="1"/>
    <col min="16146" max="16384" width="9.1796875" style="88"/>
  </cols>
  <sheetData>
    <row r="1" spans="1:162" s="101" customFormat="1" ht="16" thickBot="1" x14ac:dyDescent="0.4">
      <c r="A1" s="471" t="s">
        <v>498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3"/>
      <c r="Q1" s="100">
        <v>1</v>
      </c>
    </row>
    <row r="2" spans="1:162" ht="10.5" thickBot="1" x14ac:dyDescent="0.4">
      <c r="A2" s="92" t="s">
        <v>61</v>
      </c>
      <c r="B2" s="85" t="s">
        <v>128</v>
      </c>
      <c r="C2" s="86" t="s">
        <v>445</v>
      </c>
      <c r="D2" s="86" t="s">
        <v>23</v>
      </c>
      <c r="E2" s="86" t="s">
        <v>130</v>
      </c>
      <c r="F2" s="86" t="s">
        <v>131</v>
      </c>
      <c r="G2" s="86" t="s">
        <v>132</v>
      </c>
      <c r="H2" s="86" t="s">
        <v>133</v>
      </c>
      <c r="I2" s="86" t="s">
        <v>134</v>
      </c>
      <c r="J2" s="86" t="s">
        <v>135</v>
      </c>
      <c r="K2" s="86" t="s">
        <v>136</v>
      </c>
      <c r="L2" s="86" t="s">
        <v>137</v>
      </c>
      <c r="M2" s="86" t="s">
        <v>138</v>
      </c>
      <c r="N2" s="86" t="s">
        <v>139</v>
      </c>
      <c r="O2" s="86" t="s">
        <v>140</v>
      </c>
      <c r="P2" s="87" t="s">
        <v>141</v>
      </c>
      <c r="Q2" s="88"/>
    </row>
    <row r="3" spans="1:162" s="108" customFormat="1" x14ac:dyDescent="0.35">
      <c r="A3" s="102">
        <v>1</v>
      </c>
      <c r="B3" s="94" t="s">
        <v>483</v>
      </c>
      <c r="C3" s="103">
        <f t="shared" ref="C3:C8" si="0">SUM(E3:P3)</f>
        <v>21781300.608000007</v>
      </c>
      <c r="D3" s="104">
        <f>C3/C$3</f>
        <v>1</v>
      </c>
      <c r="E3" s="105">
        <f>Операционный!D46*Операционный!D68</f>
        <v>2087374.6416000002</v>
      </c>
      <c r="F3" s="105">
        <f>Операционный!E46*Операционный!E68</f>
        <v>1615446.4617600003</v>
      </c>
      <c r="G3" s="105">
        <f>Операционный!F46*Операционный!F68</f>
        <v>2159978.9769600001</v>
      </c>
      <c r="H3" s="105">
        <f>Операционный!G46*Операционный!G68</f>
        <v>1815108.3840000003</v>
      </c>
      <c r="I3" s="105">
        <f>Операционный!H46*Операционный!H68</f>
        <v>1669899.7132800003</v>
      </c>
      <c r="J3" s="105">
        <f>Операционный!I46*Операционный!I68</f>
        <v>1615446.4617600003</v>
      </c>
      <c r="K3" s="105">
        <f>Операционный!J46*Операционный!J68</f>
        <v>1579144.2940800004</v>
      </c>
      <c r="L3" s="105">
        <f>Операционный!K46*Операционный!K68</f>
        <v>1778806.2163200004</v>
      </c>
      <c r="M3" s="105">
        <f>Операционный!L46*Операционный!L68</f>
        <v>1669899.7132800003</v>
      </c>
      <c r="N3" s="105">
        <f>Операционный!M46*Операционный!M68</f>
        <v>1724352.9648000002</v>
      </c>
      <c r="O3" s="105">
        <f>Операционный!N46*Операционный!N68</f>
        <v>1796957.3001600003</v>
      </c>
      <c r="P3" s="106">
        <f>Операционный!O46*Операционный!O68</f>
        <v>2268885.4800000004</v>
      </c>
      <c r="Q3" s="107"/>
    </row>
    <row r="4" spans="1:162" s="112" customFormat="1" x14ac:dyDescent="0.35">
      <c r="A4" s="102">
        <v>2</v>
      </c>
      <c r="B4" s="95" t="s">
        <v>485</v>
      </c>
      <c r="C4" s="109">
        <f t="shared" si="0"/>
        <v>9429435.9549528081</v>
      </c>
      <c r="D4" s="110">
        <f>'Unit Сoste '!E6</f>
        <v>0.4329142747100001</v>
      </c>
      <c r="E4" s="105">
        <f>E3*D4</f>
        <v>903654.27901631047</v>
      </c>
      <c r="F4" s="105">
        <f>F3*D4</f>
        <v>699349.83332566649</v>
      </c>
      <c r="G4" s="105">
        <f>G3*D4</f>
        <v>935085.73219948646</v>
      </c>
      <c r="H4" s="105">
        <f>H3*D4</f>
        <v>785786.32957940048</v>
      </c>
      <c r="I4" s="105">
        <f>I3*D4</f>
        <v>722923.42321304849</v>
      </c>
      <c r="J4" s="105">
        <f>J3*D4</f>
        <v>699349.83332566649</v>
      </c>
      <c r="K4" s="105">
        <f>K3*D4</f>
        <v>683634.10673407849</v>
      </c>
      <c r="L4" s="105">
        <f>L3*D4</f>
        <v>770070.60298781248</v>
      </c>
      <c r="M4" s="105">
        <f>M3*D4</f>
        <v>722923.42321304849</v>
      </c>
      <c r="N4" s="105">
        <f>N3*D4</f>
        <v>746497.01310043037</v>
      </c>
      <c r="O4" s="105">
        <f>O3*D4</f>
        <v>777928.46628360648</v>
      </c>
      <c r="P4" s="106">
        <f>P3*D4</f>
        <v>982232.91197425069</v>
      </c>
      <c r="Q4" s="111"/>
    </row>
    <row r="5" spans="1:162" s="108" customFormat="1" x14ac:dyDescent="0.35">
      <c r="A5" s="113">
        <v>3</v>
      </c>
      <c r="B5" s="96" t="s">
        <v>484</v>
      </c>
      <c r="C5" s="114">
        <f t="shared" si="0"/>
        <v>12351864.653047197</v>
      </c>
      <c r="D5" s="115">
        <f t="shared" ref="D5:D66" si="1">C5/C$3</f>
        <v>0.56708572528999979</v>
      </c>
      <c r="E5" s="116">
        <f>E3-E4</f>
        <v>1183720.3625836899</v>
      </c>
      <c r="F5" s="116">
        <f t="shared" ref="F5:P5" si="2">F3-F4</f>
        <v>916096.62843433383</v>
      </c>
      <c r="G5" s="116">
        <f t="shared" si="2"/>
        <v>1224893.2447605138</v>
      </c>
      <c r="H5" s="116">
        <f t="shared" si="2"/>
        <v>1029322.0544205998</v>
      </c>
      <c r="I5" s="116">
        <f t="shared" si="2"/>
        <v>946976.29006695177</v>
      </c>
      <c r="J5" s="116">
        <f t="shared" si="2"/>
        <v>916096.62843433383</v>
      </c>
      <c r="K5" s="116">
        <f t="shared" si="2"/>
        <v>895510.18734592188</v>
      </c>
      <c r="L5" s="116">
        <f t="shared" si="2"/>
        <v>1008735.6133321879</v>
      </c>
      <c r="M5" s="116">
        <f t="shared" si="2"/>
        <v>946976.29006695177</v>
      </c>
      <c r="N5" s="116">
        <f t="shared" si="2"/>
        <v>977855.95169956982</v>
      </c>
      <c r="O5" s="116">
        <f t="shared" si="2"/>
        <v>1019028.8338763939</v>
      </c>
      <c r="P5" s="117">
        <f t="shared" si="2"/>
        <v>1286652.5680257496</v>
      </c>
      <c r="Q5" s="107"/>
    </row>
    <row r="6" spans="1:162" s="112" customFormat="1" ht="10.5" x14ac:dyDescent="0.35">
      <c r="A6" s="102">
        <v>4</v>
      </c>
      <c r="B6" s="93" t="s">
        <v>486</v>
      </c>
      <c r="C6" s="118">
        <f t="shared" si="0"/>
        <v>6635033.5677410886</v>
      </c>
      <c r="D6" s="119">
        <f t="shared" si="1"/>
        <v>0.30462063249354915</v>
      </c>
      <c r="E6" s="105">
        <f>SUM(E7,E8,E10,E11,E19,E25,E26,E27,E43,E48,E53,E58,E64,E65)</f>
        <v>604950.26727407996</v>
      </c>
      <c r="F6" s="105">
        <f>SUM(F7,F8,F10,F11,F19,F25,F26,F27,F43,F48,F53,F58,F64,F65)</f>
        <v>512406.61369286396</v>
      </c>
      <c r="G6" s="105">
        <f>SUM(G7,G8,G10,G11,G19,G25,G26,G27,G43,G48,G53,G58,G64,G65)</f>
        <v>620010.21491728013</v>
      </c>
      <c r="H6" s="105">
        <f>SUM(H7,H8,H10,H11,H19,H25,H26,H27,H43,H48,H53,H58,H64,H65)</f>
        <v>564792.64262079995</v>
      </c>
      <c r="I6" s="105">
        <f>SUM(I7,I8,I10,I11,I19,I25,I26,I27,I43,I48,I53,I58,I64,I65)</f>
        <v>531901.57136473607</v>
      </c>
      <c r="J6" s="105">
        <f>SUM(J7,J8,J10,J11,J19,J25,J26,J27,J43,J48,J53,J58,J64,J65)</f>
        <v>522455.66741696</v>
      </c>
      <c r="K6" s="105">
        <f>SUM(K7,K8,K10,K11,K19,K25,K26,K27,K43,K48,K53,K58,K64,K65)</f>
        <v>508753.87531997869</v>
      </c>
      <c r="L6" s="105">
        <f>SUM(L7,L8,L10,L11,L19,L25,L26,L27,L43,L48,L53,L58,L64,L65)</f>
        <v>529203.63338410668</v>
      </c>
      <c r="M6" s="105">
        <f>SUM(M7,M8,M10,M11,M19,M25,M26,M27,M43,M48,M53,M58,M64,M65)</f>
        <v>531012.94719991472</v>
      </c>
      <c r="N6" s="105">
        <f>SUM(N7,N8,N10,N11,N19,N25,N26,N27,N43,N48,N53,N58,N64,N65)</f>
        <v>530729.38945706678</v>
      </c>
      <c r="O6" s="105">
        <f>SUM(O7,O8,O10,O11,O19,O25,O26,O27,O43,O48,O53,O58,O64,O65)</f>
        <v>545573.35423063475</v>
      </c>
      <c r="P6" s="106">
        <f>SUM(P7,P8,P10,P11,P19,P25,P26,P27,P43,P48,P53,P58,P64,P65)</f>
        <v>633243.39086266677</v>
      </c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08"/>
      <c r="ED6" s="108"/>
      <c r="EE6" s="108"/>
      <c r="EF6" s="108"/>
      <c r="EG6" s="108"/>
      <c r="EH6" s="108"/>
      <c r="EI6" s="108"/>
      <c r="EJ6" s="108"/>
      <c r="EK6" s="108"/>
      <c r="EL6" s="108"/>
      <c r="EM6" s="108"/>
      <c r="EN6" s="108"/>
      <c r="EO6" s="108"/>
      <c r="EP6" s="108"/>
      <c r="EQ6" s="108"/>
      <c r="ER6" s="108"/>
      <c r="ES6" s="108"/>
      <c r="ET6" s="108"/>
      <c r="EU6" s="108"/>
      <c r="EV6" s="108"/>
      <c r="EW6" s="108"/>
      <c r="EX6" s="108"/>
      <c r="EY6" s="108"/>
      <c r="EZ6" s="108"/>
      <c r="FA6" s="108"/>
      <c r="FB6" s="108"/>
      <c r="FC6" s="108"/>
      <c r="FD6" s="108"/>
      <c r="FE6" s="108"/>
      <c r="FF6" s="108"/>
    </row>
    <row r="7" spans="1:162" s="125" customFormat="1" ht="10.5" x14ac:dyDescent="0.35">
      <c r="A7" s="120">
        <v>5</v>
      </c>
      <c r="B7" s="89" t="s">
        <v>426</v>
      </c>
      <c r="C7" s="121">
        <f t="shared" si="0"/>
        <v>1325600.8079999995</v>
      </c>
      <c r="D7" s="122">
        <f t="shared" si="1"/>
        <v>6.0859580052493395E-2</v>
      </c>
      <c r="E7" s="123">
        <f>Операционный!D30*Операционный!D68</f>
        <v>110466.734</v>
      </c>
      <c r="F7" s="123">
        <f>Операционный!E30*Операционный!E68</f>
        <v>110466.734</v>
      </c>
      <c r="G7" s="123">
        <f>Операционный!F30*Операционный!F68</f>
        <v>110466.734</v>
      </c>
      <c r="H7" s="123">
        <f>Операционный!G30*Операционный!G68</f>
        <v>110466.734</v>
      </c>
      <c r="I7" s="123">
        <f>Операционный!H30*Операционный!H68</f>
        <v>110466.734</v>
      </c>
      <c r="J7" s="123">
        <f>Операционный!I30*Операционный!I68</f>
        <v>110466.734</v>
      </c>
      <c r="K7" s="123">
        <f>Операционный!J30*Операционный!J68</f>
        <v>110466.734</v>
      </c>
      <c r="L7" s="123">
        <f>Операционный!K30*Операционный!K68</f>
        <v>110466.734</v>
      </c>
      <c r="M7" s="123">
        <f>Операционный!L30*Операционный!L68</f>
        <v>110466.734</v>
      </c>
      <c r="N7" s="123">
        <f>Операционный!M30*Операционный!M68</f>
        <v>110466.734</v>
      </c>
      <c r="O7" s="123">
        <f>Операционный!N30*Операционный!N68</f>
        <v>110466.734</v>
      </c>
      <c r="P7" s="124">
        <f>Операционный!O30*Операционный!O68</f>
        <v>110466.734</v>
      </c>
    </row>
    <row r="8" spans="1:162" s="125" customFormat="1" ht="10.5" x14ac:dyDescent="0.35">
      <c r="A8" s="120">
        <v>6</v>
      </c>
      <c r="B8" s="89" t="s">
        <v>487</v>
      </c>
      <c r="C8" s="121">
        <f t="shared" si="0"/>
        <v>2000329.0000000005</v>
      </c>
      <c r="D8" s="122">
        <f t="shared" si="1"/>
        <v>9.1836986045971195E-2</v>
      </c>
      <c r="E8" s="123">
        <f>SUM(E9:E9)</f>
        <v>170860.75</v>
      </c>
      <c r="F8" s="123">
        <f>SUM(F9:F9)</f>
        <v>170860.75</v>
      </c>
      <c r="G8" s="123">
        <f>SUM(G9:G9)</f>
        <v>170860.75</v>
      </c>
      <c r="H8" s="123">
        <f>SUM(H9:H9)</f>
        <v>170860.75</v>
      </c>
      <c r="I8" s="123">
        <f>SUM(I9:I9)</f>
        <v>170860.75</v>
      </c>
      <c r="J8" s="123">
        <f>SUM(J9:J9)</f>
        <v>170860.75</v>
      </c>
      <c r="K8" s="123">
        <f>SUM(K9:K9)</f>
        <v>162527.41666666666</v>
      </c>
      <c r="L8" s="123">
        <f>SUM(L9:L9)</f>
        <v>162527.41666666666</v>
      </c>
      <c r="M8" s="123">
        <f>SUM(M9:M9)</f>
        <v>162527.41666666666</v>
      </c>
      <c r="N8" s="123">
        <f>SUM(N9:N9)</f>
        <v>162527.41666666666</v>
      </c>
      <c r="O8" s="123">
        <f>SUM(O9:O9)</f>
        <v>162527.41666666666</v>
      </c>
      <c r="P8" s="124">
        <f>SUM(P9:P9)</f>
        <v>162527.41666666666</v>
      </c>
    </row>
    <row r="9" spans="1:162" outlineLevel="1" x14ac:dyDescent="0.35">
      <c r="A9" s="135" t="s">
        <v>210</v>
      </c>
      <c r="B9" s="432" t="s">
        <v>478</v>
      </c>
      <c r="C9" s="428">
        <f>SUM(E9:P9)</f>
        <v>2000329.0000000005</v>
      </c>
      <c r="D9" s="429">
        <f t="shared" si="1"/>
        <v>9.1836986045971195E-2</v>
      </c>
      <c r="E9" s="430">
        <f>Операционный!H50*Операционный!D68+'Штатное расписание'!D6/2</f>
        <v>170860.75</v>
      </c>
      <c r="F9" s="430">
        <f>Операционный!H50*Операционный!E68+'Штатное расписание'!D6/2</f>
        <v>170860.75</v>
      </c>
      <c r="G9" s="430">
        <f>Операционный!H50*Операционный!F68+'Штатное расписание'!D6/2</f>
        <v>170860.75</v>
      </c>
      <c r="H9" s="430">
        <f>Операционный!H50*Операционный!G68+'Штатное расписание'!D6/2</f>
        <v>170860.75</v>
      </c>
      <c r="I9" s="430">
        <f>Операционный!H50*Операционный!H68+'Штатное расписание'!D6/2</f>
        <v>170860.75</v>
      </c>
      <c r="J9" s="430">
        <f>Операционный!H50*Операционный!I68+'Штатное расписание'!D6/2</f>
        <v>170860.75</v>
      </c>
      <c r="K9" s="430">
        <f>Операционный!H50*Операционный!J68+'Штатное расписание'!D6/3</f>
        <v>162527.41666666666</v>
      </c>
      <c r="L9" s="430">
        <f>Операционный!H50*Операционный!K68+'Штатное расписание'!D6/3</f>
        <v>162527.41666666666</v>
      </c>
      <c r="M9" s="430">
        <f>Операционный!H50*Операционный!L68+'Штатное расписание'!D6/3</f>
        <v>162527.41666666666</v>
      </c>
      <c r="N9" s="430">
        <f>Операционный!H50*Операционный!M68+'Штатное расписание'!D6/3</f>
        <v>162527.41666666666</v>
      </c>
      <c r="O9" s="430">
        <f>Операционный!H50*Операционный!N68+'Штатное расписание'!D6/3</f>
        <v>162527.41666666666</v>
      </c>
      <c r="P9" s="431">
        <f>Операционный!H50*Операционный!O68+'Штатное расписание'!D6/3</f>
        <v>162527.41666666666</v>
      </c>
    </row>
    <row r="10" spans="1:162" x14ac:dyDescent="0.35">
      <c r="A10" s="120" t="s">
        <v>212</v>
      </c>
      <c r="B10" s="91" t="s">
        <v>428</v>
      </c>
      <c r="C10" s="127">
        <f t="shared" ref="C10:C66" si="3">SUM(E10:P10)</f>
        <v>46706</v>
      </c>
      <c r="D10" s="128">
        <f t="shared" si="1"/>
        <v>2.1443163950845734E-3</v>
      </c>
      <c r="E10" s="129">
        <f>'Бюджет затрат (ориентир.)'!B21*Операционный!D68</f>
        <v>7803</v>
      </c>
      <c r="F10" s="129">
        <f>'Бюджет затрат (ориентир.)'!C21*Операционный!E68</f>
        <v>2655</v>
      </c>
      <c r="G10" s="129">
        <f>'Бюджет затрат (ориентир.)'!D21*Операционный!F68</f>
        <v>2806</v>
      </c>
      <c r="H10" s="129">
        <f>'Бюджет затрат (ориентир.)'!E21*Операционный!G68</f>
        <v>4483</v>
      </c>
      <c r="I10" s="129">
        <f>'Бюджет затрат (ориентир.)'!F21*Операционный!H68</f>
        <v>2260</v>
      </c>
      <c r="J10" s="129">
        <f>'Бюджет затрат (ориентир.)'!G21*Операционный!I68</f>
        <v>5273</v>
      </c>
      <c r="K10" s="129">
        <f>'Бюджет затрат (ориентир.)'!H21*Операционный!J68</f>
        <v>4573</v>
      </c>
      <c r="L10" s="129">
        <f>'Бюджет затрат (ориентир.)'!I21*Операционный!K68</f>
        <v>3619</v>
      </c>
      <c r="M10" s="129">
        <f>'Бюджет затрат (ориентир.)'!J21*Операционный!L68</f>
        <v>4862</v>
      </c>
      <c r="N10" s="129">
        <f>'Бюджет затрат (ориентир.)'!K21*Операционный!M68</f>
        <v>2531</v>
      </c>
      <c r="O10" s="129">
        <f>'Бюджет затрат (ориентир.)'!L21*Операционный!N68</f>
        <v>3395</v>
      </c>
      <c r="P10" s="130">
        <f>'Бюджет затрат (ориентир.)'!M21*Операционный!O68</f>
        <v>2446</v>
      </c>
    </row>
    <row r="11" spans="1:162" s="125" customFormat="1" x14ac:dyDescent="0.35">
      <c r="A11" s="131" t="s">
        <v>213</v>
      </c>
      <c r="B11" s="91" t="s">
        <v>429</v>
      </c>
      <c r="C11" s="127">
        <f t="shared" si="3"/>
        <v>8652.6216665280008</v>
      </c>
      <c r="D11" s="128">
        <f t="shared" si="1"/>
        <v>3.9724999999999993E-4</v>
      </c>
      <c r="E11" s="132">
        <f>E3*SUM(E12:E18)</f>
        <v>0</v>
      </c>
      <c r="F11" s="132">
        <f>F3*SUM(F12:F18)</f>
        <v>0</v>
      </c>
      <c r="G11" s="132">
        <f>G3*SUM(G12:G18)</f>
        <v>863.9915907840001</v>
      </c>
      <c r="H11" s="132">
        <f>H3*SUM(H12:H18)</f>
        <v>1452.0867072000001</v>
      </c>
      <c r="I11" s="132">
        <f>I3*SUM(I12:I18)</f>
        <v>166.98997132800002</v>
      </c>
      <c r="J11" s="132">
        <f>J3*SUM(J12:J18)</f>
        <v>484.63393852800004</v>
      </c>
      <c r="K11" s="132">
        <f>K3*SUM(K12:K18)</f>
        <v>789.57214704000023</v>
      </c>
      <c r="L11" s="132">
        <f>L3*SUM(L12:L18)</f>
        <v>177.88062163200004</v>
      </c>
      <c r="M11" s="132">
        <f>M3*SUM(M12:M18)</f>
        <v>333.97994265600005</v>
      </c>
      <c r="N11" s="132">
        <f>N3*SUM(N12:N18)</f>
        <v>1207.04707536</v>
      </c>
      <c r="O11" s="132">
        <f>O3*SUM(O12:O18)</f>
        <v>0</v>
      </c>
      <c r="P11" s="133">
        <f>P3*SUM(P12:P18)</f>
        <v>3176.4396720000004</v>
      </c>
      <c r="Q11" s="134"/>
    </row>
    <row r="12" spans="1:162" hidden="1" outlineLevel="1" x14ac:dyDescent="0.35">
      <c r="A12" s="135" t="s">
        <v>214</v>
      </c>
      <c r="B12" s="97" t="s">
        <v>142</v>
      </c>
      <c r="C12" s="127"/>
      <c r="D12" s="128"/>
      <c r="E12" s="136">
        <f>'Бюджет затрат (ориентир.)'!B25</f>
        <v>0</v>
      </c>
      <c r="F12" s="136">
        <f>'Бюджет затрат (ориентир.)'!C25</f>
        <v>0</v>
      </c>
      <c r="G12" s="136">
        <f>'Бюджет затрат (ориентир.)'!D25</f>
        <v>0</v>
      </c>
      <c r="H12" s="136">
        <f>'Бюджет затрат (ориентир.)'!E25</f>
        <v>5.0000000000000001E-4</v>
      </c>
      <c r="I12" s="136">
        <f>'Бюджет затрат (ориентир.)'!F25</f>
        <v>0</v>
      </c>
      <c r="J12" s="136">
        <f>'Бюджет затрат (ориентир.)'!G25</f>
        <v>0</v>
      </c>
      <c r="K12" s="136">
        <f>'Бюджет затрат (ориентир.)'!H25</f>
        <v>0</v>
      </c>
      <c r="L12" s="136">
        <f>'Бюджет затрат (ориентир.)'!I25</f>
        <v>0</v>
      </c>
      <c r="M12" s="136">
        <f>'Бюджет затрат (ориентир.)'!J25</f>
        <v>0</v>
      </c>
      <c r="N12" s="136">
        <f>'Бюджет затрат (ориентир.)'!K25</f>
        <v>0</v>
      </c>
      <c r="O12" s="136">
        <f>'Бюджет затрат (ориентир.)'!L25</f>
        <v>0</v>
      </c>
      <c r="P12" s="137">
        <f>'Бюджет затрат (ориентир.)'!M25</f>
        <v>0</v>
      </c>
    </row>
    <row r="13" spans="1:162" hidden="1" outlineLevel="1" x14ac:dyDescent="0.35">
      <c r="A13" s="135" t="s">
        <v>215</v>
      </c>
      <c r="B13" s="97" t="s">
        <v>143</v>
      </c>
      <c r="C13" s="127"/>
      <c r="D13" s="128"/>
      <c r="E13" s="136">
        <f>'Бюджет затрат (ориентир.)'!B26</f>
        <v>0</v>
      </c>
      <c r="F13" s="136">
        <f>'Бюджет затрат (ориентир.)'!C26</f>
        <v>0</v>
      </c>
      <c r="G13" s="136">
        <f>'Бюджет затрат (ориентир.)'!D26</f>
        <v>4.0000000000000002E-4</v>
      </c>
      <c r="H13" s="136">
        <f>'Бюджет затрат (ориентир.)'!E26</f>
        <v>2.9999999999999997E-4</v>
      </c>
      <c r="I13" s="136">
        <f>'Бюджет затрат (ориентир.)'!F26</f>
        <v>1E-4</v>
      </c>
      <c r="J13" s="136">
        <f>'Бюджет затрат (ориентир.)'!G26</f>
        <v>2.9999999999999997E-4</v>
      </c>
      <c r="K13" s="136">
        <f>'Бюджет затрат (ориентир.)'!H26</f>
        <v>5.0000000000000001E-4</v>
      </c>
      <c r="L13" s="136">
        <f>'Бюджет затрат (ориентир.)'!I26</f>
        <v>1E-4</v>
      </c>
      <c r="M13" s="136">
        <f>'Бюджет затрат (ориентир.)'!J26</f>
        <v>0</v>
      </c>
      <c r="N13" s="136">
        <f>'Бюджет затрат (ориентир.)'!K26</f>
        <v>1E-4</v>
      </c>
      <c r="O13" s="136">
        <f>'Бюджет затрат (ориентир.)'!L26</f>
        <v>0</v>
      </c>
      <c r="P13" s="137">
        <f>'Бюджет затрат (ориентир.)'!M26</f>
        <v>1.4E-3</v>
      </c>
    </row>
    <row r="14" spans="1:162" hidden="1" outlineLevel="1" x14ac:dyDescent="0.35">
      <c r="A14" s="135" t="s">
        <v>216</v>
      </c>
      <c r="B14" s="97" t="s">
        <v>144</v>
      </c>
      <c r="C14" s="127"/>
      <c r="D14" s="128"/>
      <c r="E14" s="136">
        <f>'Бюджет затрат (ориентир.)'!B27</f>
        <v>0</v>
      </c>
      <c r="F14" s="136">
        <f>'Бюджет затрат (ориентир.)'!C27</f>
        <v>0</v>
      </c>
      <c r="G14" s="136">
        <f>'Бюджет затрат (ориентир.)'!D27</f>
        <v>0</v>
      </c>
      <c r="H14" s="136">
        <f>'Бюджет затрат (ориентир.)'!E27</f>
        <v>0</v>
      </c>
      <c r="I14" s="136">
        <f>'Бюджет затрат (ориентир.)'!F27</f>
        <v>0</v>
      </c>
      <c r="J14" s="136">
        <f>'Бюджет затрат (ориентир.)'!G27</f>
        <v>0</v>
      </c>
      <c r="K14" s="136">
        <f>'Бюджет затрат (ориентир.)'!H27</f>
        <v>0</v>
      </c>
      <c r="L14" s="136">
        <f>'Бюджет затрат (ориентир.)'!I27</f>
        <v>0</v>
      </c>
      <c r="M14" s="136">
        <f>'Бюджет затрат (ориентир.)'!J27</f>
        <v>0</v>
      </c>
      <c r="N14" s="136">
        <f>'Бюджет затрат (ориентир.)'!K27</f>
        <v>5.9999999999999995E-4</v>
      </c>
      <c r="O14" s="136">
        <f>'Бюджет затрат (ориентир.)'!L27</f>
        <v>0</v>
      </c>
      <c r="P14" s="137">
        <f>'Бюджет затрат (ориентир.)'!M27</f>
        <v>0</v>
      </c>
    </row>
    <row r="15" spans="1:162" s="421" customFormat="1" hidden="1" outlineLevel="1" x14ac:dyDescent="0.35">
      <c r="A15" s="135" t="s">
        <v>217</v>
      </c>
      <c r="B15" s="97" t="s">
        <v>145</v>
      </c>
      <c r="C15" s="127"/>
      <c r="D15" s="128"/>
      <c r="E15" s="136">
        <f>'Бюджет затрат (ориентир.)'!B28</f>
        <v>0</v>
      </c>
      <c r="F15" s="136">
        <f>'Бюджет затрат (ориентир.)'!C28</f>
        <v>0</v>
      </c>
      <c r="G15" s="136">
        <f>'Бюджет затрат (ориентир.)'!D28</f>
        <v>0</v>
      </c>
      <c r="H15" s="136">
        <f>'Бюджет затрат (ориентир.)'!E28</f>
        <v>0</v>
      </c>
      <c r="I15" s="136">
        <f>'Бюджет затрат (ориентир.)'!F28</f>
        <v>0</v>
      </c>
      <c r="J15" s="136">
        <f>'Бюджет затрат (ориентир.)'!G28</f>
        <v>0</v>
      </c>
      <c r="K15" s="136">
        <f>'Бюджет затрат (ориентир.)'!H28</f>
        <v>0</v>
      </c>
      <c r="L15" s="136">
        <f>'Бюджет затрат (ориентир.)'!I28</f>
        <v>0</v>
      </c>
      <c r="M15" s="136">
        <f>'Бюджет затрат (ориентир.)'!J28</f>
        <v>0</v>
      </c>
      <c r="N15" s="136">
        <f>'Бюджет затрат (ориентир.)'!K28</f>
        <v>0</v>
      </c>
      <c r="O15" s="136">
        <f>'Бюджет затрат (ориентир.)'!L28</f>
        <v>0</v>
      </c>
      <c r="P15" s="137">
        <f>'Бюджет затрат (ориентир.)'!M28</f>
        <v>0</v>
      </c>
    </row>
    <row r="16" spans="1:162" s="421" customFormat="1" hidden="1" outlineLevel="1" x14ac:dyDescent="0.35">
      <c r="A16" s="135" t="s">
        <v>218</v>
      </c>
      <c r="B16" s="97" t="s">
        <v>146</v>
      </c>
      <c r="C16" s="127"/>
      <c r="D16" s="128"/>
      <c r="E16" s="136">
        <f>'Бюджет затрат (ориентир.)'!B29</f>
        <v>0</v>
      </c>
      <c r="F16" s="136">
        <f>'Бюджет затрат (ориентир.)'!C29</f>
        <v>0</v>
      </c>
      <c r="G16" s="136">
        <f>'Бюджет затрат (ориентир.)'!D29</f>
        <v>0</v>
      </c>
      <c r="H16" s="136">
        <f>'Бюджет затрат (ориентир.)'!E29</f>
        <v>0</v>
      </c>
      <c r="I16" s="136">
        <f>'Бюджет затрат (ориентир.)'!F29</f>
        <v>0</v>
      </c>
      <c r="J16" s="136">
        <f>'Бюджет затрат (ориентир.)'!G29</f>
        <v>0</v>
      </c>
      <c r="K16" s="136">
        <f>'Бюджет затрат (ориентир.)'!H29</f>
        <v>0</v>
      </c>
      <c r="L16" s="136">
        <f>'Бюджет затрат (ориентир.)'!I29</f>
        <v>0</v>
      </c>
      <c r="M16" s="136">
        <f>'Бюджет затрат (ориентир.)'!J29</f>
        <v>0</v>
      </c>
      <c r="N16" s="136">
        <f>'Бюджет затрат (ориентир.)'!K29</f>
        <v>0</v>
      </c>
      <c r="O16" s="136">
        <f>'Бюджет затрат (ориентир.)'!L29</f>
        <v>0</v>
      </c>
      <c r="P16" s="137">
        <f>'Бюджет затрат (ориентир.)'!M29</f>
        <v>0</v>
      </c>
    </row>
    <row r="17" spans="1:16" s="421" customFormat="1" hidden="1" outlineLevel="1" x14ac:dyDescent="0.35">
      <c r="A17" s="135" t="s">
        <v>219</v>
      </c>
      <c r="B17" s="97" t="s">
        <v>147</v>
      </c>
      <c r="C17" s="127"/>
      <c r="D17" s="128"/>
      <c r="E17" s="136">
        <f>'Бюджет затрат (ориентир.)'!B30</f>
        <v>0</v>
      </c>
      <c r="F17" s="136">
        <f>'Бюджет затрат (ориентир.)'!C30</f>
        <v>0</v>
      </c>
      <c r="G17" s="136">
        <f>'Бюджет затрат (ориентир.)'!D30</f>
        <v>0</v>
      </c>
      <c r="H17" s="136">
        <f>'Бюджет затрат (ориентир.)'!E30</f>
        <v>0</v>
      </c>
      <c r="I17" s="136">
        <f>'Бюджет затрат (ориентир.)'!F30</f>
        <v>0</v>
      </c>
      <c r="J17" s="136">
        <f>'Бюджет затрат (ориентир.)'!G30</f>
        <v>0</v>
      </c>
      <c r="K17" s="136">
        <f>'Бюджет затрат (ориентир.)'!H30</f>
        <v>0</v>
      </c>
      <c r="L17" s="136">
        <f>'Бюджет затрат (ориентир.)'!I30</f>
        <v>0</v>
      </c>
      <c r="M17" s="136">
        <f>'Бюджет затрат (ориентир.)'!J30</f>
        <v>0</v>
      </c>
      <c r="N17" s="136">
        <f>'Бюджет затрат (ориентир.)'!K30</f>
        <v>0</v>
      </c>
      <c r="O17" s="136">
        <f>'Бюджет затрат (ориентир.)'!L30</f>
        <v>0</v>
      </c>
      <c r="P17" s="137">
        <f>'Бюджет затрат (ориентир.)'!M30</f>
        <v>0</v>
      </c>
    </row>
    <row r="18" spans="1:16" s="421" customFormat="1" hidden="1" outlineLevel="1" x14ac:dyDescent="0.35">
      <c r="A18" s="135" t="s">
        <v>220</v>
      </c>
      <c r="B18" s="138" t="s">
        <v>148</v>
      </c>
      <c r="C18" s="127"/>
      <c r="D18" s="128"/>
      <c r="E18" s="136">
        <f>'Бюджет затрат (ориентир.)'!B31</f>
        <v>0</v>
      </c>
      <c r="F18" s="136">
        <f>'Бюджет затрат (ориентир.)'!C31</f>
        <v>0</v>
      </c>
      <c r="G18" s="136">
        <f>'Бюджет затрат (ориентир.)'!D31</f>
        <v>0</v>
      </c>
      <c r="H18" s="136">
        <f>'Бюджет затрат (ориентир.)'!E31</f>
        <v>0</v>
      </c>
      <c r="I18" s="136">
        <f>'Бюджет затрат (ориентир.)'!F31</f>
        <v>0</v>
      </c>
      <c r="J18" s="136">
        <f>'Бюджет затрат (ориентир.)'!G31</f>
        <v>0</v>
      </c>
      <c r="K18" s="136">
        <f>'Бюджет затрат (ориентир.)'!H31</f>
        <v>0</v>
      </c>
      <c r="L18" s="136">
        <f>'Бюджет затрат (ориентир.)'!I31</f>
        <v>0</v>
      </c>
      <c r="M18" s="136">
        <f>'Бюджет затрат (ориентир.)'!J31</f>
        <v>2.0000000000000001E-4</v>
      </c>
      <c r="N18" s="136">
        <f>'Бюджет затрат (ориентир.)'!K31</f>
        <v>0</v>
      </c>
      <c r="O18" s="136">
        <f>'Бюджет затрат (ориентир.)'!L31</f>
        <v>0</v>
      </c>
      <c r="P18" s="137">
        <f>'Бюджет затрат (ориентир.)'!M31</f>
        <v>0</v>
      </c>
    </row>
    <row r="19" spans="1:16" s="421" customFormat="1" collapsed="1" x14ac:dyDescent="0.35">
      <c r="A19" s="120" t="s">
        <v>211</v>
      </c>
      <c r="B19" s="89" t="s">
        <v>489</v>
      </c>
      <c r="C19" s="127">
        <f t="shared" si="3"/>
        <v>54910.658832768007</v>
      </c>
      <c r="D19" s="128">
        <f t="shared" si="1"/>
        <v>2.5209999999999994E-3</v>
      </c>
      <c r="E19" s="129">
        <f>E3*SUM(E20:E24)</f>
        <v>9601.9233513600011</v>
      </c>
      <c r="F19" s="129">
        <f>F3*SUM(F20:F24)</f>
        <v>4038.6161544000011</v>
      </c>
      <c r="G19" s="129">
        <f>G3*SUM(G20:G24)</f>
        <v>10799.8948848</v>
      </c>
      <c r="H19" s="129">
        <f>H3*SUM(H20:H24)</f>
        <v>6715.9010208000009</v>
      </c>
      <c r="I19" s="129">
        <f>I3*SUM(I20:I24)</f>
        <v>3339.7994265600005</v>
      </c>
      <c r="J19" s="129">
        <f>J3*SUM(J20:J24)</f>
        <v>323.08929235200009</v>
      </c>
      <c r="K19" s="129">
        <f>K3*SUM(K20:K24)</f>
        <v>1737.0587234880002</v>
      </c>
      <c r="L19" s="129">
        <f>L3*SUM(L20:L24)</f>
        <v>1600.9255946880005</v>
      </c>
      <c r="M19" s="129">
        <f>M3*SUM(M20:M24)</f>
        <v>4174.7492832000007</v>
      </c>
      <c r="N19" s="129">
        <f>N3*SUM(N20:N24)</f>
        <v>862.17648240000017</v>
      </c>
      <c r="O19" s="129">
        <f>O3*SUM(O20:O24)</f>
        <v>8086.3078507200025</v>
      </c>
      <c r="P19" s="130">
        <f>P3*SUM(P20:P24)</f>
        <v>3630.2167680000007</v>
      </c>
    </row>
    <row r="20" spans="1:16" s="421" customFormat="1" hidden="1" outlineLevel="1" x14ac:dyDescent="0.35">
      <c r="A20" s="135" t="s">
        <v>221</v>
      </c>
      <c r="B20" s="138" t="s">
        <v>149</v>
      </c>
      <c r="C20" s="127"/>
      <c r="D20" s="128"/>
      <c r="E20" s="139">
        <f>'Бюджет затрат (ориентир.)'!B36</f>
        <v>0</v>
      </c>
      <c r="F20" s="139">
        <f>'Бюджет затрат (ориентир.)'!C36</f>
        <v>1.2999999999999999E-3</v>
      </c>
      <c r="G20" s="139">
        <f>'Бюджет затрат (ориентир.)'!D36</f>
        <v>3.7000000000000002E-3</v>
      </c>
      <c r="H20" s="139">
        <f>'Бюджет затрат (ориентир.)'!E36</f>
        <v>8.0000000000000004E-4</v>
      </c>
      <c r="I20" s="139">
        <f>'Бюджет затрат (ориентир.)'!F36</f>
        <v>4.0000000000000002E-4</v>
      </c>
      <c r="J20" s="139">
        <f>'Бюджет затрат (ориентир.)'!G36</f>
        <v>1E-4</v>
      </c>
      <c r="K20" s="139">
        <f>'Бюджет затрат (ориентир.)'!H36</f>
        <v>5.0000000000000001E-4</v>
      </c>
      <c r="L20" s="139">
        <f>'Бюджет затрат (ориентир.)'!I36</f>
        <v>4.0000000000000002E-4</v>
      </c>
      <c r="M20" s="139">
        <f>'Бюджет затрат (ориентир.)'!J36</f>
        <v>8.9999999999999998E-4</v>
      </c>
      <c r="N20" s="139">
        <f>'Бюджет затрат (ориентир.)'!K36</f>
        <v>4.0000000000000002E-4</v>
      </c>
      <c r="O20" s="139">
        <f>'Бюджет затрат (ориентир.)'!L36</f>
        <v>1.5E-3</v>
      </c>
      <c r="P20" s="140">
        <f>'Бюджет затрат (ориентир.)'!M36</f>
        <v>1E-3</v>
      </c>
    </row>
    <row r="21" spans="1:16" s="421" customFormat="1" hidden="1" outlineLevel="1" x14ac:dyDescent="0.35">
      <c r="A21" s="135" t="s">
        <v>222</v>
      </c>
      <c r="B21" s="138" t="s">
        <v>150</v>
      </c>
      <c r="C21" s="127"/>
      <c r="D21" s="128"/>
      <c r="E21" s="139">
        <f>'Бюджет затрат (ориентир.)'!B37</f>
        <v>0</v>
      </c>
      <c r="F21" s="139">
        <f>'Бюджет затрат (ориентир.)'!C37</f>
        <v>1E-4</v>
      </c>
      <c r="G21" s="139">
        <f>'Бюджет затрат (ориентир.)'!D37</f>
        <v>1E-4</v>
      </c>
      <c r="H21" s="139">
        <f>'Бюджет затрат (ориентир.)'!E37</f>
        <v>2.0000000000000001E-4</v>
      </c>
      <c r="I21" s="139">
        <f>'Бюджет затрат (ориентир.)'!F37</f>
        <v>1E-4</v>
      </c>
      <c r="J21" s="139">
        <f>'Бюджет затрат (ориентир.)'!G37</f>
        <v>0</v>
      </c>
      <c r="K21" s="139">
        <f>'Бюджет затрат (ориентир.)'!H37</f>
        <v>0</v>
      </c>
      <c r="L21" s="139">
        <f>'Бюджет затрат (ориентир.)'!I37</f>
        <v>0</v>
      </c>
      <c r="M21" s="139">
        <f>'Бюджет затрат (ориентир.)'!J37</f>
        <v>1E-4</v>
      </c>
      <c r="N21" s="139">
        <f>'Бюджет затрат (ориентир.)'!K37</f>
        <v>0</v>
      </c>
      <c r="O21" s="139">
        <f>'Бюджет затрат (ориентир.)'!L37</f>
        <v>5.9999999999999995E-4</v>
      </c>
      <c r="P21" s="140">
        <f>'Бюджет затрат (ориентир.)'!M37</f>
        <v>1E-4</v>
      </c>
    </row>
    <row r="22" spans="1:16" s="421" customFormat="1" hidden="1" outlineLevel="1" x14ac:dyDescent="0.35">
      <c r="A22" s="135" t="s">
        <v>223</v>
      </c>
      <c r="B22" s="138" t="s">
        <v>151</v>
      </c>
      <c r="C22" s="127"/>
      <c r="D22" s="128"/>
      <c r="E22" s="139">
        <f>'Бюджет затрат (ориентир.)'!B38</f>
        <v>1E-4</v>
      </c>
      <c r="F22" s="139">
        <f>'Бюджет затрат (ориентир.)'!C38</f>
        <v>5.0000000000000001E-4</v>
      </c>
      <c r="G22" s="139">
        <f>'Бюджет затрат (ориентир.)'!D38</f>
        <v>0</v>
      </c>
      <c r="H22" s="139">
        <f>'Бюджет затрат (ориентир.)'!E38</f>
        <v>2.9999999999999997E-4</v>
      </c>
      <c r="I22" s="139">
        <f>'Бюджет затрат (ориентир.)'!F38</f>
        <v>6.9999999999999999E-4</v>
      </c>
      <c r="J22" s="139">
        <f>'Бюджет затрат (ориентир.)'!G38</f>
        <v>0</v>
      </c>
      <c r="K22" s="139">
        <f>'Бюджет затрат (ориентир.)'!H38</f>
        <v>0</v>
      </c>
      <c r="L22" s="139">
        <f>'Бюджет затрат (ориентир.)'!I38</f>
        <v>4.0000000000000002E-4</v>
      </c>
      <c r="M22" s="139">
        <f>'Бюджет затрат (ориентир.)'!J38</f>
        <v>5.0000000000000001E-4</v>
      </c>
      <c r="N22" s="139">
        <f>'Бюджет затрат (ориентир.)'!K38</f>
        <v>1E-4</v>
      </c>
      <c r="O22" s="139">
        <f>'Бюджет затрат (ориентир.)'!L38</f>
        <v>4.0000000000000002E-4</v>
      </c>
      <c r="P22" s="140">
        <f>'Бюджет затрат (ориентир.)'!M38</f>
        <v>2.9999999999999997E-4</v>
      </c>
    </row>
    <row r="23" spans="1:16" s="421" customFormat="1" hidden="1" outlineLevel="1" x14ac:dyDescent="0.35">
      <c r="A23" s="135" t="s">
        <v>224</v>
      </c>
      <c r="B23" s="138" t="s">
        <v>152</v>
      </c>
      <c r="C23" s="127"/>
      <c r="D23" s="128"/>
      <c r="E23" s="139">
        <f>'Бюджет затрат (ориентир.)'!B39</f>
        <v>0</v>
      </c>
      <c r="F23" s="139">
        <f>'Бюджет затрат (ориентир.)'!C39</f>
        <v>0</v>
      </c>
      <c r="G23" s="139">
        <f>'Бюджет затрат (ориентир.)'!D39</f>
        <v>0</v>
      </c>
      <c r="H23" s="139">
        <f>'Бюджет затрат (ориентир.)'!E39</f>
        <v>0</v>
      </c>
      <c r="I23" s="139">
        <f>'Бюджет затрат (ориентир.)'!F39</f>
        <v>0</v>
      </c>
      <c r="J23" s="139">
        <f>'Бюджет затрат (ориентир.)'!G39</f>
        <v>0</v>
      </c>
      <c r="K23" s="139">
        <f>'Бюджет затрат (ориентир.)'!H39</f>
        <v>0</v>
      </c>
      <c r="L23" s="139">
        <f>'Бюджет затрат (ориентир.)'!I39</f>
        <v>0</v>
      </c>
      <c r="M23" s="139">
        <f>'Бюджет затрат (ориентир.)'!J39</f>
        <v>1E-3</v>
      </c>
      <c r="N23" s="139">
        <f>'Бюджет затрат (ориентир.)'!K39</f>
        <v>0</v>
      </c>
      <c r="O23" s="139">
        <f>'Бюджет затрат (ориентир.)'!L39</f>
        <v>0</v>
      </c>
      <c r="P23" s="140">
        <f>'Бюджет затрат (ориентир.)'!M39</f>
        <v>0</v>
      </c>
    </row>
    <row r="24" spans="1:16" s="421" customFormat="1" hidden="1" outlineLevel="1" x14ac:dyDescent="0.35">
      <c r="A24" s="135" t="s">
        <v>225</v>
      </c>
      <c r="B24" s="138" t="s">
        <v>153</v>
      </c>
      <c r="C24" s="127"/>
      <c r="D24" s="128"/>
      <c r="E24" s="139">
        <f>'Бюджет затрат (ориентир.)'!B40</f>
        <v>4.4999999999999997E-3</v>
      </c>
      <c r="F24" s="139">
        <f>'Бюджет затрат (ориентир.)'!C40</f>
        <v>5.9999999999999995E-4</v>
      </c>
      <c r="G24" s="139">
        <f>'Бюджет затрат (ориентир.)'!D40</f>
        <v>1.1999999999999999E-3</v>
      </c>
      <c r="H24" s="139">
        <f>'Бюджет затрат (ориентир.)'!E40</f>
        <v>2.3999999999999998E-3</v>
      </c>
      <c r="I24" s="139">
        <f>'Бюджет затрат (ориентир.)'!F40</f>
        <v>8.0000000000000004E-4</v>
      </c>
      <c r="J24" s="139">
        <f>'Бюджет затрат (ориентир.)'!G40</f>
        <v>1E-4</v>
      </c>
      <c r="K24" s="139">
        <f>'Бюджет затрат (ориентир.)'!H40</f>
        <v>5.9999999999999995E-4</v>
      </c>
      <c r="L24" s="139">
        <f>'Бюджет затрат (ориентир.)'!I40</f>
        <v>1E-4</v>
      </c>
      <c r="M24" s="139">
        <f>'Бюджет затрат (ориентир.)'!J40</f>
        <v>0</v>
      </c>
      <c r="N24" s="139">
        <f>'Бюджет затрат (ориентир.)'!K40</f>
        <v>0</v>
      </c>
      <c r="O24" s="139">
        <f>'Бюджет затрат (ориентир.)'!L40</f>
        <v>2E-3</v>
      </c>
      <c r="P24" s="140">
        <f>'Бюджет затрат (ориентир.)'!M40</f>
        <v>2.0000000000000001E-4</v>
      </c>
    </row>
    <row r="25" spans="1:16" s="421" customFormat="1" collapsed="1" x14ac:dyDescent="0.35">
      <c r="A25" s="120" t="s">
        <v>226</v>
      </c>
      <c r="B25" s="91" t="s">
        <v>430</v>
      </c>
      <c r="C25" s="127">
        <f t="shared" si="3"/>
        <v>298873.93140105612</v>
      </c>
      <c r="D25" s="128">
        <f t="shared" si="1"/>
        <v>1.3721583333333336E-2</v>
      </c>
      <c r="E25" s="141">
        <f>E3*'Бюджет затрат (ориентир.)'!B45</f>
        <v>30684.407231520003</v>
      </c>
      <c r="F25" s="141">
        <f>F3*'Бюджет затрат (ориентир.)'!C45</f>
        <v>23100.884403168006</v>
      </c>
      <c r="G25" s="141">
        <f>G3*'Бюджет затрат (ориентир.)'!D45</f>
        <v>24839.758235040001</v>
      </c>
      <c r="H25" s="141">
        <f>H3*'Бюджет затрат (ориентир.)'!E45</f>
        <v>24503.963184000004</v>
      </c>
      <c r="I25" s="141">
        <f>I3*'Бюджет затрат (ориентир.)'!F45</f>
        <v>26384.415469824005</v>
      </c>
      <c r="J25" s="141">
        <f>J3*'Бюджет затрат (ориентир.)'!G45</f>
        <v>25847.143388160006</v>
      </c>
      <c r="K25" s="141">
        <f>K3*'Бюджет затрат (ориентир.)'!H45</f>
        <v>23845.078840608006</v>
      </c>
      <c r="L25" s="141">
        <f>L3*'Бюджет затрат (ориентир.)'!I45</f>
        <v>25259.048271744006</v>
      </c>
      <c r="M25" s="141">
        <f>M3*'Бюджет затрат (ориентир.)'!J45</f>
        <v>19203.846702720002</v>
      </c>
      <c r="N25" s="141">
        <f>N3*'Бюджет затрат (ориентир.)'!K45</f>
        <v>23106.329728320005</v>
      </c>
      <c r="O25" s="141">
        <f>O3*'Бюджет затрат (ориентир.)'!L45</f>
        <v>21922.879061952004</v>
      </c>
      <c r="P25" s="142">
        <f>P3*'Бюджет затрат (ориентир.)'!M45</f>
        <v>30176.176884000004</v>
      </c>
    </row>
    <row r="26" spans="1:16" s="421" customFormat="1" x14ac:dyDescent="0.35">
      <c r="A26" s="120" t="s">
        <v>227</v>
      </c>
      <c r="B26" s="89" t="s">
        <v>467</v>
      </c>
      <c r="C26" s="127">
        <f t="shared" si="3"/>
        <v>1089065.0304000003</v>
      </c>
      <c r="D26" s="128">
        <f t="shared" si="1"/>
        <v>4.9999999999999996E-2</v>
      </c>
      <c r="E26" s="129">
        <f>E3*'Бюджет затрат (ориентир.)'!C117</f>
        <v>104368.73208000002</v>
      </c>
      <c r="F26" s="129">
        <f>F3*'Бюджет затрат (ориентир.)'!C117</f>
        <v>80772.323088000019</v>
      </c>
      <c r="G26" s="129">
        <f>G3*'Бюджет затрат (ориентир.)'!C117</f>
        <v>107998.94884800001</v>
      </c>
      <c r="H26" s="129">
        <f>H3*'Бюджет затрат (ориентир.)'!C117</f>
        <v>90755.419200000018</v>
      </c>
      <c r="I26" s="129">
        <f>I3*'Бюджет затрат (ориентир.)'!C117</f>
        <v>83494.985664000022</v>
      </c>
      <c r="J26" s="129">
        <f>J3*'Бюджет затрат (ориентир.)'!C117</f>
        <v>80772.323088000019</v>
      </c>
      <c r="K26" s="129">
        <f>K3*'Бюджет затрат (ориентир.)'!C117</f>
        <v>78957.214704000027</v>
      </c>
      <c r="L26" s="129">
        <f>L3*'Бюджет затрат (ориентир.)'!C117</f>
        <v>88940.310816000027</v>
      </c>
      <c r="M26" s="129">
        <f>M3*'Бюджет затрат (ориентир.)'!C117</f>
        <v>83494.985664000022</v>
      </c>
      <c r="N26" s="129">
        <f>N3*'Бюджет затрат (ориентир.)'!C117</f>
        <v>86217.64824000001</v>
      </c>
      <c r="O26" s="129">
        <f>O3*'Бюджет затрат (ориентир.)'!C117</f>
        <v>89847.865008000022</v>
      </c>
      <c r="P26" s="130">
        <f>P3*'Бюджет затрат (ориентир.)'!C117</f>
        <v>113444.27400000003</v>
      </c>
    </row>
    <row r="27" spans="1:16" s="421" customFormat="1" x14ac:dyDescent="0.35">
      <c r="A27" s="120" t="s">
        <v>228</v>
      </c>
      <c r="B27" s="89" t="s">
        <v>431</v>
      </c>
      <c r="C27" s="127">
        <f t="shared" si="3"/>
        <v>379718.85882441612</v>
      </c>
      <c r="D27" s="128">
        <f t="shared" si="1"/>
        <v>1.7433250000000001E-2</v>
      </c>
      <c r="E27" s="129">
        <f>E3*SUM(E28:E42)</f>
        <v>35276.631443040002</v>
      </c>
      <c r="F27" s="129">
        <f>F3*SUM(F28:F42)</f>
        <v>25200.964803456005</v>
      </c>
      <c r="G27" s="129">
        <f>G3*SUM(G28:G42)</f>
        <v>36071.648915231999</v>
      </c>
      <c r="H27" s="129">
        <f>H3*SUM(H28:H42)</f>
        <v>38661.808579200006</v>
      </c>
      <c r="I27" s="129">
        <f>I3*SUM(I28:I42)</f>
        <v>29223.244982400003</v>
      </c>
      <c r="J27" s="129">
        <f>J3*SUM(J28:J42)</f>
        <v>26170.232680512003</v>
      </c>
      <c r="K27" s="129">
        <f>K3*SUM(K28:K42)</f>
        <v>26213.795281728006</v>
      </c>
      <c r="L27" s="129">
        <f>L3*SUM(L28:L42)</f>
        <v>24725.406406848004</v>
      </c>
      <c r="M27" s="129">
        <f>M3*SUM(M28:M42)</f>
        <v>35735.853864192009</v>
      </c>
      <c r="N27" s="129">
        <f>N3*SUM(N28:N42)</f>
        <v>34831.929888960003</v>
      </c>
      <c r="O27" s="129">
        <f>O3*SUM(O28:O42)</f>
        <v>31985.839942848004</v>
      </c>
      <c r="P27" s="130">
        <f>P3*SUM(P28:P42)</f>
        <v>35621.502036000005</v>
      </c>
    </row>
    <row r="28" spans="1:16" s="421" customFormat="1" hidden="1" outlineLevel="1" x14ac:dyDescent="0.35">
      <c r="A28" s="135" t="s">
        <v>187</v>
      </c>
      <c r="B28" s="97" t="s">
        <v>154</v>
      </c>
      <c r="C28" s="127"/>
      <c r="D28" s="128"/>
      <c r="E28" s="136">
        <f>'Бюджет затрат (ориентир.)'!B55</f>
        <v>0</v>
      </c>
      <c r="F28" s="136">
        <f>'Бюджет затрат (ориентир.)'!C55</f>
        <v>4.0000000000000002E-4</v>
      </c>
      <c r="G28" s="136">
        <f>'Бюджет затрат (ориентир.)'!D55</f>
        <v>4.0000000000000002E-4</v>
      </c>
      <c r="H28" s="136">
        <f>'Бюджет затрат (ориентир.)'!E55</f>
        <v>2.2000000000000001E-3</v>
      </c>
      <c r="I28" s="136">
        <f>'Бюджет затрат (ориентир.)'!F55</f>
        <v>4.0000000000000002E-4</v>
      </c>
      <c r="J28" s="136">
        <f>'Бюджет затрат (ориентир.)'!G55</f>
        <v>2.2000000000000001E-3</v>
      </c>
      <c r="K28" s="136">
        <f>'Бюджет затрат (ориентир.)'!H55</f>
        <v>4.0000000000000002E-4</v>
      </c>
      <c r="L28" s="136">
        <f>'Бюджет затрат (ориентир.)'!I55</f>
        <v>2.9999999999999997E-4</v>
      </c>
      <c r="M28" s="136">
        <f>'Бюджет затрат (ориентир.)'!J55</f>
        <v>4.0000000000000002E-4</v>
      </c>
      <c r="N28" s="136">
        <f>'Бюджет затрат (ориентир.)'!K55</f>
        <v>6.9999999999999999E-4</v>
      </c>
      <c r="O28" s="136">
        <f>'Бюджет затрат (ориентир.)'!L55</f>
        <v>4.0000000000000002E-4</v>
      </c>
      <c r="P28" s="137">
        <f>'Бюджет затрат (ориентир.)'!M55</f>
        <v>6.9999999999999999E-4</v>
      </c>
    </row>
    <row r="29" spans="1:16" s="421" customFormat="1" hidden="1" outlineLevel="1" x14ac:dyDescent="0.35">
      <c r="A29" s="135" t="s">
        <v>189</v>
      </c>
      <c r="B29" s="97" t="s">
        <v>155</v>
      </c>
      <c r="C29" s="127"/>
      <c r="D29" s="128"/>
      <c r="E29" s="136">
        <f>'Бюджет затрат (ориентир.)'!B56</f>
        <v>2.9999999999999997E-4</v>
      </c>
      <c r="F29" s="136">
        <f>'Бюджет затрат (ориентир.)'!C56</f>
        <v>0</v>
      </c>
      <c r="G29" s="136">
        <f>'Бюджет затрат (ориентир.)'!D56</f>
        <v>0</v>
      </c>
      <c r="H29" s="136">
        <f>'Бюджет затрат (ориентир.)'!E56</f>
        <v>1E-4</v>
      </c>
      <c r="I29" s="136">
        <f>'Бюджет затрат (ориентир.)'!F56</f>
        <v>0</v>
      </c>
      <c r="J29" s="136">
        <f>'Бюджет затрат (ориентир.)'!G56</f>
        <v>0</v>
      </c>
      <c r="K29" s="136">
        <f>'Бюджет затрат (ориентир.)'!H56</f>
        <v>0</v>
      </c>
      <c r="L29" s="136">
        <f>'Бюджет затрат (ориентир.)'!I56</f>
        <v>0</v>
      </c>
      <c r="M29" s="136">
        <f>'Бюджет затрат (ориентир.)'!J56</f>
        <v>0</v>
      </c>
      <c r="N29" s="136">
        <f>'Бюджет затрат (ориентир.)'!K56</f>
        <v>0</v>
      </c>
      <c r="O29" s="136">
        <f>'Бюджет затрат (ориентир.)'!L56</f>
        <v>0</v>
      </c>
      <c r="P29" s="137">
        <f>'Бюджет затрат (ориентир.)'!M56</f>
        <v>0</v>
      </c>
    </row>
    <row r="30" spans="1:16" s="421" customFormat="1" hidden="1" outlineLevel="1" x14ac:dyDescent="0.35">
      <c r="A30" s="135" t="s">
        <v>188</v>
      </c>
      <c r="B30" s="97" t="s">
        <v>156</v>
      </c>
      <c r="C30" s="127"/>
      <c r="D30" s="128"/>
      <c r="E30" s="136">
        <f>'Бюджет затрат (ориентир.)'!B57</f>
        <v>2.0000000000000001E-4</v>
      </c>
      <c r="F30" s="136">
        <f>'Бюджет затрат (ориентир.)'!C57</f>
        <v>5.0000000000000001E-4</v>
      </c>
      <c r="G30" s="136">
        <f>'Бюджет затрат (ориентир.)'!D57</f>
        <v>2.9999999999999997E-4</v>
      </c>
      <c r="H30" s="136">
        <f>'Бюджет затрат (ориентир.)'!E57</f>
        <v>1E-4</v>
      </c>
      <c r="I30" s="136">
        <f>'Бюджет затрат (ориентир.)'!F57</f>
        <v>2.9999999999999997E-4</v>
      </c>
      <c r="J30" s="136">
        <f>'Бюджет затрат (ориентир.)'!G57</f>
        <v>0</v>
      </c>
      <c r="K30" s="136">
        <f>'Бюджет затрат (ориентир.)'!H57</f>
        <v>5.0000000000000001E-4</v>
      </c>
      <c r="L30" s="136">
        <f>'Бюджет затрат (ориентир.)'!I57</f>
        <v>1E-4</v>
      </c>
      <c r="M30" s="136">
        <f>'Бюджет затрат (ориентир.)'!J57</f>
        <v>0</v>
      </c>
      <c r="N30" s="136">
        <f>'Бюджет затрат (ориентир.)'!K57</f>
        <v>0</v>
      </c>
      <c r="O30" s="136">
        <f>'Бюджет затрат (ориентир.)'!L57</f>
        <v>2.9999999999999997E-4</v>
      </c>
      <c r="P30" s="137">
        <f>'Бюджет затрат (ориентир.)'!M57</f>
        <v>1E-4</v>
      </c>
    </row>
    <row r="31" spans="1:16" s="421" customFormat="1" hidden="1" outlineLevel="1" x14ac:dyDescent="0.35">
      <c r="A31" s="135" t="s">
        <v>190</v>
      </c>
      <c r="B31" s="97" t="s">
        <v>157</v>
      </c>
      <c r="C31" s="127"/>
      <c r="D31" s="128"/>
      <c r="E31" s="136">
        <f>'Бюджет затрат (ориентир.)'!B58</f>
        <v>0</v>
      </c>
      <c r="F31" s="136">
        <f>'Бюджет затрат (ориентир.)'!C58</f>
        <v>0</v>
      </c>
      <c r="G31" s="136">
        <f>'Бюджет затрат (ориентир.)'!D58</f>
        <v>0</v>
      </c>
      <c r="H31" s="136">
        <f>'Бюджет затрат (ориентир.)'!E58</f>
        <v>2.0000000000000001E-4</v>
      </c>
      <c r="I31" s="136">
        <f>'Бюджет затрат (ориентир.)'!F58</f>
        <v>0</v>
      </c>
      <c r="J31" s="136">
        <f>'Бюджет затрат (ориентир.)'!G58</f>
        <v>0</v>
      </c>
      <c r="K31" s="136">
        <f>'Бюджет затрат (ориентир.)'!H58</f>
        <v>0</v>
      </c>
      <c r="L31" s="136">
        <f>'Бюджет затрат (ориентир.)'!I58</f>
        <v>0</v>
      </c>
      <c r="M31" s="136">
        <f>'Бюджет затрат (ориентир.)'!J58</f>
        <v>0</v>
      </c>
      <c r="N31" s="136">
        <f>'Бюджет затрат (ориентир.)'!K58</f>
        <v>0</v>
      </c>
      <c r="O31" s="136">
        <f>'Бюджет затрат (ориентир.)'!L58</f>
        <v>0</v>
      </c>
      <c r="P31" s="137">
        <f>'Бюджет затрат (ориентир.)'!M58</f>
        <v>0</v>
      </c>
    </row>
    <row r="32" spans="1:16" s="421" customFormat="1" hidden="1" outlineLevel="1" x14ac:dyDescent="0.35">
      <c r="A32" s="135" t="s">
        <v>191</v>
      </c>
      <c r="B32" s="97" t="s">
        <v>158</v>
      </c>
      <c r="C32" s="127"/>
      <c r="D32" s="128"/>
      <c r="E32" s="136">
        <f>'Бюджет затрат (ориентир.)'!B59</f>
        <v>0</v>
      </c>
      <c r="F32" s="136">
        <f>'Бюджет затрат (ориентир.)'!C59</f>
        <v>0</v>
      </c>
      <c r="G32" s="136">
        <f>'Бюджет затрат (ориентир.)'!D59</f>
        <v>2.9999999999999997E-4</v>
      </c>
      <c r="H32" s="136">
        <f>'Бюджет затрат (ориентир.)'!E59</f>
        <v>0</v>
      </c>
      <c r="I32" s="136">
        <f>'Бюджет затрат (ориентир.)'!F59</f>
        <v>0</v>
      </c>
      <c r="J32" s="136">
        <f>'Бюджет затрат (ориентир.)'!G59</f>
        <v>0</v>
      </c>
      <c r="K32" s="136">
        <f>'Бюджет затрат (ориентир.)'!H59</f>
        <v>0</v>
      </c>
      <c r="L32" s="136">
        <f>'Бюджет затрат (ориентир.)'!I59</f>
        <v>0</v>
      </c>
      <c r="M32" s="136">
        <f>'Бюджет затрат (ориентир.)'!J59</f>
        <v>0</v>
      </c>
      <c r="N32" s="136">
        <f>'Бюджет затрат (ориентир.)'!K59</f>
        <v>1E-4</v>
      </c>
      <c r="O32" s="136">
        <f>'Бюджет затрат (ориентир.)'!L59</f>
        <v>0</v>
      </c>
      <c r="P32" s="137">
        <f>'Бюджет затрат (ориентир.)'!M59</f>
        <v>2.9999999999999997E-4</v>
      </c>
    </row>
    <row r="33" spans="1:16" s="421" customFormat="1" hidden="1" outlineLevel="1" x14ac:dyDescent="0.35">
      <c r="A33" s="135" t="s">
        <v>229</v>
      </c>
      <c r="B33" s="97" t="s">
        <v>159</v>
      </c>
      <c r="C33" s="127"/>
      <c r="D33" s="128"/>
      <c r="E33" s="136">
        <f>'Бюджет затрат (ориентир.)'!B60</f>
        <v>2.0000000000000001E-4</v>
      </c>
      <c r="F33" s="136">
        <f>'Бюджет затрат (ориентир.)'!C60</f>
        <v>2.0000000000000001E-4</v>
      </c>
      <c r="G33" s="136">
        <f>'Бюджет затрат (ориентир.)'!D60</f>
        <v>8.9999999999999998E-4</v>
      </c>
      <c r="H33" s="136">
        <f>'Бюджет затрат (ориентир.)'!E60</f>
        <v>1E-3</v>
      </c>
      <c r="I33" s="136">
        <f>'Бюджет затрат (ориентир.)'!F60</f>
        <v>2.0000000000000001E-4</v>
      </c>
      <c r="J33" s="136">
        <f>'Бюджет затрат (ориентир.)'!G60</f>
        <v>2.9999999999999997E-4</v>
      </c>
      <c r="K33" s="136">
        <f>'Бюджет затрат (ориентир.)'!H60</f>
        <v>1.8E-3</v>
      </c>
      <c r="L33" s="136">
        <f>'Бюджет затрат (ориентир.)'!I60</f>
        <v>6.9999999999999999E-4</v>
      </c>
      <c r="M33" s="136">
        <f>'Бюджет затрат (ориентир.)'!J60</f>
        <v>1E-4</v>
      </c>
      <c r="N33" s="136">
        <f>'Бюджет затрат (ориентир.)'!K60</f>
        <v>1.5E-3</v>
      </c>
      <c r="O33" s="136">
        <f>'Бюджет затрат (ориентир.)'!L60</f>
        <v>2.9999999999999997E-4</v>
      </c>
      <c r="P33" s="137">
        <f>'Бюджет затрат (ориентир.)'!M60</f>
        <v>4.0000000000000002E-4</v>
      </c>
    </row>
    <row r="34" spans="1:16" s="421" customFormat="1" hidden="1" outlineLevel="1" x14ac:dyDescent="0.35">
      <c r="A34" s="135" t="s">
        <v>230</v>
      </c>
      <c r="B34" s="97" t="s">
        <v>160</v>
      </c>
      <c r="C34" s="127"/>
      <c r="D34" s="128"/>
      <c r="E34" s="136">
        <f>'Бюджет затрат (ориентир.)'!B61</f>
        <v>0</v>
      </c>
      <c r="F34" s="136">
        <f>'Бюджет затрат (ориентир.)'!C61</f>
        <v>0</v>
      </c>
      <c r="G34" s="136">
        <f>'Бюджет затрат (ориентир.)'!D61</f>
        <v>1E-4</v>
      </c>
      <c r="H34" s="136">
        <f>'Бюджет затрат (ориентир.)'!E61</f>
        <v>0</v>
      </c>
      <c r="I34" s="136">
        <f>'Бюджет затрат (ориентир.)'!F61</f>
        <v>0</v>
      </c>
      <c r="J34" s="136">
        <f>'Бюджет затрат (ориентир.)'!G61</f>
        <v>0</v>
      </c>
      <c r="K34" s="136">
        <f>'Бюджет затрат (ориентир.)'!H61</f>
        <v>0</v>
      </c>
      <c r="L34" s="136">
        <f>'Бюджет затрат (ориентир.)'!I61</f>
        <v>0</v>
      </c>
      <c r="M34" s="136">
        <f>'Бюджет затрат (ориентир.)'!J61</f>
        <v>0</v>
      </c>
      <c r="N34" s="136">
        <f>'Бюджет затрат (ориентир.)'!K61</f>
        <v>0</v>
      </c>
      <c r="O34" s="136">
        <f>'Бюджет затрат (ориентир.)'!L61</f>
        <v>0</v>
      </c>
      <c r="P34" s="137">
        <f>'Бюджет затрат (ориентир.)'!M61</f>
        <v>1E-4</v>
      </c>
    </row>
    <row r="35" spans="1:16" s="421" customFormat="1" hidden="1" outlineLevel="1" x14ac:dyDescent="0.35">
      <c r="A35" s="135" t="s">
        <v>231</v>
      </c>
      <c r="B35" s="97" t="s">
        <v>161</v>
      </c>
      <c r="C35" s="127"/>
      <c r="D35" s="128"/>
      <c r="E35" s="136">
        <f>'Бюджет затрат (ориентир.)'!B62</f>
        <v>2.9999999999999997E-4</v>
      </c>
      <c r="F35" s="136">
        <f>'Бюджет затрат (ориентир.)'!C62</f>
        <v>0</v>
      </c>
      <c r="G35" s="136">
        <f>'Бюджет затрат (ориентир.)'!D62</f>
        <v>2.9999999999999997E-4</v>
      </c>
      <c r="H35" s="136">
        <f>'Бюджет затрат (ориентир.)'!E62</f>
        <v>2.3E-3</v>
      </c>
      <c r="I35" s="136">
        <f>'Бюджет затрат (ориентир.)'!F62</f>
        <v>8.9999999999999998E-4</v>
      </c>
      <c r="J35" s="136">
        <f>'Бюджет затрат (ориентир.)'!G62</f>
        <v>5.9999999999999995E-4</v>
      </c>
      <c r="K35" s="136">
        <f>'Бюджет затрат (ориентир.)'!H62</f>
        <v>2.0000000000000001E-4</v>
      </c>
      <c r="L35" s="136">
        <f>'Бюджет затрат (ориентир.)'!I62</f>
        <v>6.9999999999999999E-4</v>
      </c>
      <c r="M35" s="136">
        <f>'Бюджет затрат (ориентир.)'!J62</f>
        <v>1E-3</v>
      </c>
      <c r="N35" s="136">
        <f>'Бюджет затрат (ориентир.)'!K62</f>
        <v>4.0000000000000002E-4</v>
      </c>
      <c r="O35" s="136">
        <f>'Бюджет затрат (ориентир.)'!L62</f>
        <v>8.0000000000000004E-4</v>
      </c>
      <c r="P35" s="137">
        <f>'Бюджет затрат (ориентир.)'!M62</f>
        <v>5.9999999999999995E-4</v>
      </c>
    </row>
    <row r="36" spans="1:16" s="421" customFormat="1" hidden="1" outlineLevel="1" x14ac:dyDescent="0.35">
      <c r="A36" s="135" t="s">
        <v>232</v>
      </c>
      <c r="B36" s="98" t="s">
        <v>162</v>
      </c>
      <c r="C36" s="127"/>
      <c r="D36" s="128"/>
      <c r="E36" s="136">
        <f>'Бюджет затрат (ориентир.)'!B63</f>
        <v>1.2999999999999999E-3</v>
      </c>
      <c r="F36" s="136">
        <f>'Бюджет затрат (ориентир.)'!C63</f>
        <v>5.0000000000000001E-4</v>
      </c>
      <c r="G36" s="136">
        <f>'Бюджет затрат (ориентир.)'!D63</f>
        <v>5.9999999999999995E-4</v>
      </c>
      <c r="H36" s="136">
        <f>'Бюджет затрат (ориентир.)'!E63</f>
        <v>4.0000000000000002E-4</v>
      </c>
      <c r="I36" s="136">
        <f>'Бюджет затрат (ориентир.)'!F63</f>
        <v>5.9999999999999995E-4</v>
      </c>
      <c r="J36" s="136">
        <f>'Бюджет затрат (ориентир.)'!G63</f>
        <v>5.0000000000000001E-4</v>
      </c>
      <c r="K36" s="136">
        <f>'Бюджет затрат (ориентир.)'!H63</f>
        <v>5.0000000000000001E-4</v>
      </c>
      <c r="L36" s="136">
        <f>'Бюджет затрат (ориентир.)'!I63</f>
        <v>8.9999999999999998E-4</v>
      </c>
      <c r="M36" s="136">
        <f>'Бюджет затрат (ориентир.)'!J63</f>
        <v>2.0000000000000001E-4</v>
      </c>
      <c r="N36" s="136">
        <f>'Бюджет затрат (ориентир.)'!K63</f>
        <v>2.9999999999999997E-4</v>
      </c>
      <c r="O36" s="136">
        <f>'Бюджет затрат (ориентир.)'!L63</f>
        <v>2.0000000000000001E-4</v>
      </c>
      <c r="P36" s="137">
        <f>'Бюджет затрат (ориентир.)'!M63</f>
        <v>5.0000000000000001E-4</v>
      </c>
    </row>
    <row r="37" spans="1:16" s="421" customFormat="1" hidden="1" outlineLevel="1" x14ac:dyDescent="0.35">
      <c r="A37" s="135" t="s">
        <v>233</v>
      </c>
      <c r="B37" s="97" t="s">
        <v>163</v>
      </c>
      <c r="C37" s="127"/>
      <c r="D37" s="128"/>
      <c r="E37" s="136">
        <f>'Бюджет затрат (ориентир.)'!B64</f>
        <v>5.0000000000000001E-4</v>
      </c>
      <c r="F37" s="136">
        <f>'Бюджет затрат (ориентир.)'!C64</f>
        <v>5.0000000000000001E-4</v>
      </c>
      <c r="G37" s="136">
        <f>'Бюджет затрат (ориентир.)'!D64</f>
        <v>4.0000000000000002E-4</v>
      </c>
      <c r="H37" s="136">
        <f>'Бюджет затрат (ориентир.)'!E64</f>
        <v>5.0000000000000001E-4</v>
      </c>
      <c r="I37" s="136">
        <f>'Бюджет затрат (ориентир.)'!F64</f>
        <v>5.0000000000000001E-4</v>
      </c>
      <c r="J37" s="136">
        <f>'Бюджет затрат (ориентир.)'!G64</f>
        <v>5.0000000000000001E-4</v>
      </c>
      <c r="K37" s="136">
        <f>'Бюджет затрат (ориентир.)'!H64</f>
        <v>5.0000000000000001E-4</v>
      </c>
      <c r="L37" s="136">
        <f>'Бюджет затрат (ориентир.)'!I64</f>
        <v>5.0000000000000001E-4</v>
      </c>
      <c r="M37" s="136">
        <f>'Бюджет затрат (ориентир.)'!J64</f>
        <v>2.8999999999999998E-3</v>
      </c>
      <c r="N37" s="136">
        <f>'Бюджет затрат (ориентир.)'!K64</f>
        <v>2.5999999999999999E-3</v>
      </c>
      <c r="O37" s="136">
        <f>'Бюджет затрат (ориентир.)'!L64</f>
        <v>4.0000000000000002E-4</v>
      </c>
      <c r="P37" s="137">
        <f>'Бюджет затрат (ориентир.)'!M64</f>
        <v>4.0000000000000002E-4</v>
      </c>
    </row>
    <row r="38" spans="1:16" s="421" customFormat="1" hidden="1" outlineLevel="1" x14ac:dyDescent="0.35">
      <c r="A38" s="135" t="s">
        <v>234</v>
      </c>
      <c r="B38" s="97" t="s">
        <v>164</v>
      </c>
      <c r="C38" s="127"/>
      <c r="D38" s="128"/>
      <c r="E38" s="136">
        <f>'Бюджет затрат (ориентир.)'!B65</f>
        <v>0</v>
      </c>
      <c r="F38" s="136">
        <f>'Бюджет затрат (ориентир.)'!C65</f>
        <v>0</v>
      </c>
      <c r="G38" s="136">
        <f>'Бюджет затрат (ориентир.)'!D65</f>
        <v>0</v>
      </c>
      <c r="H38" s="136">
        <f>'Бюджет затрат (ориентир.)'!E65</f>
        <v>0</v>
      </c>
      <c r="I38" s="136">
        <f>'Бюджет затрат (ориентир.)'!F65</f>
        <v>0</v>
      </c>
      <c r="J38" s="136">
        <f>'Бюджет затрат (ориентир.)'!G65</f>
        <v>0</v>
      </c>
      <c r="K38" s="136">
        <f>'Бюджет затрат (ориентир.)'!H65</f>
        <v>0</v>
      </c>
      <c r="L38" s="136">
        <f>'Бюджет затрат (ориентир.)'!I65</f>
        <v>0</v>
      </c>
      <c r="M38" s="136">
        <f>'Бюджет затрат (ориентир.)'!J65</f>
        <v>0</v>
      </c>
      <c r="N38" s="136">
        <f>'Бюджет затрат (ориентир.)'!K65</f>
        <v>0</v>
      </c>
      <c r="O38" s="136">
        <f>'Бюджет затрат (ориентир.)'!L65</f>
        <v>0</v>
      </c>
      <c r="P38" s="137">
        <f>'Бюджет затрат (ориентир.)'!M65</f>
        <v>0</v>
      </c>
    </row>
    <row r="39" spans="1:16" s="421" customFormat="1" hidden="1" outlineLevel="1" x14ac:dyDescent="0.35">
      <c r="A39" s="135" t="s">
        <v>235</v>
      </c>
      <c r="B39" s="97" t="s">
        <v>165</v>
      </c>
      <c r="C39" s="127"/>
      <c r="D39" s="128"/>
      <c r="E39" s="136">
        <f>'Бюджет затрат (ориентир.)'!B66</f>
        <v>5.0000000000000001E-4</v>
      </c>
      <c r="F39" s="136">
        <f>'Бюджет затрат (ориентир.)'!C66</f>
        <v>2.0000000000000001E-4</v>
      </c>
      <c r="G39" s="136">
        <f>'Бюджет затрат (ориентир.)'!D66</f>
        <v>1E-4</v>
      </c>
      <c r="H39" s="136">
        <f>'Бюджет затрат (ориентир.)'!E66</f>
        <v>1E-3</v>
      </c>
      <c r="I39" s="136">
        <f>'Бюджет затрат (ориентир.)'!F66</f>
        <v>2.9999999999999997E-4</v>
      </c>
      <c r="J39" s="136">
        <f>'Бюджет затрат (ориентир.)'!G66</f>
        <v>5.0000000000000001E-4</v>
      </c>
      <c r="K39" s="136">
        <f>'Бюджет затрат (ориентир.)'!H66</f>
        <v>4.0000000000000002E-4</v>
      </c>
      <c r="L39" s="136">
        <f>'Бюджет затрат (ориентир.)'!I66</f>
        <v>2.0000000000000001E-4</v>
      </c>
      <c r="M39" s="136">
        <f>'Бюджет затрат (ориентир.)'!J66</f>
        <v>8.0000000000000004E-4</v>
      </c>
      <c r="N39" s="136">
        <f>'Бюджет затрат (ориентир.)'!K66</f>
        <v>5.0000000000000001E-4</v>
      </c>
      <c r="O39" s="136">
        <f>'Бюджет затрат (ориентир.)'!L66</f>
        <v>1E-4</v>
      </c>
      <c r="P39" s="137">
        <f>'Бюджет затрат (ориентир.)'!M66</f>
        <v>2.0000000000000001E-4</v>
      </c>
    </row>
    <row r="40" spans="1:16" s="421" customFormat="1" hidden="1" outlineLevel="1" x14ac:dyDescent="0.35">
      <c r="A40" s="135" t="s">
        <v>236</v>
      </c>
      <c r="B40" s="97" t="s">
        <v>166</v>
      </c>
      <c r="C40" s="127"/>
      <c r="D40" s="128"/>
      <c r="E40" s="136">
        <f>'Бюджет затрат (ориентир.)'!B67</f>
        <v>0</v>
      </c>
      <c r="F40" s="136">
        <f>'Бюджет затрат (ориентир.)'!C67</f>
        <v>0</v>
      </c>
      <c r="G40" s="136">
        <f>'Бюджет затрат (ориентир.)'!D67</f>
        <v>0</v>
      </c>
      <c r="H40" s="136">
        <f>'Бюджет затрат (ориентир.)'!E67</f>
        <v>0</v>
      </c>
      <c r="I40" s="136">
        <f>'Бюджет затрат (ориентир.)'!F67</f>
        <v>5.9999999999999995E-4</v>
      </c>
      <c r="J40" s="136">
        <f>'Бюджет затрат (ориентир.)'!G67</f>
        <v>0</v>
      </c>
      <c r="K40" s="136">
        <f>'Бюджет затрат (ориентир.)'!H67</f>
        <v>0</v>
      </c>
      <c r="L40" s="136">
        <f>'Бюджет затрат (ориентир.)'!I67</f>
        <v>0</v>
      </c>
      <c r="M40" s="136">
        <f>'Бюджет затрат (ориентир.)'!J67</f>
        <v>0</v>
      </c>
      <c r="N40" s="136">
        <f>'Бюджет затрат (ориентир.)'!K67</f>
        <v>0</v>
      </c>
      <c r="O40" s="136">
        <f>'Бюджет затрат (ориентир.)'!L67</f>
        <v>0</v>
      </c>
      <c r="P40" s="137">
        <f>'Бюджет затрат (ориентир.)'!M67</f>
        <v>0</v>
      </c>
    </row>
    <row r="41" spans="1:16" s="421" customFormat="1" hidden="1" outlineLevel="1" x14ac:dyDescent="0.35">
      <c r="A41" s="135" t="s">
        <v>237</v>
      </c>
      <c r="B41" s="97" t="s">
        <v>167</v>
      </c>
      <c r="C41" s="127"/>
      <c r="D41" s="128"/>
      <c r="E41" s="136">
        <f>'Бюджет затрат (ориентир.)'!B68</f>
        <v>1E-4</v>
      </c>
      <c r="F41" s="136">
        <f>'Бюджет затрат (ориентир.)'!C68</f>
        <v>1E-4</v>
      </c>
      <c r="G41" s="136">
        <f>'Бюджет затрат (ориентир.)'!D68</f>
        <v>1E-4</v>
      </c>
      <c r="H41" s="136">
        <f>'Бюджет затрат (ориентир.)'!E68</f>
        <v>1E-4</v>
      </c>
      <c r="I41" s="136">
        <f>'Бюджет затрат (ориентир.)'!F68</f>
        <v>1E-4</v>
      </c>
      <c r="J41" s="136">
        <f>'Бюджет затрат (ориентир.)'!G68</f>
        <v>1E-4</v>
      </c>
      <c r="K41" s="136">
        <f>'Бюджет затрат (ориентир.)'!H68</f>
        <v>1E-4</v>
      </c>
      <c r="L41" s="136">
        <f>'Бюджет затрат (ориентир.)'!I68</f>
        <v>1E-4</v>
      </c>
      <c r="M41" s="136">
        <f>'Бюджет затрат (ориентир.)'!J68</f>
        <v>1E-4</v>
      </c>
      <c r="N41" s="136">
        <f>'Бюджет затрат (ориентир.)'!K68</f>
        <v>1E-4</v>
      </c>
      <c r="O41" s="136">
        <f>'Бюджет затрат (ориентир.)'!L68</f>
        <v>1E-4</v>
      </c>
      <c r="P41" s="137">
        <f>'Бюджет затрат (ориентир.)'!M68</f>
        <v>1E-4</v>
      </c>
    </row>
    <row r="42" spans="1:16" s="421" customFormat="1" hidden="1" outlineLevel="1" x14ac:dyDescent="0.35">
      <c r="A42" s="135" t="s">
        <v>238</v>
      </c>
      <c r="B42" s="138" t="s">
        <v>168</v>
      </c>
      <c r="C42" s="127"/>
      <c r="D42" s="128"/>
      <c r="E42" s="136">
        <f>'Бюджет затрат (ориентир.)'!B69</f>
        <v>1.35E-2</v>
      </c>
      <c r="F42" s="136">
        <f>'Бюджет затрат (ориентир.)'!C69</f>
        <v>1.32E-2</v>
      </c>
      <c r="G42" s="136">
        <f>'Бюджет затрат (ориентир.)'!D69</f>
        <v>1.32E-2</v>
      </c>
      <c r="H42" s="136">
        <f>'Бюджет затрат (ориентир.)'!E69</f>
        <v>1.34E-2</v>
      </c>
      <c r="I42" s="136">
        <f>'Бюджет затрат (ориентир.)'!F69</f>
        <v>1.3599999999999999E-2</v>
      </c>
      <c r="J42" s="136">
        <f>'Бюджет затрат (ориентир.)'!G69</f>
        <v>1.15E-2</v>
      </c>
      <c r="K42" s="136">
        <f>'Бюджет затрат (ориентир.)'!H69</f>
        <v>1.2200000000000001E-2</v>
      </c>
      <c r="L42" s="136">
        <f>'Бюджет затрат (ориентир.)'!I69</f>
        <v>1.04E-2</v>
      </c>
      <c r="M42" s="136">
        <f>'Бюджет затрат (ориентир.)'!J69</f>
        <v>1.5900000000000001E-2</v>
      </c>
      <c r="N42" s="136">
        <f>'Бюджет затрат (ориентир.)'!K69</f>
        <v>1.4E-2</v>
      </c>
      <c r="O42" s="136">
        <f>'Бюджет затрат (ориентир.)'!L69</f>
        <v>1.52E-2</v>
      </c>
      <c r="P42" s="137">
        <f>'Бюджет затрат (ориентир.)'!M69</f>
        <v>1.23E-2</v>
      </c>
    </row>
    <row r="43" spans="1:16" s="421" customFormat="1" collapsed="1" x14ac:dyDescent="0.35">
      <c r="A43" s="120" t="s">
        <v>239</v>
      </c>
      <c r="B43" s="91" t="s">
        <v>432</v>
      </c>
      <c r="C43" s="127">
        <f t="shared" si="3"/>
        <v>93968.16103968001</v>
      </c>
      <c r="D43" s="128">
        <f t="shared" si="1"/>
        <v>4.3141666666666658E-3</v>
      </c>
      <c r="E43" s="129">
        <f>E3*SUM(E44:E47)</f>
        <v>3548.53689072</v>
      </c>
      <c r="F43" s="129">
        <f>F3*SUM(F44:F47)</f>
        <v>15346.741386720003</v>
      </c>
      <c r="G43" s="129">
        <f>G3*SUM(G44:G47)</f>
        <v>22463.781360384</v>
      </c>
      <c r="H43" s="129">
        <f>H3*SUM(H44:H47)</f>
        <v>2359.6408992000001</v>
      </c>
      <c r="I43" s="129">
        <f>I3*SUM(I44:I47)</f>
        <v>2003.8796559360001</v>
      </c>
      <c r="J43" s="129">
        <f>J3*SUM(J44:J47)</f>
        <v>2746.2589849920009</v>
      </c>
      <c r="K43" s="129">
        <f>K3*SUM(K44:K47)</f>
        <v>2210.8020117120004</v>
      </c>
      <c r="L43" s="129">
        <f>L3*SUM(L44:L47)</f>
        <v>1067.2837297920003</v>
      </c>
      <c r="M43" s="129">
        <f>M3*SUM(M44:M47)</f>
        <v>2671.8395412480004</v>
      </c>
      <c r="N43" s="129">
        <f>N3*SUM(N44:N47)</f>
        <v>1724.3529648000003</v>
      </c>
      <c r="O43" s="129">
        <f>O3*SUM(O44:O47)</f>
        <v>1976.6530301760001</v>
      </c>
      <c r="P43" s="130">
        <f>P3*SUM(P44:P47)</f>
        <v>35848.390584000008</v>
      </c>
    </row>
    <row r="44" spans="1:16" s="421" customFormat="1" hidden="1" outlineLevel="1" x14ac:dyDescent="0.35">
      <c r="A44" s="135" t="s">
        <v>240</v>
      </c>
      <c r="B44" s="138" t="s">
        <v>169</v>
      </c>
      <c r="C44" s="127"/>
      <c r="D44" s="128"/>
      <c r="E44" s="136">
        <f>'Бюджет затрат (ориентир.)'!B73</f>
        <v>0</v>
      </c>
      <c r="F44" s="136">
        <f>'Бюджет затрат (ориентир.)'!C73</f>
        <v>7.9000000000000008E-3</v>
      </c>
      <c r="G44" s="136">
        <f>'Бюджет затрат (ориентир.)'!D73</f>
        <v>9.2999999999999992E-3</v>
      </c>
      <c r="H44" s="136">
        <f>'Бюджет затрат (ориентир.)'!E73</f>
        <v>0</v>
      </c>
      <c r="I44" s="136">
        <f>'Бюджет затрат (ориентир.)'!F73</f>
        <v>0</v>
      </c>
      <c r="J44" s="136">
        <f>'Бюджет затрат (ориентир.)'!G73</f>
        <v>0</v>
      </c>
      <c r="K44" s="136">
        <f>'Бюджет затрат (ориентир.)'!H73</f>
        <v>0</v>
      </c>
      <c r="L44" s="136">
        <f>'Бюджет затрат (ориентир.)'!I73</f>
        <v>0</v>
      </c>
      <c r="M44" s="136">
        <f>'Бюджет затрат (ориентир.)'!J73</f>
        <v>0</v>
      </c>
      <c r="N44" s="136">
        <f>'Бюджет затрат (ориентир.)'!K73</f>
        <v>0</v>
      </c>
      <c r="O44" s="136">
        <f>'Бюджет затрат (ориентир.)'!L73</f>
        <v>0</v>
      </c>
      <c r="P44" s="137">
        <f>'Бюджет затрат (ориентир.)'!M73</f>
        <v>1.21E-2</v>
      </c>
    </row>
    <row r="45" spans="1:16" s="421" customFormat="1" hidden="1" outlineLevel="1" x14ac:dyDescent="0.35">
      <c r="A45" s="135" t="s">
        <v>241</v>
      </c>
      <c r="B45" s="138" t="s">
        <v>170</v>
      </c>
      <c r="C45" s="127"/>
      <c r="D45" s="128"/>
      <c r="E45" s="136">
        <f>'Бюджет затрат (ориентир.)'!B74</f>
        <v>0</v>
      </c>
      <c r="F45" s="136">
        <f>'Бюджет затрат (ориентир.)'!C74</f>
        <v>0</v>
      </c>
      <c r="G45" s="136">
        <f>'Бюджет затрат (ориентир.)'!D74</f>
        <v>0</v>
      </c>
      <c r="H45" s="136">
        <f>'Бюджет затрат (ориентир.)'!E74</f>
        <v>0</v>
      </c>
      <c r="I45" s="136">
        <f>'Бюджет затрат (ориентир.)'!F74</f>
        <v>0</v>
      </c>
      <c r="J45" s="136">
        <f>'Бюджет затрат (ориентир.)'!G74</f>
        <v>0</v>
      </c>
      <c r="K45" s="136">
        <f>'Бюджет затрат (ориентир.)'!H74</f>
        <v>0</v>
      </c>
      <c r="L45" s="136">
        <f>'Бюджет затрат (ориентир.)'!I74</f>
        <v>0</v>
      </c>
      <c r="M45" s="136">
        <f>'Бюджет затрат (ориентир.)'!J74</f>
        <v>0</v>
      </c>
      <c r="N45" s="136">
        <f>'Бюджет затрат (ориентир.)'!K74</f>
        <v>0</v>
      </c>
      <c r="O45" s="136">
        <f>'Бюджет затрат (ориентир.)'!L74</f>
        <v>0</v>
      </c>
      <c r="P45" s="137">
        <f>'Бюджет затрат (ориентир.)'!M74</f>
        <v>1.8E-3</v>
      </c>
    </row>
    <row r="46" spans="1:16" s="421" customFormat="1" hidden="1" outlineLevel="1" x14ac:dyDescent="0.35">
      <c r="A46" s="135" t="s">
        <v>242</v>
      </c>
      <c r="B46" s="138" t="s">
        <v>171</v>
      </c>
      <c r="C46" s="127"/>
      <c r="D46" s="128"/>
      <c r="E46" s="136">
        <f>'Бюджет затрат (ориентир.)'!B75</f>
        <v>2.9999999999999997E-4</v>
      </c>
      <c r="F46" s="136">
        <f>'Бюджет затрат (ориентир.)'!C75</f>
        <v>4.0000000000000002E-4</v>
      </c>
      <c r="G46" s="136">
        <f>'Бюджет затрат (ориентир.)'!D75</f>
        <v>2.0000000000000001E-4</v>
      </c>
      <c r="H46" s="136">
        <f>'Бюджет затрат (ориентир.)'!E75</f>
        <v>1E-4</v>
      </c>
      <c r="I46" s="136">
        <f>'Бюджет затрат (ориентир.)'!F75</f>
        <v>0</v>
      </c>
      <c r="J46" s="136">
        <f>'Бюджет затрат (ориентир.)'!G75</f>
        <v>6.9999999999999999E-4</v>
      </c>
      <c r="K46" s="136">
        <f>'Бюджет затрат (ориентир.)'!H75</f>
        <v>2.9999999999999997E-4</v>
      </c>
      <c r="L46" s="136">
        <f>'Бюджет затрат (ориентир.)'!I75</f>
        <v>1E-4</v>
      </c>
      <c r="M46" s="136">
        <f>'Бюджет затрат (ориентир.)'!J75</f>
        <v>5.9999999999999995E-4</v>
      </c>
      <c r="N46" s="136">
        <f>'Бюджет затрат (ориентир.)'!K75</f>
        <v>0</v>
      </c>
      <c r="O46" s="136">
        <f>'Бюджет затрат (ориентир.)'!L75</f>
        <v>5.0000000000000001E-4</v>
      </c>
      <c r="P46" s="137">
        <f>'Бюджет затрат (ориентир.)'!M75</f>
        <v>1E-3</v>
      </c>
    </row>
    <row r="47" spans="1:16" s="421" customFormat="1" hidden="1" outlineLevel="1" x14ac:dyDescent="0.35">
      <c r="A47" s="135" t="s">
        <v>243</v>
      </c>
      <c r="B47" s="138" t="s">
        <v>172</v>
      </c>
      <c r="C47" s="127"/>
      <c r="D47" s="128"/>
      <c r="E47" s="136">
        <f>'Бюджет затрат (ориентир.)'!B76</f>
        <v>1.4E-3</v>
      </c>
      <c r="F47" s="136">
        <f>'Бюджет затрат (ориентир.)'!C76</f>
        <v>1.1999999999999999E-3</v>
      </c>
      <c r="G47" s="136">
        <f>'Бюджет затрат (ориентир.)'!D76</f>
        <v>8.9999999999999998E-4</v>
      </c>
      <c r="H47" s="136">
        <f>'Бюджет затрат (ориентир.)'!E76</f>
        <v>1.1999999999999999E-3</v>
      </c>
      <c r="I47" s="136">
        <f>'Бюджет затрат (ориентир.)'!F76</f>
        <v>1.1999999999999999E-3</v>
      </c>
      <c r="J47" s="136">
        <f>'Бюджет затрат (ориентир.)'!G76</f>
        <v>1E-3</v>
      </c>
      <c r="K47" s="136">
        <f>'Бюджет затрат (ориентир.)'!H76</f>
        <v>1.1000000000000001E-3</v>
      </c>
      <c r="L47" s="136">
        <f>'Бюджет затрат (ориентир.)'!I76</f>
        <v>5.0000000000000001E-4</v>
      </c>
      <c r="M47" s="136">
        <f>'Бюджет затрат (ориентир.)'!J76</f>
        <v>1E-3</v>
      </c>
      <c r="N47" s="136">
        <f>'Бюджет затрат (ориентир.)'!K76</f>
        <v>1E-3</v>
      </c>
      <c r="O47" s="136">
        <f>'Бюджет затрат (ориентир.)'!L76</f>
        <v>5.9999999999999995E-4</v>
      </c>
      <c r="P47" s="137">
        <f>'Бюджет затрат (ориентир.)'!M76</f>
        <v>8.9999999999999998E-4</v>
      </c>
    </row>
    <row r="48" spans="1:16" s="421" customFormat="1" collapsed="1" x14ac:dyDescent="0.35">
      <c r="A48" s="120" t="s">
        <v>244</v>
      </c>
      <c r="B48" s="91" t="s">
        <v>433</v>
      </c>
      <c r="C48" s="127">
        <f t="shared" si="3"/>
        <v>4820.9278679040008</v>
      </c>
      <c r="D48" s="128">
        <f t="shared" si="1"/>
        <v>2.2133333333333331E-4</v>
      </c>
      <c r="E48" s="129">
        <f>E3*SUM(E49:E52)</f>
        <v>0</v>
      </c>
      <c r="F48" s="129">
        <f>F3*SUM(F49:F52)</f>
        <v>0</v>
      </c>
      <c r="G48" s="129">
        <f>G3*SUM(G49:G52)</f>
        <v>0</v>
      </c>
      <c r="H48" s="129">
        <f>H3*SUM(H49:H52)</f>
        <v>0</v>
      </c>
      <c r="I48" s="129">
        <f>I3*SUM(I49:I52)</f>
        <v>0</v>
      </c>
      <c r="J48" s="129">
        <f>J3*SUM(J49:J52)</f>
        <v>0</v>
      </c>
      <c r="K48" s="129">
        <f>K3*SUM(K49:K52)</f>
        <v>0</v>
      </c>
      <c r="L48" s="129">
        <f>L3*SUM(L49:L52)</f>
        <v>3023.9705677440006</v>
      </c>
      <c r="M48" s="129">
        <f>M3*SUM(M49:M52)</f>
        <v>0</v>
      </c>
      <c r="N48" s="129">
        <f>N3*SUM(N49:N52)</f>
        <v>0</v>
      </c>
      <c r="O48" s="129">
        <f>O3*SUM(O49:O52)</f>
        <v>1796.9573001600004</v>
      </c>
      <c r="P48" s="130">
        <f>P3*SUM(P49:P52)*Операционный!O66</f>
        <v>0</v>
      </c>
    </row>
    <row r="49" spans="1:16" s="421" customFormat="1" hidden="1" outlineLevel="1" x14ac:dyDescent="0.35">
      <c r="A49" s="135" t="s">
        <v>192</v>
      </c>
      <c r="B49" s="97" t="s">
        <v>173</v>
      </c>
      <c r="C49" s="127"/>
      <c r="D49" s="128"/>
      <c r="E49" s="136">
        <f>'Бюджет затрат (ориентир.)'!B81</f>
        <v>0</v>
      </c>
      <c r="F49" s="136">
        <f>'Бюджет затрат (ориентир.)'!C81</f>
        <v>0</v>
      </c>
      <c r="G49" s="136">
        <f>'Бюджет затрат (ориентир.)'!D81</f>
        <v>0</v>
      </c>
      <c r="H49" s="136">
        <f>'Бюджет затрат (ориентир.)'!E81</f>
        <v>0</v>
      </c>
      <c r="I49" s="136">
        <f>'Бюджет затрат (ориентир.)'!F81</f>
        <v>0</v>
      </c>
      <c r="J49" s="136">
        <f>'Бюджет затрат (ориентир.)'!G81</f>
        <v>0</v>
      </c>
      <c r="K49" s="136">
        <f>'Бюджет затрат (ориентир.)'!H81</f>
        <v>0</v>
      </c>
      <c r="L49" s="136">
        <f>'Бюджет затрат (ориентир.)'!I81</f>
        <v>8.9999999999999998E-4</v>
      </c>
      <c r="M49" s="136">
        <f>'Бюджет затрат (ориентир.)'!J81</f>
        <v>0</v>
      </c>
      <c r="N49" s="136">
        <f>'Бюджет затрат (ориентир.)'!K81</f>
        <v>0</v>
      </c>
      <c r="O49" s="136">
        <f>'Бюджет затрат (ориентир.)'!L81</f>
        <v>5.0000000000000001E-4</v>
      </c>
      <c r="P49" s="137">
        <f>'Бюджет затрат (ориентир.)'!M81</f>
        <v>0</v>
      </c>
    </row>
    <row r="50" spans="1:16" s="421" customFormat="1" hidden="1" outlineLevel="1" x14ac:dyDescent="0.35">
      <c r="A50" s="135" t="s">
        <v>193</v>
      </c>
      <c r="B50" s="97" t="s">
        <v>174</v>
      </c>
      <c r="C50" s="127"/>
      <c r="D50" s="128"/>
      <c r="E50" s="136">
        <f>'Бюджет затрат (ориентир.)'!B82</f>
        <v>0</v>
      </c>
      <c r="F50" s="136">
        <f>'Бюджет затрат (ориентир.)'!C82</f>
        <v>0</v>
      </c>
      <c r="G50" s="136">
        <f>'Бюджет затрат (ориентир.)'!D82</f>
        <v>0</v>
      </c>
      <c r="H50" s="136">
        <f>'Бюджет затрат (ориентир.)'!E82</f>
        <v>0</v>
      </c>
      <c r="I50" s="136">
        <f>'Бюджет затрат (ориентир.)'!F82</f>
        <v>0</v>
      </c>
      <c r="J50" s="136">
        <f>'Бюджет затрат (ориентир.)'!G82</f>
        <v>0</v>
      </c>
      <c r="K50" s="136">
        <f>'Бюджет затрат (ориентир.)'!H82</f>
        <v>0</v>
      </c>
      <c r="L50" s="136">
        <f>'Бюджет затрат (ориентир.)'!I82</f>
        <v>8.0000000000000004E-4</v>
      </c>
      <c r="M50" s="136">
        <f>'Бюджет затрат (ориентир.)'!J82</f>
        <v>0</v>
      </c>
      <c r="N50" s="136">
        <f>'Бюджет затрат (ориентир.)'!K82</f>
        <v>0</v>
      </c>
      <c r="O50" s="136">
        <f>'Бюджет затрат (ориентир.)'!L82</f>
        <v>0</v>
      </c>
      <c r="P50" s="137">
        <f>'Бюджет затрат (ориентир.)'!M82</f>
        <v>0</v>
      </c>
    </row>
    <row r="51" spans="1:16" s="421" customFormat="1" hidden="1" outlineLevel="1" x14ac:dyDescent="0.35">
      <c r="A51" s="135" t="s">
        <v>245</v>
      </c>
      <c r="B51" s="97" t="s">
        <v>175</v>
      </c>
      <c r="C51" s="127"/>
      <c r="D51" s="128"/>
      <c r="E51" s="136">
        <f>'Бюджет затрат (ориентир.)'!B83</f>
        <v>0</v>
      </c>
      <c r="F51" s="136">
        <f>'Бюджет затрат (ориентир.)'!C83</f>
        <v>0</v>
      </c>
      <c r="G51" s="136">
        <f>'Бюджет затрат (ориентир.)'!D83</f>
        <v>0</v>
      </c>
      <c r="H51" s="136">
        <f>'Бюджет затрат (ориентир.)'!E83</f>
        <v>0</v>
      </c>
      <c r="I51" s="136">
        <f>'Бюджет затрат (ориентир.)'!F83</f>
        <v>0</v>
      </c>
      <c r="J51" s="136">
        <f>'Бюджет затрат (ориентир.)'!G83</f>
        <v>0</v>
      </c>
      <c r="K51" s="136">
        <f>'Бюджет затрат (ориентир.)'!H83</f>
        <v>0</v>
      </c>
      <c r="L51" s="136">
        <f>'Бюджет затрат (ориентир.)'!I83</f>
        <v>0</v>
      </c>
      <c r="M51" s="136">
        <f>'Бюджет затрат (ориентир.)'!J83</f>
        <v>0</v>
      </c>
      <c r="N51" s="136">
        <f>'Бюджет затрат (ориентир.)'!K83</f>
        <v>0</v>
      </c>
      <c r="O51" s="136">
        <f>'Бюджет затрат (ориентир.)'!L83</f>
        <v>5.0000000000000001E-4</v>
      </c>
      <c r="P51" s="137">
        <f>'Бюджет затрат (ориентир.)'!M83</f>
        <v>0</v>
      </c>
    </row>
    <row r="52" spans="1:16" s="421" customFormat="1" hidden="1" outlineLevel="1" x14ac:dyDescent="0.35">
      <c r="A52" s="135" t="s">
        <v>246</v>
      </c>
      <c r="B52" s="97" t="s">
        <v>176</v>
      </c>
      <c r="C52" s="127"/>
      <c r="D52" s="128"/>
      <c r="E52" s="136">
        <f>'Бюджет затрат (ориентир.)'!B84</f>
        <v>0</v>
      </c>
      <c r="F52" s="136">
        <f>'Бюджет затрат (ориентир.)'!C84</f>
        <v>0</v>
      </c>
      <c r="G52" s="136">
        <f>'Бюджет затрат (ориентир.)'!D84</f>
        <v>0</v>
      </c>
      <c r="H52" s="136">
        <f>'Бюджет затрат (ориентир.)'!E84</f>
        <v>0</v>
      </c>
      <c r="I52" s="136">
        <f>'Бюджет затрат (ориентир.)'!F84</f>
        <v>0</v>
      </c>
      <c r="J52" s="136">
        <f>'Бюджет затрат (ориентир.)'!G84</f>
        <v>0</v>
      </c>
      <c r="K52" s="136">
        <f>'Бюджет затрат (ориентир.)'!H84</f>
        <v>0</v>
      </c>
      <c r="L52" s="136">
        <f>'Бюджет затрат (ориентир.)'!I84</f>
        <v>0</v>
      </c>
      <c r="M52" s="136">
        <f>'Бюджет затрат (ориентир.)'!J84</f>
        <v>0</v>
      </c>
      <c r="N52" s="136">
        <f>'Бюджет затрат (ориентир.)'!K84</f>
        <v>0</v>
      </c>
      <c r="O52" s="136">
        <f>'Бюджет затрат (ориентир.)'!L84</f>
        <v>0</v>
      </c>
      <c r="P52" s="137">
        <f>'Бюджет затрат (ориентир.)'!M84</f>
        <v>0</v>
      </c>
    </row>
    <row r="53" spans="1:16" s="421" customFormat="1" collapsed="1" x14ac:dyDescent="0.35">
      <c r="A53" s="120" t="s">
        <v>247</v>
      </c>
      <c r="B53" s="91" t="s">
        <v>434</v>
      </c>
      <c r="C53" s="127">
        <f t="shared" si="3"/>
        <v>263571.88844064006</v>
      </c>
      <c r="D53" s="128">
        <f t="shared" si="1"/>
        <v>1.2100833333333333E-2</v>
      </c>
      <c r="E53" s="129">
        <f>E3*SUM(E54:E57)</f>
        <v>28179.5576616</v>
      </c>
      <c r="F53" s="129">
        <f>F3*SUM(F54:F57)*Операционный!E66</f>
        <v>0</v>
      </c>
      <c r="G53" s="129">
        <f>G3*SUM(G54:G57)*Операционный!F66</f>
        <v>28295.724598176002</v>
      </c>
      <c r="H53" s="129">
        <f>H3*SUM(H54:H57)*Операционный!G66</f>
        <v>24322.452345600006</v>
      </c>
      <c r="I53" s="129">
        <f>I3*SUM(I54:I57)*Операционный!H66</f>
        <v>20873.746416000005</v>
      </c>
      <c r="J53" s="129">
        <f>J3*SUM(J54:J57)*Операционный!I66</f>
        <v>18416.089664064006</v>
      </c>
      <c r="K53" s="129">
        <f>K3*SUM(K54:K57)*Операционный!J66</f>
        <v>19423.474817184004</v>
      </c>
      <c r="L53" s="129">
        <f>L3*SUM(L54:L57)*Операционный!K66</f>
        <v>19033.226514624006</v>
      </c>
      <c r="M53" s="129">
        <f>M3*SUM(M54:M57)*Операционный!L66</f>
        <v>26384.415469824005</v>
      </c>
      <c r="N53" s="129">
        <f>N3*SUM(N54:N57)*Операционный!M66</f>
        <v>24140.941507200005</v>
      </c>
      <c r="O53" s="129">
        <f>O3*SUM(O54:O57)*Операционный!N66</f>
        <v>26594.968042368007</v>
      </c>
      <c r="P53" s="130">
        <f>P3*SUM(P54:P57)</f>
        <v>27907.291404000007</v>
      </c>
    </row>
    <row r="54" spans="1:16" s="421" customFormat="1" hidden="1" outlineLevel="1" x14ac:dyDescent="0.35">
      <c r="A54" s="135" t="s">
        <v>194</v>
      </c>
      <c r="B54" s="99" t="s">
        <v>178</v>
      </c>
      <c r="C54" s="127"/>
      <c r="D54" s="128"/>
      <c r="E54" s="136">
        <f>'Бюджет затрат (ориентир.)'!B89</f>
        <v>6.9999999999999999E-4</v>
      </c>
      <c r="F54" s="136">
        <f>'Бюджет затрат (ориентир.)'!C89</f>
        <v>8.0000000000000004E-4</v>
      </c>
      <c r="G54" s="136">
        <f>'Бюджет затрат (ориентир.)'!D89</f>
        <v>5.0000000000000001E-4</v>
      </c>
      <c r="H54" s="136">
        <f>'Бюджет затрат (ориентир.)'!E89</f>
        <v>1E-3</v>
      </c>
      <c r="I54" s="136">
        <f>'Бюджет затрат (ориентир.)'!F89</f>
        <v>8.9999999999999998E-4</v>
      </c>
      <c r="J54" s="136">
        <f>'Бюджет затрат (ориентир.)'!G89</f>
        <v>6.9999999999999999E-4</v>
      </c>
      <c r="K54" s="136">
        <f>'Бюджет затрат (ориентир.)'!H89</f>
        <v>5.9999999999999995E-4</v>
      </c>
      <c r="L54" s="136">
        <f>'Бюджет затрат (ориентир.)'!I89</f>
        <v>4.0000000000000002E-4</v>
      </c>
      <c r="M54" s="136">
        <f>'Бюджет затрат (ориентир.)'!J89</f>
        <v>5.9999999999999995E-4</v>
      </c>
      <c r="N54" s="136">
        <f>'Бюджет затрат (ориентир.)'!K89</f>
        <v>5.0000000000000001E-4</v>
      </c>
      <c r="O54" s="136">
        <f>'Бюджет затрат (ориентир.)'!L89</f>
        <v>5.9999999999999995E-4</v>
      </c>
      <c r="P54" s="137">
        <f>'Бюджет затрат (ориентир.)'!M89</f>
        <v>4.0000000000000002E-4</v>
      </c>
    </row>
    <row r="55" spans="1:16" s="421" customFormat="1" hidden="1" outlineLevel="1" x14ac:dyDescent="0.35">
      <c r="A55" s="135" t="s">
        <v>195</v>
      </c>
      <c r="B55" s="99" t="s">
        <v>179</v>
      </c>
      <c r="C55" s="127"/>
      <c r="D55" s="128"/>
      <c r="E55" s="136">
        <f>'Бюджет затрат (ориентир.)'!B90</f>
        <v>3.5000000000000001E-3</v>
      </c>
      <c r="F55" s="136">
        <f>'Бюджет затрат (ориентир.)'!C90</f>
        <v>3.7000000000000002E-3</v>
      </c>
      <c r="G55" s="136">
        <f>'Бюджет затрат (ориентир.)'!D90</f>
        <v>5.3E-3</v>
      </c>
      <c r="H55" s="136">
        <f>'Бюджет затрат (ориентир.)'!E90</f>
        <v>3.3E-3</v>
      </c>
      <c r="I55" s="136">
        <f>'Бюджет затрат (ориентир.)'!F90</f>
        <v>3.3E-3</v>
      </c>
      <c r="J55" s="136">
        <f>'Бюджет затрат (ориентир.)'!G90</f>
        <v>3.0000000000000001E-3</v>
      </c>
      <c r="K55" s="136">
        <f>'Бюджет затрат (ориентир.)'!H90</f>
        <v>2.3999999999999998E-3</v>
      </c>
      <c r="L55" s="136">
        <f>'Бюджет затрат (ориентир.)'!I90</f>
        <v>2.3E-3</v>
      </c>
      <c r="M55" s="136">
        <f>'Бюджет затрат (ориентир.)'!J90</f>
        <v>8.0999999999999996E-3</v>
      </c>
      <c r="N55" s="136">
        <f>'Бюджет затрат (ориентир.)'!K90</f>
        <v>4.5999999999999999E-3</v>
      </c>
      <c r="O55" s="136">
        <f>'Бюджет затрат (ориентир.)'!L90</f>
        <v>5.1000000000000004E-3</v>
      </c>
      <c r="P55" s="137">
        <f>'Бюджет затрат (ориентир.)'!M90</f>
        <v>4.1999999999999997E-3</v>
      </c>
    </row>
    <row r="56" spans="1:16" s="421" customFormat="1" hidden="1" outlineLevel="1" x14ac:dyDescent="0.35">
      <c r="A56" s="135" t="s">
        <v>196</v>
      </c>
      <c r="B56" s="99" t="s">
        <v>180</v>
      </c>
      <c r="C56" s="127"/>
      <c r="D56" s="128"/>
      <c r="E56" s="136">
        <f>'Бюджет затрат (ориентир.)'!B91</f>
        <v>0</v>
      </c>
      <c r="F56" s="136">
        <f>'Бюджет затрат (ориентир.)'!C91</f>
        <v>0</v>
      </c>
      <c r="G56" s="136">
        <f>'Бюджет затрат (ориентир.)'!D91</f>
        <v>0</v>
      </c>
      <c r="H56" s="136">
        <f>'Бюджет затрат (ориентир.)'!E91</f>
        <v>0</v>
      </c>
      <c r="I56" s="136">
        <f>'Бюджет затрат (ориентир.)'!F91</f>
        <v>0</v>
      </c>
      <c r="J56" s="136">
        <f>'Бюджет затрат (ориентир.)'!G91</f>
        <v>0</v>
      </c>
      <c r="K56" s="136">
        <f>'Бюджет затрат (ориентир.)'!H91</f>
        <v>0</v>
      </c>
      <c r="L56" s="136">
        <f>'Бюджет затрат (ориентир.)'!I91</f>
        <v>0</v>
      </c>
      <c r="M56" s="136">
        <f>'Бюджет затрат (ориентир.)'!J91</f>
        <v>0</v>
      </c>
      <c r="N56" s="136">
        <f>'Бюджет затрат (ориентир.)'!K91</f>
        <v>0</v>
      </c>
      <c r="O56" s="136">
        <f>'Бюджет затрат (ориентир.)'!L91</f>
        <v>8.9999999999999998E-4</v>
      </c>
      <c r="P56" s="137">
        <f>'Бюджет затрат (ориентир.)'!M91</f>
        <v>0</v>
      </c>
    </row>
    <row r="57" spans="1:16" s="421" customFormat="1" hidden="1" outlineLevel="1" x14ac:dyDescent="0.35">
      <c r="A57" s="135" t="s">
        <v>197</v>
      </c>
      <c r="B57" s="99" t="s">
        <v>181</v>
      </c>
      <c r="C57" s="127"/>
      <c r="D57" s="128"/>
      <c r="E57" s="136">
        <f>'Бюджет затрат (ориентир.)'!B92</f>
        <v>9.2999999999999992E-3</v>
      </c>
      <c r="F57" s="136">
        <f>'Бюджет затрат (ориентир.)'!C92</f>
        <v>8.6999999999999994E-3</v>
      </c>
      <c r="G57" s="136">
        <f>'Бюджет затрат (ориентир.)'!D92</f>
        <v>7.3000000000000001E-3</v>
      </c>
      <c r="H57" s="136">
        <f>'Бюджет затрат (ориентир.)'!E92</f>
        <v>9.1000000000000004E-3</v>
      </c>
      <c r="I57" s="136">
        <f>'Бюджет затрат (ориентир.)'!F92</f>
        <v>8.3000000000000001E-3</v>
      </c>
      <c r="J57" s="136">
        <f>'Бюджет затрат (ориентир.)'!G92</f>
        <v>7.7000000000000002E-3</v>
      </c>
      <c r="K57" s="136">
        <f>'Бюджет затрат (ориентир.)'!H92</f>
        <v>9.2999999999999992E-3</v>
      </c>
      <c r="L57" s="136">
        <f>'Бюджет затрат (ориентир.)'!I92</f>
        <v>8.0000000000000002E-3</v>
      </c>
      <c r="M57" s="136">
        <f>'Бюджет затрат (ориентир.)'!J92</f>
        <v>7.1000000000000004E-3</v>
      </c>
      <c r="N57" s="136">
        <f>'Бюджет затрат (ориентир.)'!K92</f>
        <v>8.8999999999999999E-3</v>
      </c>
      <c r="O57" s="136">
        <f>'Бюджет затрат (ориентир.)'!L92</f>
        <v>8.2000000000000007E-3</v>
      </c>
      <c r="P57" s="137">
        <f>'Бюджет затрат (ориентир.)'!M92</f>
        <v>7.7000000000000002E-3</v>
      </c>
    </row>
    <row r="58" spans="1:16" s="421" customFormat="1" collapsed="1" x14ac:dyDescent="0.35">
      <c r="A58" s="120" t="s">
        <v>248</v>
      </c>
      <c r="B58" s="91" t="s">
        <v>435</v>
      </c>
      <c r="C58" s="127">
        <f t="shared" si="3"/>
        <v>851002.67518809612</v>
      </c>
      <c r="D58" s="128">
        <f t="shared" si="1"/>
        <v>3.9070333333333325E-2</v>
      </c>
      <c r="E58" s="129">
        <f>E3*SUM(E59:E63)</f>
        <v>83286.248199840018</v>
      </c>
      <c r="F58" s="129">
        <f>F3*SUM(F59:F63)</f>
        <v>63810.135239520016</v>
      </c>
      <c r="G58" s="129">
        <f>G3*SUM(G59:G63)</f>
        <v>82943.192715264013</v>
      </c>
      <c r="H58" s="129">
        <f>H3*SUM(H59:H63)</f>
        <v>72059.802844800011</v>
      </c>
      <c r="I58" s="129">
        <f>I3*SUM(I59:I63)</f>
        <v>66128.028645888015</v>
      </c>
      <c r="J58" s="129">
        <f>J3*SUM(J59:J63)</f>
        <v>64940.94776275201</v>
      </c>
      <c r="K58" s="129">
        <f>K3*SUM(K59:K63)</f>
        <v>62218.285186752008</v>
      </c>
      <c r="L58" s="129">
        <f>L3*SUM(L59:L63)</f>
        <v>70974.368031168022</v>
      </c>
      <c r="M58" s="129">
        <f>M3*SUM(M59:M63)</f>
        <v>64458.128932608</v>
      </c>
      <c r="N58" s="129">
        <f>N3*SUM(N59:N63)</f>
        <v>65870.283255360016</v>
      </c>
      <c r="O58" s="129">
        <f>O3*SUM(O59:O63)</f>
        <v>69003.160326144018</v>
      </c>
      <c r="P58" s="130">
        <f>P3*SUM(P59:P63)</f>
        <v>85310.094048000014</v>
      </c>
    </row>
    <row r="59" spans="1:16" s="421" customFormat="1" hidden="1" outlineLevel="1" x14ac:dyDescent="0.35">
      <c r="A59" s="135" t="s">
        <v>198</v>
      </c>
      <c r="B59" s="138" t="s">
        <v>182</v>
      </c>
      <c r="C59" s="127"/>
      <c r="D59" s="128"/>
      <c r="E59" s="139">
        <f>'Бюджет затрат (ориентир.)'!B97</f>
        <v>3.2500000000000001E-2</v>
      </c>
      <c r="F59" s="139">
        <f>'Бюджет затрат (ориентир.)'!C97</f>
        <v>3.2399999999999998E-2</v>
      </c>
      <c r="G59" s="139">
        <f>'Бюджет затрат (ориентир.)'!D97</f>
        <v>3.2300000000000002E-2</v>
      </c>
      <c r="H59" s="139">
        <f>'Бюджет затрат (ориентир.)'!E97</f>
        <v>3.2800000000000003E-2</v>
      </c>
      <c r="I59" s="139">
        <f>'Бюджет затрат (ориентир.)'!F97</f>
        <v>3.2800000000000003E-2</v>
      </c>
      <c r="J59" s="139">
        <f>'Бюджет затрат (ориентир.)'!G97</f>
        <v>3.2399999999999998E-2</v>
      </c>
      <c r="K59" s="139">
        <f>'Бюджет затрат (ориентир.)'!H97</f>
        <v>3.2399999999999998E-2</v>
      </c>
      <c r="L59" s="139">
        <f>'Бюджет затрат (ориентир.)'!I97</f>
        <v>3.2300000000000002E-2</v>
      </c>
      <c r="M59" s="139">
        <f>'Бюджет затрат (ориентир.)'!J97</f>
        <v>3.2399999999999998E-2</v>
      </c>
      <c r="N59" s="139">
        <f>'Бюджет затрат (ориентир.)'!K97</f>
        <v>3.2300000000000002E-2</v>
      </c>
      <c r="O59" s="139">
        <f>'Бюджет затрат (ориентир.)'!L97</f>
        <v>3.2300000000000002E-2</v>
      </c>
      <c r="P59" s="140">
        <f>'Бюджет затрат (ориентир.)'!M97</f>
        <v>3.2000000000000001E-2</v>
      </c>
    </row>
    <row r="60" spans="1:16" hidden="1" outlineLevel="1" x14ac:dyDescent="0.35">
      <c r="A60" s="135" t="s">
        <v>199</v>
      </c>
      <c r="B60" s="138" t="s">
        <v>183</v>
      </c>
      <c r="C60" s="127"/>
      <c r="D60" s="128"/>
      <c r="E60" s="139">
        <f>'Бюджет затрат (ориентир.)'!B98</f>
        <v>0</v>
      </c>
      <c r="F60" s="139">
        <f>'Бюджет затрат (ориентир.)'!C98</f>
        <v>0</v>
      </c>
      <c r="G60" s="139">
        <f>'Бюджет затрат (ориентир.)'!D98</f>
        <v>0</v>
      </c>
      <c r="H60" s="139">
        <f>'Бюджет затрат (ориентир.)'!E98</f>
        <v>0</v>
      </c>
      <c r="I60" s="139">
        <f>'Бюджет затрат (ориентир.)'!F98</f>
        <v>0</v>
      </c>
      <c r="J60" s="139">
        <f>'Бюджет затрат (ориентир.)'!G98</f>
        <v>0</v>
      </c>
      <c r="K60" s="139">
        <f>'Бюджет затрат (ориентир.)'!H98</f>
        <v>0</v>
      </c>
      <c r="L60" s="139">
        <f>'Бюджет затрат (ориентир.)'!I98</f>
        <v>0</v>
      </c>
      <c r="M60" s="139">
        <f>'Бюджет затрат (ориентир.)'!J98</f>
        <v>0</v>
      </c>
      <c r="N60" s="139">
        <f>'Бюджет затрат (ориентир.)'!K98</f>
        <v>0</v>
      </c>
      <c r="O60" s="139">
        <f>'Бюджет затрат (ориентир.)'!L98</f>
        <v>0</v>
      </c>
      <c r="P60" s="140">
        <f>'Бюджет затрат (ориентир.)'!M98</f>
        <v>0</v>
      </c>
    </row>
    <row r="61" spans="1:16" hidden="1" outlineLevel="1" x14ac:dyDescent="0.35">
      <c r="A61" s="135" t="s">
        <v>200</v>
      </c>
      <c r="B61" s="138" t="s">
        <v>184</v>
      </c>
      <c r="C61" s="127"/>
      <c r="D61" s="128"/>
      <c r="E61" s="139">
        <f>'Бюджет затрат (ориентир.)'!B99</f>
        <v>0</v>
      </c>
      <c r="F61" s="139">
        <f>'Бюджет затрат (ориентир.)'!C99</f>
        <v>0</v>
      </c>
      <c r="G61" s="139">
        <f>'Бюджет затрат (ориентир.)'!D99</f>
        <v>0</v>
      </c>
      <c r="H61" s="139">
        <f>'Бюджет затрат (ориентир.)'!E99</f>
        <v>0</v>
      </c>
      <c r="I61" s="139">
        <f>'Бюджет затрат (ориентир.)'!F99</f>
        <v>0</v>
      </c>
      <c r="J61" s="139">
        <f>'Бюджет затрат (ориентир.)'!G99</f>
        <v>0</v>
      </c>
      <c r="K61" s="139">
        <f>'Бюджет затрат (ориентир.)'!H99</f>
        <v>0</v>
      </c>
      <c r="L61" s="139">
        <f>'Бюджет затрат (ориентир.)'!I99</f>
        <v>0</v>
      </c>
      <c r="M61" s="139">
        <f>'Бюджет затрат (ориентир.)'!J99</f>
        <v>0</v>
      </c>
      <c r="N61" s="139">
        <f>'Бюджет затрат (ориентир.)'!K99</f>
        <v>0</v>
      </c>
      <c r="O61" s="139">
        <f>'Бюджет затрат (ориентир.)'!L99</f>
        <v>0</v>
      </c>
      <c r="P61" s="140">
        <f>'Бюджет затрат (ориентир.)'!M99</f>
        <v>0</v>
      </c>
    </row>
    <row r="62" spans="1:16" hidden="1" outlineLevel="1" x14ac:dyDescent="0.35">
      <c r="A62" s="135" t="s">
        <v>201</v>
      </c>
      <c r="B62" s="138" t="s">
        <v>185</v>
      </c>
      <c r="C62" s="127"/>
      <c r="D62" s="128"/>
      <c r="E62" s="139">
        <f>'Бюджет затрат (ориентир.)'!B100</f>
        <v>0</v>
      </c>
      <c r="F62" s="139">
        <f>'Бюджет затрат (ориентир.)'!C100</f>
        <v>0</v>
      </c>
      <c r="G62" s="139">
        <f>'Бюджет затрат (ориентир.)'!D100</f>
        <v>0</v>
      </c>
      <c r="H62" s="139">
        <f>'Бюджет затрат (ориентир.)'!E100</f>
        <v>0</v>
      </c>
      <c r="I62" s="139">
        <f>'Бюджет затрат (ориентир.)'!F100</f>
        <v>0</v>
      </c>
      <c r="J62" s="139">
        <f>'Бюджет затрат (ориентир.)'!G100</f>
        <v>0</v>
      </c>
      <c r="K62" s="139">
        <f>'Бюджет затрат (ориентир.)'!H100</f>
        <v>0</v>
      </c>
      <c r="L62" s="139">
        <f>'Бюджет затрат (ориентир.)'!I100</f>
        <v>0</v>
      </c>
      <c r="M62" s="139">
        <f>'Бюджет затрат (ориентир.)'!J100</f>
        <v>0</v>
      </c>
      <c r="N62" s="139">
        <f>'Бюджет затрат (ориентир.)'!K100</f>
        <v>0</v>
      </c>
      <c r="O62" s="139">
        <f>'Бюджет затрат (ориентир.)'!L100</f>
        <v>0</v>
      </c>
      <c r="P62" s="140">
        <f>'Бюджет затрат (ориентир.)'!M100</f>
        <v>0</v>
      </c>
    </row>
    <row r="63" spans="1:16" hidden="1" outlineLevel="1" x14ac:dyDescent="0.35">
      <c r="A63" s="135" t="s">
        <v>249</v>
      </c>
      <c r="B63" s="138" t="s">
        <v>186</v>
      </c>
      <c r="C63" s="127"/>
      <c r="D63" s="128"/>
      <c r="E63" s="139">
        <f>'Бюджет затрат (ориентир.)'!B101</f>
        <v>7.4000000000000003E-3</v>
      </c>
      <c r="F63" s="139">
        <f>'Бюджет затрат (ориентир.)'!C101</f>
        <v>7.1000000000000004E-3</v>
      </c>
      <c r="G63" s="139">
        <f>'Бюджет затрат (ориентир.)'!D101</f>
        <v>6.1000000000000004E-3</v>
      </c>
      <c r="H63" s="139">
        <f>'Бюджет затрат (ориентир.)'!E101</f>
        <v>6.8999999999999999E-3</v>
      </c>
      <c r="I63" s="139">
        <f>'Бюджет затрат (ориентир.)'!F101</f>
        <v>6.7999999999999996E-3</v>
      </c>
      <c r="J63" s="139">
        <f>'Бюджет затрат (ориентир.)'!G101</f>
        <v>7.7999999999999996E-3</v>
      </c>
      <c r="K63" s="139">
        <f>'Бюджет затрат (ориентир.)'!H101</f>
        <v>7.0000000000000001E-3</v>
      </c>
      <c r="L63" s="139">
        <f>'Бюджет затрат (ориентир.)'!I101</f>
        <v>7.6E-3</v>
      </c>
      <c r="M63" s="139">
        <f>'Бюджет затрат (ориентир.)'!J101</f>
        <v>6.1999999999999998E-3</v>
      </c>
      <c r="N63" s="139">
        <f>'Бюджет затрат (ориентир.)'!K101</f>
        <v>5.8999999999999999E-3</v>
      </c>
      <c r="O63" s="139">
        <f>'Бюджет затрат (ориентир.)'!L101</f>
        <v>6.1000000000000004E-3</v>
      </c>
      <c r="P63" s="140">
        <f>'Бюджет затрат (ориентир.)'!M101</f>
        <v>5.5999999999999999E-3</v>
      </c>
    </row>
    <row r="64" spans="1:16" collapsed="1" x14ac:dyDescent="0.35">
      <c r="A64" s="120" t="s">
        <v>250</v>
      </c>
      <c r="B64" s="91" t="s">
        <v>470</v>
      </c>
      <c r="C64" s="127">
        <f t="shared" ref="C64" si="4">SUM(E64:P64)</f>
        <v>0</v>
      </c>
      <c r="D64" s="128">
        <f t="shared" ref="D64" si="5">C64/C$3</f>
        <v>0</v>
      </c>
      <c r="E64" s="129">
        <v>0</v>
      </c>
      <c r="F64" s="129">
        <v>0</v>
      </c>
      <c r="G64" s="129">
        <v>0</v>
      </c>
      <c r="H64" s="129">
        <v>0</v>
      </c>
      <c r="I64" s="129">
        <v>0</v>
      </c>
      <c r="J64" s="129">
        <v>0</v>
      </c>
      <c r="K64" s="129">
        <v>0</v>
      </c>
      <c r="L64" s="129">
        <v>0</v>
      </c>
      <c r="M64" s="129">
        <v>0</v>
      </c>
      <c r="N64" s="129">
        <v>0</v>
      </c>
      <c r="O64" s="129">
        <v>0</v>
      </c>
      <c r="P64" s="130">
        <v>0</v>
      </c>
    </row>
    <row r="65" spans="1:162" x14ac:dyDescent="0.35">
      <c r="A65" s="143" t="s">
        <v>251</v>
      </c>
      <c r="B65" s="90" t="s">
        <v>436</v>
      </c>
      <c r="C65" s="144">
        <f t="shared" si="3"/>
        <v>217813.00608000002</v>
      </c>
      <c r="D65" s="145">
        <v>0.01</v>
      </c>
      <c r="E65" s="146">
        <f>E3*D65</f>
        <v>20873.746416000002</v>
      </c>
      <c r="F65" s="146">
        <f>F3*D65</f>
        <v>16154.464617600004</v>
      </c>
      <c r="G65" s="146">
        <f>G3*D65</f>
        <v>21599.7897696</v>
      </c>
      <c r="H65" s="146">
        <f>H3*D65</f>
        <v>18151.083840000003</v>
      </c>
      <c r="I65" s="146">
        <f>I3*D65</f>
        <v>16698.997132800003</v>
      </c>
      <c r="J65" s="146">
        <f>J3*D65</f>
        <v>16154.464617600004</v>
      </c>
      <c r="K65" s="146">
        <f>K3*D65</f>
        <v>15791.442940800003</v>
      </c>
      <c r="L65" s="146">
        <f>L3*D65</f>
        <v>17788.062163200004</v>
      </c>
      <c r="M65" s="146">
        <f>M3*D65</f>
        <v>16698.997132800003</v>
      </c>
      <c r="N65" s="146">
        <f>N3*D65</f>
        <v>17243.529648000003</v>
      </c>
      <c r="O65" s="146">
        <f>O3*D65</f>
        <v>17969.573001600005</v>
      </c>
      <c r="P65" s="147">
        <f>P3*D65</f>
        <v>22688.854800000005</v>
      </c>
    </row>
    <row r="66" spans="1:162" s="108" customFormat="1" x14ac:dyDescent="0.35">
      <c r="A66" s="406" t="s">
        <v>252</v>
      </c>
      <c r="B66" s="403" t="s">
        <v>437</v>
      </c>
      <c r="C66" s="148">
        <f t="shared" si="3"/>
        <v>5716831.0853061099</v>
      </c>
      <c r="D66" s="149">
        <f t="shared" si="1"/>
        <v>0.26246509279645069</v>
      </c>
      <c r="E66" s="150">
        <f>E5-E6</f>
        <v>578770.0953096099</v>
      </c>
      <c r="F66" s="150">
        <f>F5-F6</f>
        <v>403690.01474146987</v>
      </c>
      <c r="G66" s="150">
        <f>G5-G6</f>
        <v>604883.02984323364</v>
      </c>
      <c r="H66" s="150">
        <f>H5-H6</f>
        <v>464529.41179979988</v>
      </c>
      <c r="I66" s="150">
        <f>I5-I6</f>
        <v>415074.7187022157</v>
      </c>
      <c r="J66" s="150">
        <f>J5-J6</f>
        <v>393640.96101737383</v>
      </c>
      <c r="K66" s="150">
        <f>K5-K6</f>
        <v>386756.31202594319</v>
      </c>
      <c r="L66" s="150">
        <f>L5-L6</f>
        <v>479531.97994808119</v>
      </c>
      <c r="M66" s="150">
        <f>M5-M6</f>
        <v>415963.34286703705</v>
      </c>
      <c r="N66" s="150">
        <f>N5-N6</f>
        <v>447126.56224250305</v>
      </c>
      <c r="O66" s="150">
        <f>O5-O6</f>
        <v>473455.4796457591</v>
      </c>
      <c r="P66" s="151">
        <f>P5-P6</f>
        <v>653409.17716308287</v>
      </c>
      <c r="Q66" s="107"/>
    </row>
    <row r="67" spans="1:162" s="112" customFormat="1" ht="21" x14ac:dyDescent="0.35">
      <c r="A67" s="102" t="s">
        <v>202</v>
      </c>
      <c r="B67" s="404" t="s">
        <v>438</v>
      </c>
      <c r="C67" s="486">
        <f>P67</f>
        <v>5716831.0853061099</v>
      </c>
      <c r="D67" s="487"/>
      <c r="E67" s="152">
        <f>E66</f>
        <v>578770.0953096099</v>
      </c>
      <c r="F67" s="152">
        <f t="shared" ref="F67:P67" si="6">E67+F66</f>
        <v>982460.11005107977</v>
      </c>
      <c r="G67" s="152">
        <f t="shared" si="6"/>
        <v>1587343.1398943134</v>
      </c>
      <c r="H67" s="152">
        <f t="shared" si="6"/>
        <v>2051872.5516941133</v>
      </c>
      <c r="I67" s="152">
        <f t="shared" si="6"/>
        <v>2466947.270396329</v>
      </c>
      <c r="J67" s="152">
        <f t="shared" si="6"/>
        <v>2860588.2314137029</v>
      </c>
      <c r="K67" s="152">
        <f t="shared" si="6"/>
        <v>3247344.5434396463</v>
      </c>
      <c r="L67" s="152">
        <f t="shared" si="6"/>
        <v>3726876.5233877273</v>
      </c>
      <c r="M67" s="152">
        <f t="shared" si="6"/>
        <v>4142839.8662547646</v>
      </c>
      <c r="N67" s="152">
        <f t="shared" si="6"/>
        <v>4589966.4284972679</v>
      </c>
      <c r="O67" s="152">
        <f t="shared" si="6"/>
        <v>5063421.9081430268</v>
      </c>
      <c r="P67" s="153">
        <f t="shared" si="6"/>
        <v>5716831.0853061099</v>
      </c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O67" s="108"/>
      <c r="AP67" s="108"/>
      <c r="AQ67" s="108"/>
      <c r="AR67" s="108"/>
      <c r="AS67" s="108"/>
      <c r="AT67" s="108"/>
      <c r="AU67" s="108"/>
      <c r="AV67" s="108"/>
      <c r="AW67" s="108"/>
      <c r="AX67" s="108"/>
      <c r="AY67" s="108"/>
      <c r="AZ67" s="108"/>
      <c r="BA67" s="108"/>
      <c r="BB67" s="108"/>
      <c r="BC67" s="108"/>
      <c r="BD67" s="108"/>
      <c r="BE67" s="108"/>
      <c r="BF67" s="108"/>
      <c r="BG67" s="108"/>
      <c r="BH67" s="108"/>
      <c r="BI67" s="108"/>
      <c r="BJ67" s="108"/>
      <c r="BK67" s="108"/>
      <c r="BL67" s="108"/>
      <c r="BM67" s="108"/>
      <c r="BN67" s="108"/>
      <c r="BO67" s="108"/>
      <c r="BP67" s="108"/>
      <c r="BQ67" s="108"/>
      <c r="BR67" s="108"/>
      <c r="BS67" s="108"/>
      <c r="BT67" s="108"/>
      <c r="BU67" s="108"/>
      <c r="BV67" s="108"/>
      <c r="BW67" s="108"/>
      <c r="BX67" s="108"/>
      <c r="BY67" s="108"/>
      <c r="BZ67" s="108"/>
      <c r="CA67" s="108"/>
      <c r="CB67" s="108"/>
      <c r="CC67" s="108"/>
      <c r="CD67" s="108"/>
      <c r="CE67" s="108"/>
      <c r="CF67" s="108"/>
      <c r="CG67" s="108"/>
      <c r="CH67" s="108"/>
      <c r="CI67" s="108"/>
      <c r="CJ67" s="108"/>
      <c r="CK67" s="108"/>
      <c r="CL67" s="108"/>
      <c r="CM67" s="108"/>
      <c r="CN67" s="108"/>
      <c r="CO67" s="108"/>
      <c r="CP67" s="108"/>
      <c r="CQ67" s="108"/>
      <c r="CR67" s="108"/>
      <c r="CS67" s="108"/>
      <c r="CT67" s="108"/>
      <c r="CU67" s="108"/>
      <c r="CV67" s="108"/>
      <c r="CW67" s="108"/>
      <c r="CX67" s="108"/>
      <c r="CY67" s="108"/>
      <c r="CZ67" s="108"/>
      <c r="DA67" s="108"/>
      <c r="DB67" s="108"/>
      <c r="DC67" s="108"/>
      <c r="DD67" s="108"/>
      <c r="DE67" s="108"/>
      <c r="DF67" s="108"/>
      <c r="DG67" s="108"/>
      <c r="DH67" s="108"/>
      <c r="DI67" s="108"/>
      <c r="DJ67" s="108"/>
      <c r="DK67" s="108"/>
      <c r="DL67" s="108"/>
      <c r="DM67" s="108"/>
      <c r="DN67" s="108"/>
      <c r="DO67" s="108"/>
      <c r="DP67" s="108"/>
      <c r="DQ67" s="108"/>
      <c r="DR67" s="108"/>
      <c r="DS67" s="108"/>
      <c r="DT67" s="108"/>
      <c r="DU67" s="108"/>
      <c r="DV67" s="108"/>
      <c r="DW67" s="108"/>
      <c r="DX67" s="108"/>
      <c r="DY67" s="108"/>
      <c r="DZ67" s="108"/>
      <c r="EA67" s="108"/>
      <c r="EB67" s="108"/>
      <c r="EC67" s="108"/>
      <c r="ED67" s="108"/>
      <c r="EE67" s="108"/>
      <c r="EF67" s="108"/>
      <c r="EG67" s="108"/>
      <c r="EH67" s="108"/>
      <c r="EI67" s="108"/>
      <c r="EJ67" s="108"/>
      <c r="EK67" s="108"/>
      <c r="EL67" s="108"/>
      <c r="EM67" s="108"/>
      <c r="EN67" s="108"/>
      <c r="EO67" s="108"/>
      <c r="EP67" s="108"/>
      <c r="EQ67" s="108"/>
      <c r="ER67" s="108"/>
      <c r="ES67" s="108"/>
      <c r="ET67" s="108"/>
      <c r="EU67" s="108"/>
      <c r="EV67" s="108"/>
      <c r="EW67" s="108"/>
      <c r="EX67" s="108"/>
      <c r="EY67" s="108"/>
      <c r="EZ67" s="108"/>
      <c r="FA67" s="108"/>
      <c r="FB67" s="108"/>
      <c r="FC67" s="108"/>
      <c r="FD67" s="108"/>
      <c r="FE67" s="108"/>
      <c r="FF67" s="108"/>
    </row>
    <row r="68" spans="1:162" s="112" customFormat="1" ht="11" thickBot="1" x14ac:dyDescent="0.4">
      <c r="A68" s="154" t="s">
        <v>203</v>
      </c>
      <c r="B68" s="405" t="s">
        <v>439</v>
      </c>
      <c r="C68" s="476">
        <f>C66/C3</f>
        <v>0.26246509279645069</v>
      </c>
      <c r="D68" s="477"/>
      <c r="E68" s="155">
        <f>IF(E3=0,0,E66/E3)</f>
        <v>0.27727178618303755</v>
      </c>
      <c r="F68" s="155">
        <f>IF(F3=0,0,F66/F3)</f>
        <v>0.24989377506306013</v>
      </c>
      <c r="G68" s="155">
        <f>IF(G3=0,0,G66/G3)</f>
        <v>0.28004116535178447</v>
      </c>
      <c r="H68" s="155">
        <f>IF(H3=0,0,H66/H3)</f>
        <v>0.25592378719341524</v>
      </c>
      <c r="I68" s="155">
        <f>IF(I3=0,0,I66/I3)</f>
        <v>0.24856266241697239</v>
      </c>
      <c r="J68" s="155">
        <f>IF(J3=0,0,J66/J3)</f>
        <v>0.24367317044262116</v>
      </c>
      <c r="K68" s="155">
        <f>IF(K3=0,0,K66/K3)</f>
        <v>0.24491511857139375</v>
      </c>
      <c r="L68" s="155">
        <f>IF(L3=0,0,L66/L3)</f>
        <v>0.26958078713044886</v>
      </c>
      <c r="M68" s="155">
        <f>IF(M3=0,0,M66/M3)</f>
        <v>0.24909480465147577</v>
      </c>
      <c r="N68" s="155">
        <f>IF(N3=0,0,N66/N3)</f>
        <v>0.25930106617954707</v>
      </c>
      <c r="O68" s="155">
        <f>IF(O3=0,0,O66/O3)</f>
        <v>0.26347619924168642</v>
      </c>
      <c r="P68" s="156">
        <f>IF(P3=0,0,P66/P3)</f>
        <v>0.28798684769364508</v>
      </c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108"/>
      <c r="AQ68" s="108"/>
      <c r="AR68" s="108"/>
      <c r="AS68" s="108"/>
      <c r="AT68" s="108"/>
      <c r="AU68" s="108"/>
      <c r="AV68" s="108"/>
      <c r="AW68" s="108"/>
      <c r="AX68" s="108"/>
      <c r="AY68" s="108"/>
      <c r="AZ68" s="108"/>
      <c r="BA68" s="108"/>
      <c r="BB68" s="108"/>
      <c r="BC68" s="108"/>
      <c r="BD68" s="108"/>
      <c r="BE68" s="108"/>
      <c r="BF68" s="108"/>
      <c r="BG68" s="108"/>
      <c r="BH68" s="108"/>
      <c r="BI68" s="108"/>
      <c r="BJ68" s="108"/>
      <c r="BK68" s="108"/>
      <c r="BL68" s="108"/>
      <c r="BM68" s="108"/>
      <c r="BN68" s="108"/>
      <c r="BO68" s="108"/>
      <c r="BP68" s="108"/>
      <c r="BQ68" s="108"/>
      <c r="BR68" s="108"/>
      <c r="BS68" s="108"/>
      <c r="BT68" s="108"/>
      <c r="BU68" s="108"/>
      <c r="BV68" s="108"/>
      <c r="BW68" s="108"/>
      <c r="BX68" s="108"/>
      <c r="BY68" s="108"/>
      <c r="BZ68" s="108"/>
      <c r="CA68" s="108"/>
      <c r="CB68" s="108"/>
      <c r="CC68" s="108"/>
      <c r="CD68" s="108"/>
      <c r="CE68" s="108"/>
      <c r="CF68" s="108"/>
      <c r="CG68" s="108"/>
      <c r="CH68" s="108"/>
      <c r="CI68" s="108"/>
      <c r="CJ68" s="108"/>
      <c r="CK68" s="108"/>
      <c r="CL68" s="108"/>
      <c r="CM68" s="108"/>
      <c r="CN68" s="108"/>
      <c r="CO68" s="108"/>
      <c r="CP68" s="108"/>
      <c r="CQ68" s="108"/>
      <c r="CR68" s="108"/>
      <c r="CS68" s="108"/>
      <c r="CT68" s="108"/>
      <c r="CU68" s="108"/>
      <c r="CV68" s="108"/>
      <c r="CW68" s="108"/>
      <c r="CX68" s="108"/>
      <c r="CY68" s="108"/>
      <c r="CZ68" s="108"/>
      <c r="DA68" s="108"/>
      <c r="DB68" s="108"/>
      <c r="DC68" s="108"/>
      <c r="DD68" s="108"/>
      <c r="DE68" s="108"/>
      <c r="DF68" s="108"/>
      <c r="DG68" s="108"/>
      <c r="DH68" s="108"/>
      <c r="DI68" s="108"/>
      <c r="DJ68" s="108"/>
      <c r="DK68" s="108"/>
      <c r="DL68" s="108"/>
      <c r="DM68" s="108"/>
      <c r="DN68" s="108"/>
      <c r="DO68" s="108"/>
      <c r="DP68" s="108"/>
      <c r="DQ68" s="108"/>
      <c r="DR68" s="108"/>
      <c r="DS68" s="108"/>
      <c r="DT68" s="108"/>
      <c r="DU68" s="108"/>
      <c r="DV68" s="108"/>
      <c r="DW68" s="108"/>
      <c r="DX68" s="108"/>
      <c r="DY68" s="108"/>
      <c r="DZ68" s="108"/>
      <c r="EA68" s="108"/>
      <c r="EB68" s="108"/>
      <c r="EC68" s="108"/>
      <c r="ED68" s="108"/>
      <c r="EE68" s="108"/>
      <c r="EF68" s="108"/>
      <c r="EG68" s="108"/>
      <c r="EH68" s="108"/>
      <c r="EI68" s="108"/>
      <c r="EJ68" s="108"/>
      <c r="EK68" s="108"/>
      <c r="EL68" s="108"/>
      <c r="EM68" s="108"/>
      <c r="EN68" s="108"/>
      <c r="EO68" s="108"/>
      <c r="EP68" s="108"/>
      <c r="EQ68" s="108"/>
      <c r="ER68" s="108"/>
      <c r="ES68" s="108"/>
      <c r="ET68" s="108"/>
      <c r="EU68" s="108"/>
      <c r="EV68" s="108"/>
      <c r="EW68" s="108"/>
      <c r="EX68" s="108"/>
      <c r="EY68" s="108"/>
      <c r="EZ68" s="108"/>
      <c r="FA68" s="108"/>
      <c r="FB68" s="108"/>
      <c r="FC68" s="108"/>
      <c r="FD68" s="108"/>
      <c r="FE68" s="108"/>
      <c r="FF68" s="108"/>
    </row>
    <row r="69" spans="1:162" s="112" customFormat="1" ht="11" thickBot="1" x14ac:dyDescent="0.4">
      <c r="A69" s="418" t="s">
        <v>204</v>
      </c>
      <c r="B69" s="392" t="s">
        <v>440</v>
      </c>
      <c r="C69" s="425"/>
      <c r="D69" s="425"/>
      <c r="E69" s="402">
        <f>'Год 4'!P69+'Год 5'!E66</f>
        <v>19460598.50169104</v>
      </c>
      <c r="F69" s="423">
        <f t="shared" ref="F69:P69" si="7">E69+F66</f>
        <v>19864288.516432509</v>
      </c>
      <c r="G69" s="423">
        <f t="shared" si="7"/>
        <v>20469171.546275742</v>
      </c>
      <c r="H69" s="423">
        <f t="shared" si="7"/>
        <v>20933700.958075542</v>
      </c>
      <c r="I69" s="423">
        <f t="shared" si="7"/>
        <v>21348775.676777758</v>
      </c>
      <c r="J69" s="423">
        <f t="shared" si="7"/>
        <v>21742416.637795132</v>
      </c>
      <c r="K69" s="423">
        <f t="shared" si="7"/>
        <v>22129172.949821074</v>
      </c>
      <c r="L69" s="423">
        <f t="shared" si="7"/>
        <v>22608704.929769155</v>
      </c>
      <c r="M69" s="423">
        <f t="shared" si="7"/>
        <v>23024668.27263619</v>
      </c>
      <c r="N69" s="423">
        <f t="shared" si="7"/>
        <v>23471794.834878694</v>
      </c>
      <c r="O69" s="423">
        <f t="shared" si="7"/>
        <v>23945250.314524453</v>
      </c>
      <c r="P69" s="424">
        <f t="shared" si="7"/>
        <v>24598659.491687536</v>
      </c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  <c r="AC69" s="108"/>
      <c r="AD69" s="108"/>
      <c r="AE69" s="108"/>
      <c r="AF69" s="108"/>
      <c r="AG69" s="108"/>
      <c r="AH69" s="108"/>
      <c r="AI69" s="108"/>
      <c r="AJ69" s="108"/>
      <c r="AK69" s="108"/>
      <c r="AL69" s="108"/>
      <c r="AM69" s="108"/>
      <c r="AN69" s="108"/>
      <c r="AO69" s="108"/>
      <c r="AP69" s="108"/>
      <c r="AQ69" s="108"/>
      <c r="AR69" s="108"/>
      <c r="AS69" s="108"/>
      <c r="AT69" s="108"/>
      <c r="AU69" s="108"/>
      <c r="AV69" s="108"/>
      <c r="AW69" s="108"/>
      <c r="AX69" s="108"/>
      <c r="AY69" s="108"/>
      <c r="AZ69" s="108"/>
      <c r="BA69" s="108"/>
      <c r="BB69" s="108"/>
      <c r="BC69" s="108"/>
      <c r="BD69" s="108"/>
      <c r="BE69" s="108"/>
      <c r="BF69" s="108"/>
      <c r="BG69" s="108"/>
      <c r="BH69" s="108"/>
      <c r="BI69" s="108"/>
      <c r="BJ69" s="108"/>
      <c r="BK69" s="108"/>
      <c r="BL69" s="108"/>
      <c r="BM69" s="108"/>
      <c r="BN69" s="108"/>
      <c r="BO69" s="108"/>
      <c r="BP69" s="108"/>
      <c r="BQ69" s="108"/>
      <c r="BR69" s="108"/>
      <c r="BS69" s="108"/>
      <c r="BT69" s="108"/>
      <c r="BU69" s="108"/>
      <c r="BV69" s="108"/>
      <c r="BW69" s="108"/>
      <c r="BX69" s="108"/>
      <c r="BY69" s="108"/>
      <c r="BZ69" s="108"/>
      <c r="CA69" s="108"/>
      <c r="CB69" s="108"/>
      <c r="CC69" s="108"/>
      <c r="CD69" s="108"/>
      <c r="CE69" s="108"/>
      <c r="CF69" s="108"/>
      <c r="CG69" s="108"/>
      <c r="CH69" s="108"/>
      <c r="CI69" s="108"/>
      <c r="CJ69" s="108"/>
      <c r="CK69" s="108"/>
      <c r="CL69" s="108"/>
      <c r="CM69" s="108"/>
      <c r="CN69" s="108"/>
      <c r="CO69" s="108"/>
      <c r="CP69" s="108"/>
      <c r="CQ69" s="108"/>
      <c r="CR69" s="108"/>
      <c r="CS69" s="108"/>
      <c r="CT69" s="108"/>
      <c r="CU69" s="108"/>
      <c r="CV69" s="108"/>
      <c r="CW69" s="108"/>
      <c r="CX69" s="108"/>
      <c r="CY69" s="108"/>
      <c r="CZ69" s="108"/>
      <c r="DA69" s="108"/>
      <c r="DB69" s="108"/>
      <c r="DC69" s="108"/>
      <c r="DD69" s="108"/>
      <c r="DE69" s="108"/>
      <c r="DF69" s="108"/>
      <c r="DG69" s="108"/>
      <c r="DH69" s="108"/>
      <c r="DI69" s="108"/>
      <c r="DJ69" s="108"/>
      <c r="DK69" s="108"/>
      <c r="DL69" s="108"/>
      <c r="DM69" s="108"/>
      <c r="DN69" s="108"/>
      <c r="DO69" s="108"/>
      <c r="DP69" s="108"/>
      <c r="DQ69" s="108"/>
      <c r="DR69" s="108"/>
      <c r="DS69" s="108"/>
      <c r="DT69" s="108"/>
      <c r="DU69" s="108"/>
      <c r="DV69" s="108"/>
      <c r="DW69" s="108"/>
      <c r="DX69" s="108"/>
      <c r="DY69" s="108"/>
      <c r="DZ69" s="108"/>
      <c r="EA69" s="108"/>
      <c r="EB69" s="108"/>
      <c r="EC69" s="108"/>
      <c r="ED69" s="108"/>
      <c r="EE69" s="108"/>
      <c r="EF69" s="108"/>
      <c r="EG69" s="108"/>
      <c r="EH69" s="108"/>
      <c r="EI69" s="108"/>
      <c r="EJ69" s="108"/>
      <c r="EK69" s="108"/>
      <c r="EL69" s="108"/>
      <c r="EM69" s="108"/>
      <c r="EN69" s="108"/>
      <c r="EO69" s="108"/>
      <c r="EP69" s="108"/>
      <c r="EQ69" s="108"/>
      <c r="ER69" s="108"/>
      <c r="ES69" s="108"/>
      <c r="ET69" s="108"/>
      <c r="EU69" s="108"/>
      <c r="EV69" s="108"/>
      <c r="EW69" s="108"/>
      <c r="EX69" s="108"/>
      <c r="EY69" s="108"/>
      <c r="EZ69" s="108"/>
      <c r="FA69" s="108"/>
      <c r="FB69" s="108"/>
      <c r="FC69" s="108"/>
      <c r="FD69" s="108"/>
      <c r="FE69" s="108"/>
      <c r="FF69" s="108"/>
    </row>
    <row r="70" spans="1:162" s="400" customFormat="1" x14ac:dyDescent="0.35">
      <c r="A70" s="398"/>
      <c r="B70" s="399"/>
      <c r="C70" s="158"/>
      <c r="D70" s="158"/>
      <c r="Q70" s="401"/>
    </row>
    <row r="71" spans="1:162" ht="15" thickBot="1" x14ac:dyDescent="0.4">
      <c r="A71" s="157" t="s">
        <v>209</v>
      </c>
    </row>
    <row r="72" spans="1:162" ht="15" thickBot="1" x14ac:dyDescent="0.4">
      <c r="A72" s="92" t="s">
        <v>61</v>
      </c>
      <c r="B72" s="85" t="s">
        <v>128</v>
      </c>
      <c r="C72" s="478" t="s">
        <v>129</v>
      </c>
      <c r="D72" s="479"/>
      <c r="E72" s="86" t="s">
        <v>130</v>
      </c>
      <c r="F72" s="86" t="s">
        <v>131</v>
      </c>
      <c r="G72" s="86" t="s">
        <v>132</v>
      </c>
      <c r="H72" s="86" t="s">
        <v>133</v>
      </c>
      <c r="I72" s="86" t="s">
        <v>134</v>
      </c>
      <c r="J72" s="86" t="s">
        <v>135</v>
      </c>
      <c r="K72" s="86" t="s">
        <v>136</v>
      </c>
      <c r="L72" s="86" t="s">
        <v>137</v>
      </c>
      <c r="M72" s="86" t="s">
        <v>138</v>
      </c>
      <c r="N72" s="86" t="s">
        <v>139</v>
      </c>
      <c r="O72" s="86" t="s">
        <v>140</v>
      </c>
      <c r="P72" s="87" t="s">
        <v>141</v>
      </c>
    </row>
    <row r="73" spans="1:162" x14ac:dyDescent="0.35">
      <c r="A73" s="159" t="s">
        <v>204</v>
      </c>
      <c r="B73" s="160" t="s">
        <v>441</v>
      </c>
      <c r="C73" s="480">
        <f>SUM(E73:P73)</f>
        <v>21781300.608000007</v>
      </c>
      <c r="D73" s="481"/>
      <c r="E73" s="161">
        <f>E3</f>
        <v>2087374.6416000002</v>
      </c>
      <c r="F73" s="161">
        <f>F3</f>
        <v>1615446.4617600003</v>
      </c>
      <c r="G73" s="161">
        <f>G3</f>
        <v>2159978.9769600001</v>
      </c>
      <c r="H73" s="161">
        <f>H3</f>
        <v>1815108.3840000003</v>
      </c>
      <c r="I73" s="161">
        <f>I3</f>
        <v>1669899.7132800003</v>
      </c>
      <c r="J73" s="161">
        <f>J3</f>
        <v>1615446.4617600003</v>
      </c>
      <c r="K73" s="161">
        <f>K3</f>
        <v>1579144.2940800004</v>
      </c>
      <c r="L73" s="161">
        <f>L3</f>
        <v>1778806.2163200004</v>
      </c>
      <c r="M73" s="161">
        <f>M3</f>
        <v>1669899.7132800003</v>
      </c>
      <c r="N73" s="161">
        <f>N3</f>
        <v>1724352.9648000002</v>
      </c>
      <c r="O73" s="161">
        <f>O3</f>
        <v>1796957.3001600003</v>
      </c>
      <c r="P73" s="162">
        <f>P3</f>
        <v>2268885.4800000004</v>
      </c>
    </row>
    <row r="74" spans="1:162" x14ac:dyDescent="0.35">
      <c r="A74" s="126" t="s">
        <v>205</v>
      </c>
      <c r="B74" s="163" t="s">
        <v>493</v>
      </c>
      <c r="C74" s="465">
        <f t="shared" ref="C74:C76" si="8">SUM(E74:P74)</f>
        <v>9429435.9549528081</v>
      </c>
      <c r="D74" s="466"/>
      <c r="E74" s="164">
        <f>E4</f>
        <v>903654.27901631047</v>
      </c>
      <c r="F74" s="164">
        <f>F4</f>
        <v>699349.83332566649</v>
      </c>
      <c r="G74" s="164">
        <f>G4</f>
        <v>935085.73219948646</v>
      </c>
      <c r="H74" s="164">
        <f>H4</f>
        <v>785786.32957940048</v>
      </c>
      <c r="I74" s="164">
        <f>I4</f>
        <v>722923.42321304849</v>
      </c>
      <c r="J74" s="164">
        <f>J4</f>
        <v>699349.83332566649</v>
      </c>
      <c r="K74" s="164">
        <f>K4</f>
        <v>683634.10673407849</v>
      </c>
      <c r="L74" s="164">
        <f>L4</f>
        <v>770070.60298781248</v>
      </c>
      <c r="M74" s="164">
        <f>M4</f>
        <v>722923.42321304849</v>
      </c>
      <c r="N74" s="164">
        <f>N4</f>
        <v>746497.01310043037</v>
      </c>
      <c r="O74" s="164">
        <f>O4</f>
        <v>777928.46628360648</v>
      </c>
      <c r="P74" s="165">
        <f>P4</f>
        <v>982232.91197425069</v>
      </c>
    </row>
    <row r="75" spans="1:162" x14ac:dyDescent="0.35">
      <c r="A75" s="166" t="s">
        <v>206</v>
      </c>
      <c r="B75" s="160" t="s">
        <v>442</v>
      </c>
      <c r="C75" s="469">
        <f t="shared" si="8"/>
        <v>6635033.5677410886</v>
      </c>
      <c r="D75" s="470"/>
      <c r="E75" s="161">
        <f>E6</f>
        <v>604950.26727407996</v>
      </c>
      <c r="F75" s="161">
        <f>F6</f>
        <v>512406.61369286396</v>
      </c>
      <c r="G75" s="161">
        <f>G6</f>
        <v>620010.21491728013</v>
      </c>
      <c r="H75" s="161">
        <f>H6</f>
        <v>564792.64262079995</v>
      </c>
      <c r="I75" s="161">
        <f>I6</f>
        <v>531901.57136473607</v>
      </c>
      <c r="J75" s="161">
        <f>J6</f>
        <v>522455.66741696</v>
      </c>
      <c r="K75" s="161">
        <f>K6</f>
        <v>508753.87531997869</v>
      </c>
      <c r="L75" s="161">
        <f>L6</f>
        <v>529203.63338410668</v>
      </c>
      <c r="M75" s="161">
        <f>M6</f>
        <v>531012.94719991472</v>
      </c>
      <c r="N75" s="161">
        <f>N6</f>
        <v>530729.38945706678</v>
      </c>
      <c r="O75" s="161">
        <f>O6</f>
        <v>545573.35423063475</v>
      </c>
      <c r="P75" s="162">
        <f>P6</f>
        <v>633243.39086266677</v>
      </c>
    </row>
    <row r="76" spans="1:162" x14ac:dyDescent="0.35">
      <c r="A76" s="126" t="s">
        <v>207</v>
      </c>
      <c r="B76" s="167" t="s">
        <v>443</v>
      </c>
      <c r="C76" s="465">
        <f t="shared" si="8"/>
        <v>5716831.0853061099</v>
      </c>
      <c r="D76" s="466"/>
      <c r="E76" s="164">
        <f>E73-E74-E75</f>
        <v>578770.0953096099</v>
      </c>
      <c r="F76" s="164">
        <f t="shared" ref="F76:P76" si="9">F73-F74-F75</f>
        <v>403690.01474146987</v>
      </c>
      <c r="G76" s="164">
        <f t="shared" si="9"/>
        <v>604883.02984323364</v>
      </c>
      <c r="H76" s="164">
        <f t="shared" si="9"/>
        <v>464529.41179979988</v>
      </c>
      <c r="I76" s="164">
        <f t="shared" si="9"/>
        <v>415074.7187022157</v>
      </c>
      <c r="J76" s="164">
        <f t="shared" si="9"/>
        <v>393640.96101737383</v>
      </c>
      <c r="K76" s="164">
        <f t="shared" si="9"/>
        <v>386756.31202594319</v>
      </c>
      <c r="L76" s="164">
        <f t="shared" si="9"/>
        <v>479531.97994808119</v>
      </c>
      <c r="M76" s="164">
        <f t="shared" si="9"/>
        <v>415963.34286703705</v>
      </c>
      <c r="N76" s="164">
        <f t="shared" si="9"/>
        <v>447126.56224250305</v>
      </c>
      <c r="O76" s="164">
        <f t="shared" si="9"/>
        <v>473455.4796457591</v>
      </c>
      <c r="P76" s="165">
        <f t="shared" si="9"/>
        <v>653409.17716308287</v>
      </c>
    </row>
    <row r="77" spans="1:162" s="421" customFormat="1" ht="15" thickBot="1" x14ac:dyDescent="0.4">
      <c r="A77" s="168" t="s">
        <v>208</v>
      </c>
      <c r="B77" s="169" t="s">
        <v>444</v>
      </c>
      <c r="C77" s="467">
        <f>P77</f>
        <v>5716831.0853061099</v>
      </c>
      <c r="D77" s="468"/>
      <c r="E77" s="170">
        <f>E76</f>
        <v>578770.0953096099</v>
      </c>
      <c r="F77" s="170">
        <f>E77+F76</f>
        <v>982460.11005107977</v>
      </c>
      <c r="G77" s="170">
        <f t="shared" ref="G77:P77" si="10">F77+G76</f>
        <v>1587343.1398943134</v>
      </c>
      <c r="H77" s="170">
        <f t="shared" si="10"/>
        <v>2051872.5516941133</v>
      </c>
      <c r="I77" s="170">
        <f t="shared" si="10"/>
        <v>2466947.270396329</v>
      </c>
      <c r="J77" s="170">
        <f t="shared" si="10"/>
        <v>2860588.2314137029</v>
      </c>
      <c r="K77" s="170">
        <f t="shared" si="10"/>
        <v>3247344.5434396463</v>
      </c>
      <c r="L77" s="170">
        <f t="shared" si="10"/>
        <v>3726876.5233877273</v>
      </c>
      <c r="M77" s="170">
        <f t="shared" si="10"/>
        <v>4142839.8662547646</v>
      </c>
      <c r="N77" s="170">
        <f t="shared" si="10"/>
        <v>4589966.4284972679</v>
      </c>
      <c r="O77" s="170">
        <f t="shared" si="10"/>
        <v>5063421.9081430268</v>
      </c>
      <c r="P77" s="171">
        <f t="shared" si="10"/>
        <v>5716831.0853061099</v>
      </c>
    </row>
  </sheetData>
  <mergeCells count="9">
    <mergeCell ref="C75:D75"/>
    <mergeCell ref="C76:D76"/>
    <mergeCell ref="C77:D77"/>
    <mergeCell ref="A1:P1"/>
    <mergeCell ref="C67:D67"/>
    <mergeCell ref="C68:D68"/>
    <mergeCell ref="C72:D72"/>
    <mergeCell ref="C73:D73"/>
    <mergeCell ref="C74:D74"/>
  </mergeCells>
  <phoneticPr fontId="17" type="noConversion"/>
  <pageMargins left="0.7" right="0.7" top="0.75" bottom="0.75" header="0.3" footer="0.3"/>
  <pageSetup paperSize="9" orientation="portrait" r:id="rId1"/>
  <ignoredErrors>
    <ignoredError sqref="A10:A26 A70:B71 A68 A67 A66 A69 A73 A72 A74:A77 A64:A65 A27:A39 A43:A59" numberStoredAsText="1"/>
    <ignoredError sqref="D4" formula="1"/>
    <ignoredError sqref="E58:P58" formulaRange="1"/>
    <ignoredError sqref="A40:A42" twoDigitTextYear="1" numberStoredAsText="1"/>
  </ignoredError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6"/>
  <sheetViews>
    <sheetView zoomScale="80" zoomScaleNormal="80" workbookViewId="0">
      <selection activeCell="A10" sqref="A10"/>
    </sheetView>
  </sheetViews>
  <sheetFormatPr defaultColWidth="8.7265625" defaultRowHeight="14.5" x14ac:dyDescent="0.35"/>
  <cols>
    <col min="1" max="1" width="67.453125" style="179" customWidth="1"/>
    <col min="2" max="13" width="8.54296875" style="179" customWidth="1"/>
    <col min="14" max="14" width="1.7265625" style="179" customWidth="1"/>
    <col min="15" max="15" width="7.453125" style="182" customWidth="1"/>
    <col min="16" max="1025" width="8.453125" style="179" customWidth="1"/>
    <col min="1026" max="16384" width="8.7265625" style="179"/>
  </cols>
  <sheetData>
    <row r="1" spans="1:16" ht="29.15" customHeight="1" x14ac:dyDescent="0.35">
      <c r="A1" s="488" t="s">
        <v>474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</row>
    <row r="2" spans="1:16" ht="11.5" customHeight="1" thickBot="1" x14ac:dyDescent="0.4">
      <c r="A2" s="211"/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382"/>
    </row>
    <row r="3" spans="1:16" ht="15" thickTop="1" x14ac:dyDescent="0.35"/>
    <row r="4" spans="1:16" x14ac:dyDescent="0.35">
      <c r="A4" s="454" t="s">
        <v>480</v>
      </c>
      <c r="B4" s="174"/>
      <c r="C4" s="174"/>
      <c r="P4" s="6">
        <v>1</v>
      </c>
    </row>
    <row r="5" spans="1:16" x14ac:dyDescent="0.35">
      <c r="B5" s="175" t="s">
        <v>253</v>
      </c>
      <c r="C5" s="175" t="s">
        <v>254</v>
      </c>
      <c r="D5" s="175" t="s">
        <v>255</v>
      </c>
      <c r="E5" s="175" t="s">
        <v>256</v>
      </c>
      <c r="F5" s="175" t="s">
        <v>257</v>
      </c>
      <c r="G5" s="175" t="s">
        <v>258</v>
      </c>
      <c r="H5" s="175" t="s">
        <v>259</v>
      </c>
      <c r="I5" s="175" t="s">
        <v>260</v>
      </c>
      <c r="J5" s="175" t="s">
        <v>261</v>
      </c>
      <c r="K5" s="175" t="s">
        <v>262</v>
      </c>
      <c r="L5" s="175" t="s">
        <v>263</v>
      </c>
      <c r="M5" s="175" t="s">
        <v>264</v>
      </c>
      <c r="N5" s="175"/>
    </row>
    <row r="6" spans="1:16" x14ac:dyDescent="0.35">
      <c r="A6" s="371" t="s">
        <v>265</v>
      </c>
      <c r="B6" s="372">
        <v>0.42399999999999999</v>
      </c>
      <c r="C6" s="372">
        <v>0.42070000000000002</v>
      </c>
      <c r="D6" s="372">
        <v>0.41520000000000001</v>
      </c>
      <c r="E6" s="372">
        <v>0.4269</v>
      </c>
      <c r="F6" s="372">
        <v>0.42970000000000003</v>
      </c>
      <c r="G6" s="372">
        <v>0.42149999999999999</v>
      </c>
      <c r="H6" s="372">
        <v>0.4204</v>
      </c>
      <c r="I6" s="372">
        <v>0.40579999999999999</v>
      </c>
      <c r="J6" s="372">
        <v>0.40450000000000003</v>
      </c>
      <c r="K6" s="372">
        <v>0.40239999999999998</v>
      </c>
      <c r="L6" s="372">
        <v>0.40200000000000002</v>
      </c>
      <c r="M6" s="372">
        <v>0.41160000000000002</v>
      </c>
      <c r="N6" s="372"/>
      <c r="O6" s="293">
        <f>AVERAGE(B6:M6)</f>
        <v>0.41539166666666666</v>
      </c>
    </row>
    <row r="7" spans="1:16" x14ac:dyDescent="0.35">
      <c r="A7" s="371" t="s">
        <v>266</v>
      </c>
      <c r="B7" s="372">
        <v>3.8999999999999998E-3</v>
      </c>
      <c r="C7" s="372">
        <v>3.0000000000000001E-3</v>
      </c>
      <c r="D7" s="372">
        <v>3.7000000000000002E-3</v>
      </c>
      <c r="E7" s="372">
        <v>1.1900000000000001E-2</v>
      </c>
      <c r="F7" s="372">
        <v>1.32E-2</v>
      </c>
      <c r="G7" s="372">
        <v>4.8999999999999998E-3</v>
      </c>
      <c r="H7" s="372">
        <v>8.8000000000000005E-3</v>
      </c>
      <c r="I7" s="372">
        <v>1.0200000000000001E-2</v>
      </c>
      <c r="J7" s="372">
        <v>2.2000000000000001E-3</v>
      </c>
      <c r="K7" s="372">
        <v>5.8999999999999999E-3</v>
      </c>
      <c r="L7" s="372">
        <v>5.7000000000000002E-3</v>
      </c>
      <c r="M7" s="372">
        <v>5.9999999999999995E-4</v>
      </c>
      <c r="N7" s="372"/>
      <c r="O7" s="293">
        <f>AVERAGE(B7:M7)</f>
        <v>6.1666666666666667E-3</v>
      </c>
    </row>
    <row r="8" spans="1:16" x14ac:dyDescent="0.35">
      <c r="A8" s="373" t="s">
        <v>267</v>
      </c>
      <c r="B8" s="374">
        <f t="shared" ref="B8:M8" si="0">SUM(B6:B7)</f>
        <v>0.4279</v>
      </c>
      <c r="C8" s="374">
        <f t="shared" si="0"/>
        <v>0.42370000000000002</v>
      </c>
      <c r="D8" s="374">
        <f t="shared" si="0"/>
        <v>0.41889999999999999</v>
      </c>
      <c r="E8" s="374">
        <f t="shared" si="0"/>
        <v>0.43880000000000002</v>
      </c>
      <c r="F8" s="374">
        <f t="shared" si="0"/>
        <v>0.44290000000000002</v>
      </c>
      <c r="G8" s="374">
        <f t="shared" si="0"/>
        <v>0.4264</v>
      </c>
      <c r="H8" s="374">
        <f t="shared" si="0"/>
        <v>0.42919999999999997</v>
      </c>
      <c r="I8" s="374">
        <f t="shared" si="0"/>
        <v>0.41599999999999998</v>
      </c>
      <c r="J8" s="374">
        <f t="shared" si="0"/>
        <v>0.40670000000000001</v>
      </c>
      <c r="K8" s="374">
        <f t="shared" si="0"/>
        <v>0.4083</v>
      </c>
      <c r="L8" s="374">
        <f t="shared" si="0"/>
        <v>0.40770000000000001</v>
      </c>
      <c r="M8" s="374">
        <f t="shared" si="0"/>
        <v>0.41220000000000001</v>
      </c>
      <c r="N8" s="374"/>
      <c r="O8" s="374">
        <f>AVERAGE(B8:M8)</f>
        <v>0.42155833333333331</v>
      </c>
    </row>
    <row r="10" spans="1:16" x14ac:dyDescent="0.35">
      <c r="A10" s="447" t="s">
        <v>268</v>
      </c>
      <c r="B10" s="174"/>
      <c r="C10" s="174"/>
    </row>
    <row r="11" spans="1:16" x14ac:dyDescent="0.35">
      <c r="B11" s="175" t="s">
        <v>253</v>
      </c>
      <c r="C11" s="175" t="s">
        <v>254</v>
      </c>
      <c r="D11" s="175" t="s">
        <v>255</v>
      </c>
      <c r="E11" s="175" t="s">
        <v>256</v>
      </c>
      <c r="F11" s="175" t="s">
        <v>257</v>
      </c>
      <c r="G11" s="175" t="s">
        <v>258</v>
      </c>
      <c r="H11" s="175" t="s">
        <v>259</v>
      </c>
      <c r="I11" s="175" t="s">
        <v>260</v>
      </c>
      <c r="J11" s="175" t="s">
        <v>261</v>
      </c>
      <c r="K11" s="175" t="s">
        <v>262</v>
      </c>
      <c r="L11" s="175" t="s">
        <v>263</v>
      </c>
      <c r="M11" s="175" t="s">
        <v>264</v>
      </c>
      <c r="N11" s="175"/>
    </row>
    <row r="12" spans="1:16" x14ac:dyDescent="0.35">
      <c r="A12" s="371" t="s">
        <v>269</v>
      </c>
      <c r="B12" s="372">
        <v>0.1552</v>
      </c>
      <c r="C12" s="372">
        <v>0.1469</v>
      </c>
      <c r="D12" s="372">
        <v>0.1429</v>
      </c>
      <c r="E12" s="372">
        <v>0.14399999999999999</v>
      </c>
      <c r="F12" s="372">
        <v>0.14680000000000001</v>
      </c>
      <c r="G12" s="372">
        <v>0.1474</v>
      </c>
      <c r="H12" s="372">
        <v>0.14899999999999999</v>
      </c>
      <c r="I12" s="372">
        <v>0.13200000000000001</v>
      </c>
      <c r="J12" s="372">
        <v>0.15110000000000001</v>
      </c>
      <c r="K12" s="372">
        <v>0.15140000000000001</v>
      </c>
      <c r="L12" s="372">
        <v>0.14430000000000001</v>
      </c>
      <c r="M12" s="372">
        <v>0.14230000000000001</v>
      </c>
      <c r="N12" s="372"/>
      <c r="O12" s="293">
        <f>AVERAGE(B12:M12)</f>
        <v>0.14610833333333337</v>
      </c>
    </row>
    <row r="13" spans="1:16" x14ac:dyDescent="0.35">
      <c r="A13" s="371" t="s">
        <v>270</v>
      </c>
      <c r="B13" s="372">
        <v>1.9199999999999998E-2</v>
      </c>
      <c r="C13" s="372">
        <v>7.6E-3</v>
      </c>
      <c r="D13" s="372">
        <v>8.0000000000000002E-3</v>
      </c>
      <c r="E13" s="372">
        <v>1.4800000000000001E-2</v>
      </c>
      <c r="F13" s="372">
        <v>1.0200000000000001E-2</v>
      </c>
      <c r="G13" s="372">
        <v>9.5999999999999992E-3</v>
      </c>
      <c r="H13" s="372">
        <v>1.6400000000000001E-2</v>
      </c>
      <c r="I13" s="372">
        <v>7.4000000000000003E-3</v>
      </c>
      <c r="J13" s="372">
        <v>0.01</v>
      </c>
      <c r="K13" s="372">
        <v>1.43E-2</v>
      </c>
      <c r="L13" s="372">
        <v>1.32E-2</v>
      </c>
      <c r="M13" s="372">
        <v>1.03E-2</v>
      </c>
      <c r="N13" s="372"/>
      <c r="O13" s="293">
        <f>AVERAGE(B13:M13)</f>
        <v>1.1749999999999998E-2</v>
      </c>
    </row>
    <row r="14" spans="1:16" x14ac:dyDescent="0.35">
      <c r="A14" s="371" t="s">
        <v>271</v>
      </c>
      <c r="B14" s="372">
        <v>1.6199999999999999E-2</v>
      </c>
      <c r="C14" s="372">
        <v>1.5900000000000001E-2</v>
      </c>
      <c r="D14" s="372">
        <v>1.3599999999999999E-2</v>
      </c>
      <c r="E14" s="372">
        <v>1.5299999999999999E-2</v>
      </c>
      <c r="F14" s="372">
        <v>1.52E-2</v>
      </c>
      <c r="G14" s="372">
        <v>1.7600000000000001E-2</v>
      </c>
      <c r="H14" s="372">
        <v>1.7999999999999999E-2</v>
      </c>
      <c r="I14" s="372">
        <v>1.5299999999999999E-2</v>
      </c>
      <c r="J14" s="372">
        <v>1.43E-2</v>
      </c>
      <c r="K14" s="372">
        <v>1.38E-2</v>
      </c>
      <c r="L14" s="372">
        <v>1.41E-2</v>
      </c>
      <c r="M14" s="372">
        <v>1.2999999999999999E-2</v>
      </c>
      <c r="N14" s="372"/>
      <c r="O14" s="293">
        <f>AVERAGE(B14:M14)</f>
        <v>1.5191666666666671E-2</v>
      </c>
    </row>
    <row r="15" spans="1:16" x14ac:dyDescent="0.35">
      <c r="A15" s="373" t="s">
        <v>267</v>
      </c>
      <c r="B15" s="374">
        <f t="shared" ref="B15:M15" si="1">SUM(B12:B14)</f>
        <v>0.19059999999999999</v>
      </c>
      <c r="C15" s="374">
        <f t="shared" si="1"/>
        <v>0.1704</v>
      </c>
      <c r="D15" s="374">
        <f t="shared" si="1"/>
        <v>0.16450000000000001</v>
      </c>
      <c r="E15" s="374">
        <f t="shared" si="1"/>
        <v>0.1741</v>
      </c>
      <c r="F15" s="374">
        <f t="shared" si="1"/>
        <v>0.17220000000000002</v>
      </c>
      <c r="G15" s="374">
        <f t="shared" si="1"/>
        <v>0.17460000000000001</v>
      </c>
      <c r="H15" s="374">
        <f t="shared" si="1"/>
        <v>0.18339999999999998</v>
      </c>
      <c r="I15" s="374">
        <f t="shared" si="1"/>
        <v>0.1547</v>
      </c>
      <c r="J15" s="374">
        <f t="shared" si="1"/>
        <v>0.17540000000000003</v>
      </c>
      <c r="K15" s="374">
        <f t="shared" si="1"/>
        <v>0.17950000000000002</v>
      </c>
      <c r="L15" s="374">
        <f t="shared" si="1"/>
        <v>0.1716</v>
      </c>
      <c r="M15" s="374">
        <f t="shared" si="1"/>
        <v>0.16560000000000002</v>
      </c>
      <c r="N15" s="374"/>
      <c r="O15" s="374">
        <f>AVERAGE(B15:M15)</f>
        <v>0.17305000000000001</v>
      </c>
    </row>
    <row r="16" spans="1:16" x14ac:dyDescent="0.35">
      <c r="A16" s="373"/>
      <c r="B16" s="374"/>
      <c r="C16" s="374"/>
      <c r="D16" s="374"/>
      <c r="E16" s="374"/>
      <c r="F16" s="374"/>
      <c r="G16" s="374"/>
      <c r="H16" s="374"/>
      <c r="I16" s="374"/>
      <c r="J16" s="374"/>
      <c r="K16" s="374"/>
      <c r="L16" s="374"/>
      <c r="M16" s="374"/>
      <c r="N16" s="374"/>
      <c r="O16" s="374"/>
    </row>
    <row r="17" spans="1:15" x14ac:dyDescent="0.35">
      <c r="A17" s="448" t="s">
        <v>417</v>
      </c>
      <c r="B17" s="445"/>
      <c r="C17" s="445"/>
      <c r="D17" s="445"/>
    </row>
    <row r="18" spans="1:15" x14ac:dyDescent="0.35">
      <c r="B18" s="175" t="s">
        <v>253</v>
      </c>
      <c r="C18" s="175" t="s">
        <v>254</v>
      </c>
      <c r="D18" s="175" t="s">
        <v>255</v>
      </c>
      <c r="E18" s="175" t="s">
        <v>256</v>
      </c>
      <c r="F18" s="175" t="s">
        <v>257</v>
      </c>
      <c r="G18" s="175" t="s">
        <v>258</v>
      </c>
      <c r="H18" s="175" t="s">
        <v>259</v>
      </c>
      <c r="I18" s="175" t="s">
        <v>260</v>
      </c>
      <c r="J18" s="175" t="s">
        <v>261</v>
      </c>
      <c r="K18" s="175" t="s">
        <v>262</v>
      </c>
      <c r="L18" s="175" t="s">
        <v>263</v>
      </c>
      <c r="M18" s="175" t="s">
        <v>264</v>
      </c>
      <c r="N18" s="175"/>
    </row>
    <row r="19" spans="1:15" x14ac:dyDescent="0.35">
      <c r="A19" s="179" t="s">
        <v>418</v>
      </c>
      <c r="B19" s="54">
        <f>6608/P4</f>
        <v>6608</v>
      </c>
      <c r="C19" s="54">
        <f>2470/P4</f>
        <v>2470</v>
      </c>
      <c r="D19" s="54">
        <f>2795/P4</f>
        <v>2795</v>
      </c>
      <c r="E19" s="54">
        <f>3559/P4</f>
        <v>3559</v>
      </c>
      <c r="F19" s="54">
        <f>2260/P4</f>
        <v>2260</v>
      </c>
      <c r="G19" s="54">
        <f>4786/P4</f>
        <v>4786</v>
      </c>
      <c r="H19" s="54">
        <f>4573/P4</f>
        <v>4573</v>
      </c>
      <c r="I19" s="54">
        <f>3619/P4</f>
        <v>3619</v>
      </c>
      <c r="J19" s="54">
        <f>4862/P4</f>
        <v>4862</v>
      </c>
      <c r="K19" s="54">
        <f>2531/P4</f>
        <v>2531</v>
      </c>
      <c r="L19" s="54">
        <f>3395/P4</f>
        <v>3395</v>
      </c>
      <c r="M19" s="54">
        <f>2446/P4</f>
        <v>2446</v>
      </c>
      <c r="N19" s="54"/>
      <c r="O19" s="178">
        <f>AVERAGE(B19:M19)</f>
        <v>3658.6666666666665</v>
      </c>
    </row>
    <row r="20" spans="1:15" x14ac:dyDescent="0.35">
      <c r="A20" s="179" t="s">
        <v>419</v>
      </c>
      <c r="B20" s="54">
        <f>1195/P4</f>
        <v>1195</v>
      </c>
      <c r="C20" s="54">
        <f>185/P4</f>
        <v>185</v>
      </c>
      <c r="D20" s="54">
        <f>11/P4</f>
        <v>11</v>
      </c>
      <c r="E20" s="54">
        <f>924/P4</f>
        <v>924</v>
      </c>
      <c r="F20" s="54">
        <f>0/P4</f>
        <v>0</v>
      </c>
      <c r="G20" s="54">
        <f>487/P4</f>
        <v>487</v>
      </c>
      <c r="H20" s="54">
        <f>0/P4</f>
        <v>0</v>
      </c>
      <c r="I20" s="54">
        <f>0/P4</f>
        <v>0</v>
      </c>
      <c r="J20" s="54">
        <f>0/P4</f>
        <v>0</v>
      </c>
      <c r="K20" s="54">
        <f>0/P4</f>
        <v>0</v>
      </c>
      <c r="L20" s="54">
        <f>0/P4</f>
        <v>0</v>
      </c>
      <c r="M20" s="54">
        <f>0/P4</f>
        <v>0</v>
      </c>
      <c r="N20" s="54"/>
      <c r="O20" s="178">
        <f>AVERAGE(B20:M20)</f>
        <v>233.5</v>
      </c>
    </row>
    <row r="21" spans="1:15" x14ac:dyDescent="0.35">
      <c r="A21" s="373" t="s">
        <v>420</v>
      </c>
      <c r="B21" s="375">
        <f t="shared" ref="B21:M21" si="2">SUM(B19:B20)</f>
        <v>7803</v>
      </c>
      <c r="C21" s="375">
        <f t="shared" si="2"/>
        <v>2655</v>
      </c>
      <c r="D21" s="375">
        <f t="shared" si="2"/>
        <v>2806</v>
      </c>
      <c r="E21" s="375">
        <f t="shared" si="2"/>
        <v>4483</v>
      </c>
      <c r="F21" s="375">
        <f t="shared" si="2"/>
        <v>2260</v>
      </c>
      <c r="G21" s="375">
        <f t="shared" si="2"/>
        <v>5273</v>
      </c>
      <c r="H21" s="375">
        <f t="shared" si="2"/>
        <v>4573</v>
      </c>
      <c r="I21" s="375">
        <f t="shared" si="2"/>
        <v>3619</v>
      </c>
      <c r="J21" s="375">
        <f t="shared" si="2"/>
        <v>4862</v>
      </c>
      <c r="K21" s="375">
        <f t="shared" si="2"/>
        <v>2531</v>
      </c>
      <c r="L21" s="375">
        <f t="shared" si="2"/>
        <v>3395</v>
      </c>
      <c r="M21" s="375">
        <f t="shared" si="2"/>
        <v>2446</v>
      </c>
      <c r="N21" s="375"/>
      <c r="O21" s="375">
        <f>AVERAGE(B21:M21)</f>
        <v>3892.1666666666665</v>
      </c>
    </row>
    <row r="23" spans="1:15" x14ac:dyDescent="0.35">
      <c r="A23" s="448" t="s">
        <v>272</v>
      </c>
    </row>
    <row r="24" spans="1:15" x14ac:dyDescent="0.35">
      <c r="B24" s="175" t="s">
        <v>253</v>
      </c>
      <c r="C24" s="175" t="s">
        <v>254</v>
      </c>
      <c r="D24" s="175" t="s">
        <v>255</v>
      </c>
      <c r="E24" s="175" t="s">
        <v>256</v>
      </c>
      <c r="F24" s="175" t="s">
        <v>257</v>
      </c>
      <c r="G24" s="175" t="s">
        <v>258</v>
      </c>
      <c r="H24" s="175" t="s">
        <v>259</v>
      </c>
      <c r="I24" s="175" t="s">
        <v>260</v>
      </c>
      <c r="J24" s="175" t="s">
        <v>261</v>
      </c>
      <c r="K24" s="175" t="s">
        <v>262</v>
      </c>
      <c r="L24" s="175" t="s">
        <v>263</v>
      </c>
      <c r="M24" s="175" t="s">
        <v>264</v>
      </c>
      <c r="N24" s="175"/>
    </row>
    <row r="25" spans="1:15" x14ac:dyDescent="0.35">
      <c r="A25" s="176" t="s">
        <v>273</v>
      </c>
      <c r="B25" s="376">
        <v>0</v>
      </c>
      <c r="C25" s="376">
        <v>0</v>
      </c>
      <c r="D25" s="376">
        <v>0</v>
      </c>
      <c r="E25" s="376">
        <v>5.0000000000000001E-4</v>
      </c>
      <c r="F25" s="376">
        <v>0</v>
      </c>
      <c r="G25" s="376">
        <v>0</v>
      </c>
      <c r="H25" s="376">
        <v>0</v>
      </c>
      <c r="I25" s="376">
        <v>0</v>
      </c>
      <c r="J25" s="376">
        <v>0</v>
      </c>
      <c r="K25" s="376">
        <v>0</v>
      </c>
      <c r="L25" s="376">
        <v>0</v>
      </c>
      <c r="M25" s="376">
        <v>0</v>
      </c>
      <c r="N25" s="372"/>
      <c r="O25" s="293">
        <f t="shared" ref="O25:O32" si="3">AVERAGE(B25:M25)</f>
        <v>4.1666666666666665E-5</v>
      </c>
    </row>
    <row r="26" spans="1:15" x14ac:dyDescent="0.35">
      <c r="A26" s="176" t="s">
        <v>274</v>
      </c>
      <c r="B26" s="376">
        <v>0</v>
      </c>
      <c r="C26" s="376">
        <v>0</v>
      </c>
      <c r="D26" s="376">
        <v>4.0000000000000002E-4</v>
      </c>
      <c r="E26" s="376">
        <v>2.9999999999999997E-4</v>
      </c>
      <c r="F26" s="376">
        <v>1E-4</v>
      </c>
      <c r="G26" s="376">
        <v>2.9999999999999997E-4</v>
      </c>
      <c r="H26" s="376">
        <v>5.0000000000000001E-4</v>
      </c>
      <c r="I26" s="376">
        <v>1E-4</v>
      </c>
      <c r="J26" s="376">
        <v>0</v>
      </c>
      <c r="K26" s="376">
        <v>1E-4</v>
      </c>
      <c r="L26" s="376">
        <v>0</v>
      </c>
      <c r="M26" s="376">
        <v>1.4E-3</v>
      </c>
      <c r="N26" s="372"/>
      <c r="O26" s="293">
        <f t="shared" si="3"/>
        <v>2.6666666666666668E-4</v>
      </c>
    </row>
    <row r="27" spans="1:15" x14ac:dyDescent="0.35">
      <c r="A27" s="176" t="s">
        <v>275</v>
      </c>
      <c r="B27" s="376">
        <v>0</v>
      </c>
      <c r="C27" s="376">
        <v>0</v>
      </c>
      <c r="D27" s="376">
        <v>0</v>
      </c>
      <c r="E27" s="376">
        <v>0</v>
      </c>
      <c r="F27" s="376">
        <v>0</v>
      </c>
      <c r="G27" s="376">
        <v>0</v>
      </c>
      <c r="H27" s="376">
        <v>0</v>
      </c>
      <c r="I27" s="376">
        <v>0</v>
      </c>
      <c r="J27" s="376">
        <v>0</v>
      </c>
      <c r="K27" s="376">
        <v>5.9999999999999995E-4</v>
      </c>
      <c r="L27" s="376">
        <v>0</v>
      </c>
      <c r="M27" s="376">
        <v>0</v>
      </c>
      <c r="N27" s="372"/>
      <c r="O27" s="293">
        <f t="shared" si="3"/>
        <v>4.9999999999999996E-5</v>
      </c>
    </row>
    <row r="28" spans="1:15" x14ac:dyDescent="0.35">
      <c r="A28" s="176" t="s">
        <v>276</v>
      </c>
      <c r="B28" s="376">
        <v>0</v>
      </c>
      <c r="C28" s="376">
        <v>0</v>
      </c>
      <c r="D28" s="376">
        <v>0</v>
      </c>
      <c r="E28" s="376">
        <v>0</v>
      </c>
      <c r="F28" s="376">
        <v>0</v>
      </c>
      <c r="G28" s="376">
        <v>0</v>
      </c>
      <c r="H28" s="376">
        <v>0</v>
      </c>
      <c r="I28" s="376">
        <v>0</v>
      </c>
      <c r="J28" s="376">
        <v>0</v>
      </c>
      <c r="K28" s="376">
        <v>0</v>
      </c>
      <c r="L28" s="376">
        <v>0</v>
      </c>
      <c r="M28" s="376">
        <v>0</v>
      </c>
      <c r="N28" s="372"/>
      <c r="O28" s="293">
        <f t="shared" si="3"/>
        <v>0</v>
      </c>
    </row>
    <row r="29" spans="1:15" x14ac:dyDescent="0.35">
      <c r="A29" s="176" t="s">
        <v>277</v>
      </c>
      <c r="B29" s="376">
        <v>0</v>
      </c>
      <c r="C29" s="376">
        <v>0</v>
      </c>
      <c r="D29" s="376">
        <v>0</v>
      </c>
      <c r="E29" s="376">
        <v>0</v>
      </c>
      <c r="F29" s="376">
        <v>0</v>
      </c>
      <c r="G29" s="376">
        <v>0</v>
      </c>
      <c r="H29" s="376">
        <v>0</v>
      </c>
      <c r="I29" s="376">
        <v>0</v>
      </c>
      <c r="J29" s="376">
        <v>0</v>
      </c>
      <c r="K29" s="376">
        <v>0</v>
      </c>
      <c r="L29" s="376">
        <v>0</v>
      </c>
      <c r="M29" s="376">
        <v>0</v>
      </c>
      <c r="N29" s="372"/>
      <c r="O29" s="293">
        <f t="shared" si="3"/>
        <v>0</v>
      </c>
    </row>
    <row r="30" spans="1:15" x14ac:dyDescent="0.35">
      <c r="A30" s="176" t="s">
        <v>278</v>
      </c>
      <c r="B30" s="376">
        <v>0</v>
      </c>
      <c r="C30" s="376">
        <v>0</v>
      </c>
      <c r="D30" s="376">
        <v>0</v>
      </c>
      <c r="E30" s="376">
        <v>0</v>
      </c>
      <c r="F30" s="376">
        <v>0</v>
      </c>
      <c r="G30" s="376">
        <v>0</v>
      </c>
      <c r="H30" s="376">
        <v>0</v>
      </c>
      <c r="I30" s="376">
        <v>0</v>
      </c>
      <c r="J30" s="376">
        <v>0</v>
      </c>
      <c r="K30" s="376">
        <v>0</v>
      </c>
      <c r="L30" s="376">
        <v>0</v>
      </c>
      <c r="M30" s="376">
        <v>0</v>
      </c>
      <c r="N30" s="372"/>
      <c r="O30" s="293">
        <f t="shared" si="3"/>
        <v>0</v>
      </c>
    </row>
    <row r="31" spans="1:15" x14ac:dyDescent="0.35">
      <c r="A31" s="179" t="s">
        <v>279</v>
      </c>
      <c r="B31" s="376">
        <v>0</v>
      </c>
      <c r="C31" s="376">
        <v>0</v>
      </c>
      <c r="D31" s="376">
        <v>0</v>
      </c>
      <c r="E31" s="376">
        <v>0</v>
      </c>
      <c r="F31" s="376">
        <v>0</v>
      </c>
      <c r="G31" s="376">
        <v>0</v>
      </c>
      <c r="H31" s="376">
        <v>0</v>
      </c>
      <c r="I31" s="376">
        <v>0</v>
      </c>
      <c r="J31" s="376">
        <v>2.0000000000000001E-4</v>
      </c>
      <c r="K31" s="376">
        <v>0</v>
      </c>
      <c r="L31" s="376">
        <v>0</v>
      </c>
      <c r="M31" s="376">
        <v>0</v>
      </c>
      <c r="N31" s="372"/>
      <c r="O31" s="293">
        <f t="shared" si="3"/>
        <v>1.6666666666666667E-5</v>
      </c>
    </row>
    <row r="32" spans="1:15" x14ac:dyDescent="0.35">
      <c r="A32" s="373" t="s">
        <v>267</v>
      </c>
      <c r="B32" s="374">
        <f t="shared" ref="B32:M32" si="4">SUM(B25:B31)</f>
        <v>0</v>
      </c>
      <c r="C32" s="374">
        <f t="shared" si="4"/>
        <v>0</v>
      </c>
      <c r="D32" s="374">
        <f t="shared" si="4"/>
        <v>4.0000000000000002E-4</v>
      </c>
      <c r="E32" s="374">
        <f t="shared" si="4"/>
        <v>7.9999999999999993E-4</v>
      </c>
      <c r="F32" s="374">
        <f t="shared" si="4"/>
        <v>1E-4</v>
      </c>
      <c r="G32" s="374">
        <f t="shared" si="4"/>
        <v>2.9999999999999997E-4</v>
      </c>
      <c r="H32" s="374">
        <f t="shared" si="4"/>
        <v>5.0000000000000001E-4</v>
      </c>
      <c r="I32" s="374">
        <f t="shared" si="4"/>
        <v>1E-4</v>
      </c>
      <c r="J32" s="374">
        <f t="shared" si="4"/>
        <v>2.0000000000000001E-4</v>
      </c>
      <c r="K32" s="374">
        <f t="shared" si="4"/>
        <v>6.9999999999999999E-4</v>
      </c>
      <c r="L32" s="374">
        <f t="shared" si="4"/>
        <v>0</v>
      </c>
      <c r="M32" s="374">
        <f t="shared" si="4"/>
        <v>1.4E-3</v>
      </c>
      <c r="N32" s="374"/>
      <c r="O32" s="374">
        <f t="shared" si="3"/>
        <v>3.7499999999999995E-4</v>
      </c>
    </row>
    <row r="33" spans="1:15" x14ac:dyDescent="0.35">
      <c r="A33" s="377"/>
    </row>
    <row r="34" spans="1:15" x14ac:dyDescent="0.35">
      <c r="A34" s="448" t="s">
        <v>488</v>
      </c>
      <c r="B34" s="445"/>
      <c r="C34" s="445"/>
    </row>
    <row r="35" spans="1:15" x14ac:dyDescent="0.35">
      <c r="B35" s="175" t="s">
        <v>253</v>
      </c>
      <c r="C35" s="175" t="s">
        <v>254</v>
      </c>
      <c r="D35" s="175" t="s">
        <v>255</v>
      </c>
      <c r="E35" s="175" t="s">
        <v>256</v>
      </c>
      <c r="F35" s="175" t="s">
        <v>257</v>
      </c>
      <c r="G35" s="175" t="s">
        <v>258</v>
      </c>
      <c r="H35" s="175" t="s">
        <v>259</v>
      </c>
      <c r="I35" s="175" t="s">
        <v>260</v>
      </c>
      <c r="J35" s="175" t="s">
        <v>261</v>
      </c>
      <c r="K35" s="175" t="s">
        <v>262</v>
      </c>
      <c r="L35" s="175" t="s">
        <v>263</v>
      </c>
      <c r="M35" s="175" t="s">
        <v>264</v>
      </c>
      <c r="N35" s="175"/>
    </row>
    <row r="36" spans="1:15" x14ac:dyDescent="0.35">
      <c r="A36" s="179" t="s">
        <v>281</v>
      </c>
      <c r="B36" s="372">
        <v>0</v>
      </c>
      <c r="C36" s="372">
        <v>1.2999999999999999E-3</v>
      </c>
      <c r="D36" s="372">
        <v>3.7000000000000002E-3</v>
      </c>
      <c r="E36" s="372">
        <v>8.0000000000000004E-4</v>
      </c>
      <c r="F36" s="372">
        <v>4.0000000000000002E-4</v>
      </c>
      <c r="G36" s="372">
        <v>1E-4</v>
      </c>
      <c r="H36" s="372">
        <v>5.0000000000000001E-4</v>
      </c>
      <c r="I36" s="372">
        <v>4.0000000000000002E-4</v>
      </c>
      <c r="J36" s="372">
        <v>8.9999999999999998E-4</v>
      </c>
      <c r="K36" s="372">
        <v>4.0000000000000002E-4</v>
      </c>
      <c r="L36" s="372">
        <v>1.5E-3</v>
      </c>
      <c r="M36" s="372">
        <v>1E-3</v>
      </c>
      <c r="N36" s="372"/>
      <c r="O36" s="293">
        <f t="shared" ref="O36:O41" si="5">AVERAGE(B36:M36)</f>
        <v>9.1666666666666665E-4</v>
      </c>
    </row>
    <row r="37" spans="1:15" x14ac:dyDescent="0.35">
      <c r="A37" s="179" t="s">
        <v>282</v>
      </c>
      <c r="B37" s="372">
        <v>0</v>
      </c>
      <c r="C37" s="372">
        <v>1E-4</v>
      </c>
      <c r="D37" s="372">
        <v>1E-4</v>
      </c>
      <c r="E37" s="372">
        <v>2.0000000000000001E-4</v>
      </c>
      <c r="F37" s="372">
        <v>1E-4</v>
      </c>
      <c r="G37" s="372">
        <v>0</v>
      </c>
      <c r="H37" s="372">
        <v>0</v>
      </c>
      <c r="I37" s="372">
        <v>0</v>
      </c>
      <c r="J37" s="372">
        <v>1E-4</v>
      </c>
      <c r="K37" s="372">
        <v>0</v>
      </c>
      <c r="L37" s="372">
        <v>5.9999999999999995E-4</v>
      </c>
      <c r="M37" s="372">
        <v>1E-4</v>
      </c>
      <c r="N37" s="372"/>
      <c r="O37" s="293">
        <f t="shared" si="5"/>
        <v>1.0833333333333334E-4</v>
      </c>
    </row>
    <row r="38" spans="1:15" x14ac:dyDescent="0.35">
      <c r="A38" s="179" t="s">
        <v>283</v>
      </c>
      <c r="B38" s="372">
        <v>1E-4</v>
      </c>
      <c r="C38" s="372">
        <v>5.0000000000000001E-4</v>
      </c>
      <c r="D38" s="372">
        <v>0</v>
      </c>
      <c r="E38" s="372">
        <v>2.9999999999999997E-4</v>
      </c>
      <c r="F38" s="372">
        <v>6.9999999999999999E-4</v>
      </c>
      <c r="G38" s="372">
        <v>0</v>
      </c>
      <c r="H38" s="372">
        <v>0</v>
      </c>
      <c r="I38" s="372">
        <v>4.0000000000000002E-4</v>
      </c>
      <c r="J38" s="372">
        <v>5.0000000000000001E-4</v>
      </c>
      <c r="K38" s="372">
        <v>1E-4</v>
      </c>
      <c r="L38" s="372">
        <v>4.0000000000000002E-4</v>
      </c>
      <c r="M38" s="372">
        <v>2.9999999999999997E-4</v>
      </c>
      <c r="N38" s="372"/>
      <c r="O38" s="293">
        <f t="shared" si="5"/>
        <v>2.7500000000000002E-4</v>
      </c>
    </row>
    <row r="39" spans="1:15" x14ac:dyDescent="0.35">
      <c r="A39" s="179" t="s">
        <v>284</v>
      </c>
      <c r="B39" s="372">
        <v>0</v>
      </c>
      <c r="C39" s="372">
        <v>0</v>
      </c>
      <c r="D39" s="372">
        <v>0</v>
      </c>
      <c r="E39" s="372">
        <v>0</v>
      </c>
      <c r="F39" s="372">
        <v>0</v>
      </c>
      <c r="G39" s="372">
        <v>0</v>
      </c>
      <c r="H39" s="372">
        <v>0</v>
      </c>
      <c r="I39" s="372">
        <v>0</v>
      </c>
      <c r="J39" s="372">
        <v>1E-3</v>
      </c>
      <c r="K39" s="372">
        <v>0</v>
      </c>
      <c r="L39" s="372">
        <v>0</v>
      </c>
      <c r="M39" s="372">
        <v>0</v>
      </c>
      <c r="N39" s="372"/>
      <c r="O39" s="293">
        <f t="shared" si="5"/>
        <v>8.3333333333333331E-5</v>
      </c>
    </row>
    <row r="40" spans="1:15" x14ac:dyDescent="0.35">
      <c r="A40" s="179" t="s">
        <v>285</v>
      </c>
      <c r="B40" s="372">
        <v>4.4999999999999997E-3</v>
      </c>
      <c r="C40" s="372">
        <v>5.9999999999999995E-4</v>
      </c>
      <c r="D40" s="372">
        <v>1.1999999999999999E-3</v>
      </c>
      <c r="E40" s="372">
        <v>2.3999999999999998E-3</v>
      </c>
      <c r="F40" s="372">
        <v>8.0000000000000004E-4</v>
      </c>
      <c r="G40" s="372">
        <v>1E-4</v>
      </c>
      <c r="H40" s="372">
        <v>5.9999999999999995E-4</v>
      </c>
      <c r="I40" s="372">
        <v>1E-4</v>
      </c>
      <c r="J40" s="372">
        <v>0</v>
      </c>
      <c r="K40" s="372">
        <v>0</v>
      </c>
      <c r="L40" s="372">
        <v>2E-3</v>
      </c>
      <c r="M40" s="372">
        <v>2.0000000000000001E-4</v>
      </c>
      <c r="N40" s="372"/>
      <c r="O40" s="293">
        <f t="shared" si="5"/>
        <v>1.0416666666666667E-3</v>
      </c>
    </row>
    <row r="41" spans="1:15" x14ac:dyDescent="0.35">
      <c r="A41" s="373" t="s">
        <v>267</v>
      </c>
      <c r="B41" s="374">
        <f t="shared" ref="B41:M41" si="6">SUM(B36:B40)</f>
        <v>4.5999999999999999E-3</v>
      </c>
      <c r="C41" s="374">
        <f t="shared" si="6"/>
        <v>2.5000000000000001E-3</v>
      </c>
      <c r="D41" s="374">
        <f t="shared" si="6"/>
        <v>5.0000000000000001E-3</v>
      </c>
      <c r="E41" s="374">
        <f t="shared" si="6"/>
        <v>3.6999999999999997E-3</v>
      </c>
      <c r="F41" s="374">
        <f t="shared" si="6"/>
        <v>2E-3</v>
      </c>
      <c r="G41" s="374">
        <f t="shared" si="6"/>
        <v>2.0000000000000001E-4</v>
      </c>
      <c r="H41" s="374">
        <f t="shared" si="6"/>
        <v>1.0999999999999998E-3</v>
      </c>
      <c r="I41" s="374">
        <f t="shared" si="6"/>
        <v>9.0000000000000008E-4</v>
      </c>
      <c r="J41" s="374">
        <f t="shared" si="6"/>
        <v>2.5000000000000001E-3</v>
      </c>
      <c r="K41" s="374">
        <f t="shared" si="6"/>
        <v>5.0000000000000001E-4</v>
      </c>
      <c r="L41" s="374">
        <f t="shared" si="6"/>
        <v>4.5000000000000005E-3</v>
      </c>
      <c r="M41" s="374">
        <f t="shared" si="6"/>
        <v>1.6000000000000001E-3</v>
      </c>
      <c r="N41" s="374"/>
      <c r="O41" s="374">
        <f t="shared" si="5"/>
        <v>2.4249999999999996E-3</v>
      </c>
    </row>
    <row r="42" spans="1:15" x14ac:dyDescent="0.35">
      <c r="A42" s="373"/>
      <c r="B42" s="374"/>
      <c r="C42" s="374"/>
      <c r="D42" s="374"/>
      <c r="E42" s="374"/>
      <c r="F42" s="374"/>
      <c r="G42" s="374"/>
      <c r="H42" s="374"/>
      <c r="I42" s="374"/>
      <c r="J42" s="374"/>
      <c r="K42" s="374"/>
      <c r="L42" s="374"/>
      <c r="M42" s="374"/>
      <c r="N42" s="374"/>
      <c r="O42" s="374"/>
    </row>
    <row r="43" spans="1:15" x14ac:dyDescent="0.35">
      <c r="A43" s="448" t="s">
        <v>286</v>
      </c>
      <c r="B43" s="445"/>
    </row>
    <row r="44" spans="1:15" x14ac:dyDescent="0.35">
      <c r="B44" s="175" t="s">
        <v>253</v>
      </c>
      <c r="C44" s="175" t="s">
        <v>254</v>
      </c>
      <c r="D44" s="175" t="s">
        <v>255</v>
      </c>
      <c r="E44" s="175" t="s">
        <v>256</v>
      </c>
      <c r="F44" s="175" t="s">
        <v>257</v>
      </c>
      <c r="G44" s="175" t="s">
        <v>258</v>
      </c>
      <c r="H44" s="175" t="s">
        <v>259</v>
      </c>
      <c r="I44" s="175" t="s">
        <v>260</v>
      </c>
      <c r="J44" s="175" t="s">
        <v>261</v>
      </c>
      <c r="K44" s="175" t="s">
        <v>262</v>
      </c>
      <c r="L44" s="175" t="s">
        <v>263</v>
      </c>
      <c r="M44" s="175" t="s">
        <v>264</v>
      </c>
      <c r="N44" s="175"/>
    </row>
    <row r="45" spans="1:15" x14ac:dyDescent="0.35">
      <c r="A45" s="373" t="s">
        <v>267</v>
      </c>
      <c r="B45" s="374">
        <v>1.47E-2</v>
      </c>
      <c r="C45" s="374">
        <v>1.43E-2</v>
      </c>
      <c r="D45" s="374">
        <v>1.15E-2</v>
      </c>
      <c r="E45" s="374">
        <v>1.35E-2</v>
      </c>
      <c r="F45" s="374">
        <v>1.5800000000000002E-2</v>
      </c>
      <c r="G45" s="374">
        <v>1.6E-2</v>
      </c>
      <c r="H45" s="374">
        <v>1.5100000000000001E-2</v>
      </c>
      <c r="I45" s="374">
        <v>1.4200000000000001E-2</v>
      </c>
      <c r="J45" s="374">
        <v>1.15E-2</v>
      </c>
      <c r="K45" s="374">
        <v>1.34E-2</v>
      </c>
      <c r="L45" s="374">
        <v>1.2200000000000001E-2</v>
      </c>
      <c r="M45" s="374">
        <v>1.3299999999999999E-2</v>
      </c>
      <c r="N45" s="374"/>
      <c r="O45" s="374">
        <f>AVERAGE(B45:M45)</f>
        <v>1.3791666666666667E-2</v>
      </c>
    </row>
    <row r="46" spans="1:15" x14ac:dyDescent="0.35">
      <c r="A46" s="373"/>
      <c r="B46" s="374"/>
      <c r="C46" s="374"/>
      <c r="D46" s="374"/>
      <c r="E46" s="374"/>
      <c r="F46" s="374"/>
      <c r="G46" s="374"/>
      <c r="H46" s="374"/>
      <c r="I46" s="374"/>
      <c r="J46" s="374"/>
      <c r="K46" s="374"/>
      <c r="L46" s="374"/>
      <c r="M46" s="374"/>
      <c r="N46" s="374"/>
      <c r="O46" s="374"/>
    </row>
    <row r="47" spans="1:15" ht="33.75" customHeight="1" x14ac:dyDescent="0.35">
      <c r="A47" s="449" t="s">
        <v>490</v>
      </c>
    </row>
    <row r="48" spans="1:15" x14ac:dyDescent="0.35">
      <c r="B48" s="175" t="s">
        <v>253</v>
      </c>
      <c r="C48" s="175" t="s">
        <v>254</v>
      </c>
      <c r="D48" s="175" t="s">
        <v>255</v>
      </c>
      <c r="E48" s="175" t="s">
        <v>256</v>
      </c>
      <c r="F48" s="175" t="s">
        <v>257</v>
      </c>
      <c r="G48" s="175" t="s">
        <v>258</v>
      </c>
      <c r="H48" s="175" t="s">
        <v>259</v>
      </c>
      <c r="I48" s="175" t="s">
        <v>260</v>
      </c>
      <c r="J48" s="175" t="s">
        <v>261</v>
      </c>
      <c r="K48" s="175" t="s">
        <v>262</v>
      </c>
      <c r="L48" s="175" t="s">
        <v>263</v>
      </c>
      <c r="M48" s="175" t="s">
        <v>264</v>
      </c>
      <c r="N48" s="175"/>
    </row>
    <row r="49" spans="1:15" x14ac:dyDescent="0.35">
      <c r="A49" s="179" t="s">
        <v>288</v>
      </c>
      <c r="B49" s="372">
        <v>3.0000000000000001E-3</v>
      </c>
      <c r="C49" s="372">
        <v>3.0999999999999999E-3</v>
      </c>
      <c r="D49" s="372">
        <v>3.0999999999999999E-3</v>
      </c>
      <c r="E49" s="372">
        <v>2.8999999999999998E-3</v>
      </c>
      <c r="F49" s="372">
        <v>2.8E-3</v>
      </c>
      <c r="G49" s="372">
        <v>1.9E-3</v>
      </c>
      <c r="H49" s="372">
        <v>2.2000000000000001E-3</v>
      </c>
      <c r="I49" s="372">
        <v>2.2000000000000001E-3</v>
      </c>
      <c r="J49" s="372">
        <v>2.5000000000000001E-3</v>
      </c>
      <c r="K49" s="372">
        <v>2.5999999999999999E-3</v>
      </c>
      <c r="L49" s="372">
        <v>2.8E-3</v>
      </c>
      <c r="M49" s="372">
        <v>2.7000000000000001E-3</v>
      </c>
      <c r="N49" s="372"/>
      <c r="O49" s="293">
        <f>AVERAGE(B49:M49)</f>
        <v>2.6499999999999996E-3</v>
      </c>
    </row>
    <row r="50" spans="1:15" x14ac:dyDescent="0.35">
      <c r="A50" s="373" t="s">
        <v>267</v>
      </c>
      <c r="B50" s="374">
        <f t="shared" ref="B50:M50" si="7">SUM(B49:B49)</f>
        <v>3.0000000000000001E-3</v>
      </c>
      <c r="C50" s="374">
        <f t="shared" si="7"/>
        <v>3.0999999999999999E-3</v>
      </c>
      <c r="D50" s="374">
        <f t="shared" si="7"/>
        <v>3.0999999999999999E-3</v>
      </c>
      <c r="E50" s="374">
        <f t="shared" si="7"/>
        <v>2.8999999999999998E-3</v>
      </c>
      <c r="F50" s="374">
        <f t="shared" si="7"/>
        <v>2.8E-3</v>
      </c>
      <c r="G50" s="374">
        <f t="shared" si="7"/>
        <v>1.9E-3</v>
      </c>
      <c r="H50" s="374">
        <f t="shared" si="7"/>
        <v>2.2000000000000001E-3</v>
      </c>
      <c r="I50" s="374">
        <f t="shared" si="7"/>
        <v>2.2000000000000001E-3</v>
      </c>
      <c r="J50" s="374">
        <f t="shared" si="7"/>
        <v>2.5000000000000001E-3</v>
      </c>
      <c r="K50" s="374">
        <f t="shared" si="7"/>
        <v>2.5999999999999999E-3</v>
      </c>
      <c r="L50" s="374">
        <f t="shared" si="7"/>
        <v>2.8E-3</v>
      </c>
      <c r="M50" s="374">
        <f t="shared" si="7"/>
        <v>2.7000000000000001E-3</v>
      </c>
      <c r="N50" s="374"/>
      <c r="O50" s="374">
        <f>SUM(O49:O49)</f>
        <v>2.6499999999999996E-3</v>
      </c>
    </row>
    <row r="51" spans="1:15" x14ac:dyDescent="0.35">
      <c r="A51" s="373"/>
      <c r="B51" s="374"/>
      <c r="C51" s="374"/>
      <c r="D51" s="374"/>
      <c r="E51" s="374"/>
      <c r="F51" s="374"/>
      <c r="G51" s="374"/>
      <c r="H51" s="374"/>
      <c r="I51" s="374"/>
      <c r="J51" s="374"/>
      <c r="K51" s="374"/>
      <c r="L51" s="374"/>
      <c r="M51" s="374"/>
      <c r="N51" s="374"/>
      <c r="O51" s="374"/>
    </row>
    <row r="52" spans="1:15" x14ac:dyDescent="0.35">
      <c r="A52" s="448" t="s">
        <v>289</v>
      </c>
    </row>
    <row r="53" spans="1:15" x14ac:dyDescent="0.35">
      <c r="A53" s="450" t="s">
        <v>290</v>
      </c>
    </row>
    <row r="54" spans="1:15" x14ac:dyDescent="0.35">
      <c r="B54" s="175" t="s">
        <v>253</v>
      </c>
      <c r="C54" s="175" t="s">
        <v>254</v>
      </c>
      <c r="D54" s="175" t="s">
        <v>255</v>
      </c>
      <c r="E54" s="175" t="s">
        <v>256</v>
      </c>
      <c r="F54" s="175" t="s">
        <v>257</v>
      </c>
      <c r="G54" s="175" t="s">
        <v>258</v>
      </c>
      <c r="H54" s="175" t="s">
        <v>259</v>
      </c>
      <c r="I54" s="175" t="s">
        <v>260</v>
      </c>
      <c r="J54" s="175" t="s">
        <v>261</v>
      </c>
      <c r="K54" s="175" t="s">
        <v>262</v>
      </c>
      <c r="L54" s="175" t="s">
        <v>263</v>
      </c>
      <c r="M54" s="175" t="s">
        <v>264</v>
      </c>
      <c r="N54" s="175"/>
    </row>
    <row r="55" spans="1:15" x14ac:dyDescent="0.35">
      <c r="A55" s="176" t="s">
        <v>291</v>
      </c>
      <c r="B55" s="376">
        <v>0</v>
      </c>
      <c r="C55" s="376">
        <v>4.0000000000000002E-4</v>
      </c>
      <c r="D55" s="376">
        <v>4.0000000000000002E-4</v>
      </c>
      <c r="E55" s="376">
        <v>2.2000000000000001E-3</v>
      </c>
      <c r="F55" s="376">
        <v>4.0000000000000002E-4</v>
      </c>
      <c r="G55" s="376">
        <v>2.2000000000000001E-3</v>
      </c>
      <c r="H55" s="376">
        <v>4.0000000000000002E-4</v>
      </c>
      <c r="I55" s="376">
        <v>2.9999999999999997E-4</v>
      </c>
      <c r="J55" s="376">
        <v>4.0000000000000002E-4</v>
      </c>
      <c r="K55" s="376">
        <v>6.9999999999999999E-4</v>
      </c>
      <c r="L55" s="376">
        <v>4.0000000000000002E-4</v>
      </c>
      <c r="M55" s="376">
        <v>6.9999999999999999E-4</v>
      </c>
      <c r="N55" s="372"/>
      <c r="O55" s="293">
        <f t="shared" ref="O55:O70" si="8">AVERAGE(B55:M55)</f>
        <v>7.0833333333333338E-4</v>
      </c>
    </row>
    <row r="56" spans="1:15" x14ac:dyDescent="0.35">
      <c r="A56" s="176" t="s">
        <v>292</v>
      </c>
      <c r="B56" s="376">
        <v>2.9999999999999997E-4</v>
      </c>
      <c r="C56" s="376">
        <v>0</v>
      </c>
      <c r="D56" s="376">
        <v>0</v>
      </c>
      <c r="E56" s="376">
        <v>1E-4</v>
      </c>
      <c r="F56" s="376">
        <v>0</v>
      </c>
      <c r="G56" s="376">
        <v>0</v>
      </c>
      <c r="H56" s="376">
        <v>0</v>
      </c>
      <c r="I56" s="376">
        <v>0</v>
      </c>
      <c r="J56" s="376">
        <v>0</v>
      </c>
      <c r="K56" s="376">
        <v>0</v>
      </c>
      <c r="L56" s="376">
        <v>0</v>
      </c>
      <c r="M56" s="376">
        <v>0</v>
      </c>
      <c r="N56" s="372"/>
      <c r="O56" s="293">
        <f t="shared" si="8"/>
        <v>3.3333333333333328E-5</v>
      </c>
    </row>
    <row r="57" spans="1:15" x14ac:dyDescent="0.35">
      <c r="A57" s="176" t="s">
        <v>293</v>
      </c>
      <c r="B57" s="376">
        <v>2.0000000000000001E-4</v>
      </c>
      <c r="C57" s="376">
        <v>5.0000000000000001E-4</v>
      </c>
      <c r="D57" s="376">
        <v>2.9999999999999997E-4</v>
      </c>
      <c r="E57" s="376">
        <v>1E-4</v>
      </c>
      <c r="F57" s="376">
        <v>2.9999999999999997E-4</v>
      </c>
      <c r="G57" s="376">
        <v>0</v>
      </c>
      <c r="H57" s="376">
        <v>5.0000000000000001E-4</v>
      </c>
      <c r="I57" s="376">
        <v>1E-4</v>
      </c>
      <c r="J57" s="376">
        <v>0</v>
      </c>
      <c r="K57" s="376">
        <v>0</v>
      </c>
      <c r="L57" s="376">
        <v>2.9999999999999997E-4</v>
      </c>
      <c r="M57" s="376">
        <v>1E-4</v>
      </c>
      <c r="N57" s="372"/>
      <c r="O57" s="293">
        <f t="shared" si="8"/>
        <v>1.9999999999999998E-4</v>
      </c>
    </row>
    <row r="58" spans="1:15" x14ac:dyDescent="0.35">
      <c r="A58" s="176" t="s">
        <v>294</v>
      </c>
      <c r="B58" s="376">
        <v>0</v>
      </c>
      <c r="C58" s="376">
        <v>0</v>
      </c>
      <c r="D58" s="376">
        <v>0</v>
      </c>
      <c r="E58" s="376">
        <v>2.0000000000000001E-4</v>
      </c>
      <c r="F58" s="376">
        <v>0</v>
      </c>
      <c r="G58" s="376">
        <v>0</v>
      </c>
      <c r="H58" s="376">
        <v>0</v>
      </c>
      <c r="I58" s="376">
        <v>0</v>
      </c>
      <c r="J58" s="376">
        <v>0</v>
      </c>
      <c r="K58" s="376">
        <v>0</v>
      </c>
      <c r="L58" s="376">
        <v>0</v>
      </c>
      <c r="M58" s="376">
        <v>0</v>
      </c>
      <c r="N58" s="372"/>
      <c r="O58" s="293">
        <f t="shared" si="8"/>
        <v>1.6666666666666667E-5</v>
      </c>
    </row>
    <row r="59" spans="1:15" x14ac:dyDescent="0.35">
      <c r="A59" s="176" t="s">
        <v>295</v>
      </c>
      <c r="B59" s="376">
        <v>0</v>
      </c>
      <c r="C59" s="376">
        <v>0</v>
      </c>
      <c r="D59" s="376">
        <v>2.9999999999999997E-4</v>
      </c>
      <c r="E59" s="376">
        <v>0</v>
      </c>
      <c r="F59" s="376">
        <v>0</v>
      </c>
      <c r="G59" s="376">
        <v>0</v>
      </c>
      <c r="H59" s="376">
        <v>0</v>
      </c>
      <c r="I59" s="376">
        <v>0</v>
      </c>
      <c r="J59" s="376">
        <v>0</v>
      </c>
      <c r="K59" s="376">
        <v>1E-4</v>
      </c>
      <c r="L59" s="376">
        <v>0</v>
      </c>
      <c r="M59" s="376">
        <v>2.9999999999999997E-4</v>
      </c>
      <c r="N59" s="372"/>
      <c r="O59" s="293">
        <f t="shared" si="8"/>
        <v>5.8333333333333326E-5</v>
      </c>
    </row>
    <row r="60" spans="1:15" x14ac:dyDescent="0.35">
      <c r="A60" s="176" t="s">
        <v>296</v>
      </c>
      <c r="B60" s="376">
        <v>2.0000000000000001E-4</v>
      </c>
      <c r="C60" s="376">
        <v>2.0000000000000001E-4</v>
      </c>
      <c r="D60" s="376">
        <v>8.9999999999999998E-4</v>
      </c>
      <c r="E60" s="376">
        <v>1E-3</v>
      </c>
      <c r="F60" s="376">
        <v>2.0000000000000001E-4</v>
      </c>
      <c r="G60" s="376">
        <v>2.9999999999999997E-4</v>
      </c>
      <c r="H60" s="376">
        <v>1.8E-3</v>
      </c>
      <c r="I60" s="376">
        <v>6.9999999999999999E-4</v>
      </c>
      <c r="J60" s="376">
        <v>1E-4</v>
      </c>
      <c r="K60" s="376">
        <v>1.5E-3</v>
      </c>
      <c r="L60" s="376">
        <v>2.9999999999999997E-4</v>
      </c>
      <c r="M60" s="376">
        <v>4.0000000000000002E-4</v>
      </c>
      <c r="N60" s="372"/>
      <c r="O60" s="293">
        <f t="shared" si="8"/>
        <v>6.333333333333333E-4</v>
      </c>
    </row>
    <row r="61" spans="1:15" x14ac:dyDescent="0.35">
      <c r="A61" s="176" t="s">
        <v>297</v>
      </c>
      <c r="B61" s="376">
        <v>0</v>
      </c>
      <c r="C61" s="376">
        <v>0</v>
      </c>
      <c r="D61" s="376">
        <v>1E-4</v>
      </c>
      <c r="E61" s="376">
        <v>0</v>
      </c>
      <c r="F61" s="376">
        <v>0</v>
      </c>
      <c r="G61" s="376">
        <v>0</v>
      </c>
      <c r="H61" s="376">
        <v>0</v>
      </c>
      <c r="I61" s="376">
        <v>0</v>
      </c>
      <c r="J61" s="376">
        <v>0</v>
      </c>
      <c r="K61" s="376">
        <v>0</v>
      </c>
      <c r="L61" s="376">
        <v>0</v>
      </c>
      <c r="M61" s="376">
        <v>1E-4</v>
      </c>
      <c r="N61" s="372"/>
      <c r="O61" s="293">
        <f t="shared" si="8"/>
        <v>1.6666666666666667E-5</v>
      </c>
    </row>
    <row r="62" spans="1:15" x14ac:dyDescent="0.35">
      <c r="A62" s="176" t="s">
        <v>298</v>
      </c>
      <c r="B62" s="376">
        <v>2.9999999999999997E-4</v>
      </c>
      <c r="C62" s="376">
        <v>0</v>
      </c>
      <c r="D62" s="376">
        <v>2.9999999999999997E-4</v>
      </c>
      <c r="E62" s="376">
        <v>2.3E-3</v>
      </c>
      <c r="F62" s="376">
        <v>8.9999999999999998E-4</v>
      </c>
      <c r="G62" s="376">
        <v>5.9999999999999995E-4</v>
      </c>
      <c r="H62" s="376">
        <v>2.0000000000000001E-4</v>
      </c>
      <c r="I62" s="376">
        <v>6.9999999999999999E-4</v>
      </c>
      <c r="J62" s="376">
        <v>1E-3</v>
      </c>
      <c r="K62" s="376">
        <v>4.0000000000000002E-4</v>
      </c>
      <c r="L62" s="376">
        <v>8.0000000000000004E-4</v>
      </c>
      <c r="M62" s="376">
        <v>5.9999999999999995E-4</v>
      </c>
      <c r="N62" s="372"/>
      <c r="O62" s="293">
        <f t="shared" si="8"/>
        <v>6.7499999999999993E-4</v>
      </c>
    </row>
    <row r="63" spans="1:15" x14ac:dyDescent="0.35">
      <c r="A63" s="33" t="s">
        <v>299</v>
      </c>
      <c r="B63" s="376">
        <v>1.2999999999999999E-3</v>
      </c>
      <c r="C63" s="376">
        <v>5.0000000000000001E-4</v>
      </c>
      <c r="D63" s="376">
        <v>5.9999999999999995E-4</v>
      </c>
      <c r="E63" s="376">
        <v>4.0000000000000002E-4</v>
      </c>
      <c r="F63" s="376">
        <v>5.9999999999999995E-4</v>
      </c>
      <c r="G63" s="376">
        <v>5.0000000000000001E-4</v>
      </c>
      <c r="H63" s="376">
        <v>5.0000000000000001E-4</v>
      </c>
      <c r="I63" s="376">
        <v>8.9999999999999998E-4</v>
      </c>
      <c r="J63" s="376">
        <v>2.0000000000000001E-4</v>
      </c>
      <c r="K63" s="376">
        <v>2.9999999999999997E-4</v>
      </c>
      <c r="L63" s="376">
        <v>2.0000000000000001E-4</v>
      </c>
      <c r="M63" s="376">
        <v>5.0000000000000001E-4</v>
      </c>
      <c r="N63" s="372"/>
      <c r="O63" s="293">
        <f t="shared" si="8"/>
        <v>5.4166666666666653E-4</v>
      </c>
    </row>
    <row r="64" spans="1:15" x14ac:dyDescent="0.35">
      <c r="A64" s="176" t="s">
        <v>300</v>
      </c>
      <c r="B64" s="376">
        <v>5.0000000000000001E-4</v>
      </c>
      <c r="C64" s="376">
        <v>5.0000000000000001E-4</v>
      </c>
      <c r="D64" s="376">
        <v>4.0000000000000002E-4</v>
      </c>
      <c r="E64" s="376">
        <v>5.0000000000000001E-4</v>
      </c>
      <c r="F64" s="376">
        <v>5.0000000000000001E-4</v>
      </c>
      <c r="G64" s="376">
        <v>5.0000000000000001E-4</v>
      </c>
      <c r="H64" s="376">
        <v>5.0000000000000001E-4</v>
      </c>
      <c r="I64" s="376">
        <v>5.0000000000000001E-4</v>
      </c>
      <c r="J64" s="376">
        <v>2.8999999999999998E-3</v>
      </c>
      <c r="K64" s="376">
        <v>2.5999999999999999E-3</v>
      </c>
      <c r="L64" s="376">
        <v>4.0000000000000002E-4</v>
      </c>
      <c r="M64" s="376">
        <v>4.0000000000000002E-4</v>
      </c>
      <c r="N64" s="372"/>
      <c r="O64" s="293">
        <f t="shared" si="8"/>
        <v>8.4999999999999995E-4</v>
      </c>
    </row>
    <row r="65" spans="1:15" x14ac:dyDescent="0.35">
      <c r="A65" s="176" t="s">
        <v>301</v>
      </c>
      <c r="B65" s="376">
        <v>0</v>
      </c>
      <c r="C65" s="376">
        <v>0</v>
      </c>
      <c r="D65" s="376">
        <v>0</v>
      </c>
      <c r="E65" s="376">
        <v>0</v>
      </c>
      <c r="F65" s="376">
        <v>0</v>
      </c>
      <c r="G65" s="376">
        <v>0</v>
      </c>
      <c r="H65" s="376">
        <v>0</v>
      </c>
      <c r="I65" s="376">
        <v>0</v>
      </c>
      <c r="J65" s="376">
        <v>0</v>
      </c>
      <c r="K65" s="376">
        <v>0</v>
      </c>
      <c r="L65" s="376">
        <v>0</v>
      </c>
      <c r="M65" s="376">
        <v>0</v>
      </c>
      <c r="N65" s="372"/>
      <c r="O65" s="293">
        <f t="shared" si="8"/>
        <v>0</v>
      </c>
    </row>
    <row r="66" spans="1:15" x14ac:dyDescent="0.35">
      <c r="A66" s="176" t="s">
        <v>302</v>
      </c>
      <c r="B66" s="376">
        <v>5.0000000000000001E-4</v>
      </c>
      <c r="C66" s="376">
        <v>2.0000000000000001E-4</v>
      </c>
      <c r="D66" s="376">
        <v>1E-4</v>
      </c>
      <c r="E66" s="376">
        <v>1E-3</v>
      </c>
      <c r="F66" s="376">
        <v>2.9999999999999997E-4</v>
      </c>
      <c r="G66" s="376">
        <v>5.0000000000000001E-4</v>
      </c>
      <c r="H66" s="376">
        <v>4.0000000000000002E-4</v>
      </c>
      <c r="I66" s="376">
        <v>2.0000000000000001E-4</v>
      </c>
      <c r="J66" s="376">
        <v>8.0000000000000004E-4</v>
      </c>
      <c r="K66" s="376">
        <v>5.0000000000000001E-4</v>
      </c>
      <c r="L66" s="376">
        <v>1E-4</v>
      </c>
      <c r="M66" s="376">
        <v>2.0000000000000001E-4</v>
      </c>
      <c r="N66" s="372"/>
      <c r="O66" s="293">
        <f t="shared" si="8"/>
        <v>4.0000000000000002E-4</v>
      </c>
    </row>
    <row r="67" spans="1:15" x14ac:dyDescent="0.35">
      <c r="A67" s="176" t="s">
        <v>303</v>
      </c>
      <c r="B67" s="376">
        <v>0</v>
      </c>
      <c r="C67" s="376">
        <v>0</v>
      </c>
      <c r="D67" s="376">
        <v>0</v>
      </c>
      <c r="E67" s="376">
        <v>0</v>
      </c>
      <c r="F67" s="376">
        <v>5.9999999999999995E-4</v>
      </c>
      <c r="G67" s="376">
        <v>0</v>
      </c>
      <c r="H67" s="376">
        <v>0</v>
      </c>
      <c r="I67" s="376">
        <v>0</v>
      </c>
      <c r="J67" s="376">
        <v>0</v>
      </c>
      <c r="K67" s="376">
        <v>0</v>
      </c>
      <c r="L67" s="376">
        <v>0</v>
      </c>
      <c r="M67" s="376">
        <v>0</v>
      </c>
      <c r="N67" s="372"/>
      <c r="O67" s="293">
        <f t="shared" si="8"/>
        <v>4.9999999999999996E-5</v>
      </c>
    </row>
    <row r="68" spans="1:15" x14ac:dyDescent="0.35">
      <c r="A68" s="176" t="s">
        <v>304</v>
      </c>
      <c r="B68" s="376">
        <v>1E-4</v>
      </c>
      <c r="C68" s="376">
        <v>1E-4</v>
      </c>
      <c r="D68" s="376">
        <v>1E-4</v>
      </c>
      <c r="E68" s="376">
        <v>1E-4</v>
      </c>
      <c r="F68" s="376">
        <v>1E-4</v>
      </c>
      <c r="G68" s="376">
        <v>1E-4</v>
      </c>
      <c r="H68" s="376">
        <v>1E-4</v>
      </c>
      <c r="I68" s="376">
        <v>1E-4</v>
      </c>
      <c r="J68" s="376">
        <v>1E-4</v>
      </c>
      <c r="K68" s="376">
        <v>1E-4</v>
      </c>
      <c r="L68" s="376">
        <v>1E-4</v>
      </c>
      <c r="M68" s="376">
        <v>1E-4</v>
      </c>
      <c r="N68" s="372"/>
      <c r="O68" s="293">
        <f t="shared" si="8"/>
        <v>1.0000000000000003E-4</v>
      </c>
    </row>
    <row r="69" spans="1:15" x14ac:dyDescent="0.35">
      <c r="A69" s="179" t="s">
        <v>305</v>
      </c>
      <c r="B69" s="376">
        <v>1.35E-2</v>
      </c>
      <c r="C69" s="376">
        <v>1.32E-2</v>
      </c>
      <c r="D69" s="376">
        <v>1.32E-2</v>
      </c>
      <c r="E69" s="376">
        <v>1.34E-2</v>
      </c>
      <c r="F69" s="376">
        <v>1.3599999999999999E-2</v>
      </c>
      <c r="G69" s="376">
        <v>1.15E-2</v>
      </c>
      <c r="H69" s="376">
        <v>1.2200000000000001E-2</v>
      </c>
      <c r="I69" s="376">
        <v>1.04E-2</v>
      </c>
      <c r="J69" s="376">
        <v>1.5900000000000001E-2</v>
      </c>
      <c r="K69" s="376">
        <v>1.4E-2</v>
      </c>
      <c r="L69" s="376">
        <v>1.52E-2</v>
      </c>
      <c r="M69" s="376">
        <v>1.23E-2</v>
      </c>
      <c r="N69" s="372"/>
      <c r="O69" s="293">
        <f t="shared" si="8"/>
        <v>1.3200000000000002E-2</v>
      </c>
    </row>
    <row r="70" spans="1:15" x14ac:dyDescent="0.35">
      <c r="A70" s="373" t="s">
        <v>267</v>
      </c>
      <c r="B70" s="374">
        <f t="shared" ref="B70:M70" si="9">SUM(B55:B69)</f>
        <v>1.6899999999999998E-2</v>
      </c>
      <c r="C70" s="374">
        <f t="shared" si="9"/>
        <v>1.5599999999999999E-2</v>
      </c>
      <c r="D70" s="374">
        <f t="shared" si="9"/>
        <v>1.67E-2</v>
      </c>
      <c r="E70" s="374">
        <f t="shared" si="9"/>
        <v>2.1299999999999999E-2</v>
      </c>
      <c r="F70" s="374">
        <f t="shared" si="9"/>
        <v>1.7499999999999998E-2</v>
      </c>
      <c r="G70" s="374">
        <f t="shared" si="9"/>
        <v>1.6199999999999999E-2</v>
      </c>
      <c r="H70" s="374">
        <f t="shared" si="9"/>
        <v>1.66E-2</v>
      </c>
      <c r="I70" s="374">
        <f t="shared" si="9"/>
        <v>1.3899999999999999E-2</v>
      </c>
      <c r="J70" s="374">
        <f t="shared" si="9"/>
        <v>2.1400000000000002E-2</v>
      </c>
      <c r="K70" s="374">
        <f t="shared" si="9"/>
        <v>2.0199999999999999E-2</v>
      </c>
      <c r="L70" s="374">
        <f t="shared" si="9"/>
        <v>1.78E-2</v>
      </c>
      <c r="M70" s="374">
        <f t="shared" si="9"/>
        <v>1.5699999999999999E-2</v>
      </c>
      <c r="N70" s="374"/>
      <c r="O70" s="374">
        <f t="shared" si="8"/>
        <v>1.7483333333333333E-2</v>
      </c>
    </row>
    <row r="71" spans="1:15" x14ac:dyDescent="0.35">
      <c r="A71" s="450" t="s">
        <v>306</v>
      </c>
    </row>
    <row r="72" spans="1:15" x14ac:dyDescent="0.35">
      <c r="B72" s="175" t="s">
        <v>253</v>
      </c>
      <c r="C72" s="175" t="s">
        <v>254</v>
      </c>
      <c r="D72" s="175" t="s">
        <v>255</v>
      </c>
      <c r="E72" s="175" t="s">
        <v>256</v>
      </c>
      <c r="F72" s="175" t="s">
        <v>257</v>
      </c>
      <c r="G72" s="175" t="s">
        <v>258</v>
      </c>
      <c r="H72" s="175" t="s">
        <v>259</v>
      </c>
      <c r="I72" s="175" t="s">
        <v>260</v>
      </c>
      <c r="J72" s="175" t="s">
        <v>261</v>
      </c>
      <c r="K72" s="175" t="s">
        <v>262</v>
      </c>
      <c r="L72" s="175" t="s">
        <v>263</v>
      </c>
      <c r="M72" s="175" t="s">
        <v>264</v>
      </c>
      <c r="N72" s="175"/>
    </row>
    <row r="73" spans="1:15" x14ac:dyDescent="0.35">
      <c r="A73" s="179" t="s">
        <v>307</v>
      </c>
      <c r="B73" s="376">
        <v>0</v>
      </c>
      <c r="C73" s="376">
        <v>7.9000000000000008E-3</v>
      </c>
      <c r="D73" s="376">
        <v>9.2999999999999992E-3</v>
      </c>
      <c r="E73" s="376">
        <v>0</v>
      </c>
      <c r="F73" s="376">
        <v>0</v>
      </c>
      <c r="G73" s="376">
        <v>0</v>
      </c>
      <c r="H73" s="376">
        <v>0</v>
      </c>
      <c r="I73" s="376">
        <v>0</v>
      </c>
      <c r="J73" s="376">
        <v>0</v>
      </c>
      <c r="K73" s="376">
        <v>0</v>
      </c>
      <c r="L73" s="376">
        <v>0</v>
      </c>
      <c r="M73" s="376">
        <v>1.21E-2</v>
      </c>
      <c r="N73" s="372"/>
      <c r="O73" s="293">
        <f>AVERAGE(B73:M73)</f>
        <v>2.4416666666666666E-3</v>
      </c>
    </row>
    <row r="74" spans="1:15" x14ac:dyDescent="0.35">
      <c r="A74" s="179" t="s">
        <v>308</v>
      </c>
      <c r="B74" s="376">
        <v>0</v>
      </c>
      <c r="C74" s="376">
        <v>0</v>
      </c>
      <c r="D74" s="376">
        <v>0</v>
      </c>
      <c r="E74" s="376">
        <v>0</v>
      </c>
      <c r="F74" s="376">
        <v>0</v>
      </c>
      <c r="G74" s="376">
        <v>0</v>
      </c>
      <c r="H74" s="376">
        <v>0</v>
      </c>
      <c r="I74" s="376">
        <v>0</v>
      </c>
      <c r="J74" s="376">
        <v>0</v>
      </c>
      <c r="K74" s="376">
        <v>0</v>
      </c>
      <c r="L74" s="376">
        <v>0</v>
      </c>
      <c r="M74" s="376">
        <v>1.8E-3</v>
      </c>
      <c r="N74" s="372"/>
      <c r="O74" s="293">
        <f>AVERAGE(B74:M74)</f>
        <v>1.4999999999999999E-4</v>
      </c>
    </row>
    <row r="75" spans="1:15" x14ac:dyDescent="0.35">
      <c r="A75" s="179" t="s">
        <v>309</v>
      </c>
      <c r="B75" s="376">
        <v>2.9999999999999997E-4</v>
      </c>
      <c r="C75" s="376">
        <v>4.0000000000000002E-4</v>
      </c>
      <c r="D75" s="376">
        <v>2.0000000000000001E-4</v>
      </c>
      <c r="E75" s="376">
        <v>1E-4</v>
      </c>
      <c r="F75" s="376">
        <v>0</v>
      </c>
      <c r="G75" s="376">
        <v>6.9999999999999999E-4</v>
      </c>
      <c r="H75" s="376">
        <v>2.9999999999999997E-4</v>
      </c>
      <c r="I75" s="376">
        <v>1E-4</v>
      </c>
      <c r="J75" s="376">
        <v>5.9999999999999995E-4</v>
      </c>
      <c r="K75" s="376">
        <v>0</v>
      </c>
      <c r="L75" s="376">
        <v>5.0000000000000001E-4</v>
      </c>
      <c r="M75" s="376">
        <v>1E-3</v>
      </c>
      <c r="N75" s="372"/>
      <c r="O75" s="293">
        <f>AVERAGE(B75:M75)</f>
        <v>3.5E-4</v>
      </c>
    </row>
    <row r="76" spans="1:15" x14ac:dyDescent="0.35">
      <c r="A76" s="179" t="s">
        <v>310</v>
      </c>
      <c r="B76" s="376">
        <v>1.4E-3</v>
      </c>
      <c r="C76" s="376">
        <v>1.1999999999999999E-3</v>
      </c>
      <c r="D76" s="376">
        <v>8.9999999999999998E-4</v>
      </c>
      <c r="E76" s="376">
        <v>1.1999999999999999E-3</v>
      </c>
      <c r="F76" s="376">
        <v>1.1999999999999999E-3</v>
      </c>
      <c r="G76" s="376">
        <v>1E-3</v>
      </c>
      <c r="H76" s="376">
        <v>1.1000000000000001E-3</v>
      </c>
      <c r="I76" s="376">
        <v>5.0000000000000001E-4</v>
      </c>
      <c r="J76" s="376">
        <v>1E-3</v>
      </c>
      <c r="K76" s="376">
        <v>1E-3</v>
      </c>
      <c r="L76" s="376">
        <v>5.9999999999999995E-4</v>
      </c>
      <c r="M76" s="376">
        <v>8.9999999999999998E-4</v>
      </c>
      <c r="N76" s="372"/>
      <c r="O76" s="293">
        <f>AVERAGE(B76:M76)</f>
        <v>9.999999999999998E-4</v>
      </c>
    </row>
    <row r="77" spans="1:15" x14ac:dyDescent="0.35">
      <c r="A77" s="373" t="s">
        <v>267</v>
      </c>
      <c r="B77" s="374">
        <f t="shared" ref="B77:M77" si="10">SUM(B73:B76)</f>
        <v>1.6999999999999999E-3</v>
      </c>
      <c r="C77" s="374">
        <f t="shared" si="10"/>
        <v>9.4999999999999998E-3</v>
      </c>
      <c r="D77" s="374">
        <f t="shared" si="10"/>
        <v>1.04E-2</v>
      </c>
      <c r="E77" s="374">
        <f t="shared" si="10"/>
        <v>1.2999999999999999E-3</v>
      </c>
      <c r="F77" s="374">
        <f t="shared" si="10"/>
        <v>1.1999999999999999E-3</v>
      </c>
      <c r="G77" s="374">
        <f t="shared" si="10"/>
        <v>1.7000000000000001E-3</v>
      </c>
      <c r="H77" s="374">
        <f t="shared" si="10"/>
        <v>1.4E-3</v>
      </c>
      <c r="I77" s="374">
        <f t="shared" si="10"/>
        <v>6.0000000000000006E-4</v>
      </c>
      <c r="J77" s="374">
        <f t="shared" si="10"/>
        <v>1.5999999999999999E-3</v>
      </c>
      <c r="K77" s="374">
        <f t="shared" si="10"/>
        <v>1E-3</v>
      </c>
      <c r="L77" s="374">
        <f t="shared" si="10"/>
        <v>1.0999999999999998E-3</v>
      </c>
      <c r="M77" s="374">
        <f t="shared" si="10"/>
        <v>1.5800000000000002E-2</v>
      </c>
      <c r="N77" s="374"/>
      <c r="O77" s="374">
        <f>AVERAGE(B77:M77)</f>
        <v>3.9416666666666671E-3</v>
      </c>
    </row>
    <row r="78" spans="1:15" x14ac:dyDescent="0.35">
      <c r="B78" s="374"/>
      <c r="C78" s="374"/>
      <c r="D78" s="374"/>
      <c r="E78" s="374"/>
      <c r="F78" s="374"/>
      <c r="G78" s="374"/>
      <c r="H78" s="374"/>
      <c r="I78" s="374"/>
      <c r="J78" s="374"/>
      <c r="K78" s="374"/>
      <c r="L78" s="374"/>
      <c r="M78" s="374"/>
      <c r="N78" s="374"/>
      <c r="O78" s="374"/>
    </row>
    <row r="79" spans="1:15" x14ac:dyDescent="0.35">
      <c r="A79" s="451" t="s">
        <v>311</v>
      </c>
    </row>
    <row r="80" spans="1:15" x14ac:dyDescent="0.35">
      <c r="B80" s="175" t="s">
        <v>253</v>
      </c>
      <c r="C80" s="175" t="s">
        <v>254</v>
      </c>
      <c r="D80" s="175" t="s">
        <v>255</v>
      </c>
      <c r="E80" s="175" t="s">
        <v>256</v>
      </c>
      <c r="F80" s="175" t="s">
        <v>257</v>
      </c>
      <c r="G80" s="175" t="s">
        <v>258</v>
      </c>
      <c r="H80" s="175" t="s">
        <v>259</v>
      </c>
      <c r="I80" s="175" t="s">
        <v>260</v>
      </c>
      <c r="J80" s="175" t="s">
        <v>261</v>
      </c>
      <c r="K80" s="175" t="s">
        <v>262</v>
      </c>
      <c r="L80" s="175" t="s">
        <v>263</v>
      </c>
      <c r="M80" s="175" t="s">
        <v>264</v>
      </c>
      <c r="N80" s="175"/>
    </row>
    <row r="81" spans="1:15" x14ac:dyDescent="0.35">
      <c r="A81" s="176" t="s">
        <v>312</v>
      </c>
      <c r="B81" s="376">
        <v>0</v>
      </c>
      <c r="C81" s="376">
        <v>0</v>
      </c>
      <c r="D81" s="376">
        <v>0</v>
      </c>
      <c r="E81" s="376">
        <v>0</v>
      </c>
      <c r="F81" s="376">
        <v>0</v>
      </c>
      <c r="G81" s="376">
        <v>0</v>
      </c>
      <c r="H81" s="376">
        <v>0</v>
      </c>
      <c r="I81" s="376">
        <v>8.9999999999999998E-4</v>
      </c>
      <c r="J81" s="376">
        <v>0</v>
      </c>
      <c r="K81" s="376">
        <v>0</v>
      </c>
      <c r="L81" s="376">
        <v>5.0000000000000001E-4</v>
      </c>
      <c r="M81" s="376">
        <v>0</v>
      </c>
      <c r="N81" s="372"/>
      <c r="O81" s="293">
        <f>AVERAGE(B81:M81)</f>
        <v>1.1666666666666667E-4</v>
      </c>
    </row>
    <row r="82" spans="1:15" x14ac:dyDescent="0.35">
      <c r="A82" s="176" t="s">
        <v>313</v>
      </c>
      <c r="B82" s="376">
        <v>0</v>
      </c>
      <c r="C82" s="376">
        <v>0</v>
      </c>
      <c r="D82" s="376">
        <v>0</v>
      </c>
      <c r="E82" s="376">
        <v>0</v>
      </c>
      <c r="F82" s="376">
        <v>0</v>
      </c>
      <c r="G82" s="376">
        <v>0</v>
      </c>
      <c r="H82" s="376">
        <v>0</v>
      </c>
      <c r="I82" s="376">
        <v>8.0000000000000004E-4</v>
      </c>
      <c r="J82" s="376">
        <v>0</v>
      </c>
      <c r="K82" s="376">
        <v>0</v>
      </c>
      <c r="L82" s="376">
        <v>0</v>
      </c>
      <c r="M82" s="376">
        <v>0</v>
      </c>
      <c r="N82" s="372"/>
      <c r="O82" s="293">
        <f>AVERAGE(B82:M82)</f>
        <v>6.666666666666667E-5</v>
      </c>
    </row>
    <row r="83" spans="1:15" x14ac:dyDescent="0.35">
      <c r="A83" s="176" t="s">
        <v>314</v>
      </c>
      <c r="B83" s="376">
        <v>0</v>
      </c>
      <c r="C83" s="376">
        <v>0</v>
      </c>
      <c r="D83" s="376">
        <v>0</v>
      </c>
      <c r="E83" s="376">
        <v>0</v>
      </c>
      <c r="F83" s="376">
        <v>0</v>
      </c>
      <c r="G83" s="376">
        <v>0</v>
      </c>
      <c r="H83" s="376">
        <v>0</v>
      </c>
      <c r="I83" s="376">
        <v>0</v>
      </c>
      <c r="J83" s="376">
        <v>0</v>
      </c>
      <c r="K83" s="376">
        <v>0</v>
      </c>
      <c r="L83" s="376">
        <v>5.0000000000000001E-4</v>
      </c>
      <c r="M83" s="376">
        <v>0</v>
      </c>
      <c r="N83" s="372"/>
      <c r="O83" s="293">
        <f>AVERAGE(B83:M83)</f>
        <v>4.1666666666666665E-5</v>
      </c>
    </row>
    <row r="84" spans="1:15" x14ac:dyDescent="0.35">
      <c r="A84" s="176" t="s">
        <v>315</v>
      </c>
      <c r="B84" s="376">
        <v>0</v>
      </c>
      <c r="C84" s="376">
        <v>0</v>
      </c>
      <c r="D84" s="376">
        <v>0</v>
      </c>
      <c r="E84" s="376">
        <v>0</v>
      </c>
      <c r="F84" s="376">
        <v>0</v>
      </c>
      <c r="G84" s="376">
        <v>0</v>
      </c>
      <c r="H84" s="376">
        <v>0</v>
      </c>
      <c r="I84" s="376">
        <v>0</v>
      </c>
      <c r="J84" s="376">
        <v>0</v>
      </c>
      <c r="K84" s="376">
        <v>0</v>
      </c>
      <c r="L84" s="376">
        <v>0</v>
      </c>
      <c r="M84" s="376">
        <v>0</v>
      </c>
      <c r="N84" s="372"/>
      <c r="O84" s="293">
        <f>AVERAGE(B84:M84)</f>
        <v>0</v>
      </c>
    </row>
    <row r="85" spans="1:15" x14ac:dyDescent="0.35">
      <c r="A85" s="373" t="s">
        <v>267</v>
      </c>
      <c r="B85" s="374">
        <f>SUM(B81:B84)</f>
        <v>0</v>
      </c>
      <c r="C85" s="374">
        <f>SUM(C81:C84)</f>
        <v>0</v>
      </c>
      <c r="D85" s="374">
        <f>SUM(D81:D84)</f>
        <v>0</v>
      </c>
      <c r="E85" s="374">
        <f>SUM(E81:E84)</f>
        <v>0</v>
      </c>
      <c r="F85" s="374">
        <f>SUM(F81:F84)</f>
        <v>0</v>
      </c>
      <c r="G85" s="374">
        <v>0</v>
      </c>
      <c r="H85" s="374">
        <f t="shared" ref="H85:M85" si="11">SUM(H81:H84)</f>
        <v>0</v>
      </c>
      <c r="I85" s="374">
        <f t="shared" si="11"/>
        <v>1.7000000000000001E-3</v>
      </c>
      <c r="J85" s="374">
        <f t="shared" si="11"/>
        <v>0</v>
      </c>
      <c r="K85" s="374">
        <f t="shared" si="11"/>
        <v>0</v>
      </c>
      <c r="L85" s="374">
        <f t="shared" si="11"/>
        <v>1E-3</v>
      </c>
      <c r="M85" s="374">
        <f t="shared" si="11"/>
        <v>0</v>
      </c>
      <c r="N85" s="374"/>
      <c r="O85" s="374">
        <f>AVERAGE(B85:M85)</f>
        <v>2.2500000000000002E-4</v>
      </c>
    </row>
    <row r="86" spans="1:15" x14ac:dyDescent="0.35">
      <c r="A86" s="373"/>
      <c r="B86" s="374"/>
      <c r="C86" s="374"/>
      <c r="D86" s="374"/>
      <c r="E86" s="374"/>
      <c r="F86" s="374"/>
      <c r="G86" s="374"/>
      <c r="H86" s="374"/>
      <c r="I86" s="374"/>
      <c r="J86" s="374"/>
      <c r="K86" s="374"/>
      <c r="L86" s="374"/>
      <c r="M86" s="374"/>
      <c r="N86" s="374"/>
      <c r="O86" s="374"/>
    </row>
    <row r="87" spans="1:15" x14ac:dyDescent="0.35">
      <c r="A87" s="451" t="s">
        <v>316</v>
      </c>
    </row>
    <row r="88" spans="1:15" x14ac:dyDescent="0.35">
      <c r="B88" s="175" t="s">
        <v>253</v>
      </c>
      <c r="C88" s="175" t="s">
        <v>254</v>
      </c>
      <c r="D88" s="175" t="s">
        <v>255</v>
      </c>
      <c r="E88" s="175" t="s">
        <v>256</v>
      </c>
      <c r="F88" s="175" t="s">
        <v>257</v>
      </c>
      <c r="G88" s="175" t="s">
        <v>258</v>
      </c>
      <c r="H88" s="175" t="s">
        <v>259</v>
      </c>
      <c r="I88" s="175" t="s">
        <v>260</v>
      </c>
      <c r="J88" s="175" t="s">
        <v>261</v>
      </c>
      <c r="K88" s="175" t="s">
        <v>262</v>
      </c>
      <c r="L88" s="175" t="s">
        <v>263</v>
      </c>
      <c r="M88" s="175" t="s">
        <v>264</v>
      </c>
      <c r="N88" s="175"/>
    </row>
    <row r="89" spans="1:15" x14ac:dyDescent="0.35">
      <c r="A89" s="176" t="s">
        <v>177</v>
      </c>
      <c r="B89" s="376">
        <v>6.9999999999999999E-4</v>
      </c>
      <c r="C89" s="376">
        <v>8.0000000000000004E-4</v>
      </c>
      <c r="D89" s="376">
        <v>5.0000000000000001E-4</v>
      </c>
      <c r="E89" s="376">
        <v>1E-3</v>
      </c>
      <c r="F89" s="376">
        <v>8.9999999999999998E-4</v>
      </c>
      <c r="G89" s="376">
        <v>6.9999999999999999E-4</v>
      </c>
      <c r="H89" s="376">
        <v>5.9999999999999995E-4</v>
      </c>
      <c r="I89" s="376">
        <v>4.0000000000000002E-4</v>
      </c>
      <c r="J89" s="376">
        <v>5.9999999999999995E-4</v>
      </c>
      <c r="K89" s="376">
        <v>5.0000000000000001E-4</v>
      </c>
      <c r="L89" s="376">
        <v>5.9999999999999995E-4</v>
      </c>
      <c r="M89" s="376">
        <v>4.0000000000000002E-4</v>
      </c>
      <c r="N89" s="372"/>
      <c r="O89" s="293">
        <f>AVERAGE(B89:M89)</f>
        <v>6.4166666666666658E-4</v>
      </c>
    </row>
    <row r="90" spans="1:15" x14ac:dyDescent="0.35">
      <c r="A90" s="176" t="s">
        <v>317</v>
      </c>
      <c r="B90" s="376">
        <v>3.5000000000000001E-3</v>
      </c>
      <c r="C90" s="376">
        <v>3.7000000000000002E-3</v>
      </c>
      <c r="D90" s="376">
        <v>5.3E-3</v>
      </c>
      <c r="E90" s="376">
        <v>3.3E-3</v>
      </c>
      <c r="F90" s="376">
        <v>3.3E-3</v>
      </c>
      <c r="G90" s="376">
        <v>3.0000000000000001E-3</v>
      </c>
      <c r="H90" s="376">
        <v>2.3999999999999998E-3</v>
      </c>
      <c r="I90" s="376">
        <v>2.3E-3</v>
      </c>
      <c r="J90" s="376">
        <v>8.0999999999999996E-3</v>
      </c>
      <c r="K90" s="376">
        <v>4.5999999999999999E-3</v>
      </c>
      <c r="L90" s="376">
        <v>5.1000000000000004E-3</v>
      </c>
      <c r="M90" s="376">
        <v>4.1999999999999997E-3</v>
      </c>
      <c r="N90" s="372"/>
      <c r="O90" s="293">
        <f>AVERAGE(B90:M90)</f>
        <v>4.0666666666666672E-3</v>
      </c>
    </row>
    <row r="91" spans="1:15" x14ac:dyDescent="0.35">
      <c r="A91" s="176" t="s">
        <v>318</v>
      </c>
      <c r="B91" s="376">
        <v>0</v>
      </c>
      <c r="C91" s="376">
        <v>0</v>
      </c>
      <c r="D91" s="376">
        <v>0</v>
      </c>
      <c r="E91" s="376">
        <v>0</v>
      </c>
      <c r="F91" s="376">
        <v>0</v>
      </c>
      <c r="G91" s="376">
        <v>0</v>
      </c>
      <c r="H91" s="376">
        <v>0</v>
      </c>
      <c r="I91" s="376">
        <v>0</v>
      </c>
      <c r="J91" s="376">
        <v>0</v>
      </c>
      <c r="K91" s="376">
        <v>0</v>
      </c>
      <c r="L91" s="376">
        <v>8.9999999999999998E-4</v>
      </c>
      <c r="M91" s="376">
        <v>0</v>
      </c>
      <c r="N91" s="372"/>
      <c r="O91" s="293">
        <f>AVERAGE(B91:M91)</f>
        <v>7.4999999999999993E-5</v>
      </c>
    </row>
    <row r="92" spans="1:15" x14ac:dyDescent="0.35">
      <c r="A92" s="176" t="s">
        <v>319</v>
      </c>
      <c r="B92" s="376">
        <v>9.2999999999999992E-3</v>
      </c>
      <c r="C92" s="376">
        <v>8.6999999999999994E-3</v>
      </c>
      <c r="D92" s="376">
        <v>7.3000000000000001E-3</v>
      </c>
      <c r="E92" s="376">
        <v>9.1000000000000004E-3</v>
      </c>
      <c r="F92" s="376">
        <v>8.3000000000000001E-3</v>
      </c>
      <c r="G92" s="376">
        <v>7.7000000000000002E-3</v>
      </c>
      <c r="H92" s="376">
        <v>9.2999999999999992E-3</v>
      </c>
      <c r="I92" s="376">
        <v>8.0000000000000002E-3</v>
      </c>
      <c r="J92" s="376">
        <v>7.1000000000000004E-3</v>
      </c>
      <c r="K92" s="376">
        <v>8.8999999999999999E-3</v>
      </c>
      <c r="L92" s="376">
        <v>8.2000000000000007E-3</v>
      </c>
      <c r="M92" s="376">
        <v>7.7000000000000002E-3</v>
      </c>
      <c r="N92" s="372"/>
      <c r="O92" s="293">
        <f>AVERAGE(B92:M92)</f>
        <v>8.3000000000000001E-3</v>
      </c>
    </row>
    <row r="93" spans="1:15" x14ac:dyDescent="0.35">
      <c r="A93" s="373" t="s">
        <v>267</v>
      </c>
      <c r="B93" s="374">
        <f t="shared" ref="B93:M93" si="12">SUM(B89:B92)</f>
        <v>1.3499999999999998E-2</v>
      </c>
      <c r="C93" s="374">
        <f t="shared" si="12"/>
        <v>1.32E-2</v>
      </c>
      <c r="D93" s="374">
        <f t="shared" si="12"/>
        <v>1.3100000000000001E-2</v>
      </c>
      <c r="E93" s="374">
        <f t="shared" si="12"/>
        <v>1.34E-2</v>
      </c>
      <c r="F93" s="374">
        <f t="shared" si="12"/>
        <v>1.2500000000000001E-2</v>
      </c>
      <c r="G93" s="374">
        <f t="shared" si="12"/>
        <v>1.14E-2</v>
      </c>
      <c r="H93" s="374">
        <f t="shared" si="12"/>
        <v>1.2299999999999998E-2</v>
      </c>
      <c r="I93" s="374">
        <f t="shared" si="12"/>
        <v>1.0700000000000001E-2</v>
      </c>
      <c r="J93" s="374">
        <f t="shared" si="12"/>
        <v>1.5800000000000002E-2</v>
      </c>
      <c r="K93" s="374">
        <f t="shared" si="12"/>
        <v>1.4E-2</v>
      </c>
      <c r="L93" s="374">
        <f t="shared" si="12"/>
        <v>1.4800000000000001E-2</v>
      </c>
      <c r="M93" s="374">
        <f t="shared" si="12"/>
        <v>1.23E-2</v>
      </c>
      <c r="N93" s="374"/>
      <c r="O93" s="374">
        <f>AVERAGE(B93:M93)</f>
        <v>1.3083333333333336E-2</v>
      </c>
    </row>
    <row r="94" spans="1:15" x14ac:dyDescent="0.35">
      <c r="B94" s="374"/>
      <c r="C94" s="374"/>
      <c r="D94" s="374"/>
      <c r="E94" s="374"/>
      <c r="F94" s="374"/>
      <c r="G94" s="374"/>
      <c r="H94" s="374"/>
      <c r="I94" s="374"/>
      <c r="J94" s="374"/>
      <c r="K94" s="374"/>
      <c r="L94" s="374"/>
      <c r="M94" s="374"/>
      <c r="N94" s="374"/>
      <c r="O94" s="374"/>
    </row>
    <row r="95" spans="1:15" x14ac:dyDescent="0.35">
      <c r="A95" s="448" t="s">
        <v>320</v>
      </c>
    </row>
    <row r="96" spans="1:15" x14ac:dyDescent="0.35">
      <c r="B96" s="175" t="s">
        <v>253</v>
      </c>
      <c r="C96" s="175" t="s">
        <v>254</v>
      </c>
      <c r="D96" s="175" t="s">
        <v>255</v>
      </c>
      <c r="E96" s="175" t="s">
        <v>256</v>
      </c>
      <c r="F96" s="175" t="s">
        <v>257</v>
      </c>
      <c r="G96" s="175" t="s">
        <v>258</v>
      </c>
      <c r="H96" s="175" t="s">
        <v>259</v>
      </c>
      <c r="I96" s="175" t="s">
        <v>260</v>
      </c>
      <c r="J96" s="175" t="s">
        <v>261</v>
      </c>
      <c r="K96" s="175" t="s">
        <v>262</v>
      </c>
      <c r="L96" s="175" t="s">
        <v>263</v>
      </c>
      <c r="M96" s="175" t="s">
        <v>264</v>
      </c>
      <c r="N96" s="175"/>
    </row>
    <row r="97" spans="1:15" x14ac:dyDescent="0.35">
      <c r="A97" s="179" t="s">
        <v>321</v>
      </c>
      <c r="B97" s="372">
        <v>3.2500000000000001E-2</v>
      </c>
      <c r="C97" s="372">
        <v>3.2399999999999998E-2</v>
      </c>
      <c r="D97" s="372">
        <v>3.2300000000000002E-2</v>
      </c>
      <c r="E97" s="372">
        <v>3.2800000000000003E-2</v>
      </c>
      <c r="F97" s="372">
        <v>3.2800000000000003E-2</v>
      </c>
      <c r="G97" s="372">
        <v>3.2399999999999998E-2</v>
      </c>
      <c r="H97" s="372">
        <v>3.2399999999999998E-2</v>
      </c>
      <c r="I97" s="372">
        <v>3.2300000000000002E-2</v>
      </c>
      <c r="J97" s="372">
        <v>3.2399999999999998E-2</v>
      </c>
      <c r="K97" s="372">
        <v>3.2300000000000002E-2</v>
      </c>
      <c r="L97" s="372">
        <v>3.2300000000000002E-2</v>
      </c>
      <c r="M97" s="372">
        <v>3.2000000000000001E-2</v>
      </c>
      <c r="N97" s="372"/>
      <c r="O97" s="293">
        <f t="shared" ref="O97:O101" si="13">AVERAGE(B97:M97)</f>
        <v>3.2408333333333324E-2</v>
      </c>
    </row>
    <row r="98" spans="1:15" x14ac:dyDescent="0.35">
      <c r="A98" s="179" t="s">
        <v>322</v>
      </c>
      <c r="B98" s="372">
        <v>0</v>
      </c>
      <c r="C98" s="372">
        <v>0</v>
      </c>
      <c r="D98" s="372">
        <v>0</v>
      </c>
      <c r="E98" s="372">
        <v>0</v>
      </c>
      <c r="F98" s="372">
        <v>0</v>
      </c>
      <c r="G98" s="372">
        <v>0</v>
      </c>
      <c r="H98" s="372">
        <v>0</v>
      </c>
      <c r="I98" s="372">
        <v>0</v>
      </c>
      <c r="J98" s="372">
        <v>0</v>
      </c>
      <c r="K98" s="372">
        <v>0</v>
      </c>
      <c r="L98" s="372">
        <v>0</v>
      </c>
      <c r="M98" s="372">
        <v>0</v>
      </c>
      <c r="N98" s="372"/>
      <c r="O98" s="293">
        <f t="shared" si="13"/>
        <v>0</v>
      </c>
    </row>
    <row r="99" spans="1:15" x14ac:dyDescent="0.35">
      <c r="A99" s="179" t="s">
        <v>323</v>
      </c>
      <c r="B99" s="372">
        <v>0</v>
      </c>
      <c r="C99" s="372">
        <v>0</v>
      </c>
      <c r="D99" s="372">
        <v>0</v>
      </c>
      <c r="E99" s="372">
        <v>0</v>
      </c>
      <c r="F99" s="372">
        <v>0</v>
      </c>
      <c r="G99" s="372">
        <v>0</v>
      </c>
      <c r="H99" s="372">
        <v>0</v>
      </c>
      <c r="I99" s="372">
        <v>0</v>
      </c>
      <c r="J99" s="372">
        <v>0</v>
      </c>
      <c r="K99" s="372">
        <v>0</v>
      </c>
      <c r="L99" s="372">
        <v>0</v>
      </c>
      <c r="M99" s="372">
        <v>0</v>
      </c>
      <c r="N99" s="372"/>
      <c r="O99" s="293">
        <f t="shared" si="13"/>
        <v>0</v>
      </c>
    </row>
    <row r="100" spans="1:15" x14ac:dyDescent="0.35">
      <c r="A100" s="179" t="s">
        <v>324</v>
      </c>
      <c r="B100" s="372">
        <v>0</v>
      </c>
      <c r="C100" s="372">
        <v>0</v>
      </c>
      <c r="D100" s="372">
        <v>0</v>
      </c>
      <c r="E100" s="372">
        <v>0</v>
      </c>
      <c r="F100" s="372">
        <v>0</v>
      </c>
      <c r="G100" s="372">
        <v>0</v>
      </c>
      <c r="H100" s="372">
        <v>0</v>
      </c>
      <c r="I100" s="372">
        <v>0</v>
      </c>
      <c r="J100" s="372">
        <v>0</v>
      </c>
      <c r="K100" s="372">
        <v>0</v>
      </c>
      <c r="L100" s="372">
        <v>0</v>
      </c>
      <c r="M100" s="372">
        <v>0</v>
      </c>
      <c r="N100" s="372"/>
      <c r="O100" s="293">
        <f t="shared" si="13"/>
        <v>0</v>
      </c>
    </row>
    <row r="101" spans="1:15" x14ac:dyDescent="0.35">
      <c r="A101" s="179" t="s">
        <v>325</v>
      </c>
      <c r="B101" s="372">
        <v>7.4000000000000003E-3</v>
      </c>
      <c r="C101" s="372">
        <v>7.1000000000000004E-3</v>
      </c>
      <c r="D101" s="372">
        <v>6.1000000000000004E-3</v>
      </c>
      <c r="E101" s="372">
        <v>6.8999999999999999E-3</v>
      </c>
      <c r="F101" s="372">
        <v>6.7999999999999996E-3</v>
      </c>
      <c r="G101" s="372">
        <v>7.7999999999999996E-3</v>
      </c>
      <c r="H101" s="372">
        <v>7.0000000000000001E-3</v>
      </c>
      <c r="I101" s="372">
        <v>7.6E-3</v>
      </c>
      <c r="J101" s="372">
        <v>6.1999999999999998E-3</v>
      </c>
      <c r="K101" s="372">
        <v>5.8999999999999999E-3</v>
      </c>
      <c r="L101" s="372">
        <v>6.1000000000000004E-3</v>
      </c>
      <c r="M101" s="372">
        <v>5.5999999999999999E-3</v>
      </c>
      <c r="N101" s="372"/>
      <c r="O101" s="293">
        <f t="shared" si="13"/>
        <v>6.7083333333333326E-3</v>
      </c>
    </row>
    <row r="102" spans="1:15" x14ac:dyDescent="0.35">
      <c r="A102" s="373" t="s">
        <v>267</v>
      </c>
      <c r="B102" s="374">
        <f t="shared" ref="B102:M102" si="14">SUM(B97:B101)</f>
        <v>3.9900000000000005E-2</v>
      </c>
      <c r="C102" s="374">
        <f t="shared" si="14"/>
        <v>3.95E-2</v>
      </c>
      <c r="D102" s="374">
        <f t="shared" si="14"/>
        <v>3.8400000000000004E-2</v>
      </c>
      <c r="E102" s="374">
        <f t="shared" si="14"/>
        <v>3.9699999999999999E-2</v>
      </c>
      <c r="F102" s="374">
        <f t="shared" si="14"/>
        <v>3.9600000000000003E-2</v>
      </c>
      <c r="G102" s="374">
        <f t="shared" si="14"/>
        <v>4.02E-2</v>
      </c>
      <c r="H102" s="374">
        <f t="shared" si="14"/>
        <v>3.9399999999999998E-2</v>
      </c>
      <c r="I102" s="374">
        <f t="shared" si="14"/>
        <v>3.9900000000000005E-2</v>
      </c>
      <c r="J102" s="374">
        <f t="shared" si="14"/>
        <v>3.8599999999999995E-2</v>
      </c>
      <c r="K102" s="374">
        <f t="shared" si="14"/>
        <v>3.8200000000000005E-2</v>
      </c>
      <c r="L102" s="374">
        <f t="shared" si="14"/>
        <v>3.8400000000000004E-2</v>
      </c>
      <c r="M102" s="374">
        <f t="shared" si="14"/>
        <v>3.7600000000000001E-2</v>
      </c>
      <c r="N102" s="374"/>
      <c r="O102" s="374">
        <f>SUM(O97:O101)</f>
        <v>3.9116666666666654E-2</v>
      </c>
    </row>
    <row r="105" spans="1:15" x14ac:dyDescent="0.35">
      <c r="A105" s="448" t="s">
        <v>326</v>
      </c>
    </row>
    <row r="106" spans="1:15" x14ac:dyDescent="0.35">
      <c r="B106" s="175" t="s">
        <v>253</v>
      </c>
      <c r="C106" s="175" t="s">
        <v>254</v>
      </c>
      <c r="D106" s="175" t="s">
        <v>255</v>
      </c>
      <c r="E106" s="175" t="s">
        <v>256</v>
      </c>
      <c r="F106" s="175" t="s">
        <v>257</v>
      </c>
      <c r="G106" s="175" t="s">
        <v>258</v>
      </c>
      <c r="H106" s="175" t="s">
        <v>259</v>
      </c>
      <c r="I106" s="175" t="s">
        <v>260</v>
      </c>
      <c r="J106" s="175" t="s">
        <v>261</v>
      </c>
      <c r="K106" s="175" t="s">
        <v>262</v>
      </c>
      <c r="L106" s="175" t="s">
        <v>263</v>
      </c>
      <c r="M106" s="175" t="s">
        <v>264</v>
      </c>
      <c r="N106" s="175"/>
    </row>
    <row r="107" spans="1:15" x14ac:dyDescent="0.35">
      <c r="A107" s="179" t="s">
        <v>327</v>
      </c>
      <c r="B107" s="376">
        <v>0.12230000000000001</v>
      </c>
      <c r="C107" s="376">
        <v>0.1527</v>
      </c>
      <c r="D107" s="376">
        <v>0.1203</v>
      </c>
      <c r="E107" s="376">
        <v>0.14369999999999999</v>
      </c>
      <c r="F107" s="376">
        <v>0.14860000000000001</v>
      </c>
      <c r="G107" s="376">
        <v>0.14949999999999999</v>
      </c>
      <c r="H107" s="376">
        <v>0.14510000000000001</v>
      </c>
      <c r="I107" s="376">
        <v>0.1196</v>
      </c>
      <c r="J107" s="376">
        <v>0.14169999999999999</v>
      </c>
      <c r="K107" s="376">
        <v>0.1298</v>
      </c>
      <c r="L107" s="376">
        <v>0.13850000000000001</v>
      </c>
      <c r="M107" s="376">
        <v>0.15809999999999999</v>
      </c>
      <c r="N107" s="372"/>
      <c r="O107" s="293">
        <f t="shared" ref="O107:O113" si="15">AVERAGE(B107:M107)</f>
        <v>0.1391583333333333</v>
      </c>
    </row>
    <row r="108" spans="1:15" x14ac:dyDescent="0.35">
      <c r="A108" s="179" t="s">
        <v>328</v>
      </c>
      <c r="B108" s="376">
        <v>7.4999999999999997E-3</v>
      </c>
      <c r="C108" s="376">
        <v>8.8000000000000005E-3</v>
      </c>
      <c r="D108" s="376">
        <v>2.47E-2</v>
      </c>
      <c r="E108" s="376">
        <v>1.54E-2</v>
      </c>
      <c r="F108" s="376">
        <v>1.6500000000000001E-2</v>
      </c>
      <c r="G108" s="376">
        <v>1.44E-2</v>
      </c>
      <c r="H108" s="376">
        <v>1.46E-2</v>
      </c>
      <c r="I108" s="376">
        <v>1.5599999999999999E-2</v>
      </c>
      <c r="J108" s="376">
        <v>1.6299999999999999E-2</v>
      </c>
      <c r="K108" s="376">
        <v>1.8700000000000001E-2</v>
      </c>
      <c r="L108" s="376">
        <v>1.6500000000000001E-2</v>
      </c>
      <c r="M108" s="376">
        <v>2.0400000000000001E-2</v>
      </c>
      <c r="N108" s="372"/>
      <c r="O108" s="293">
        <f t="shared" si="15"/>
        <v>1.5783333333333333E-2</v>
      </c>
    </row>
    <row r="109" spans="1:15" x14ac:dyDescent="0.35">
      <c r="A109" s="179" t="s">
        <v>329</v>
      </c>
      <c r="B109" s="376">
        <v>9.7000000000000003E-3</v>
      </c>
      <c r="C109" s="376">
        <v>9.1999999999999998E-3</v>
      </c>
      <c r="D109" s="376">
        <v>7.1999999999999998E-3</v>
      </c>
      <c r="E109" s="376">
        <v>8.5000000000000006E-3</v>
      </c>
      <c r="F109" s="376">
        <v>8.8000000000000005E-3</v>
      </c>
      <c r="G109" s="376">
        <v>8.6E-3</v>
      </c>
      <c r="H109" s="376">
        <v>8.6E-3</v>
      </c>
      <c r="I109" s="376">
        <v>8.6999999999999994E-3</v>
      </c>
      <c r="J109" s="376">
        <v>1.4E-3</v>
      </c>
      <c r="K109" s="376">
        <v>6.4999999999999997E-3</v>
      </c>
      <c r="L109" s="376">
        <v>3.5000000000000001E-3</v>
      </c>
      <c r="M109" s="376">
        <v>7.4999999999999997E-3</v>
      </c>
      <c r="N109" s="372"/>
      <c r="O109" s="293">
        <f t="shared" si="15"/>
        <v>7.3499999999999998E-3</v>
      </c>
    </row>
    <row r="110" spans="1:15" x14ac:dyDescent="0.35">
      <c r="A110" s="179" t="s">
        <v>330</v>
      </c>
      <c r="B110" s="376" t="s">
        <v>331</v>
      </c>
      <c r="C110" s="376">
        <v>0</v>
      </c>
      <c r="D110" s="376">
        <v>0</v>
      </c>
      <c r="E110" s="376">
        <v>0</v>
      </c>
      <c r="F110" s="376">
        <v>0</v>
      </c>
      <c r="G110" s="376">
        <v>0</v>
      </c>
      <c r="H110" s="376">
        <v>0</v>
      </c>
      <c r="I110" s="376">
        <v>0</v>
      </c>
      <c r="J110" s="376">
        <v>0</v>
      </c>
      <c r="K110" s="376">
        <v>0</v>
      </c>
      <c r="L110" s="376">
        <v>0</v>
      </c>
      <c r="M110" s="376">
        <v>0</v>
      </c>
      <c r="N110" s="372"/>
      <c r="O110" s="293">
        <f t="shared" si="15"/>
        <v>0</v>
      </c>
    </row>
    <row r="111" spans="1:15" x14ac:dyDescent="0.35">
      <c r="A111" s="179" t="s">
        <v>332</v>
      </c>
      <c r="B111" s="376">
        <v>1.2999999999999999E-3</v>
      </c>
      <c r="C111" s="376">
        <v>0</v>
      </c>
      <c r="D111" s="376">
        <v>0</v>
      </c>
      <c r="E111" s="376">
        <v>5.9999999999999995E-4</v>
      </c>
      <c r="F111" s="376">
        <v>1E-4</v>
      </c>
      <c r="G111" s="376">
        <v>2.9999999999999997E-4</v>
      </c>
      <c r="H111" s="376">
        <v>6.9999999999999999E-4</v>
      </c>
      <c r="I111" s="376">
        <v>2.9999999999999997E-4</v>
      </c>
      <c r="J111" s="376">
        <v>8.9999999999999998E-4</v>
      </c>
      <c r="K111" s="376">
        <v>6.9999999999999999E-4</v>
      </c>
      <c r="L111" s="376">
        <v>0</v>
      </c>
      <c r="M111" s="376">
        <v>0</v>
      </c>
      <c r="N111" s="372"/>
      <c r="O111" s="293">
        <f t="shared" si="15"/>
        <v>4.083333333333333E-4</v>
      </c>
    </row>
    <row r="112" spans="1:15" x14ac:dyDescent="0.35">
      <c r="A112" s="179" t="s">
        <v>333</v>
      </c>
      <c r="B112" s="376">
        <v>2.0999999999999999E-3</v>
      </c>
      <c r="C112" s="376">
        <v>2E-3</v>
      </c>
      <c r="D112" s="376">
        <v>1.6000000000000001E-3</v>
      </c>
      <c r="E112" s="376">
        <v>1.9E-3</v>
      </c>
      <c r="F112" s="376">
        <v>1.8E-3</v>
      </c>
      <c r="G112" s="376">
        <v>1.8E-3</v>
      </c>
      <c r="H112" s="376">
        <v>1.6999999999999999E-3</v>
      </c>
      <c r="I112" s="376">
        <v>0</v>
      </c>
      <c r="J112" s="376">
        <v>2.3999999999999998E-3</v>
      </c>
      <c r="K112" s="376">
        <v>1.8E-3</v>
      </c>
      <c r="L112" s="376">
        <v>1.8E-3</v>
      </c>
      <c r="M112" s="376">
        <v>1.6999999999999999E-3</v>
      </c>
      <c r="N112" s="372"/>
      <c r="O112" s="293">
        <f t="shared" si="15"/>
        <v>1.7166666666666665E-3</v>
      </c>
    </row>
    <row r="113" spans="1:15" x14ac:dyDescent="0.35">
      <c r="A113" s="373" t="s">
        <v>267</v>
      </c>
      <c r="B113" s="374">
        <f t="shared" ref="B113:M113" si="16">SUM(B107:B112)</f>
        <v>0.1429</v>
      </c>
      <c r="C113" s="374">
        <f t="shared" si="16"/>
        <v>0.17270000000000002</v>
      </c>
      <c r="D113" s="374">
        <f t="shared" si="16"/>
        <v>0.15380000000000002</v>
      </c>
      <c r="E113" s="374">
        <f t="shared" si="16"/>
        <v>0.1701</v>
      </c>
      <c r="F113" s="374">
        <f t="shared" si="16"/>
        <v>0.17580000000000001</v>
      </c>
      <c r="G113" s="374">
        <f t="shared" si="16"/>
        <v>0.17459999999999998</v>
      </c>
      <c r="H113" s="374">
        <f t="shared" si="16"/>
        <v>0.17070000000000002</v>
      </c>
      <c r="I113" s="374">
        <f t="shared" si="16"/>
        <v>0.14419999999999997</v>
      </c>
      <c r="J113" s="374">
        <f t="shared" si="16"/>
        <v>0.16270000000000004</v>
      </c>
      <c r="K113" s="374">
        <f t="shared" si="16"/>
        <v>0.1575</v>
      </c>
      <c r="L113" s="374">
        <f t="shared" si="16"/>
        <v>0.16030000000000003</v>
      </c>
      <c r="M113" s="374">
        <f t="shared" si="16"/>
        <v>0.18770000000000001</v>
      </c>
      <c r="N113" s="374"/>
      <c r="O113" s="374">
        <f t="shared" si="15"/>
        <v>0.16441666666666668</v>
      </c>
    </row>
    <row r="115" spans="1:15" s="409" customFormat="1" x14ac:dyDescent="0.35">
      <c r="A115" s="448" t="s">
        <v>464</v>
      </c>
      <c r="B115" s="445"/>
      <c r="O115" s="182"/>
    </row>
    <row r="116" spans="1:15" s="409" customFormat="1" x14ac:dyDescent="0.35">
      <c r="B116" s="175" t="s">
        <v>465</v>
      </c>
      <c r="C116" s="415" t="s">
        <v>466</v>
      </c>
      <c r="D116" s="175"/>
      <c r="E116" s="175"/>
      <c r="F116" s="175"/>
      <c r="G116" s="175"/>
      <c r="H116" s="175"/>
      <c r="I116" s="175"/>
      <c r="J116" s="175"/>
      <c r="K116" s="175"/>
      <c r="L116" s="175"/>
      <c r="M116" s="175"/>
      <c r="N116" s="175"/>
      <c r="O116" s="182"/>
    </row>
    <row r="117" spans="1:15" s="409" customFormat="1" x14ac:dyDescent="0.35">
      <c r="A117" s="373" t="s">
        <v>267</v>
      </c>
      <c r="B117" s="452">
        <v>3.5000000000000003E-2</v>
      </c>
      <c r="C117" s="453">
        <v>0.05</v>
      </c>
      <c r="D117" s="374"/>
      <c r="E117" s="374"/>
      <c r="F117" s="374"/>
      <c r="G117" s="374"/>
      <c r="H117" s="374"/>
      <c r="I117" s="374"/>
      <c r="J117" s="374"/>
      <c r="K117" s="374"/>
      <c r="L117" s="374"/>
      <c r="M117" s="374"/>
      <c r="N117" s="374"/>
      <c r="O117" s="374"/>
    </row>
    <row r="118" spans="1:15" s="409" customFormat="1" x14ac:dyDescent="0.35">
      <c r="O118" s="182"/>
    </row>
    <row r="119" spans="1:15" x14ac:dyDescent="0.35">
      <c r="A119" s="379" t="s">
        <v>334</v>
      </c>
    </row>
    <row r="120" spans="1:15" x14ac:dyDescent="0.35">
      <c r="B120" s="175" t="s">
        <v>253</v>
      </c>
      <c r="C120" s="175" t="s">
        <v>254</v>
      </c>
      <c r="D120" s="175" t="s">
        <v>255</v>
      </c>
      <c r="E120" s="175" t="s">
        <v>256</v>
      </c>
      <c r="F120" s="175" t="s">
        <v>257</v>
      </c>
      <c r="G120" s="175" t="s">
        <v>258</v>
      </c>
      <c r="H120" s="175" t="s">
        <v>259</v>
      </c>
      <c r="I120" s="175" t="s">
        <v>260</v>
      </c>
      <c r="J120" s="175" t="s">
        <v>261</v>
      </c>
      <c r="K120" s="175" t="s">
        <v>262</v>
      </c>
      <c r="L120" s="175" t="s">
        <v>263</v>
      </c>
      <c r="M120" s="175" t="s">
        <v>264</v>
      </c>
      <c r="N120" s="175"/>
    </row>
    <row r="121" spans="1:15" s="380" customFormat="1" x14ac:dyDescent="0.35">
      <c r="A121" s="177" t="s">
        <v>335</v>
      </c>
      <c r="B121" s="407">
        <v>1.1499999999999999</v>
      </c>
      <c r="C121" s="407">
        <v>0.89</v>
      </c>
      <c r="D121" s="407">
        <v>1.19</v>
      </c>
      <c r="E121" s="407">
        <v>1</v>
      </c>
      <c r="F121" s="407">
        <v>0.92</v>
      </c>
      <c r="G121" s="407">
        <v>0.89</v>
      </c>
      <c r="H121" s="407">
        <v>0.87</v>
      </c>
      <c r="I121" s="407">
        <v>0.98</v>
      </c>
      <c r="J121" s="407">
        <v>0.92</v>
      </c>
      <c r="K121" s="407">
        <v>0.95</v>
      </c>
      <c r="L121" s="407">
        <v>0.99</v>
      </c>
      <c r="M121" s="407">
        <v>1.25</v>
      </c>
      <c r="N121" s="378"/>
      <c r="O121" s="375"/>
    </row>
    <row r="126" spans="1:15" x14ac:dyDescent="0.35">
      <c r="G126" s="381"/>
    </row>
  </sheetData>
  <mergeCells count="1">
    <mergeCell ref="A1:O1"/>
  </mergeCells>
  <hyperlinks>
    <hyperlink ref="A4" location="'Unit Сoste '!A1" display="Unit Cost (% от оборота)"/>
  </hyperlink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zoomScale="80" zoomScaleNormal="80" workbookViewId="0">
      <selection activeCell="E13" sqref="E13"/>
    </sheetView>
  </sheetViews>
  <sheetFormatPr defaultRowHeight="14.5" x14ac:dyDescent="0.35"/>
  <cols>
    <col min="1" max="1" width="5.7265625" style="7" customWidth="1"/>
    <col min="2" max="2" width="40.7265625" style="7" customWidth="1"/>
    <col min="3" max="3" width="13" style="7" customWidth="1"/>
    <col min="4" max="4" width="15.54296875" style="7" customWidth="1"/>
    <col min="5" max="5" width="12.7265625" style="7" customWidth="1"/>
    <col min="6" max="256" width="8.7265625" style="7"/>
    <col min="257" max="257" width="5.7265625" style="7" customWidth="1"/>
    <col min="258" max="258" width="40.7265625" style="7" customWidth="1"/>
    <col min="259" max="259" width="8.7265625" style="7" customWidth="1"/>
    <col min="260" max="261" width="12.7265625" style="7" customWidth="1"/>
    <col min="262" max="512" width="8.7265625" style="7"/>
    <col min="513" max="513" width="5.7265625" style="7" customWidth="1"/>
    <col min="514" max="514" width="40.7265625" style="7" customWidth="1"/>
    <col min="515" max="515" width="8.7265625" style="7" customWidth="1"/>
    <col min="516" max="517" width="12.7265625" style="7" customWidth="1"/>
    <col min="518" max="768" width="8.7265625" style="7"/>
    <col min="769" max="769" width="5.7265625" style="7" customWidth="1"/>
    <col min="770" max="770" width="40.7265625" style="7" customWidth="1"/>
    <col min="771" max="771" width="8.7265625" style="7" customWidth="1"/>
    <col min="772" max="773" width="12.7265625" style="7" customWidth="1"/>
    <col min="774" max="1024" width="8.7265625" style="7"/>
    <col min="1025" max="1025" width="5.7265625" style="7" customWidth="1"/>
    <col min="1026" max="1026" width="40.7265625" style="7" customWidth="1"/>
    <col min="1027" max="1027" width="8.7265625" style="7" customWidth="1"/>
    <col min="1028" max="1029" width="12.7265625" style="7" customWidth="1"/>
    <col min="1030" max="1280" width="8.7265625" style="7"/>
    <col min="1281" max="1281" width="5.7265625" style="7" customWidth="1"/>
    <col min="1282" max="1282" width="40.7265625" style="7" customWidth="1"/>
    <col min="1283" max="1283" width="8.7265625" style="7" customWidth="1"/>
    <col min="1284" max="1285" width="12.7265625" style="7" customWidth="1"/>
    <col min="1286" max="1536" width="8.7265625" style="7"/>
    <col min="1537" max="1537" width="5.7265625" style="7" customWidth="1"/>
    <col min="1538" max="1538" width="40.7265625" style="7" customWidth="1"/>
    <col min="1539" max="1539" width="8.7265625" style="7" customWidth="1"/>
    <col min="1540" max="1541" width="12.7265625" style="7" customWidth="1"/>
    <col min="1542" max="1792" width="8.7265625" style="7"/>
    <col min="1793" max="1793" width="5.7265625" style="7" customWidth="1"/>
    <col min="1794" max="1794" width="40.7265625" style="7" customWidth="1"/>
    <col min="1795" max="1795" width="8.7265625" style="7" customWidth="1"/>
    <col min="1796" max="1797" width="12.7265625" style="7" customWidth="1"/>
    <col min="1798" max="2048" width="8.7265625" style="7"/>
    <col min="2049" max="2049" width="5.7265625" style="7" customWidth="1"/>
    <col min="2050" max="2050" width="40.7265625" style="7" customWidth="1"/>
    <col min="2051" max="2051" width="8.7265625" style="7" customWidth="1"/>
    <col min="2052" max="2053" width="12.7265625" style="7" customWidth="1"/>
    <col min="2054" max="2304" width="8.7265625" style="7"/>
    <col min="2305" max="2305" width="5.7265625" style="7" customWidth="1"/>
    <col min="2306" max="2306" width="40.7265625" style="7" customWidth="1"/>
    <col min="2307" max="2307" width="8.7265625" style="7" customWidth="1"/>
    <col min="2308" max="2309" width="12.7265625" style="7" customWidth="1"/>
    <col min="2310" max="2560" width="8.7265625" style="7"/>
    <col min="2561" max="2561" width="5.7265625" style="7" customWidth="1"/>
    <col min="2562" max="2562" width="40.7265625" style="7" customWidth="1"/>
    <col min="2563" max="2563" width="8.7265625" style="7" customWidth="1"/>
    <col min="2564" max="2565" width="12.7265625" style="7" customWidth="1"/>
    <col min="2566" max="2816" width="8.7265625" style="7"/>
    <col min="2817" max="2817" width="5.7265625" style="7" customWidth="1"/>
    <col min="2818" max="2818" width="40.7265625" style="7" customWidth="1"/>
    <col min="2819" max="2819" width="8.7265625" style="7" customWidth="1"/>
    <col min="2820" max="2821" width="12.7265625" style="7" customWidth="1"/>
    <col min="2822" max="3072" width="8.7265625" style="7"/>
    <col min="3073" max="3073" width="5.7265625" style="7" customWidth="1"/>
    <col min="3074" max="3074" width="40.7265625" style="7" customWidth="1"/>
    <col min="3075" max="3075" width="8.7265625" style="7" customWidth="1"/>
    <col min="3076" max="3077" width="12.7265625" style="7" customWidth="1"/>
    <col min="3078" max="3328" width="8.7265625" style="7"/>
    <col min="3329" max="3329" width="5.7265625" style="7" customWidth="1"/>
    <col min="3330" max="3330" width="40.7265625" style="7" customWidth="1"/>
    <col min="3331" max="3331" width="8.7265625" style="7" customWidth="1"/>
    <col min="3332" max="3333" width="12.7265625" style="7" customWidth="1"/>
    <col min="3334" max="3584" width="8.7265625" style="7"/>
    <col min="3585" max="3585" width="5.7265625" style="7" customWidth="1"/>
    <col min="3586" max="3586" width="40.7265625" style="7" customWidth="1"/>
    <col min="3587" max="3587" width="8.7265625" style="7" customWidth="1"/>
    <col min="3588" max="3589" width="12.7265625" style="7" customWidth="1"/>
    <col min="3590" max="3840" width="8.7265625" style="7"/>
    <col min="3841" max="3841" width="5.7265625" style="7" customWidth="1"/>
    <col min="3842" max="3842" width="40.7265625" style="7" customWidth="1"/>
    <col min="3843" max="3843" width="8.7265625" style="7" customWidth="1"/>
    <col min="3844" max="3845" width="12.7265625" style="7" customWidth="1"/>
    <col min="3846" max="4096" width="8.7265625" style="7"/>
    <col min="4097" max="4097" width="5.7265625" style="7" customWidth="1"/>
    <col min="4098" max="4098" width="40.7265625" style="7" customWidth="1"/>
    <col min="4099" max="4099" width="8.7265625" style="7" customWidth="1"/>
    <col min="4100" max="4101" width="12.7265625" style="7" customWidth="1"/>
    <col min="4102" max="4352" width="8.7265625" style="7"/>
    <col min="4353" max="4353" width="5.7265625" style="7" customWidth="1"/>
    <col min="4354" max="4354" width="40.7265625" style="7" customWidth="1"/>
    <col min="4355" max="4355" width="8.7265625" style="7" customWidth="1"/>
    <col min="4356" max="4357" width="12.7265625" style="7" customWidth="1"/>
    <col min="4358" max="4608" width="8.7265625" style="7"/>
    <col min="4609" max="4609" width="5.7265625" style="7" customWidth="1"/>
    <col min="4610" max="4610" width="40.7265625" style="7" customWidth="1"/>
    <col min="4611" max="4611" width="8.7265625" style="7" customWidth="1"/>
    <col min="4612" max="4613" width="12.7265625" style="7" customWidth="1"/>
    <col min="4614" max="4864" width="8.7265625" style="7"/>
    <col min="4865" max="4865" width="5.7265625" style="7" customWidth="1"/>
    <col min="4866" max="4866" width="40.7265625" style="7" customWidth="1"/>
    <col min="4867" max="4867" width="8.7265625" style="7" customWidth="1"/>
    <col min="4868" max="4869" width="12.7265625" style="7" customWidth="1"/>
    <col min="4870" max="5120" width="8.7265625" style="7"/>
    <col min="5121" max="5121" width="5.7265625" style="7" customWidth="1"/>
    <col min="5122" max="5122" width="40.7265625" style="7" customWidth="1"/>
    <col min="5123" max="5123" width="8.7265625" style="7" customWidth="1"/>
    <col min="5124" max="5125" width="12.7265625" style="7" customWidth="1"/>
    <col min="5126" max="5376" width="8.7265625" style="7"/>
    <col min="5377" max="5377" width="5.7265625" style="7" customWidth="1"/>
    <col min="5378" max="5378" width="40.7265625" style="7" customWidth="1"/>
    <col min="5379" max="5379" width="8.7265625" style="7" customWidth="1"/>
    <col min="5380" max="5381" width="12.7265625" style="7" customWidth="1"/>
    <col min="5382" max="5632" width="8.7265625" style="7"/>
    <col min="5633" max="5633" width="5.7265625" style="7" customWidth="1"/>
    <col min="5634" max="5634" width="40.7265625" style="7" customWidth="1"/>
    <col min="5635" max="5635" width="8.7265625" style="7" customWidth="1"/>
    <col min="5636" max="5637" width="12.7265625" style="7" customWidth="1"/>
    <col min="5638" max="5888" width="8.7265625" style="7"/>
    <col min="5889" max="5889" width="5.7265625" style="7" customWidth="1"/>
    <col min="5890" max="5890" width="40.7265625" style="7" customWidth="1"/>
    <col min="5891" max="5891" width="8.7265625" style="7" customWidth="1"/>
    <col min="5892" max="5893" width="12.7265625" style="7" customWidth="1"/>
    <col min="5894" max="6144" width="8.7265625" style="7"/>
    <col min="6145" max="6145" width="5.7265625" style="7" customWidth="1"/>
    <col min="6146" max="6146" width="40.7265625" style="7" customWidth="1"/>
    <col min="6147" max="6147" width="8.7265625" style="7" customWidth="1"/>
    <col min="6148" max="6149" width="12.7265625" style="7" customWidth="1"/>
    <col min="6150" max="6400" width="8.7265625" style="7"/>
    <col min="6401" max="6401" width="5.7265625" style="7" customWidth="1"/>
    <col min="6402" max="6402" width="40.7265625" style="7" customWidth="1"/>
    <col min="6403" max="6403" width="8.7265625" style="7" customWidth="1"/>
    <col min="6404" max="6405" width="12.7265625" style="7" customWidth="1"/>
    <col min="6406" max="6656" width="8.7265625" style="7"/>
    <col min="6657" max="6657" width="5.7265625" style="7" customWidth="1"/>
    <col min="6658" max="6658" width="40.7265625" style="7" customWidth="1"/>
    <col min="6659" max="6659" width="8.7265625" style="7" customWidth="1"/>
    <col min="6660" max="6661" width="12.7265625" style="7" customWidth="1"/>
    <col min="6662" max="6912" width="8.7265625" style="7"/>
    <col min="6913" max="6913" width="5.7265625" style="7" customWidth="1"/>
    <col min="6914" max="6914" width="40.7265625" style="7" customWidth="1"/>
    <col min="6915" max="6915" width="8.7265625" style="7" customWidth="1"/>
    <col min="6916" max="6917" width="12.7265625" style="7" customWidth="1"/>
    <col min="6918" max="7168" width="8.7265625" style="7"/>
    <col min="7169" max="7169" width="5.7265625" style="7" customWidth="1"/>
    <col min="7170" max="7170" width="40.7265625" style="7" customWidth="1"/>
    <col min="7171" max="7171" width="8.7265625" style="7" customWidth="1"/>
    <col min="7172" max="7173" width="12.7265625" style="7" customWidth="1"/>
    <col min="7174" max="7424" width="8.7265625" style="7"/>
    <col min="7425" max="7425" width="5.7265625" style="7" customWidth="1"/>
    <col min="7426" max="7426" width="40.7265625" style="7" customWidth="1"/>
    <col min="7427" max="7427" width="8.7265625" style="7" customWidth="1"/>
    <col min="7428" max="7429" width="12.7265625" style="7" customWidth="1"/>
    <col min="7430" max="7680" width="8.7265625" style="7"/>
    <col min="7681" max="7681" width="5.7265625" style="7" customWidth="1"/>
    <col min="7682" max="7682" width="40.7265625" style="7" customWidth="1"/>
    <col min="7683" max="7683" width="8.7265625" style="7" customWidth="1"/>
    <col min="7684" max="7685" width="12.7265625" style="7" customWidth="1"/>
    <col min="7686" max="7936" width="8.7265625" style="7"/>
    <col min="7937" max="7937" width="5.7265625" style="7" customWidth="1"/>
    <col min="7938" max="7938" width="40.7265625" style="7" customWidth="1"/>
    <col min="7939" max="7939" width="8.7265625" style="7" customWidth="1"/>
    <col min="7940" max="7941" width="12.7265625" style="7" customWidth="1"/>
    <col min="7942" max="8192" width="8.7265625" style="7"/>
    <col min="8193" max="8193" width="5.7265625" style="7" customWidth="1"/>
    <col min="8194" max="8194" width="40.7265625" style="7" customWidth="1"/>
    <col min="8195" max="8195" width="8.7265625" style="7" customWidth="1"/>
    <col min="8196" max="8197" width="12.7265625" style="7" customWidth="1"/>
    <col min="8198" max="8448" width="8.7265625" style="7"/>
    <col min="8449" max="8449" width="5.7265625" style="7" customWidth="1"/>
    <col min="8450" max="8450" width="40.7265625" style="7" customWidth="1"/>
    <col min="8451" max="8451" width="8.7265625" style="7" customWidth="1"/>
    <col min="8452" max="8453" width="12.7265625" style="7" customWidth="1"/>
    <col min="8454" max="8704" width="8.7265625" style="7"/>
    <col min="8705" max="8705" width="5.7265625" style="7" customWidth="1"/>
    <col min="8706" max="8706" width="40.7265625" style="7" customWidth="1"/>
    <col min="8707" max="8707" width="8.7265625" style="7" customWidth="1"/>
    <col min="8708" max="8709" width="12.7265625" style="7" customWidth="1"/>
    <col min="8710" max="8960" width="8.7265625" style="7"/>
    <col min="8961" max="8961" width="5.7265625" style="7" customWidth="1"/>
    <col min="8962" max="8962" width="40.7265625" style="7" customWidth="1"/>
    <col min="8963" max="8963" width="8.7265625" style="7" customWidth="1"/>
    <col min="8964" max="8965" width="12.7265625" style="7" customWidth="1"/>
    <col min="8966" max="9216" width="8.7265625" style="7"/>
    <col min="9217" max="9217" width="5.7265625" style="7" customWidth="1"/>
    <col min="9218" max="9218" width="40.7265625" style="7" customWidth="1"/>
    <col min="9219" max="9219" width="8.7265625" style="7" customWidth="1"/>
    <col min="9220" max="9221" width="12.7265625" style="7" customWidth="1"/>
    <col min="9222" max="9472" width="8.7265625" style="7"/>
    <col min="9473" max="9473" width="5.7265625" style="7" customWidth="1"/>
    <col min="9474" max="9474" width="40.7265625" style="7" customWidth="1"/>
    <col min="9475" max="9475" width="8.7265625" style="7" customWidth="1"/>
    <col min="9476" max="9477" width="12.7265625" style="7" customWidth="1"/>
    <col min="9478" max="9728" width="8.7265625" style="7"/>
    <col min="9729" max="9729" width="5.7265625" style="7" customWidth="1"/>
    <col min="9730" max="9730" width="40.7265625" style="7" customWidth="1"/>
    <col min="9731" max="9731" width="8.7265625" style="7" customWidth="1"/>
    <col min="9732" max="9733" width="12.7265625" style="7" customWidth="1"/>
    <col min="9734" max="9984" width="8.7265625" style="7"/>
    <col min="9985" max="9985" width="5.7265625" style="7" customWidth="1"/>
    <col min="9986" max="9986" width="40.7265625" style="7" customWidth="1"/>
    <col min="9987" max="9987" width="8.7265625" style="7" customWidth="1"/>
    <col min="9988" max="9989" width="12.7265625" style="7" customWidth="1"/>
    <col min="9990" max="10240" width="8.7265625" style="7"/>
    <col min="10241" max="10241" width="5.7265625" style="7" customWidth="1"/>
    <col min="10242" max="10242" width="40.7265625" style="7" customWidth="1"/>
    <col min="10243" max="10243" width="8.7265625" style="7" customWidth="1"/>
    <col min="10244" max="10245" width="12.7265625" style="7" customWidth="1"/>
    <col min="10246" max="10496" width="8.7265625" style="7"/>
    <col min="10497" max="10497" width="5.7265625" style="7" customWidth="1"/>
    <col min="10498" max="10498" width="40.7265625" style="7" customWidth="1"/>
    <col min="10499" max="10499" width="8.7265625" style="7" customWidth="1"/>
    <col min="10500" max="10501" width="12.7265625" style="7" customWidth="1"/>
    <col min="10502" max="10752" width="8.7265625" style="7"/>
    <col min="10753" max="10753" width="5.7265625" style="7" customWidth="1"/>
    <col min="10754" max="10754" width="40.7265625" style="7" customWidth="1"/>
    <col min="10755" max="10755" width="8.7265625" style="7" customWidth="1"/>
    <col min="10756" max="10757" width="12.7265625" style="7" customWidth="1"/>
    <col min="10758" max="11008" width="8.7265625" style="7"/>
    <col min="11009" max="11009" width="5.7265625" style="7" customWidth="1"/>
    <col min="11010" max="11010" width="40.7265625" style="7" customWidth="1"/>
    <col min="11011" max="11011" width="8.7265625" style="7" customWidth="1"/>
    <col min="11012" max="11013" width="12.7265625" style="7" customWidth="1"/>
    <col min="11014" max="11264" width="8.7265625" style="7"/>
    <col min="11265" max="11265" width="5.7265625" style="7" customWidth="1"/>
    <col min="11266" max="11266" width="40.7265625" style="7" customWidth="1"/>
    <col min="11267" max="11267" width="8.7265625" style="7" customWidth="1"/>
    <col min="11268" max="11269" width="12.7265625" style="7" customWidth="1"/>
    <col min="11270" max="11520" width="8.7265625" style="7"/>
    <col min="11521" max="11521" width="5.7265625" style="7" customWidth="1"/>
    <col min="11522" max="11522" width="40.7265625" style="7" customWidth="1"/>
    <col min="11523" max="11523" width="8.7265625" style="7" customWidth="1"/>
    <col min="11524" max="11525" width="12.7265625" style="7" customWidth="1"/>
    <col min="11526" max="11776" width="8.7265625" style="7"/>
    <col min="11777" max="11777" width="5.7265625" style="7" customWidth="1"/>
    <col min="11778" max="11778" width="40.7265625" style="7" customWidth="1"/>
    <col min="11779" max="11779" width="8.7265625" style="7" customWidth="1"/>
    <col min="11780" max="11781" width="12.7265625" style="7" customWidth="1"/>
    <col min="11782" max="12032" width="8.7265625" style="7"/>
    <col min="12033" max="12033" width="5.7265625" style="7" customWidth="1"/>
    <col min="12034" max="12034" width="40.7265625" style="7" customWidth="1"/>
    <col min="12035" max="12035" width="8.7265625" style="7" customWidth="1"/>
    <col min="12036" max="12037" width="12.7265625" style="7" customWidth="1"/>
    <col min="12038" max="12288" width="8.7265625" style="7"/>
    <col min="12289" max="12289" width="5.7265625" style="7" customWidth="1"/>
    <col min="12290" max="12290" width="40.7265625" style="7" customWidth="1"/>
    <col min="12291" max="12291" width="8.7265625" style="7" customWidth="1"/>
    <col min="12292" max="12293" width="12.7265625" style="7" customWidth="1"/>
    <col min="12294" max="12544" width="8.7265625" style="7"/>
    <col min="12545" max="12545" width="5.7265625" style="7" customWidth="1"/>
    <col min="12546" max="12546" width="40.7265625" style="7" customWidth="1"/>
    <col min="12547" max="12547" width="8.7265625" style="7" customWidth="1"/>
    <col min="12548" max="12549" width="12.7265625" style="7" customWidth="1"/>
    <col min="12550" max="12800" width="8.7265625" style="7"/>
    <col min="12801" max="12801" width="5.7265625" style="7" customWidth="1"/>
    <col min="12802" max="12802" width="40.7265625" style="7" customWidth="1"/>
    <col min="12803" max="12803" width="8.7265625" style="7" customWidth="1"/>
    <col min="12804" max="12805" width="12.7265625" style="7" customWidth="1"/>
    <col min="12806" max="13056" width="8.7265625" style="7"/>
    <col min="13057" max="13057" width="5.7265625" style="7" customWidth="1"/>
    <col min="13058" max="13058" width="40.7265625" style="7" customWidth="1"/>
    <col min="13059" max="13059" width="8.7265625" style="7" customWidth="1"/>
    <col min="13060" max="13061" width="12.7265625" style="7" customWidth="1"/>
    <col min="13062" max="13312" width="8.7265625" style="7"/>
    <col min="13313" max="13313" width="5.7265625" style="7" customWidth="1"/>
    <col min="13314" max="13314" width="40.7265625" style="7" customWidth="1"/>
    <col min="13315" max="13315" width="8.7265625" style="7" customWidth="1"/>
    <col min="13316" max="13317" width="12.7265625" style="7" customWidth="1"/>
    <col min="13318" max="13568" width="8.7265625" style="7"/>
    <col min="13569" max="13569" width="5.7265625" style="7" customWidth="1"/>
    <col min="13570" max="13570" width="40.7265625" style="7" customWidth="1"/>
    <col min="13571" max="13571" width="8.7265625" style="7" customWidth="1"/>
    <col min="13572" max="13573" width="12.7265625" style="7" customWidth="1"/>
    <col min="13574" max="13824" width="8.7265625" style="7"/>
    <col min="13825" max="13825" width="5.7265625" style="7" customWidth="1"/>
    <col min="13826" max="13826" width="40.7265625" style="7" customWidth="1"/>
    <col min="13827" max="13827" width="8.7265625" style="7" customWidth="1"/>
    <col min="13828" max="13829" width="12.7265625" style="7" customWidth="1"/>
    <col min="13830" max="14080" width="8.7265625" style="7"/>
    <col min="14081" max="14081" width="5.7265625" style="7" customWidth="1"/>
    <col min="14082" max="14082" width="40.7265625" style="7" customWidth="1"/>
    <col min="14083" max="14083" width="8.7265625" style="7" customWidth="1"/>
    <col min="14084" max="14085" width="12.7265625" style="7" customWidth="1"/>
    <col min="14086" max="14336" width="8.7265625" style="7"/>
    <col min="14337" max="14337" width="5.7265625" style="7" customWidth="1"/>
    <col min="14338" max="14338" width="40.7265625" style="7" customWidth="1"/>
    <col min="14339" max="14339" width="8.7265625" style="7" customWidth="1"/>
    <col min="14340" max="14341" width="12.7265625" style="7" customWidth="1"/>
    <col min="14342" max="14592" width="8.7265625" style="7"/>
    <col min="14593" max="14593" width="5.7265625" style="7" customWidth="1"/>
    <col min="14594" max="14594" width="40.7265625" style="7" customWidth="1"/>
    <col min="14595" max="14595" width="8.7265625" style="7" customWidth="1"/>
    <col min="14596" max="14597" width="12.7265625" style="7" customWidth="1"/>
    <col min="14598" max="14848" width="8.7265625" style="7"/>
    <col min="14849" max="14849" width="5.7265625" style="7" customWidth="1"/>
    <col min="14850" max="14850" width="40.7265625" style="7" customWidth="1"/>
    <col min="14851" max="14851" width="8.7265625" style="7" customWidth="1"/>
    <col min="14852" max="14853" width="12.7265625" style="7" customWidth="1"/>
    <col min="14854" max="15104" width="8.7265625" style="7"/>
    <col min="15105" max="15105" width="5.7265625" style="7" customWidth="1"/>
    <col min="15106" max="15106" width="40.7265625" style="7" customWidth="1"/>
    <col min="15107" max="15107" width="8.7265625" style="7" customWidth="1"/>
    <col min="15108" max="15109" width="12.7265625" style="7" customWidth="1"/>
    <col min="15110" max="15360" width="8.7265625" style="7"/>
    <col min="15361" max="15361" width="5.7265625" style="7" customWidth="1"/>
    <col min="15362" max="15362" width="40.7265625" style="7" customWidth="1"/>
    <col min="15363" max="15363" width="8.7265625" style="7" customWidth="1"/>
    <col min="15364" max="15365" width="12.7265625" style="7" customWidth="1"/>
    <col min="15366" max="15616" width="8.7265625" style="7"/>
    <col min="15617" max="15617" width="5.7265625" style="7" customWidth="1"/>
    <col min="15618" max="15618" width="40.7265625" style="7" customWidth="1"/>
    <col min="15619" max="15619" width="8.7265625" style="7" customWidth="1"/>
    <col min="15620" max="15621" width="12.7265625" style="7" customWidth="1"/>
    <col min="15622" max="15872" width="8.7265625" style="7"/>
    <col min="15873" max="15873" width="5.7265625" style="7" customWidth="1"/>
    <col min="15874" max="15874" width="40.7265625" style="7" customWidth="1"/>
    <col min="15875" max="15875" width="8.7265625" style="7" customWidth="1"/>
    <col min="15876" max="15877" width="12.7265625" style="7" customWidth="1"/>
    <col min="15878" max="16128" width="8.7265625" style="7"/>
    <col min="16129" max="16129" width="5.7265625" style="7" customWidth="1"/>
    <col min="16130" max="16130" width="40.7265625" style="7" customWidth="1"/>
    <col min="16131" max="16131" width="8.7265625" style="7" customWidth="1"/>
    <col min="16132" max="16133" width="12.7265625" style="7" customWidth="1"/>
    <col min="16134" max="16384" width="8.7265625" style="7"/>
  </cols>
  <sheetData>
    <row r="1" spans="1:6" ht="23.5" customHeight="1" x14ac:dyDescent="0.35">
      <c r="A1" s="489" t="s">
        <v>398</v>
      </c>
      <c r="B1" s="489"/>
      <c r="C1" s="489"/>
      <c r="D1" s="489"/>
      <c r="E1" s="489"/>
      <c r="F1" s="6">
        <v>70</v>
      </c>
    </row>
    <row r="2" spans="1:6" s="179" customFormat="1" ht="16" thickBot="1" x14ac:dyDescent="0.4">
      <c r="A2" s="387"/>
      <c r="B2" s="387"/>
      <c r="C2" s="387"/>
      <c r="D2" s="387"/>
      <c r="E2" s="387"/>
      <c r="F2" s="6"/>
    </row>
    <row r="3" spans="1:6" s="179" customFormat="1" ht="16.5" thickTop="1" thickBot="1" x14ac:dyDescent="0.4">
      <c r="A3" s="180"/>
      <c r="B3" s="180"/>
      <c r="C3" s="180"/>
      <c r="D3" s="180"/>
      <c r="E3" s="180"/>
      <c r="F3" s="6"/>
    </row>
    <row r="4" spans="1:6" ht="29" x14ac:dyDescent="0.35">
      <c r="A4" s="2" t="s">
        <v>61</v>
      </c>
      <c r="B4" s="3" t="s">
        <v>62</v>
      </c>
      <c r="C4" s="4" t="s">
        <v>66</v>
      </c>
      <c r="D4" s="4" t="s">
        <v>421</v>
      </c>
      <c r="E4" s="5" t="s">
        <v>343</v>
      </c>
    </row>
    <row r="5" spans="1:6" s="11" customFormat="1" ht="19.5" customHeight="1" x14ac:dyDescent="0.35">
      <c r="A5" s="8" t="s">
        <v>63</v>
      </c>
      <c r="B5" s="9"/>
      <c r="C5" s="10">
        <f>SUM(C6:C8)</f>
        <v>4</v>
      </c>
      <c r="D5" s="10">
        <f>SUM(D6:D8)</f>
        <v>110000</v>
      </c>
      <c r="E5" s="10">
        <f>SUM(E6:E8)</f>
        <v>170000</v>
      </c>
    </row>
    <row r="6" spans="1:6" x14ac:dyDescent="0.35">
      <c r="A6" s="12">
        <v>1</v>
      </c>
      <c r="B6" s="13" t="s">
        <v>64</v>
      </c>
      <c r="C6" s="14"/>
      <c r="D6" s="14">
        <v>50000</v>
      </c>
      <c r="E6" s="14">
        <v>50000</v>
      </c>
      <c r="F6" s="427" t="s">
        <v>472</v>
      </c>
    </row>
    <row r="7" spans="1:6" x14ac:dyDescent="0.35">
      <c r="A7" s="12">
        <v>2</v>
      </c>
      <c r="B7" s="16" t="s">
        <v>399</v>
      </c>
      <c r="C7" s="14">
        <v>2</v>
      </c>
      <c r="D7" s="14">
        <v>35000</v>
      </c>
      <c r="E7" s="15">
        <f t="shared" ref="E7:E8" si="0">C7*D7</f>
        <v>70000</v>
      </c>
    </row>
    <row r="8" spans="1:6" x14ac:dyDescent="0.35">
      <c r="A8" s="12">
        <v>3</v>
      </c>
      <c r="B8" s="16" t="s">
        <v>65</v>
      </c>
      <c r="C8" s="14">
        <v>2</v>
      </c>
      <c r="D8" s="14">
        <v>25000</v>
      </c>
      <c r="E8" s="15">
        <f t="shared" si="0"/>
        <v>50000</v>
      </c>
    </row>
  </sheetData>
  <mergeCells count="1">
    <mergeCell ref="A1:E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zoomScale="80" zoomScaleNormal="80" workbookViewId="0">
      <selection sqref="A1:E1"/>
    </sheetView>
  </sheetViews>
  <sheetFormatPr defaultColWidth="21.7265625" defaultRowHeight="14.5" x14ac:dyDescent="0.35"/>
  <cols>
    <col min="1" max="1" width="12.7265625" style="179" customWidth="1"/>
    <col min="2" max="2" width="29.1796875" style="179" customWidth="1"/>
    <col min="3" max="3" width="13.1796875" style="181" customWidth="1"/>
    <col min="4" max="4" width="14.1796875" style="182" customWidth="1"/>
    <col min="5" max="5" width="12.453125" style="179" customWidth="1"/>
    <col min="6" max="16384" width="21.7265625" style="179"/>
  </cols>
  <sheetData>
    <row r="1" spans="1:5" ht="37.5" customHeight="1" thickBot="1" x14ac:dyDescent="0.4">
      <c r="A1" s="496" t="s">
        <v>388</v>
      </c>
      <c r="B1" s="497"/>
      <c r="C1" s="497"/>
      <c r="D1" s="497"/>
      <c r="E1" s="498"/>
    </row>
    <row r="2" spans="1:5" ht="12" customHeight="1" thickBot="1" x14ac:dyDescent="0.4">
      <c r="A2" s="210"/>
      <c r="B2" s="422"/>
    </row>
    <row r="3" spans="1:5" ht="15" thickTop="1" x14ac:dyDescent="0.35">
      <c r="A3" s="209"/>
      <c r="C3" s="499" t="s">
        <v>338</v>
      </c>
      <c r="D3" s="499"/>
      <c r="E3" s="499"/>
    </row>
    <row r="5" spans="1:5" x14ac:dyDescent="0.35">
      <c r="D5" s="183" t="s">
        <v>339</v>
      </c>
      <c r="E5" s="388">
        <v>1000000</v>
      </c>
    </row>
    <row r="6" spans="1:5" x14ac:dyDescent="0.35">
      <c r="C6" s="184"/>
      <c r="D6" s="183" t="s">
        <v>340</v>
      </c>
      <c r="E6" s="185">
        <f>E46/E5</f>
        <v>0.4329142747100001</v>
      </c>
    </row>
    <row r="7" spans="1:5" x14ac:dyDescent="0.35">
      <c r="C7" s="184"/>
      <c r="D7" s="183"/>
      <c r="E7" s="186"/>
    </row>
    <row r="8" spans="1:5" ht="26" x14ac:dyDescent="0.35">
      <c r="A8" s="187" t="s">
        <v>341</v>
      </c>
      <c r="B8" s="188" t="s">
        <v>342</v>
      </c>
      <c r="C8" s="189" t="s">
        <v>383</v>
      </c>
      <c r="D8" s="190" t="s">
        <v>381</v>
      </c>
      <c r="E8" s="191" t="s">
        <v>343</v>
      </c>
    </row>
    <row r="9" spans="1:5" x14ac:dyDescent="0.35">
      <c r="A9" s="493" t="s">
        <v>344</v>
      </c>
      <c r="B9" s="196" t="s">
        <v>345</v>
      </c>
      <c r="C9" s="201">
        <v>1220</v>
      </c>
      <c r="D9" s="203">
        <v>113.723</v>
      </c>
      <c r="E9" s="204">
        <f>C9*D9</f>
        <v>138742.06</v>
      </c>
    </row>
    <row r="10" spans="1:5" x14ac:dyDescent="0.35">
      <c r="A10" s="494"/>
      <c r="B10" s="196" t="s">
        <v>346</v>
      </c>
      <c r="C10" s="201">
        <v>260</v>
      </c>
      <c r="D10" s="203">
        <v>159.35900000000001</v>
      </c>
      <c r="E10" s="204">
        <f t="shared" ref="E10:E44" si="0">C10*D10</f>
        <v>41433.340000000004</v>
      </c>
    </row>
    <row r="11" spans="1:5" x14ac:dyDescent="0.35">
      <c r="A11" s="494"/>
      <c r="B11" s="196" t="s">
        <v>347</v>
      </c>
      <c r="C11" s="201">
        <v>81.734999999999999</v>
      </c>
      <c r="D11" s="203">
        <v>377.31200000000001</v>
      </c>
      <c r="E11" s="204">
        <f t="shared" si="0"/>
        <v>30839.596320000001</v>
      </c>
    </row>
    <row r="12" spans="1:5" x14ac:dyDescent="0.35">
      <c r="A12" s="494"/>
      <c r="B12" s="196" t="s">
        <v>348</v>
      </c>
      <c r="C12" s="201">
        <v>941</v>
      </c>
      <c r="D12" s="203">
        <v>31.033000000000001</v>
      </c>
      <c r="E12" s="204">
        <f t="shared" si="0"/>
        <v>29202.053</v>
      </c>
    </row>
    <row r="13" spans="1:5" x14ac:dyDescent="0.35">
      <c r="A13" s="494"/>
      <c r="B13" s="196" t="s">
        <v>349</v>
      </c>
      <c r="C13" s="201">
        <v>1750</v>
      </c>
      <c r="D13" s="203">
        <v>10.034000000000001</v>
      </c>
      <c r="E13" s="204">
        <f t="shared" si="0"/>
        <v>17559.5</v>
      </c>
    </row>
    <row r="14" spans="1:5" x14ac:dyDescent="0.35">
      <c r="A14" s="494"/>
      <c r="B14" s="196" t="s">
        <v>350</v>
      </c>
      <c r="C14" s="201">
        <v>6.7</v>
      </c>
      <c r="D14" s="203">
        <v>3366</v>
      </c>
      <c r="E14" s="204">
        <f t="shared" si="0"/>
        <v>22552.2</v>
      </c>
    </row>
    <row r="15" spans="1:5" x14ac:dyDescent="0.35">
      <c r="A15" s="494"/>
      <c r="B15" s="196" t="s">
        <v>351</v>
      </c>
      <c r="C15" s="201">
        <v>952.69100000000003</v>
      </c>
      <c r="D15" s="203">
        <v>26.533999999999999</v>
      </c>
      <c r="E15" s="204">
        <f t="shared" si="0"/>
        <v>25278.702993999999</v>
      </c>
    </row>
    <row r="16" spans="1:5" x14ac:dyDescent="0.35">
      <c r="A16" s="494"/>
      <c r="B16" s="196" t="s">
        <v>352</v>
      </c>
      <c r="C16" s="201">
        <v>132.78399999999999</v>
      </c>
      <c r="D16" s="203">
        <v>107.224</v>
      </c>
      <c r="E16" s="204">
        <f t="shared" si="0"/>
        <v>14237.631615999999</v>
      </c>
    </row>
    <row r="17" spans="1:5" x14ac:dyDescent="0.35">
      <c r="A17" s="494"/>
      <c r="B17" s="196" t="s">
        <v>353</v>
      </c>
      <c r="C17" s="201">
        <v>562.5</v>
      </c>
      <c r="D17" s="203">
        <v>19.611000000000001</v>
      </c>
      <c r="E17" s="204">
        <f t="shared" si="0"/>
        <v>11031.1875</v>
      </c>
    </row>
    <row r="18" spans="1:5" x14ac:dyDescent="0.35">
      <c r="A18" s="494"/>
      <c r="B18" s="196" t="s">
        <v>354</v>
      </c>
      <c r="C18" s="201">
        <v>288.48</v>
      </c>
      <c r="D18" s="203">
        <v>24.917000000000002</v>
      </c>
      <c r="E18" s="204">
        <f t="shared" si="0"/>
        <v>7188.056160000001</v>
      </c>
    </row>
    <row r="19" spans="1:5" x14ac:dyDescent="0.35">
      <c r="A19" s="494"/>
      <c r="B19" s="196" t="s">
        <v>355</v>
      </c>
      <c r="C19" s="201">
        <v>82.087500000000006</v>
      </c>
      <c r="D19" s="203">
        <v>79.701999999999998</v>
      </c>
      <c r="E19" s="204">
        <f t="shared" si="0"/>
        <v>6542.5379250000005</v>
      </c>
    </row>
    <row r="20" spans="1:5" x14ac:dyDescent="0.35">
      <c r="A20" s="494"/>
      <c r="B20" s="196" t="s">
        <v>356</v>
      </c>
      <c r="C20" s="201">
        <v>850</v>
      </c>
      <c r="D20" s="203">
        <v>12.897</v>
      </c>
      <c r="E20" s="204">
        <f t="shared" si="0"/>
        <v>10962.45</v>
      </c>
    </row>
    <row r="21" spans="1:5" x14ac:dyDescent="0.35">
      <c r="A21" s="494"/>
      <c r="B21" s="196" t="s">
        <v>357</v>
      </c>
      <c r="C21" s="201">
        <v>2452</v>
      </c>
      <c r="D21" s="203">
        <v>1.17</v>
      </c>
      <c r="E21" s="204">
        <f t="shared" si="0"/>
        <v>2868.8399999999997</v>
      </c>
    </row>
    <row r="22" spans="1:5" x14ac:dyDescent="0.35">
      <c r="A22" s="494"/>
      <c r="B22" s="196" t="s">
        <v>358</v>
      </c>
      <c r="C22" s="201">
        <v>233.25</v>
      </c>
      <c r="D22" s="203">
        <v>14.1</v>
      </c>
      <c r="E22" s="204">
        <f t="shared" si="0"/>
        <v>3288.8249999999998</v>
      </c>
    </row>
    <row r="23" spans="1:5" x14ac:dyDescent="0.35">
      <c r="A23" s="494"/>
      <c r="B23" s="196" t="s">
        <v>359</v>
      </c>
      <c r="C23" s="201">
        <v>375</v>
      </c>
      <c r="D23" s="203">
        <v>10.135</v>
      </c>
      <c r="E23" s="204">
        <f t="shared" si="0"/>
        <v>3800.625</v>
      </c>
    </row>
    <row r="24" spans="1:5" x14ac:dyDescent="0.35">
      <c r="A24" s="494"/>
      <c r="B24" s="196" t="s">
        <v>360</v>
      </c>
      <c r="C24" s="201">
        <v>2488</v>
      </c>
      <c r="D24" s="203">
        <v>0.70699999999999996</v>
      </c>
      <c r="E24" s="204">
        <f t="shared" si="0"/>
        <v>1759.0159999999998</v>
      </c>
    </row>
    <row r="25" spans="1:5" x14ac:dyDescent="0.35">
      <c r="A25" s="494"/>
      <c r="B25" s="196" t="s">
        <v>361</v>
      </c>
      <c r="C25" s="201">
        <v>212</v>
      </c>
      <c r="D25" s="203">
        <v>8.2253000000000007</v>
      </c>
      <c r="E25" s="204">
        <f t="shared" si="0"/>
        <v>1743.7636000000002</v>
      </c>
    </row>
    <row r="26" spans="1:5" x14ac:dyDescent="0.35">
      <c r="A26" s="494"/>
      <c r="B26" s="196" t="s">
        <v>362</v>
      </c>
      <c r="C26" s="201">
        <v>283.666</v>
      </c>
      <c r="D26" s="203">
        <v>5.88</v>
      </c>
      <c r="E26" s="204">
        <f t="shared" si="0"/>
        <v>1667.9560799999999</v>
      </c>
    </row>
    <row r="27" spans="1:5" x14ac:dyDescent="0.35">
      <c r="A27" s="494"/>
      <c r="B27" s="196" t="s">
        <v>363</v>
      </c>
      <c r="C27" s="201">
        <v>366.666</v>
      </c>
      <c r="D27" s="203">
        <v>5.58</v>
      </c>
      <c r="E27" s="204">
        <f t="shared" si="0"/>
        <v>2045.9962800000001</v>
      </c>
    </row>
    <row r="28" spans="1:5" x14ac:dyDescent="0.35">
      <c r="A28" s="494"/>
      <c r="B28" s="196" t="s">
        <v>364</v>
      </c>
      <c r="C28" s="201">
        <v>233</v>
      </c>
      <c r="D28" s="203">
        <v>9.2509999999999994</v>
      </c>
      <c r="E28" s="204">
        <f t="shared" si="0"/>
        <v>2155.4829999999997</v>
      </c>
    </row>
    <row r="29" spans="1:5" x14ac:dyDescent="0.35">
      <c r="A29" s="494"/>
      <c r="B29" s="196" t="s">
        <v>365</v>
      </c>
      <c r="C29" s="201">
        <v>72</v>
      </c>
      <c r="D29" s="203">
        <v>13.076000000000001</v>
      </c>
      <c r="E29" s="204">
        <f t="shared" si="0"/>
        <v>941.47199999999998</v>
      </c>
    </row>
    <row r="30" spans="1:5" x14ac:dyDescent="0.35">
      <c r="A30" s="494"/>
      <c r="B30" s="196" t="s">
        <v>366</v>
      </c>
      <c r="C30" s="201">
        <v>90.221999999999994</v>
      </c>
      <c r="D30" s="203">
        <v>6.4560000000000004</v>
      </c>
      <c r="E30" s="204">
        <f t="shared" si="0"/>
        <v>582.47323200000005</v>
      </c>
    </row>
    <row r="31" spans="1:5" x14ac:dyDescent="0.35">
      <c r="A31" s="494"/>
      <c r="B31" s="196" t="s">
        <v>367</v>
      </c>
      <c r="C31" s="201">
        <v>303.00099999999998</v>
      </c>
      <c r="D31" s="203">
        <v>1.843</v>
      </c>
      <c r="E31" s="204">
        <f t="shared" si="0"/>
        <v>558.43084299999998</v>
      </c>
    </row>
    <row r="32" spans="1:5" x14ac:dyDescent="0.35">
      <c r="A32" s="494"/>
      <c r="B32" s="196" t="s">
        <v>368</v>
      </c>
      <c r="C32" s="201">
        <v>735</v>
      </c>
      <c r="D32" s="203">
        <v>1.4950000000000001</v>
      </c>
      <c r="E32" s="204">
        <f t="shared" si="0"/>
        <v>1098.825</v>
      </c>
    </row>
    <row r="33" spans="1:5" x14ac:dyDescent="0.35">
      <c r="A33" s="494"/>
      <c r="B33" s="196" t="s">
        <v>369</v>
      </c>
      <c r="C33" s="201">
        <v>550</v>
      </c>
      <c r="D33" s="203">
        <v>0.9</v>
      </c>
      <c r="E33" s="204">
        <f t="shared" si="0"/>
        <v>495</v>
      </c>
    </row>
    <row r="34" spans="1:5" x14ac:dyDescent="0.35">
      <c r="A34" s="494"/>
      <c r="B34" s="196" t="s">
        <v>370</v>
      </c>
      <c r="C34" s="201">
        <v>374.44</v>
      </c>
      <c r="D34" s="203">
        <v>0.38900000000000001</v>
      </c>
      <c r="E34" s="204">
        <f t="shared" si="0"/>
        <v>145.65716</v>
      </c>
    </row>
    <row r="35" spans="1:5" x14ac:dyDescent="0.35">
      <c r="A35" s="495"/>
      <c r="B35" s="197"/>
      <c r="C35" s="202"/>
      <c r="D35" s="205"/>
      <c r="E35" s="206">
        <f>SUM(E9:E34)</f>
        <v>378721.67871000007</v>
      </c>
    </row>
    <row r="36" spans="1:5" x14ac:dyDescent="0.35">
      <c r="A36" s="490" t="s">
        <v>371</v>
      </c>
      <c r="B36" s="198" t="s">
        <v>372</v>
      </c>
      <c r="C36" s="389">
        <v>7.83</v>
      </c>
      <c r="D36" s="390">
        <v>1423</v>
      </c>
      <c r="E36" s="391">
        <f>C36*D36</f>
        <v>11142.09</v>
      </c>
    </row>
    <row r="37" spans="1:5" x14ac:dyDescent="0.35">
      <c r="A37" s="491"/>
      <c r="B37" s="198" t="s">
        <v>373</v>
      </c>
      <c r="C37" s="389">
        <v>11.068</v>
      </c>
      <c r="D37" s="390">
        <v>692</v>
      </c>
      <c r="E37" s="391">
        <f>C37*D37</f>
        <v>7659.0559999999996</v>
      </c>
    </row>
    <row r="38" spans="1:5" x14ac:dyDescent="0.35">
      <c r="A38" s="491"/>
      <c r="B38" s="198" t="s">
        <v>374</v>
      </c>
      <c r="C38" s="389">
        <v>1.92</v>
      </c>
      <c r="D38" s="390">
        <v>847</v>
      </c>
      <c r="E38" s="391">
        <f>C38*D38</f>
        <v>1626.24</v>
      </c>
    </row>
    <row r="39" spans="1:5" x14ac:dyDescent="0.35">
      <c r="A39" s="491"/>
      <c r="B39" s="198" t="s">
        <v>375</v>
      </c>
      <c r="C39" s="389">
        <v>0.96499999999999997</v>
      </c>
      <c r="D39" s="390">
        <v>592</v>
      </c>
      <c r="E39" s="391">
        <f>C39*D39</f>
        <v>571.28</v>
      </c>
    </row>
    <row r="40" spans="1:5" x14ac:dyDescent="0.35">
      <c r="A40" s="492"/>
      <c r="B40" s="199"/>
      <c r="C40" s="202"/>
      <c r="D40" s="207"/>
      <c r="E40" s="206">
        <f>SUM(E36:E39)</f>
        <v>20998.666000000001</v>
      </c>
    </row>
    <row r="41" spans="1:5" x14ac:dyDescent="0.35">
      <c r="A41" s="490" t="s">
        <v>382</v>
      </c>
      <c r="B41" s="198" t="s">
        <v>376</v>
      </c>
      <c r="C41" s="389">
        <v>8.19</v>
      </c>
      <c r="D41" s="390">
        <v>1419</v>
      </c>
      <c r="E41" s="391">
        <f t="shared" si="0"/>
        <v>11621.609999999999</v>
      </c>
    </row>
    <row r="42" spans="1:5" x14ac:dyDescent="0.35">
      <c r="A42" s="491"/>
      <c r="B42" s="198" t="s">
        <v>377</v>
      </c>
      <c r="C42" s="389">
        <v>5.87</v>
      </c>
      <c r="D42" s="390">
        <v>1590</v>
      </c>
      <c r="E42" s="391">
        <f t="shared" si="0"/>
        <v>9333.2999999999993</v>
      </c>
    </row>
    <row r="43" spans="1:5" x14ac:dyDescent="0.35">
      <c r="A43" s="491"/>
      <c r="B43" s="198" t="s">
        <v>378</v>
      </c>
      <c r="C43" s="389">
        <v>2.25</v>
      </c>
      <c r="D43" s="390">
        <v>1548</v>
      </c>
      <c r="E43" s="391">
        <f t="shared" si="0"/>
        <v>3483</v>
      </c>
    </row>
    <row r="44" spans="1:5" x14ac:dyDescent="0.35">
      <c r="A44" s="491"/>
      <c r="B44" s="198" t="s">
        <v>379</v>
      </c>
      <c r="C44" s="389">
        <v>19.809999999999999</v>
      </c>
      <c r="D44" s="390">
        <v>442</v>
      </c>
      <c r="E44" s="391">
        <f t="shared" si="0"/>
        <v>8756.0199999999986</v>
      </c>
    </row>
    <row r="45" spans="1:5" x14ac:dyDescent="0.35">
      <c r="A45" s="492"/>
      <c r="B45" s="199"/>
      <c r="C45" s="192"/>
      <c r="D45" s="193"/>
      <c r="E45" s="206">
        <f>SUM(E41:E44)</f>
        <v>33193.929999999993</v>
      </c>
    </row>
    <row r="46" spans="1:5" ht="15" thickBot="1" x14ac:dyDescent="0.4">
      <c r="A46" s="194" t="s">
        <v>380</v>
      </c>
      <c r="B46" s="200"/>
      <c r="C46" s="194"/>
      <c r="D46" s="195"/>
      <c r="E46" s="208">
        <f>E35+E40+E45</f>
        <v>432914.27471000009</v>
      </c>
    </row>
    <row r="47" spans="1:5" ht="15" thickTop="1" x14ac:dyDescent="0.35">
      <c r="C47" s="179"/>
    </row>
  </sheetData>
  <mergeCells count="5">
    <mergeCell ref="A41:A45"/>
    <mergeCell ref="A9:A35"/>
    <mergeCell ref="A1:E1"/>
    <mergeCell ref="C3:E3"/>
    <mergeCell ref="A36:A40"/>
  </mergeCells>
  <pageMargins left="0.7" right="0.7" top="0.75" bottom="0.75" header="0.3" footer="0.3"/>
  <ignoredErrors>
    <ignoredError sqref="E35:E40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Инвестиции</vt:lpstr>
      <vt:lpstr>Год 1</vt:lpstr>
      <vt:lpstr>Год 2</vt:lpstr>
      <vt:lpstr>Год 3</vt:lpstr>
      <vt:lpstr>Год 4</vt:lpstr>
      <vt:lpstr>Год 5</vt:lpstr>
      <vt:lpstr>Бюджет затрат (ориентир.)</vt:lpstr>
      <vt:lpstr>Штатное расписание</vt:lpstr>
      <vt:lpstr>Unit Сoste </vt:lpstr>
      <vt:lpstr>Операционный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dbara</dc:creator>
  <cp:lastModifiedBy>Альберт</cp:lastModifiedBy>
  <cp:lastPrinted>2020-03-02T18:55:16Z</cp:lastPrinted>
  <dcterms:created xsi:type="dcterms:W3CDTF">2019-12-02T07:51:14Z</dcterms:created>
  <dcterms:modified xsi:type="dcterms:W3CDTF">2020-08-26T12:13:33Z</dcterms:modified>
</cp:coreProperties>
</file>