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Работа\Spa-Sense\"/>
    </mc:Choice>
  </mc:AlternateContent>
  <xr:revisionPtr revIDLastSave="0" documentId="13_ncr:1_{BAA0D26C-4A81-4321-88DD-538CCC5FB511}" xr6:coauthVersionLast="38" xr6:coauthVersionMax="38" xr10:uidLastSave="{00000000-0000-0000-0000-000000000000}"/>
  <bookViews>
    <workbookView xWindow="0" yWindow="0" windowWidth="28800" windowHeight="13638" xr2:uid="{00000000-000D-0000-FFFF-FFFF00000000}"/>
  </bookViews>
  <sheets>
    <sheet name="Исходные данные" sheetId="6" r:id="rId1"/>
    <sheet name="Обобщенный расчет" sheetId="7" r:id="rId2"/>
    <sheet name="Детальный расчет" sheetId="4" r:id="rId3"/>
  </sheets>
  <externalReferences>
    <externalReference r:id="rId4"/>
    <externalReference r:id="rId5"/>
    <externalReference r:id="rId6"/>
  </externalReferences>
  <definedNames>
    <definedName name="About_AI" localSheetId="0">#REF!</definedName>
    <definedName name="About_AI" localSheetId="1">#REF!</definedName>
    <definedName name="About_AI">#REF!</definedName>
    <definedName name="About_AI_Summ" localSheetId="0">#REF!</definedName>
    <definedName name="About_AI_Summ" localSheetId="1">#REF!</definedName>
    <definedName name="About_AI_Summ">#REF!</definedName>
    <definedName name="AI_Version">[1]Опции!$B$5</definedName>
    <definedName name="CalcMethod">[1]Проект!$F$88</definedName>
    <definedName name="CUR_Foreign">[1]Проект!$B$12</definedName>
    <definedName name="CUR_I_Foreign">[1]Проект!$D$12</definedName>
    <definedName name="CUR_I_Main">[1]Проект!$D$11</definedName>
    <definedName name="CUR_I_Report">[1]Проект!$D$19</definedName>
    <definedName name="CUR_Main">[1]Проект!$B$11</definedName>
    <definedName name="CUR_Report">[1]Проект!$B$19</definedName>
    <definedName name="EST_DATA" localSheetId="0">[1]Проект!#REF!</definedName>
    <definedName name="EST_DATA" localSheetId="1">[1]Проект!#REF!</definedName>
    <definedName name="EST_DATA">[1]Проект!#REF!</definedName>
    <definedName name="EST_FROM" localSheetId="0">[1]Проект!#REF!</definedName>
    <definedName name="EST_FROM" localSheetId="1">[1]Проект!#REF!</definedName>
    <definedName name="EST_FROM">[1]Проект!#REF!</definedName>
    <definedName name="EST_NumStages" localSheetId="0">[1]Проект!#REF!</definedName>
    <definedName name="EST_NumStages" localSheetId="1">[1]Проект!#REF!</definedName>
    <definedName name="EST_NumStages">[1]Проект!#REF!</definedName>
    <definedName name="EST_Obj_1" localSheetId="0">[1]Проект!#REF!</definedName>
    <definedName name="EST_Obj_1" localSheetId="1">[1]Проект!#REF!</definedName>
    <definedName name="EST_Obj_1">[1]Проект!#REF!</definedName>
    <definedName name="EST_Obj_10" localSheetId="0">[1]Проект!#REF!</definedName>
    <definedName name="EST_Obj_10" localSheetId="1">[1]Проект!#REF!</definedName>
    <definedName name="EST_Obj_10">[1]Проект!#REF!</definedName>
    <definedName name="EST_Obj_2" localSheetId="0">[1]Проект!#REF!</definedName>
    <definedName name="EST_Obj_2" localSheetId="1">[1]Проект!#REF!</definedName>
    <definedName name="EST_Obj_2">[1]Проект!#REF!</definedName>
    <definedName name="EST_Obj_3" localSheetId="0">[1]Проект!#REF!</definedName>
    <definedName name="EST_Obj_3" localSheetId="1">[1]Проект!#REF!</definedName>
    <definedName name="EST_Obj_3">[1]Проект!#REF!</definedName>
    <definedName name="EST_Obj_4" localSheetId="0">[1]Проект!#REF!</definedName>
    <definedName name="EST_Obj_4" localSheetId="1">[1]Проект!#REF!</definedName>
    <definedName name="EST_Obj_4">[1]Проект!#REF!</definedName>
    <definedName name="EST_Obj_5" localSheetId="0">[1]Проект!#REF!</definedName>
    <definedName name="EST_Obj_5" localSheetId="1">[1]Проект!#REF!</definedName>
    <definedName name="EST_Obj_5">[1]Проект!#REF!</definedName>
    <definedName name="EST_Obj_6" localSheetId="0">[1]Проект!#REF!</definedName>
    <definedName name="EST_Obj_6" localSheetId="1">[1]Проект!#REF!</definedName>
    <definedName name="EST_Obj_6">[1]Проект!#REF!</definedName>
    <definedName name="EST_Obj_7" localSheetId="0">[1]Проект!#REF!</definedName>
    <definedName name="EST_Obj_7" localSheetId="1">[1]Проект!#REF!</definedName>
    <definedName name="EST_Obj_7">[1]Проект!#REF!</definedName>
    <definedName name="EST_Obj_8" localSheetId="0">[1]Проект!#REF!</definedName>
    <definedName name="EST_Obj_8" localSheetId="1">[1]Проект!#REF!</definedName>
    <definedName name="EST_Obj_8">[1]Проект!#REF!</definedName>
    <definedName name="EST_Obj_9" localSheetId="0">[1]Проект!#REF!</definedName>
    <definedName name="EST_Obj_9" localSheetId="1">[1]Проект!#REF!</definedName>
    <definedName name="EST_Obj_9">[1]Проект!#REF!</definedName>
    <definedName name="EST_ProdNum" localSheetId="0">[1]Проект!#REF!</definedName>
    <definedName name="EST_ProdNum" localSheetId="1">[1]Проект!#REF!</definedName>
    <definedName name="EST_ProdNum">[1]Проект!#REF!</definedName>
    <definedName name="IS_SUMM">[1]Опции!$B$10</definedName>
    <definedName name="LANGUAGE">[1]Проект!$D$17</definedName>
    <definedName name="NWC_T_Cr_AdvK">[1]Проект!$B$772</definedName>
    <definedName name="NWC_T_Cr_AdvT">[1]Проект!$C$772</definedName>
    <definedName name="NWC_T_Cr_CrdK">[1]Проект!$B$773</definedName>
    <definedName name="NWC_T_Cr_CrdT">[1]Проект!$C$773</definedName>
    <definedName name="NWC_T_Cycle">[1]Проект!$B$751</definedName>
    <definedName name="NWC_T_Db_AdvK">[1]Проект!$B$760</definedName>
    <definedName name="NWC_T_Db_AdvT">[1]Проект!$C$760</definedName>
    <definedName name="NWC_T_Db_CrdK">[1]Проект!$B$761</definedName>
    <definedName name="NWC_T_Db_CrdT">[1]Проект!$C$761</definedName>
    <definedName name="NWC_T_Goods">[1]Проект!$B$755</definedName>
    <definedName name="NWC_T_Mat">[1]Проект!$B$749</definedName>
    <definedName name="PeriodTitle">[1]Проект!$F$86:$L$86</definedName>
    <definedName name="PRJ_Len">[1]Проект!$D$8</definedName>
    <definedName name="PRJ_Protected">[1]Проект!$D$18</definedName>
    <definedName name="PRJ_StartDate">[1]Проект!$D$7</definedName>
    <definedName name="PRJ_StartMon">[1]Проект!$F$26</definedName>
    <definedName name="PRJ_StartYear">[1]Проект!$F$25</definedName>
    <definedName name="PRJ_Step">[1]Проект!$D$10</definedName>
    <definedName name="PRJ_Step_SName">[1]Проект!$E$9</definedName>
    <definedName name="PRJ_StepType">[1]Проект!$D$9</definedName>
    <definedName name="ProfitTax">[1]Проект!$B$945</definedName>
    <definedName name="ProfitTax_Period">[1]Проект!$B$946</definedName>
    <definedName name="season" localSheetId="0">'[2]1. Исходные данные'!#REF!</definedName>
    <definedName name="season" localSheetId="1">'[2]1. Исходные данные'!#REF!</definedName>
    <definedName name="season">'[2]1. Исходные данные'!#REF!</definedName>
    <definedName name="SENS_Parameter">[1]Анализ!$E$9</definedName>
    <definedName name="ShowRealDates">[1]Проект!$D$20</definedName>
    <definedName name="VAT">[1]Проект!$B$889</definedName>
    <definedName name="VAT_OnAssets">[1]Проект!$B$892</definedName>
    <definedName name="VAT_Period">[1]Проект!$B$890</definedName>
    <definedName name="VAT_Repay">[1]Проект!$B$891</definedName>
    <definedName name="апи" localSheetId="0">[3]Отчет!#REF!</definedName>
    <definedName name="апи" localSheetId="1">[3]Отчет!#REF!</definedName>
    <definedName name="апи">[3]Отчет!#REF!</definedName>
    <definedName name="_xlnm.Print_Titles" localSheetId="2">'Детальный расчет'!$A:$B</definedName>
    <definedName name="и" localSheetId="0">[3]Отчет!#REF!</definedName>
    <definedName name="и" localSheetId="1">[3]Отчет!#REF!</definedName>
    <definedName name="и">[3]Отчет!#REF!</definedName>
    <definedName name="_xlnm.Print_Area" localSheetId="2">'Детальный расчет'!$A$5:$AS$93</definedName>
    <definedName name="_xlnm.Print_Area" localSheetId="0">'Исходные данные'!$A$2:$K$105</definedName>
    <definedName name="_xlnm.Print_Area" localSheetId="1">'Обобщенный расчет'!$A$1:$J$64</definedName>
    <definedName name="п" localSheetId="0">[3]Отчет!#REF!</definedName>
    <definedName name="п" localSheetId="1">[3]Отчет!#REF!</definedName>
    <definedName name="п">[3]Отчет!#REF!</definedName>
  </definedName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59" i="4" l="1"/>
  <c r="A58" i="4"/>
  <c r="A55" i="4"/>
  <c r="A54" i="4"/>
  <c r="B55" i="4"/>
  <c r="B54" i="4"/>
  <c r="B53" i="4"/>
  <c r="B52" i="4"/>
  <c r="B48" i="7"/>
  <c r="A56" i="4" s="1"/>
  <c r="B49" i="7"/>
  <c r="A57" i="4" s="1"/>
  <c r="B42" i="7"/>
  <c r="A50" i="4" s="1"/>
  <c r="B43" i="7"/>
  <c r="A51" i="4" s="1"/>
  <c r="B44" i="7"/>
  <c r="A52" i="4" s="1"/>
  <c r="B45" i="7"/>
  <c r="A53" i="4" s="1"/>
  <c r="J44" i="7"/>
  <c r="B41" i="7"/>
  <c r="A49" i="4" s="1"/>
  <c r="B40" i="7" l="1"/>
  <c r="A48" i="4" s="1"/>
  <c r="J41" i="7"/>
  <c r="J40" i="7"/>
  <c r="B38" i="7"/>
  <c r="A46" i="4" s="1"/>
  <c r="B39" i="7"/>
  <c r="A47" i="4" s="1"/>
  <c r="B34" i="7"/>
  <c r="A42" i="4" s="1"/>
  <c r="B35" i="7"/>
  <c r="A43" i="4" s="1"/>
  <c r="B36" i="7"/>
  <c r="A44" i="4" s="1"/>
  <c r="B31" i="7"/>
  <c r="B37" i="7"/>
  <c r="A45" i="4" s="1"/>
  <c r="B33" i="7"/>
  <c r="A41" i="4" s="1"/>
  <c r="J31" i="7"/>
  <c r="J24" i="7" l="1"/>
  <c r="J25" i="7"/>
  <c r="J26" i="7"/>
  <c r="J27" i="7"/>
  <c r="I24" i="7"/>
  <c r="I25" i="7"/>
  <c r="I26" i="7"/>
  <c r="I27" i="7"/>
  <c r="I7" i="7"/>
  <c r="N7" i="4"/>
  <c r="M7" i="4"/>
  <c r="L7" i="4"/>
  <c r="K7" i="4"/>
  <c r="J7" i="4"/>
  <c r="I7" i="4"/>
  <c r="H7" i="4"/>
  <c r="G7" i="4"/>
  <c r="F7" i="4"/>
  <c r="E7" i="4"/>
  <c r="D7" i="4"/>
  <c r="C7" i="4"/>
  <c r="A21" i="4" l="1"/>
  <c r="D7" i="7"/>
  <c r="A8" i="7"/>
  <c r="A17" i="4" s="1"/>
  <c r="J94" i="6"/>
  <c r="G94" i="6"/>
  <c r="E94" i="6"/>
  <c r="J91" i="6"/>
  <c r="G91" i="6"/>
  <c r="E91" i="6"/>
  <c r="J90" i="6"/>
  <c r="G90" i="6"/>
  <c r="E90" i="6"/>
  <c r="AP52" i="4" l="1"/>
  <c r="AL52" i="4"/>
  <c r="AH52" i="4"/>
  <c r="AB52" i="4"/>
  <c r="X52" i="4"/>
  <c r="T52" i="4"/>
  <c r="AM52" i="4"/>
  <c r="AG52" i="4"/>
  <c r="Y52" i="4"/>
  <c r="S52" i="4"/>
  <c r="D52" i="4"/>
  <c r="H52" i="4"/>
  <c r="L52" i="4"/>
  <c r="C52" i="4"/>
  <c r="AK52" i="4"/>
  <c r="AF52" i="4"/>
  <c r="W52" i="4"/>
  <c r="R52" i="4"/>
  <c r="AJ52" i="4"/>
  <c r="V52" i="4"/>
  <c r="G52" i="4"/>
  <c r="M52" i="4"/>
  <c r="AE52" i="4"/>
  <c r="Q52" i="4"/>
  <c r="AN52" i="4"/>
  <c r="K52" i="4"/>
  <c r="AI52" i="4"/>
  <c r="U52" i="4"/>
  <c r="I52" i="4"/>
  <c r="N52" i="4"/>
  <c r="AO52" i="4"/>
  <c r="AA52" i="4"/>
  <c r="E52" i="4"/>
  <c r="J52" i="4"/>
  <c r="Z52" i="4"/>
  <c r="F52" i="4"/>
  <c r="AP49" i="4"/>
  <c r="AL49" i="4"/>
  <c r="AH49" i="4"/>
  <c r="AB49" i="4"/>
  <c r="X49" i="4"/>
  <c r="T49" i="4"/>
  <c r="AK49" i="4"/>
  <c r="AF49" i="4"/>
  <c r="W49" i="4"/>
  <c r="R49" i="4"/>
  <c r="E49" i="4"/>
  <c r="I49" i="4"/>
  <c r="M49" i="4"/>
  <c r="J49" i="4"/>
  <c r="AO49" i="4"/>
  <c r="AJ49" i="4"/>
  <c r="AE49" i="4"/>
  <c r="AA49" i="4"/>
  <c r="V49" i="4"/>
  <c r="Q49" i="4"/>
  <c r="F49" i="4"/>
  <c r="N49" i="4"/>
  <c r="AN49" i="4"/>
  <c r="Z49" i="4"/>
  <c r="K49" i="4"/>
  <c r="C49" i="4"/>
  <c r="AI49" i="4"/>
  <c r="U49" i="4"/>
  <c r="H49" i="4"/>
  <c r="AM49" i="4"/>
  <c r="Y49" i="4"/>
  <c r="D49" i="4"/>
  <c r="L49" i="4"/>
  <c r="G49" i="4"/>
  <c r="AG49" i="4"/>
  <c r="S49" i="4"/>
  <c r="AP48" i="4"/>
  <c r="AL48" i="4"/>
  <c r="AH48" i="4"/>
  <c r="AB48" i="4"/>
  <c r="X48" i="4"/>
  <c r="T48" i="4"/>
  <c r="AM48" i="4"/>
  <c r="AG48" i="4"/>
  <c r="Y48" i="4"/>
  <c r="S48" i="4"/>
  <c r="D48" i="4"/>
  <c r="H48" i="4"/>
  <c r="L48" i="4"/>
  <c r="C48" i="4"/>
  <c r="AK48" i="4"/>
  <c r="AF48" i="4"/>
  <c r="W48" i="4"/>
  <c r="R48" i="4"/>
  <c r="E48" i="4"/>
  <c r="I48" i="4"/>
  <c r="M48" i="4"/>
  <c r="AO48" i="4"/>
  <c r="AE48" i="4"/>
  <c r="AA48" i="4"/>
  <c r="Q48" i="4"/>
  <c r="F48" i="4"/>
  <c r="N48" i="4"/>
  <c r="AJ48" i="4"/>
  <c r="J48" i="4"/>
  <c r="AI48" i="4"/>
  <c r="AN48" i="4"/>
  <c r="Z48" i="4"/>
  <c r="G48" i="4"/>
  <c r="V48" i="4"/>
  <c r="U48" i="4"/>
  <c r="K48" i="4"/>
  <c r="F58" i="6"/>
  <c r="F57" i="6"/>
  <c r="F12" i="6"/>
  <c r="J12" i="6"/>
  <c r="J15" i="6"/>
  <c r="H15" i="6"/>
  <c r="F15" i="6"/>
  <c r="J14" i="6"/>
  <c r="H14" i="6"/>
  <c r="F14" i="6"/>
  <c r="A15" i="6"/>
  <c r="A14" i="6"/>
  <c r="A13" i="6"/>
  <c r="H13" i="6"/>
  <c r="O52" i="4" l="1"/>
  <c r="AC52" i="4"/>
  <c r="AD52" i="4" s="1"/>
  <c r="AQ52" i="4"/>
  <c r="AR52" i="4" s="1"/>
  <c r="J23" i="7"/>
  <c r="I23" i="7"/>
  <c r="G27" i="7"/>
  <c r="G26" i="7"/>
  <c r="G24" i="7"/>
  <c r="G25" i="7"/>
  <c r="G23" i="7"/>
  <c r="E27" i="7"/>
  <c r="E26" i="7"/>
  <c r="D27" i="7"/>
  <c r="D26" i="7"/>
  <c r="D24" i="7"/>
  <c r="D25" i="7"/>
  <c r="D23" i="7"/>
  <c r="A27" i="7"/>
  <c r="A26" i="7"/>
  <c r="A24" i="7"/>
  <c r="A25" i="7"/>
  <c r="A23" i="7"/>
  <c r="O3" i="7"/>
  <c r="J104" i="6"/>
  <c r="J98" i="6"/>
  <c r="J103" i="6"/>
  <c r="J93" i="6"/>
  <c r="J92" i="6"/>
  <c r="J89" i="6"/>
  <c r="J88" i="6"/>
  <c r="J97" i="6"/>
  <c r="J96" i="6"/>
  <c r="J87" i="6"/>
  <c r="J85" i="6"/>
  <c r="J84" i="6"/>
  <c r="J95" i="6"/>
  <c r="J81" i="6"/>
  <c r="F76" i="6"/>
  <c r="F75" i="6"/>
  <c r="F74" i="6"/>
  <c r="F73" i="6"/>
  <c r="F72" i="6"/>
  <c r="I48" i="6"/>
  <c r="F48" i="6"/>
  <c r="D48" i="6"/>
  <c r="J47" i="6"/>
  <c r="J46" i="6"/>
  <c r="J45" i="6"/>
  <c r="J44" i="6"/>
  <c r="J43" i="6"/>
  <c r="J42" i="6"/>
  <c r="J41" i="6"/>
  <c r="J40" i="6"/>
  <c r="J39" i="6"/>
  <c r="F19" i="6"/>
  <c r="E19" i="6"/>
  <c r="J19" i="6" s="1"/>
  <c r="F13" i="6"/>
  <c r="D8" i="7" s="1"/>
  <c r="P52" i="4" l="1"/>
  <c r="G44" i="7" s="1"/>
  <c r="AS52" i="4"/>
  <c r="J48" i="6"/>
  <c r="J13" i="6"/>
  <c r="H61" i="6"/>
  <c r="G22" i="7" l="1"/>
  <c r="H70" i="6"/>
  <c r="B21" i="4"/>
  <c r="B46" i="4" l="1"/>
  <c r="H59" i="7"/>
  <c r="H57" i="7"/>
  <c r="H55" i="7"/>
  <c r="J45" i="7"/>
  <c r="J33" i="7"/>
  <c r="J34" i="7"/>
  <c r="J35" i="7"/>
  <c r="J36" i="7"/>
  <c r="J37" i="7"/>
  <c r="J46" i="7"/>
  <c r="J47" i="7"/>
  <c r="J38" i="7"/>
  <c r="J39" i="7"/>
  <c r="J42" i="7"/>
  <c r="J43" i="7"/>
  <c r="J49" i="7"/>
  <c r="J50" i="7"/>
  <c r="J48" i="7"/>
  <c r="J51" i="7"/>
  <c r="J52" i="7"/>
  <c r="J32" i="7"/>
  <c r="I19" i="7"/>
  <c r="E22" i="7"/>
  <c r="I11" i="7"/>
  <c r="I12" i="7"/>
  <c r="I13" i="7"/>
  <c r="I14" i="7"/>
  <c r="I15" i="7"/>
  <c r="I16" i="7"/>
  <c r="I17" i="7"/>
  <c r="I18" i="7"/>
  <c r="G96" i="6" l="1"/>
  <c r="E96" i="6"/>
  <c r="E81" i="6"/>
  <c r="AE54" i="4" l="1"/>
  <c r="Q54" i="4"/>
  <c r="C54" i="4"/>
  <c r="AK54" i="4"/>
  <c r="W54" i="4"/>
  <c r="I54" i="4"/>
  <c r="G98" i="6"/>
  <c r="G104" i="6"/>
  <c r="G103" i="6"/>
  <c r="G85" i="6"/>
  <c r="G87" i="6"/>
  <c r="G97" i="6"/>
  <c r="G88" i="6"/>
  <c r="G89" i="6"/>
  <c r="G92" i="6"/>
  <c r="G93" i="6"/>
  <c r="G84" i="6"/>
  <c r="G95" i="6"/>
  <c r="E98" i="6"/>
  <c r="E104" i="6"/>
  <c r="E103" i="6"/>
  <c r="E85" i="6"/>
  <c r="E87" i="6"/>
  <c r="E97" i="6"/>
  <c r="E88" i="6"/>
  <c r="E89" i="6"/>
  <c r="E92" i="6"/>
  <c r="E93" i="6"/>
  <c r="E84" i="6"/>
  <c r="E95" i="6"/>
  <c r="G41" i="6"/>
  <c r="G42" i="6"/>
  <c r="G43" i="6"/>
  <c r="G44" i="6"/>
  <c r="G45" i="6"/>
  <c r="G46" i="6"/>
  <c r="G47" i="6"/>
  <c r="G40" i="6"/>
  <c r="E41" i="6"/>
  <c r="E42" i="6"/>
  <c r="E43" i="6"/>
  <c r="E44" i="6"/>
  <c r="E45" i="6"/>
  <c r="E46" i="6"/>
  <c r="E47" i="6"/>
  <c r="E40" i="6"/>
  <c r="D11" i="7" s="1"/>
  <c r="F64" i="6"/>
  <c r="F65" i="6"/>
  <c r="F66" i="6"/>
  <c r="F67" i="6"/>
  <c r="F63" i="6"/>
  <c r="F55" i="6"/>
  <c r="E24" i="7" s="1"/>
  <c r="F56" i="6"/>
  <c r="E25" i="7" s="1"/>
  <c r="F54" i="6"/>
  <c r="E23" i="7" s="1"/>
  <c r="E61" i="6"/>
  <c r="E70" i="6" s="1"/>
  <c r="AP43" i="4" l="1"/>
  <c r="AL43" i="4"/>
  <c r="AH43" i="4"/>
  <c r="AB43" i="4"/>
  <c r="X43" i="4"/>
  <c r="T43" i="4"/>
  <c r="AN43" i="4"/>
  <c r="AI43" i="4"/>
  <c r="Z43" i="4"/>
  <c r="U43" i="4"/>
  <c r="G43" i="4"/>
  <c r="K43" i="4"/>
  <c r="AM43" i="4"/>
  <c r="AG43" i="4"/>
  <c r="Y43" i="4"/>
  <c r="S43" i="4"/>
  <c r="D43" i="4"/>
  <c r="H43" i="4"/>
  <c r="L43" i="4"/>
  <c r="AK43" i="4"/>
  <c r="W43" i="4"/>
  <c r="E43" i="4"/>
  <c r="M43" i="4"/>
  <c r="R43" i="4"/>
  <c r="AO43" i="4"/>
  <c r="AA43" i="4"/>
  <c r="J43" i="4"/>
  <c r="AJ43" i="4"/>
  <c r="V43" i="4"/>
  <c r="F43" i="4"/>
  <c r="N43" i="4"/>
  <c r="C43" i="4"/>
  <c r="AF43" i="4"/>
  <c r="I43" i="4"/>
  <c r="AE43" i="4"/>
  <c r="Q43" i="4"/>
  <c r="AK55" i="4"/>
  <c r="W55" i="4"/>
  <c r="AE55" i="4"/>
  <c r="Q55" i="4"/>
  <c r="I55" i="4"/>
  <c r="C55" i="4"/>
  <c r="AP50" i="4"/>
  <c r="AL50" i="4"/>
  <c r="AH50" i="4"/>
  <c r="AB50" i="4"/>
  <c r="X50" i="4"/>
  <c r="T50" i="4"/>
  <c r="AO50" i="4"/>
  <c r="AJ50" i="4"/>
  <c r="AE50" i="4"/>
  <c r="AA50" i="4"/>
  <c r="V50" i="4"/>
  <c r="Q50" i="4"/>
  <c r="F50" i="4"/>
  <c r="J50" i="4"/>
  <c r="N50" i="4"/>
  <c r="K50" i="4"/>
  <c r="AN50" i="4"/>
  <c r="AI50" i="4"/>
  <c r="Z50" i="4"/>
  <c r="U50" i="4"/>
  <c r="G50" i="4"/>
  <c r="AM50" i="4"/>
  <c r="Y50" i="4"/>
  <c r="H50" i="4"/>
  <c r="AG50" i="4"/>
  <c r="D50" i="4"/>
  <c r="AF50" i="4"/>
  <c r="R50" i="4"/>
  <c r="AK50" i="4"/>
  <c r="W50" i="4"/>
  <c r="I50" i="4"/>
  <c r="S50" i="4"/>
  <c r="L50" i="4"/>
  <c r="E50" i="4"/>
  <c r="M50" i="4"/>
  <c r="C50" i="4"/>
  <c r="AP45" i="4"/>
  <c r="AL45" i="4"/>
  <c r="AH45" i="4"/>
  <c r="AB45" i="4"/>
  <c r="X45" i="4"/>
  <c r="T45" i="4"/>
  <c r="AK45" i="4"/>
  <c r="AF45" i="4"/>
  <c r="W45" i="4"/>
  <c r="R45" i="4"/>
  <c r="E45" i="4"/>
  <c r="I45" i="4"/>
  <c r="M45" i="4"/>
  <c r="AO45" i="4"/>
  <c r="AJ45" i="4"/>
  <c r="AE45" i="4"/>
  <c r="AA45" i="4"/>
  <c r="V45" i="4"/>
  <c r="Q45" i="4"/>
  <c r="F45" i="4"/>
  <c r="J45" i="4"/>
  <c r="N45" i="4"/>
  <c r="AI45" i="4"/>
  <c r="U45" i="4"/>
  <c r="G45" i="4"/>
  <c r="AN45" i="4"/>
  <c r="K45" i="4"/>
  <c r="C45" i="4"/>
  <c r="AM45" i="4"/>
  <c r="Y45" i="4"/>
  <c r="D45" i="4"/>
  <c r="AG45" i="4"/>
  <c r="S45" i="4"/>
  <c r="H45" i="4"/>
  <c r="Z45" i="4"/>
  <c r="L45" i="4"/>
  <c r="AP56" i="4"/>
  <c r="AL56" i="4"/>
  <c r="AH56" i="4"/>
  <c r="AB56" i="4"/>
  <c r="X56" i="4"/>
  <c r="T56" i="4"/>
  <c r="D56" i="4"/>
  <c r="H56" i="4"/>
  <c r="L56" i="4"/>
  <c r="AK56" i="4"/>
  <c r="AF56" i="4"/>
  <c r="W56" i="4"/>
  <c r="R56" i="4"/>
  <c r="E56" i="4"/>
  <c r="J56" i="4"/>
  <c r="C56" i="4"/>
  <c r="AO56" i="4"/>
  <c r="AJ56" i="4"/>
  <c r="AE56" i="4"/>
  <c r="AA56" i="4"/>
  <c r="V56" i="4"/>
  <c r="Q56" i="4"/>
  <c r="F56" i="4"/>
  <c r="K56" i="4"/>
  <c r="AN56" i="4"/>
  <c r="Z56" i="4"/>
  <c r="G56" i="4"/>
  <c r="AI56" i="4"/>
  <c r="N56" i="4"/>
  <c r="AM56" i="4"/>
  <c r="Y56" i="4"/>
  <c r="I56" i="4"/>
  <c r="U56" i="4"/>
  <c r="M56" i="4"/>
  <c r="AG56" i="4"/>
  <c r="S56" i="4"/>
  <c r="AP46" i="4"/>
  <c r="AL46" i="4"/>
  <c r="AH46" i="4"/>
  <c r="AB46" i="4"/>
  <c r="X46" i="4"/>
  <c r="T46" i="4"/>
  <c r="AO46" i="4"/>
  <c r="AJ46" i="4"/>
  <c r="AE46" i="4"/>
  <c r="AA46" i="4"/>
  <c r="V46" i="4"/>
  <c r="Q46" i="4"/>
  <c r="F46" i="4"/>
  <c r="J46" i="4"/>
  <c r="N46" i="4"/>
  <c r="AN46" i="4"/>
  <c r="AI46" i="4"/>
  <c r="Z46" i="4"/>
  <c r="U46" i="4"/>
  <c r="G46" i="4"/>
  <c r="K46" i="4"/>
  <c r="AG46" i="4"/>
  <c r="S46" i="4"/>
  <c r="D46" i="4"/>
  <c r="L46" i="4"/>
  <c r="AM46" i="4"/>
  <c r="AK46" i="4"/>
  <c r="I46" i="4"/>
  <c r="AF46" i="4"/>
  <c r="R46" i="4"/>
  <c r="E46" i="4"/>
  <c r="M46" i="4"/>
  <c r="C46" i="4"/>
  <c r="Y46" i="4"/>
  <c r="H46" i="4"/>
  <c r="W46" i="4"/>
  <c r="AP51" i="4"/>
  <c r="AL51" i="4"/>
  <c r="AH51" i="4"/>
  <c r="AB51" i="4"/>
  <c r="X51" i="4"/>
  <c r="T51" i="4"/>
  <c r="AN51" i="4"/>
  <c r="AI51" i="4"/>
  <c r="Z51" i="4"/>
  <c r="U51" i="4"/>
  <c r="G51" i="4"/>
  <c r="K51" i="4"/>
  <c r="H51" i="4"/>
  <c r="L51" i="4"/>
  <c r="AM51" i="4"/>
  <c r="AG51" i="4"/>
  <c r="Y51" i="4"/>
  <c r="S51" i="4"/>
  <c r="D51" i="4"/>
  <c r="AK51" i="4"/>
  <c r="W51" i="4"/>
  <c r="E51" i="4"/>
  <c r="M51" i="4"/>
  <c r="AF51" i="4"/>
  <c r="R51" i="4"/>
  <c r="I51" i="4"/>
  <c r="AO51" i="4"/>
  <c r="AE51" i="4"/>
  <c r="AA51" i="4"/>
  <c r="J51" i="4"/>
  <c r="AJ51" i="4"/>
  <c r="V51" i="4"/>
  <c r="F51" i="4"/>
  <c r="N51" i="4"/>
  <c r="C51" i="4"/>
  <c r="Q51" i="4"/>
  <c r="AP59" i="4"/>
  <c r="AL59" i="4"/>
  <c r="AH59" i="4"/>
  <c r="AB59" i="4"/>
  <c r="X59" i="4"/>
  <c r="T59" i="4"/>
  <c r="E59" i="4"/>
  <c r="I59" i="4"/>
  <c r="AO59" i="4"/>
  <c r="AJ59" i="4"/>
  <c r="AE59" i="4"/>
  <c r="AA59" i="4"/>
  <c r="V59" i="4"/>
  <c r="Q59" i="4"/>
  <c r="D59" i="4"/>
  <c r="J59" i="4"/>
  <c r="N59" i="4"/>
  <c r="AN59" i="4"/>
  <c r="AI59" i="4"/>
  <c r="Z59" i="4"/>
  <c r="U59" i="4"/>
  <c r="F59" i="4"/>
  <c r="K59" i="4"/>
  <c r="AM59" i="4"/>
  <c r="Y59" i="4"/>
  <c r="G59" i="4"/>
  <c r="AG59" i="4"/>
  <c r="S59" i="4"/>
  <c r="L59" i="4"/>
  <c r="AF59" i="4"/>
  <c r="R59" i="4"/>
  <c r="AK59" i="4"/>
  <c r="W59" i="4"/>
  <c r="H59" i="4"/>
  <c r="C59" i="4"/>
  <c r="M59" i="4"/>
  <c r="AP53" i="4"/>
  <c r="AL53" i="4"/>
  <c r="AH53" i="4"/>
  <c r="AB53" i="4"/>
  <c r="X53" i="4"/>
  <c r="T53" i="4"/>
  <c r="AK53" i="4"/>
  <c r="AF53" i="4"/>
  <c r="W53" i="4"/>
  <c r="R53" i="4"/>
  <c r="E53" i="4"/>
  <c r="I53" i="4"/>
  <c r="M53" i="4"/>
  <c r="AO53" i="4"/>
  <c r="AJ53" i="4"/>
  <c r="AE53" i="4"/>
  <c r="AA53" i="4"/>
  <c r="V53" i="4"/>
  <c r="Q53" i="4"/>
  <c r="AI53" i="4"/>
  <c r="U53" i="4"/>
  <c r="G53" i="4"/>
  <c r="L53" i="4"/>
  <c r="AN53" i="4"/>
  <c r="Z53" i="4"/>
  <c r="D53" i="4"/>
  <c r="AM53" i="4"/>
  <c r="Y53" i="4"/>
  <c r="K53" i="4"/>
  <c r="AG53" i="4"/>
  <c r="S53" i="4"/>
  <c r="H53" i="4"/>
  <c r="N53" i="4"/>
  <c r="C53" i="4"/>
  <c r="O53" i="4" s="1"/>
  <c r="P53" i="4" s="1"/>
  <c r="G45" i="7" s="1"/>
  <c r="J53" i="4"/>
  <c r="F53" i="4"/>
  <c r="AP47" i="4"/>
  <c r="AL47" i="4"/>
  <c r="AH47" i="4"/>
  <c r="AB47" i="4"/>
  <c r="X47" i="4"/>
  <c r="T47" i="4"/>
  <c r="AN47" i="4"/>
  <c r="AI47" i="4"/>
  <c r="Z47" i="4"/>
  <c r="U47" i="4"/>
  <c r="G47" i="4"/>
  <c r="K47" i="4"/>
  <c r="C47" i="4"/>
  <c r="AM47" i="4"/>
  <c r="AG47" i="4"/>
  <c r="Y47" i="4"/>
  <c r="S47" i="4"/>
  <c r="D47" i="4"/>
  <c r="H47" i="4"/>
  <c r="L47" i="4"/>
  <c r="AF47" i="4"/>
  <c r="R47" i="4"/>
  <c r="I47" i="4"/>
  <c r="W47" i="4"/>
  <c r="E47" i="4"/>
  <c r="V47" i="4"/>
  <c r="N47" i="4"/>
  <c r="AO47" i="4"/>
  <c r="AE47" i="4"/>
  <c r="AA47" i="4"/>
  <c r="Q47" i="4"/>
  <c r="J47" i="4"/>
  <c r="AK47" i="4"/>
  <c r="M47" i="4"/>
  <c r="AJ47" i="4"/>
  <c r="F47" i="4"/>
  <c r="AP44" i="4"/>
  <c r="AL44" i="4"/>
  <c r="AH44" i="4"/>
  <c r="AB44" i="4"/>
  <c r="X44" i="4"/>
  <c r="T44" i="4"/>
  <c r="AM44" i="4"/>
  <c r="AG44" i="4"/>
  <c r="Y44" i="4"/>
  <c r="S44" i="4"/>
  <c r="D44" i="4"/>
  <c r="H44" i="4"/>
  <c r="L44" i="4"/>
  <c r="AK44" i="4"/>
  <c r="AF44" i="4"/>
  <c r="W44" i="4"/>
  <c r="R44" i="4"/>
  <c r="E44" i="4"/>
  <c r="I44" i="4"/>
  <c r="M44" i="4"/>
  <c r="AJ44" i="4"/>
  <c r="V44" i="4"/>
  <c r="J44" i="4"/>
  <c r="C44" i="4"/>
  <c r="AE44" i="4"/>
  <c r="AA44" i="4"/>
  <c r="F44" i="4"/>
  <c r="AI44" i="4"/>
  <c r="U44" i="4"/>
  <c r="K44" i="4"/>
  <c r="AO44" i="4"/>
  <c r="Q44" i="4"/>
  <c r="N44" i="4"/>
  <c r="AN44" i="4"/>
  <c r="Z44" i="4"/>
  <c r="G44" i="4"/>
  <c r="D17" i="7"/>
  <c r="C31" i="4" s="1"/>
  <c r="D13" i="7"/>
  <c r="C27" i="4" s="1"/>
  <c r="D16" i="7"/>
  <c r="C30" i="4" s="1"/>
  <c r="D12" i="7"/>
  <c r="C26" i="4" s="1"/>
  <c r="D15" i="7"/>
  <c r="C29" i="4" s="1"/>
  <c r="D18" i="7"/>
  <c r="C32" i="4" s="1"/>
  <c r="D14" i="7"/>
  <c r="C28" i="4" s="1"/>
  <c r="G48" i="6"/>
  <c r="C25" i="4"/>
  <c r="E48" i="6"/>
  <c r="E62" i="6"/>
  <c r="E71" i="6" s="1"/>
  <c r="F39" i="6"/>
  <c r="I39" i="6" s="1"/>
  <c r="G21" i="6"/>
  <c r="G22" i="6"/>
  <c r="G23" i="6"/>
  <c r="G24" i="6"/>
  <c r="G25" i="6"/>
  <c r="G26" i="6"/>
  <c r="G27" i="6"/>
  <c r="G28" i="6"/>
  <c r="G29" i="6"/>
  <c r="G30" i="6"/>
  <c r="G31" i="6"/>
  <c r="G20" i="6"/>
  <c r="O47" i="4" l="1"/>
  <c r="O46" i="4"/>
  <c r="AQ46" i="4"/>
  <c r="AR46" i="4" s="1"/>
  <c r="AC46" i="4"/>
  <c r="AD46" i="4" s="1"/>
  <c r="O55" i="4"/>
  <c r="AC55" i="4"/>
  <c r="AD55" i="4" s="1"/>
  <c r="O54" i="4"/>
  <c r="AC54" i="4"/>
  <c r="AD54" i="4" s="1"/>
  <c r="AQ55" i="4"/>
  <c r="AR55" i="4" s="1"/>
  <c r="AQ54" i="4"/>
  <c r="AR54" i="4" s="1"/>
  <c r="D19" i="7"/>
  <c r="P3" i="6"/>
  <c r="P46" i="4" l="1"/>
  <c r="G38" i="7" s="1"/>
  <c r="AS46" i="4"/>
  <c r="AS55" i="4"/>
  <c r="P55" i="4"/>
  <c r="G47" i="7" s="1"/>
  <c r="AS54" i="4"/>
  <c r="P54" i="4"/>
  <c r="G46" i="7" s="1"/>
  <c r="F53" i="6"/>
  <c r="F62" i="6" s="1"/>
  <c r="F71" i="6" s="1"/>
  <c r="B13" i="7"/>
  <c r="A27" i="4" s="1"/>
  <c r="AQ26" i="4"/>
  <c r="AC26" i="4"/>
  <c r="AF11" i="4"/>
  <c r="AG11" i="4"/>
  <c r="AH11" i="4"/>
  <c r="AI11" i="4"/>
  <c r="AJ11" i="4"/>
  <c r="AK11" i="4"/>
  <c r="AL11" i="4"/>
  <c r="AM11" i="4"/>
  <c r="AN11" i="4"/>
  <c r="AO11" i="4"/>
  <c r="AP11" i="4"/>
  <c r="AF12" i="4"/>
  <c r="AG12" i="4"/>
  <c r="AH12" i="4"/>
  <c r="AI12" i="4"/>
  <c r="AJ12" i="4"/>
  <c r="AK12" i="4"/>
  <c r="AL12" i="4"/>
  <c r="AM12" i="4"/>
  <c r="AN12" i="4"/>
  <c r="AO12" i="4"/>
  <c r="AP12" i="4"/>
  <c r="AF13" i="4"/>
  <c r="AG13" i="4"/>
  <c r="AH13" i="4"/>
  <c r="AI13" i="4"/>
  <c r="AJ13" i="4"/>
  <c r="AK13" i="4"/>
  <c r="AL13" i="4"/>
  <c r="AM13" i="4"/>
  <c r="AN13" i="4"/>
  <c r="AO13" i="4"/>
  <c r="AP13" i="4"/>
  <c r="AE13" i="4"/>
  <c r="AE12" i="4"/>
  <c r="AE11" i="4"/>
  <c r="R11" i="4"/>
  <c r="S11" i="4"/>
  <c r="T11" i="4"/>
  <c r="U11" i="4"/>
  <c r="V11" i="4"/>
  <c r="W11" i="4"/>
  <c r="X11" i="4"/>
  <c r="Y11" i="4"/>
  <c r="Z11" i="4"/>
  <c r="AA11" i="4"/>
  <c r="AB11" i="4"/>
  <c r="R12" i="4"/>
  <c r="S12" i="4"/>
  <c r="T12" i="4"/>
  <c r="U12" i="4"/>
  <c r="V12" i="4"/>
  <c r="W12" i="4"/>
  <c r="X12" i="4"/>
  <c r="Y12" i="4"/>
  <c r="Z12" i="4"/>
  <c r="AA12" i="4"/>
  <c r="AB12" i="4"/>
  <c r="R13" i="4"/>
  <c r="S13" i="4"/>
  <c r="T13" i="4"/>
  <c r="U13" i="4"/>
  <c r="V13" i="4"/>
  <c r="W13" i="4"/>
  <c r="X13" i="4"/>
  <c r="Y13" i="4"/>
  <c r="Z13" i="4"/>
  <c r="AA13" i="4"/>
  <c r="AB13" i="4"/>
  <c r="Q13" i="4"/>
  <c r="Q12" i="4"/>
  <c r="Q11" i="4"/>
  <c r="AS24" i="4" l="1"/>
  <c r="AR24" i="4"/>
  <c r="AQ24" i="4"/>
  <c r="AC24" i="4"/>
  <c r="AD24" i="4"/>
  <c r="P24" i="4"/>
  <c r="O24" i="4"/>
  <c r="P35" i="4"/>
  <c r="O35" i="4"/>
  <c r="P62" i="4"/>
  <c r="O62" i="4"/>
  <c r="P72" i="4"/>
  <c r="O72" i="4"/>
  <c r="G100" i="6"/>
  <c r="J100" i="6" s="1"/>
  <c r="G99" i="6"/>
  <c r="J99" i="6" s="1"/>
  <c r="D22" i="7" l="1"/>
  <c r="L6" i="7" l="1"/>
  <c r="F81" i="6"/>
  <c r="I81" i="6" s="1"/>
  <c r="B83" i="4" l="1"/>
  <c r="AN83" i="4" s="1"/>
  <c r="I83" i="4" l="1"/>
  <c r="W83" i="4"/>
  <c r="AA83" i="4"/>
  <c r="M83" i="4"/>
  <c r="E83" i="4"/>
  <c r="AG83" i="4"/>
  <c r="S83" i="4"/>
  <c r="AK83" i="4"/>
  <c r="L83" i="4"/>
  <c r="H83" i="4"/>
  <c r="D83" i="4"/>
  <c r="T83" i="4"/>
  <c r="X83" i="4"/>
  <c r="AB83" i="4"/>
  <c r="AH83" i="4"/>
  <c r="AL83" i="4"/>
  <c r="AP83" i="4"/>
  <c r="C83" i="4"/>
  <c r="K83" i="4"/>
  <c r="G83" i="4"/>
  <c r="Q83" i="4"/>
  <c r="U83" i="4"/>
  <c r="Y83" i="4"/>
  <c r="AE83" i="4"/>
  <c r="AI83" i="4"/>
  <c r="AM83" i="4"/>
  <c r="AO83" i="4"/>
  <c r="N83" i="4"/>
  <c r="J83" i="4"/>
  <c r="F83" i="4"/>
  <c r="R83" i="4"/>
  <c r="V83" i="4"/>
  <c r="Z83" i="4"/>
  <c r="AF83" i="4"/>
  <c r="AJ83" i="4"/>
  <c r="AF7" i="4" l="1"/>
  <c r="AG7" i="4"/>
  <c r="AH7" i="4"/>
  <c r="AI7" i="4"/>
  <c r="AJ7" i="4"/>
  <c r="AK7" i="4"/>
  <c r="AL7" i="4"/>
  <c r="AM7" i="4"/>
  <c r="AN7" i="4"/>
  <c r="AO7" i="4"/>
  <c r="AP7" i="4"/>
  <c r="AF9" i="4"/>
  <c r="AG9" i="4"/>
  <c r="AH9" i="4"/>
  <c r="AI9" i="4"/>
  <c r="AJ9" i="4"/>
  <c r="AK9" i="4"/>
  <c r="AL9" i="4"/>
  <c r="AM9" i="4"/>
  <c r="AN9" i="4"/>
  <c r="AO9" i="4"/>
  <c r="AP9" i="4"/>
  <c r="AF10" i="4"/>
  <c r="AG10" i="4"/>
  <c r="AH10" i="4"/>
  <c r="AI10" i="4"/>
  <c r="AJ10" i="4"/>
  <c r="AK10" i="4"/>
  <c r="AL10" i="4"/>
  <c r="AM10" i="4"/>
  <c r="AN10" i="4"/>
  <c r="AO10" i="4"/>
  <c r="AP10" i="4"/>
  <c r="AE10" i="4"/>
  <c r="AE9" i="4"/>
  <c r="AE7" i="4"/>
  <c r="R7" i="4"/>
  <c r="S7" i="4"/>
  <c r="T7" i="4"/>
  <c r="U7" i="4"/>
  <c r="V7" i="4"/>
  <c r="W7" i="4"/>
  <c r="X7" i="4"/>
  <c r="Y7" i="4"/>
  <c r="Z7" i="4"/>
  <c r="AA7" i="4"/>
  <c r="AB7" i="4"/>
  <c r="R9" i="4"/>
  <c r="S9" i="4"/>
  <c r="T9" i="4"/>
  <c r="U9" i="4"/>
  <c r="V9" i="4"/>
  <c r="W9" i="4"/>
  <c r="X9" i="4"/>
  <c r="Y9" i="4"/>
  <c r="Z9" i="4"/>
  <c r="AA9" i="4"/>
  <c r="AB9" i="4"/>
  <c r="R10" i="4"/>
  <c r="S10" i="4"/>
  <c r="T10" i="4"/>
  <c r="U10" i="4"/>
  <c r="V10" i="4"/>
  <c r="W10" i="4"/>
  <c r="X10" i="4"/>
  <c r="Y10" i="4"/>
  <c r="Z10" i="4"/>
  <c r="AA10" i="4"/>
  <c r="AB10" i="4"/>
  <c r="Q10" i="4"/>
  <c r="Q9" i="4"/>
  <c r="Q7" i="4"/>
  <c r="K19" i="6"/>
  <c r="I38" i="6" s="1"/>
  <c r="A69" i="6" s="1"/>
  <c r="I80" i="6" s="1"/>
  <c r="D19" i="6"/>
  <c r="I19" i="6" s="1"/>
  <c r="AC53" i="4" l="1"/>
  <c r="AQ53" i="4"/>
  <c r="AR53" i="4" s="1"/>
  <c r="A40" i="4"/>
  <c r="O31" i="4"/>
  <c r="O30" i="4"/>
  <c r="O29" i="4"/>
  <c r="O28" i="4"/>
  <c r="A32" i="4"/>
  <c r="A31" i="4"/>
  <c r="A30" i="4"/>
  <c r="A29" i="4"/>
  <c r="A28" i="4"/>
  <c r="B12" i="7"/>
  <c r="A26" i="4" s="1"/>
  <c r="C3" i="4"/>
  <c r="C8" i="4" s="1"/>
  <c r="C17" i="4" s="1"/>
  <c r="O2" i="7"/>
  <c r="D38" i="6"/>
  <c r="A51" i="6" s="1"/>
  <c r="D80" i="6" s="1"/>
  <c r="AQ30" i="4"/>
  <c r="AQ29" i="4"/>
  <c r="AQ28" i="4"/>
  <c r="AC30" i="4"/>
  <c r="AC29" i="4"/>
  <c r="AC28" i="4"/>
  <c r="B11" i="7"/>
  <c r="A25" i="4" s="1"/>
  <c r="F38" i="6"/>
  <c r="A60" i="6"/>
  <c r="F80" i="6" s="1"/>
  <c r="O1" i="7"/>
  <c r="E3" i="7"/>
  <c r="P5" i="6"/>
  <c r="P4" i="6"/>
  <c r="AQ27" i="4"/>
  <c r="AC27" i="4"/>
  <c r="AC25" i="4"/>
  <c r="AQ25" i="4"/>
  <c r="O78" i="4"/>
  <c r="AS78" i="4" s="1"/>
  <c r="AS35" i="4"/>
  <c r="AS62" i="4" s="1"/>
  <c r="AS72" i="4" s="1"/>
  <c r="AR35" i="4"/>
  <c r="AR62" i="4" s="1"/>
  <c r="AR72" i="4" s="1"/>
  <c r="AQ35" i="4"/>
  <c r="AQ62" i="4" s="1"/>
  <c r="AQ72" i="4" s="1"/>
  <c r="AD35" i="4"/>
  <c r="AD62" i="4" s="1"/>
  <c r="AD72" i="4" s="1"/>
  <c r="AC35" i="4"/>
  <c r="AC62" i="4" s="1"/>
  <c r="AC72" i="4" s="1"/>
  <c r="A70" i="4"/>
  <c r="A67" i="4"/>
  <c r="A66" i="4"/>
  <c r="A64" i="4"/>
  <c r="C2" i="4"/>
  <c r="AC31" i="4"/>
  <c r="AQ31" i="4"/>
  <c r="AD53" i="4" l="1"/>
  <c r="AS53" i="4"/>
  <c r="B26" i="4"/>
  <c r="B22" i="4"/>
  <c r="B45" i="4"/>
  <c r="B41" i="4"/>
  <c r="O27" i="4"/>
  <c r="AS27" i="4" s="1"/>
  <c r="O26" i="4"/>
  <c r="AS26" i="4" s="1"/>
  <c r="B32" i="4"/>
  <c r="B76" i="4"/>
  <c r="E39" i="6"/>
  <c r="C6" i="4"/>
  <c r="G39" i="6"/>
  <c r="B63" i="4"/>
  <c r="B51" i="4"/>
  <c r="B27" i="4"/>
  <c r="B67" i="4"/>
  <c r="B33" i="4"/>
  <c r="B74" i="4"/>
  <c r="G81" i="6"/>
  <c r="A88" i="4"/>
  <c r="B79" i="4"/>
  <c r="A87" i="4"/>
  <c r="A86" i="4"/>
  <c r="A85" i="4"/>
  <c r="B18" i="4"/>
  <c r="B29" i="4"/>
  <c r="B42" i="4"/>
  <c r="B64" i="4"/>
  <c r="B68" i="4"/>
  <c r="B75" i="4"/>
  <c r="A90" i="4"/>
  <c r="B48" i="4"/>
  <c r="B49" i="4"/>
  <c r="B44" i="4"/>
  <c r="B58" i="4"/>
  <c r="B65" i="4"/>
  <c r="B69" i="4"/>
  <c r="B77" i="4"/>
  <c r="B47" i="4"/>
  <c r="B28" i="4"/>
  <c r="B57" i="4"/>
  <c r="B70" i="4"/>
  <c r="B59" i="4"/>
  <c r="B25" i="4"/>
  <c r="B31" i="4"/>
  <c r="B60" i="4"/>
  <c r="B66" i="4"/>
  <c r="B73" i="4"/>
  <c r="B78" i="4"/>
  <c r="B50" i="4"/>
  <c r="B30" i="4"/>
  <c r="B40" i="4"/>
  <c r="B17" i="4"/>
  <c r="E2" i="7"/>
  <c r="AS31" i="4"/>
  <c r="AS29" i="4"/>
  <c r="AS28" i="4"/>
  <c r="AS30" i="4"/>
  <c r="B43" i="4"/>
  <c r="B56" i="4"/>
  <c r="L7" i="7"/>
  <c r="D3" i="4"/>
  <c r="D8" i="4" s="1"/>
  <c r="D17" i="4" s="1"/>
  <c r="C81" i="4" l="1"/>
  <c r="C16" i="4"/>
  <c r="C72" i="4"/>
  <c r="C20" i="4"/>
  <c r="C35" i="4"/>
  <c r="C24" i="4"/>
  <c r="C62" i="4"/>
  <c r="O48" i="4"/>
  <c r="P48" i="4" s="1"/>
  <c r="G40" i="7" s="1"/>
  <c r="O44" i="4"/>
  <c r="P44" i="4" s="1"/>
  <c r="G36" i="7" s="1"/>
  <c r="AQ47" i="4"/>
  <c r="AR47" i="4" s="1"/>
  <c r="AQ44" i="4"/>
  <c r="AR44" i="4" s="1"/>
  <c r="P47" i="4"/>
  <c r="G39" i="7" s="1"/>
  <c r="AC44" i="4"/>
  <c r="AD44" i="4" s="1"/>
  <c r="O45" i="4"/>
  <c r="P45" i="4" s="1"/>
  <c r="G37" i="7" s="1"/>
  <c r="E3" i="4"/>
  <c r="E8" i="4" s="1"/>
  <c r="E17" i="4" s="1"/>
  <c r="D6" i="4"/>
  <c r="AQ45" i="4"/>
  <c r="AR45" i="4" s="1"/>
  <c r="O51" i="4"/>
  <c r="P51" i="4" s="1"/>
  <c r="G43" i="7" s="1"/>
  <c r="O50" i="4"/>
  <c r="P50" i="4" s="1"/>
  <c r="G42" i="7" s="1"/>
  <c r="AQ49" i="4"/>
  <c r="AR49" i="4" s="1"/>
  <c r="AC48" i="4"/>
  <c r="AQ50" i="4"/>
  <c r="AR50" i="4" s="1"/>
  <c r="AQ59" i="4"/>
  <c r="AR59" i="4" s="1"/>
  <c r="AC51" i="4"/>
  <c r="AD51" i="4" s="1"/>
  <c r="AQ48" i="4"/>
  <c r="AR48" i="4" s="1"/>
  <c r="O49" i="4"/>
  <c r="O25" i="4"/>
  <c r="AS25" i="4" s="1"/>
  <c r="C33" i="4"/>
  <c r="C77" i="4" s="1"/>
  <c r="AC47" i="4"/>
  <c r="O59" i="4"/>
  <c r="AC59" i="4"/>
  <c r="AD59" i="4" s="1"/>
  <c r="AC49" i="4"/>
  <c r="AD49" i="4" s="1"/>
  <c r="AC45" i="4"/>
  <c r="AD45" i="4" s="1"/>
  <c r="AQ51" i="4"/>
  <c r="AR51" i="4" s="1"/>
  <c r="AC50" i="4"/>
  <c r="AD50" i="4" s="1"/>
  <c r="D20" i="4" l="1"/>
  <c r="D16" i="4"/>
  <c r="AS44" i="4"/>
  <c r="AS50" i="4"/>
  <c r="D24" i="4"/>
  <c r="D81" i="4"/>
  <c r="D62" i="4"/>
  <c r="D72" i="4"/>
  <c r="D35" i="4"/>
  <c r="F3" i="4"/>
  <c r="F8" i="4" s="1"/>
  <c r="F17" i="4" s="1"/>
  <c r="E6" i="4"/>
  <c r="C76" i="4"/>
  <c r="C66" i="4"/>
  <c r="AD47" i="4"/>
  <c r="AS47" i="4"/>
  <c r="AD48" i="4"/>
  <c r="AS48" i="4"/>
  <c r="AS59" i="4"/>
  <c r="P59" i="4"/>
  <c r="G51" i="7" s="1"/>
  <c r="AS49" i="4"/>
  <c r="P49" i="4"/>
  <c r="G41" i="7" s="1"/>
  <c r="AS45" i="4"/>
  <c r="AS51" i="4"/>
  <c r="E20" i="4" l="1"/>
  <c r="E16" i="4"/>
  <c r="F6" i="4"/>
  <c r="G3" i="4"/>
  <c r="G8" i="4" s="1"/>
  <c r="G17" i="4" s="1"/>
  <c r="E72" i="4"/>
  <c r="E81" i="4"/>
  <c r="E35" i="4"/>
  <c r="E62" i="4"/>
  <c r="E24" i="4"/>
  <c r="F20" i="4" l="1"/>
  <c r="F16" i="4"/>
  <c r="H3" i="4"/>
  <c r="H8" i="4" s="1"/>
  <c r="H17" i="4" s="1"/>
  <c r="G6" i="4"/>
  <c r="F81" i="4"/>
  <c r="F35" i="4"/>
  <c r="F62" i="4"/>
  <c r="F24" i="4"/>
  <c r="F72" i="4"/>
  <c r="G20" i="4" l="1"/>
  <c r="G16" i="4"/>
  <c r="G24" i="4"/>
  <c r="G81" i="4"/>
  <c r="G35" i="4"/>
  <c r="G62" i="4"/>
  <c r="G72" i="4"/>
  <c r="I3" i="4"/>
  <c r="I8" i="4" s="1"/>
  <c r="I17" i="4" s="1"/>
  <c r="H6" i="4"/>
  <c r="H20" i="4" l="1"/>
  <c r="H16" i="4"/>
  <c r="H81" i="4"/>
  <c r="H24" i="4"/>
  <c r="H35" i="4"/>
  <c r="H62" i="4"/>
  <c r="H72" i="4"/>
  <c r="J3" i="4"/>
  <c r="J8" i="4" s="1"/>
  <c r="J17" i="4" s="1"/>
  <c r="I6" i="4"/>
  <c r="I20" i="4" l="1"/>
  <c r="I16" i="4"/>
  <c r="I24" i="4"/>
  <c r="I81" i="4"/>
  <c r="I72" i="4"/>
  <c r="I35" i="4"/>
  <c r="I62" i="4"/>
  <c r="J6" i="4"/>
  <c r="K3" i="4"/>
  <c r="K8" i="4" s="1"/>
  <c r="K17" i="4" s="1"/>
  <c r="J20" i="4" l="1"/>
  <c r="J16" i="4"/>
  <c r="K6" i="4"/>
  <c r="L3" i="4"/>
  <c r="L8" i="4" s="1"/>
  <c r="L17" i="4" s="1"/>
  <c r="J72" i="4"/>
  <c r="J24" i="4"/>
  <c r="J81" i="4"/>
  <c r="J35" i="4"/>
  <c r="J62" i="4"/>
  <c r="D33" i="4"/>
  <c r="D77" i="4" s="1"/>
  <c r="K20" i="4" l="1"/>
  <c r="K16" i="4"/>
  <c r="M3" i="4"/>
  <c r="M8" i="4" s="1"/>
  <c r="M17" i="4" s="1"/>
  <c r="L6" i="4"/>
  <c r="K81" i="4"/>
  <c r="K35" i="4"/>
  <c r="K62" i="4"/>
  <c r="K72" i="4"/>
  <c r="K24" i="4"/>
  <c r="D76" i="4"/>
  <c r="D66" i="4"/>
  <c r="L20" i="4" l="1"/>
  <c r="L16" i="4"/>
  <c r="F33" i="4"/>
  <c r="F77" i="4" s="1"/>
  <c r="L24" i="4"/>
  <c r="L35" i="4"/>
  <c r="L81" i="4"/>
  <c r="L72" i="4"/>
  <c r="L62" i="4"/>
  <c r="N3" i="4"/>
  <c r="N8" i="4" s="1"/>
  <c r="N17" i="4" s="1"/>
  <c r="M6" i="4"/>
  <c r="M20" i="4" l="1"/>
  <c r="M16" i="4"/>
  <c r="F76" i="4"/>
  <c r="F66" i="4"/>
  <c r="N6" i="4"/>
  <c r="Q3" i="4"/>
  <c r="Q8" i="4" s="1"/>
  <c r="Q17" i="4" s="1"/>
  <c r="M62" i="4"/>
  <c r="M24" i="4"/>
  <c r="M72" i="4"/>
  <c r="M81" i="4"/>
  <c r="M35" i="4"/>
  <c r="G33" i="4"/>
  <c r="G77" i="4" s="1"/>
  <c r="H33" i="4"/>
  <c r="H77" i="4" s="1"/>
  <c r="N20" i="4" l="1"/>
  <c r="N16" i="4"/>
  <c r="R3" i="4"/>
  <c r="R8" i="4" s="1"/>
  <c r="R17" i="4" s="1"/>
  <c r="Q6" i="4"/>
  <c r="Q20" i="4" s="1"/>
  <c r="N72" i="4"/>
  <c r="N35" i="4"/>
  <c r="N24" i="4"/>
  <c r="N81" i="4"/>
  <c r="N62" i="4"/>
  <c r="H76" i="4"/>
  <c r="H66" i="4"/>
  <c r="G66" i="4"/>
  <c r="G76" i="4"/>
  <c r="I33" i="4"/>
  <c r="I77" i="4" s="1"/>
  <c r="Q35" i="4" l="1"/>
  <c r="Q72" i="4"/>
  <c r="Q16" i="4"/>
  <c r="Q81" i="4"/>
  <c r="Q62" i="4"/>
  <c r="Q24" i="4"/>
  <c r="S3" i="4"/>
  <c r="S8" i="4" s="1"/>
  <c r="S17" i="4" s="1"/>
  <c r="R6" i="4"/>
  <c r="R20" i="4" s="1"/>
  <c r="I76" i="4"/>
  <c r="I66" i="4"/>
  <c r="J33" i="4"/>
  <c r="J77" i="4" s="1"/>
  <c r="T3" i="4" l="1"/>
  <c r="T8" i="4" s="1"/>
  <c r="T17" i="4" s="1"/>
  <c r="S6" i="4"/>
  <c r="S20" i="4" s="1"/>
  <c r="R24" i="4"/>
  <c r="R62" i="4"/>
  <c r="R72" i="4"/>
  <c r="R35" i="4"/>
  <c r="R16" i="4"/>
  <c r="R81" i="4"/>
  <c r="K33" i="4"/>
  <c r="K77" i="4" s="1"/>
  <c r="J76" i="4"/>
  <c r="J66" i="4"/>
  <c r="O32" i="4" l="1"/>
  <c r="S24" i="4"/>
  <c r="S62" i="4"/>
  <c r="S81" i="4"/>
  <c r="S35" i="4"/>
  <c r="S16" i="4"/>
  <c r="S72" i="4"/>
  <c r="U3" i="4"/>
  <c r="U8" i="4" s="1"/>
  <c r="U17" i="4" s="1"/>
  <c r="T6" i="4"/>
  <c r="T20" i="4" s="1"/>
  <c r="L33" i="4"/>
  <c r="L77" i="4" s="1"/>
  <c r="K66" i="4"/>
  <c r="K76" i="4"/>
  <c r="U6" i="4" l="1"/>
  <c r="U20" i="4" s="1"/>
  <c r="V3" i="4"/>
  <c r="V8" i="4" s="1"/>
  <c r="V17" i="4" s="1"/>
  <c r="T62" i="4"/>
  <c r="T16" i="4"/>
  <c r="T81" i="4"/>
  <c r="T24" i="4"/>
  <c r="T72" i="4"/>
  <c r="T35" i="4"/>
  <c r="M33" i="4"/>
  <c r="M77" i="4" s="1"/>
  <c r="L76" i="4"/>
  <c r="L66" i="4"/>
  <c r="W3" i="4" l="1"/>
  <c r="W8" i="4" s="1"/>
  <c r="W17" i="4" s="1"/>
  <c r="V6" i="4"/>
  <c r="V20" i="4" s="1"/>
  <c r="U24" i="4"/>
  <c r="U62" i="4"/>
  <c r="U35" i="4"/>
  <c r="U16" i="4"/>
  <c r="U81" i="4"/>
  <c r="U72" i="4"/>
  <c r="M66" i="4"/>
  <c r="M76" i="4"/>
  <c r="V62" i="4" l="1"/>
  <c r="V16" i="4"/>
  <c r="V81" i="4"/>
  <c r="V35" i="4"/>
  <c r="V24" i="4"/>
  <c r="V72" i="4"/>
  <c r="X3" i="4"/>
  <c r="X8" i="4" s="1"/>
  <c r="X17" i="4" s="1"/>
  <c r="W6" i="4"/>
  <c r="W20" i="4" s="1"/>
  <c r="N33" i="4"/>
  <c r="N77" i="4" s="1"/>
  <c r="Y3" i="4" l="1"/>
  <c r="Y8" i="4" s="1"/>
  <c r="Y17" i="4" s="1"/>
  <c r="X6" i="4"/>
  <c r="X20" i="4" s="1"/>
  <c r="W35" i="4"/>
  <c r="W16" i="4"/>
  <c r="W24" i="4"/>
  <c r="W62" i="4"/>
  <c r="W81" i="4"/>
  <c r="W72" i="4"/>
  <c r="Q33" i="4"/>
  <c r="Q77" i="4" s="1"/>
  <c r="R33" i="4"/>
  <c r="R77" i="4" s="1"/>
  <c r="N76" i="4"/>
  <c r="N66" i="4"/>
  <c r="O33" i="4"/>
  <c r="X24" i="4" l="1"/>
  <c r="X81" i="4"/>
  <c r="X35" i="4"/>
  <c r="X72" i="4"/>
  <c r="X62" i="4"/>
  <c r="X16" i="4"/>
  <c r="Y6" i="4"/>
  <c r="Y20" i="4" s="1"/>
  <c r="Z3" i="4"/>
  <c r="Z8" i="4" s="1"/>
  <c r="Z17" i="4" s="1"/>
  <c r="Q66" i="4"/>
  <c r="Q76" i="4"/>
  <c r="R66" i="4"/>
  <c r="R76" i="4"/>
  <c r="Y16" i="4" l="1"/>
  <c r="Y81" i="4"/>
  <c r="Y62" i="4"/>
  <c r="Y72" i="4"/>
  <c r="Y35" i="4"/>
  <c r="Y24" i="4"/>
  <c r="AA3" i="4"/>
  <c r="AA8" i="4" s="1"/>
  <c r="AA17" i="4" s="1"/>
  <c r="Z6" i="4"/>
  <c r="Z20" i="4" s="1"/>
  <c r="S33" i="4"/>
  <c r="S77" i="4" s="1"/>
  <c r="T33" i="4"/>
  <c r="T77" i="4" s="1"/>
  <c r="AB3" i="4" l="1"/>
  <c r="AB8" i="4" s="1"/>
  <c r="AB17" i="4" s="1"/>
  <c r="AA6" i="4"/>
  <c r="AA20" i="4" s="1"/>
  <c r="Z72" i="4"/>
  <c r="Z62" i="4"/>
  <c r="Z35" i="4"/>
  <c r="Z24" i="4"/>
  <c r="Z81" i="4"/>
  <c r="Z16" i="4"/>
  <c r="T66" i="4"/>
  <c r="T76" i="4"/>
  <c r="S76" i="4"/>
  <c r="S66" i="4"/>
  <c r="AA62" i="4" l="1"/>
  <c r="AA24" i="4"/>
  <c r="AA81" i="4"/>
  <c r="AA35" i="4"/>
  <c r="AA72" i="4"/>
  <c r="AA16" i="4"/>
  <c r="AE3" i="4"/>
  <c r="AE8" i="4" s="1"/>
  <c r="AE17" i="4" s="1"/>
  <c r="AB6" i="4"/>
  <c r="AB20" i="4" s="1"/>
  <c r="U33" i="4"/>
  <c r="U77" i="4" s="1"/>
  <c r="V33" i="4"/>
  <c r="V77" i="4" s="1"/>
  <c r="AE6" i="4" l="1"/>
  <c r="AE20" i="4" s="1"/>
  <c r="AF3" i="4"/>
  <c r="AF8" i="4" s="1"/>
  <c r="AF17" i="4" s="1"/>
  <c r="AB62" i="4"/>
  <c r="AB72" i="4"/>
  <c r="AB16" i="4"/>
  <c r="AB24" i="4"/>
  <c r="AB35" i="4"/>
  <c r="AB81" i="4"/>
  <c r="U76" i="4"/>
  <c r="U66" i="4"/>
  <c r="V66" i="4"/>
  <c r="V76" i="4"/>
  <c r="W33" i="4"/>
  <c r="W77" i="4" s="1"/>
  <c r="AF6" i="4" l="1"/>
  <c r="AF20" i="4" s="1"/>
  <c r="AG3" i="4"/>
  <c r="AG8" i="4" s="1"/>
  <c r="AG17" i="4" s="1"/>
  <c r="AE72" i="4"/>
  <c r="AE81" i="4"/>
  <c r="AE35" i="4"/>
  <c r="AE24" i="4"/>
  <c r="AE16" i="4"/>
  <c r="AE62" i="4"/>
  <c r="W76" i="4"/>
  <c r="W66" i="4"/>
  <c r="X33" i="4"/>
  <c r="X77" i="4" s="1"/>
  <c r="AH3" i="4" l="1"/>
  <c r="AH8" i="4" s="1"/>
  <c r="AH17" i="4" s="1"/>
  <c r="AG6" i="4"/>
  <c r="AG20" i="4" s="1"/>
  <c r="AF81" i="4"/>
  <c r="AF24" i="4"/>
  <c r="AF35" i="4"/>
  <c r="AF16" i="4"/>
  <c r="AF62" i="4"/>
  <c r="AF72" i="4"/>
  <c r="X66" i="4"/>
  <c r="X76" i="4"/>
  <c r="Y33" i="4"/>
  <c r="Y77" i="4" s="1"/>
  <c r="AC32" i="4" l="1"/>
  <c r="AG62" i="4"/>
  <c r="AG72" i="4"/>
  <c r="AG16" i="4"/>
  <c r="AG35" i="4"/>
  <c r="AG24" i="4"/>
  <c r="AG81" i="4"/>
  <c r="AI3" i="4"/>
  <c r="AI8" i="4" s="1"/>
  <c r="AI17" i="4" s="1"/>
  <c r="AH6" i="4"/>
  <c r="AH20" i="4" s="1"/>
  <c r="Y66" i="4"/>
  <c r="Y76" i="4"/>
  <c r="Z33" i="4"/>
  <c r="Z77" i="4" s="1"/>
  <c r="AI6" i="4" l="1"/>
  <c r="AI20" i="4" s="1"/>
  <c r="AJ3" i="4"/>
  <c r="AJ8" i="4" s="1"/>
  <c r="AJ17" i="4" s="1"/>
  <c r="AH81" i="4"/>
  <c r="AH35" i="4"/>
  <c r="AH62" i="4"/>
  <c r="AH16" i="4"/>
  <c r="AH72" i="4"/>
  <c r="AH24" i="4"/>
  <c r="Z66" i="4"/>
  <c r="Z76" i="4"/>
  <c r="AA33" i="4"/>
  <c r="AA77" i="4" s="1"/>
  <c r="AK3" i="4" l="1"/>
  <c r="AK8" i="4" s="1"/>
  <c r="AK17" i="4" s="1"/>
  <c r="AJ6" i="4"/>
  <c r="AJ20" i="4" s="1"/>
  <c r="AI72" i="4"/>
  <c r="AI81" i="4"/>
  <c r="AI16" i="4"/>
  <c r="AI35" i="4"/>
  <c r="AI62" i="4"/>
  <c r="AI24" i="4"/>
  <c r="AA76" i="4"/>
  <c r="AA66" i="4"/>
  <c r="AJ72" i="4" l="1"/>
  <c r="AJ62" i="4"/>
  <c r="AJ24" i="4"/>
  <c r="AJ81" i="4"/>
  <c r="AJ35" i="4"/>
  <c r="AJ16" i="4"/>
  <c r="AL3" i="4"/>
  <c r="AL8" i="4" s="1"/>
  <c r="AL17" i="4" s="1"/>
  <c r="AK6" i="4"/>
  <c r="AK20" i="4" s="1"/>
  <c r="AB33" i="4"/>
  <c r="AB77" i="4" s="1"/>
  <c r="AM3" i="4" l="1"/>
  <c r="AM8" i="4" s="1"/>
  <c r="AM17" i="4" s="1"/>
  <c r="AL6" i="4"/>
  <c r="AL20" i="4" s="1"/>
  <c r="AK81" i="4"/>
  <c r="AK62" i="4"/>
  <c r="AK24" i="4"/>
  <c r="AK35" i="4"/>
  <c r="AK16" i="4"/>
  <c r="AK72" i="4"/>
  <c r="AF33" i="4"/>
  <c r="AF77" i="4" s="1"/>
  <c r="AE33" i="4"/>
  <c r="AE77" i="4" s="1"/>
  <c r="AB66" i="4"/>
  <c r="AB76" i="4"/>
  <c r="AC33" i="4"/>
  <c r="AL24" i="4" l="1"/>
  <c r="AL35" i="4"/>
  <c r="AL81" i="4"/>
  <c r="AL16" i="4"/>
  <c r="AL72" i="4"/>
  <c r="AL62" i="4"/>
  <c r="AM6" i="4"/>
  <c r="AM20" i="4" s="1"/>
  <c r="AN3" i="4"/>
  <c r="AN8" i="4" s="1"/>
  <c r="AN17" i="4" s="1"/>
  <c r="AG33" i="4"/>
  <c r="AG77" i="4" s="1"/>
  <c r="AF76" i="4"/>
  <c r="AF66" i="4"/>
  <c r="AE66" i="4"/>
  <c r="AE76" i="4"/>
  <c r="AC66" i="4"/>
  <c r="AC77" i="4"/>
  <c r="AC76" i="4"/>
  <c r="AM62" i="4" l="1"/>
  <c r="AM72" i="4"/>
  <c r="AM81" i="4"/>
  <c r="AM16" i="4"/>
  <c r="AM24" i="4"/>
  <c r="AM35" i="4"/>
  <c r="AO3" i="4"/>
  <c r="AO8" i="4" s="1"/>
  <c r="AO17" i="4" s="1"/>
  <c r="AN6" i="4"/>
  <c r="AN20" i="4" s="1"/>
  <c r="AG76" i="4"/>
  <c r="AG66" i="4"/>
  <c r="AH33" i="4"/>
  <c r="AH77" i="4" s="1"/>
  <c r="AN81" i="4" l="1"/>
  <c r="AN24" i="4"/>
  <c r="AN62" i="4"/>
  <c r="AN16" i="4"/>
  <c r="AN35" i="4"/>
  <c r="AN72" i="4"/>
  <c r="AP3" i="4"/>
  <c r="AP8" i="4" s="1"/>
  <c r="AP17" i="4" s="1"/>
  <c r="AO6" i="4"/>
  <c r="AO20" i="4" s="1"/>
  <c r="AI33" i="4"/>
  <c r="AI77" i="4" s="1"/>
  <c r="AH76" i="4"/>
  <c r="AH66" i="4"/>
  <c r="AP6" i="4" l="1"/>
  <c r="AO62" i="4"/>
  <c r="AO35" i="4"/>
  <c r="AO81" i="4"/>
  <c r="AO24" i="4"/>
  <c r="AO16" i="4"/>
  <c r="AO72" i="4"/>
  <c r="AI76" i="4"/>
  <c r="AI66" i="4"/>
  <c r="AJ33" i="4"/>
  <c r="AJ77" i="4" s="1"/>
  <c r="AP16" i="4" l="1"/>
  <c r="AP20" i="4"/>
  <c r="AP35" i="4"/>
  <c r="AP62" i="4"/>
  <c r="AP72" i="4"/>
  <c r="AP81" i="4"/>
  <c r="AP24" i="4"/>
  <c r="AJ76" i="4"/>
  <c r="AJ66" i="4"/>
  <c r="AK33" i="4"/>
  <c r="AK77" i="4" s="1"/>
  <c r="AL33" i="4" l="1"/>
  <c r="AL77" i="4" s="1"/>
  <c r="AK76" i="4"/>
  <c r="AK66" i="4"/>
  <c r="AL76" i="4" l="1"/>
  <c r="AL66" i="4"/>
  <c r="AM33" i="4"/>
  <c r="AM77" i="4" s="1"/>
  <c r="AQ32" i="4" l="1"/>
  <c r="AS32" i="4" s="1"/>
  <c r="AN33" i="4"/>
  <c r="AN77" i="4" s="1"/>
  <c r="AM76" i="4"/>
  <c r="AM66" i="4"/>
  <c r="AN76" i="4" l="1"/>
  <c r="AN66" i="4"/>
  <c r="AO33" i="4"/>
  <c r="AO77" i="4" s="1"/>
  <c r="AO76" i="4" l="1"/>
  <c r="AO66" i="4"/>
  <c r="AP33" i="4" l="1"/>
  <c r="AP77" i="4" s="1"/>
  <c r="AQ33" i="4" l="1"/>
  <c r="AS33" i="4" s="1"/>
  <c r="AP76" i="4"/>
  <c r="AP66" i="4"/>
  <c r="AQ77" i="4" l="1"/>
  <c r="AQ76" i="4"/>
  <c r="AQ66" i="4"/>
  <c r="E33" i="4" l="1"/>
  <c r="E76" i="4" s="1"/>
  <c r="O76" i="4" s="1"/>
  <c r="AS76" i="4" s="1"/>
  <c r="E66" i="4" l="1"/>
  <c r="O66" i="4" s="1"/>
  <c r="AS66" i="4" s="1"/>
  <c r="E77" i="4"/>
  <c r="O77" i="4" s="1"/>
  <c r="AS77" i="4" s="1"/>
  <c r="C18" i="4" l="1"/>
  <c r="C58" i="4" l="1"/>
  <c r="C57" i="4"/>
  <c r="C21" i="4"/>
  <c r="C22" i="4" s="1"/>
  <c r="C64" i="4" s="1"/>
  <c r="C42" i="4"/>
  <c r="C41" i="4"/>
  <c r="C40" i="4"/>
  <c r="C63" i="4"/>
  <c r="C73" i="4" l="1"/>
  <c r="C65" i="4"/>
  <c r="E18" i="4" l="1"/>
  <c r="K18" i="4"/>
  <c r="I18" i="4"/>
  <c r="L18" i="4"/>
  <c r="H18" i="4"/>
  <c r="J18" i="4"/>
  <c r="G18" i="4"/>
  <c r="M18" i="4"/>
  <c r="N18" i="4"/>
  <c r="F18" i="4"/>
  <c r="O17" i="4"/>
  <c r="D18" i="4"/>
  <c r="I21" i="4" l="1"/>
  <c r="I22" i="4" s="1"/>
  <c r="I64" i="4" s="1"/>
  <c r="I58" i="4"/>
  <c r="I42" i="4"/>
  <c r="I57" i="4"/>
  <c r="I41" i="4"/>
  <c r="I40" i="4"/>
  <c r="L21" i="4"/>
  <c r="L22" i="4" s="1"/>
  <c r="L64" i="4" s="1"/>
  <c r="L58" i="4"/>
  <c r="L42" i="4"/>
  <c r="L57" i="4"/>
  <c r="L41" i="4"/>
  <c r="L40" i="4"/>
  <c r="D21" i="4"/>
  <c r="D58" i="4"/>
  <c r="D42" i="4"/>
  <c r="D57" i="4"/>
  <c r="D41" i="4"/>
  <c r="D40" i="4"/>
  <c r="M21" i="4"/>
  <c r="M22" i="4" s="1"/>
  <c r="M64" i="4" s="1"/>
  <c r="M58" i="4"/>
  <c r="M42" i="4"/>
  <c r="M57" i="4"/>
  <c r="M41" i="4"/>
  <c r="M40" i="4"/>
  <c r="G21" i="4"/>
  <c r="G22" i="4" s="1"/>
  <c r="G64" i="4" s="1"/>
  <c r="G57" i="4"/>
  <c r="G41" i="4"/>
  <c r="G58" i="4"/>
  <c r="G42" i="4"/>
  <c r="G40" i="4"/>
  <c r="F57" i="4"/>
  <c r="F41" i="4"/>
  <c r="F58" i="4"/>
  <c r="F42" i="4"/>
  <c r="F40" i="4"/>
  <c r="J41" i="4"/>
  <c r="J58" i="4"/>
  <c r="J42" i="4"/>
  <c r="J57" i="4"/>
  <c r="J40" i="4"/>
  <c r="K63" i="4"/>
  <c r="K73" i="4" s="1"/>
  <c r="K57" i="4"/>
  <c r="K41" i="4"/>
  <c r="K58" i="4"/>
  <c r="K42" i="4"/>
  <c r="K40" i="4"/>
  <c r="N21" i="4"/>
  <c r="N22" i="4" s="1"/>
  <c r="N64" i="4" s="1"/>
  <c r="N57" i="4"/>
  <c r="N58" i="4"/>
  <c r="N42" i="4"/>
  <c r="N41" i="4"/>
  <c r="N40" i="4"/>
  <c r="H21" i="4"/>
  <c r="H22" i="4" s="1"/>
  <c r="H64" i="4" s="1"/>
  <c r="H58" i="4"/>
  <c r="H42" i="4"/>
  <c r="H57" i="4"/>
  <c r="H41" i="4"/>
  <c r="H40" i="4"/>
  <c r="E58" i="4"/>
  <c r="E42" i="4"/>
  <c r="E57" i="4"/>
  <c r="E41" i="4"/>
  <c r="E40" i="4"/>
  <c r="E63" i="4"/>
  <c r="E73" i="4" s="1"/>
  <c r="F63" i="4"/>
  <c r="F21" i="4"/>
  <c r="F22" i="4" s="1"/>
  <c r="F64" i="4" s="1"/>
  <c r="J21" i="4"/>
  <c r="J22" i="4" s="1"/>
  <c r="J64" i="4" s="1"/>
  <c r="J63" i="4"/>
  <c r="J73" i="4" s="1"/>
  <c r="D22" i="4"/>
  <c r="D64" i="4" s="1"/>
  <c r="H63" i="4"/>
  <c r="I63" i="4"/>
  <c r="K21" i="4"/>
  <c r="K22" i="4" s="1"/>
  <c r="K64" i="4" s="1"/>
  <c r="K65" i="4" s="1"/>
  <c r="E21" i="4"/>
  <c r="E22" i="4" s="1"/>
  <c r="E64" i="4" s="1"/>
  <c r="O18" i="4"/>
  <c r="P17" i="4"/>
  <c r="P18" i="4" s="1"/>
  <c r="D63" i="4"/>
  <c r="M63" i="4"/>
  <c r="G63" i="4"/>
  <c r="N63" i="4"/>
  <c r="L63" i="4"/>
  <c r="O58" i="4" l="1"/>
  <c r="E65" i="4"/>
  <c r="O41" i="4"/>
  <c r="D44" i="7"/>
  <c r="D41" i="7"/>
  <c r="D40" i="7"/>
  <c r="D37" i="7"/>
  <c r="D42" i="7"/>
  <c r="D47" i="7"/>
  <c r="D45" i="7"/>
  <c r="D46" i="7"/>
  <c r="D36" i="7"/>
  <c r="D51" i="7"/>
  <c r="D39" i="7"/>
  <c r="D38" i="7"/>
  <c r="D43" i="7"/>
  <c r="F65" i="4"/>
  <c r="F73" i="4"/>
  <c r="O21" i="4"/>
  <c r="H65" i="4"/>
  <c r="H73" i="4"/>
  <c r="O64" i="4"/>
  <c r="I73" i="4"/>
  <c r="I65" i="4"/>
  <c r="J65" i="4"/>
  <c r="D60" i="4"/>
  <c r="D67" i="4" s="1"/>
  <c r="O40" i="4"/>
  <c r="O63" i="4"/>
  <c r="P63" i="4" s="1"/>
  <c r="O56" i="4"/>
  <c r="P56" i="4" s="1"/>
  <c r="O57" i="4"/>
  <c r="P57" i="4" s="1"/>
  <c r="G65" i="4"/>
  <c r="G73" i="4"/>
  <c r="D73" i="4"/>
  <c r="D65" i="4"/>
  <c r="L65" i="4"/>
  <c r="L73" i="4"/>
  <c r="N73" i="4"/>
  <c r="N65" i="4"/>
  <c r="M73" i="4"/>
  <c r="M65" i="4"/>
  <c r="I8" i="7"/>
  <c r="F8" i="7" s="1"/>
  <c r="G48" i="7" l="1"/>
  <c r="D48" i="7" s="1"/>
  <c r="G49" i="7"/>
  <c r="D49" i="7" s="1"/>
  <c r="P41" i="4"/>
  <c r="G33" i="7" s="1"/>
  <c r="P58" i="4"/>
  <c r="G50" i="7" s="1"/>
  <c r="D50" i="7" s="1"/>
  <c r="D74" i="4"/>
  <c r="D75" i="4" s="1"/>
  <c r="P21" i="4"/>
  <c r="P22" i="4" s="1"/>
  <c r="G31" i="7" s="1"/>
  <c r="O22" i="4"/>
  <c r="P64" i="4"/>
  <c r="O65" i="4"/>
  <c r="P65" i="4" s="1"/>
  <c r="D36" i="4"/>
  <c r="O73" i="4"/>
  <c r="P73" i="4" s="1"/>
  <c r="P40" i="4"/>
  <c r="G32" i="7" s="1"/>
  <c r="AB18" i="4"/>
  <c r="AP18" i="4"/>
  <c r="V18" i="4"/>
  <c r="AO18" i="4"/>
  <c r="Y18" i="4"/>
  <c r="AJ18" i="4"/>
  <c r="AL18" i="4"/>
  <c r="AA18" i="4"/>
  <c r="AH18" i="4"/>
  <c r="T18" i="4"/>
  <c r="U18" i="4"/>
  <c r="S18" i="4"/>
  <c r="X18" i="4"/>
  <c r="Z18" i="4"/>
  <c r="AK18" i="4"/>
  <c r="AI18" i="4"/>
  <c r="R18" i="4"/>
  <c r="AN18" i="4"/>
  <c r="AG18" i="4"/>
  <c r="AF18" i="4"/>
  <c r="AM18" i="4"/>
  <c r="W18" i="4"/>
  <c r="D68" i="4"/>
  <c r="D69" i="4"/>
  <c r="D31" i="7" l="1"/>
  <c r="AI21" i="4"/>
  <c r="AI22" i="4" s="1"/>
  <c r="AI64" i="4" s="1"/>
  <c r="AI58" i="4"/>
  <c r="AI57" i="4"/>
  <c r="AI42" i="4"/>
  <c r="AI41" i="4"/>
  <c r="AI40" i="4"/>
  <c r="AA21" i="4"/>
  <c r="AA22" i="4" s="1"/>
  <c r="AA64" i="4" s="1"/>
  <c r="AA57" i="4"/>
  <c r="AA42" i="4"/>
  <c r="AA41" i="4"/>
  <c r="AA58" i="4"/>
  <c r="AA40" i="4"/>
  <c r="AG21" i="4"/>
  <c r="AG22" i="4" s="1"/>
  <c r="AG64" i="4" s="1"/>
  <c r="AG41" i="4"/>
  <c r="AG58" i="4"/>
  <c r="AG57" i="4"/>
  <c r="AG42" i="4"/>
  <c r="AG40" i="4"/>
  <c r="AK21" i="4"/>
  <c r="AK22" i="4" s="1"/>
  <c r="AK64" i="4" s="1"/>
  <c r="AK42" i="4"/>
  <c r="AK58" i="4"/>
  <c r="AK57" i="4"/>
  <c r="AK41" i="4"/>
  <c r="AK40" i="4"/>
  <c r="U21" i="4"/>
  <c r="U22" i="4" s="1"/>
  <c r="U64" i="4" s="1"/>
  <c r="U58" i="4"/>
  <c r="U57" i="4"/>
  <c r="U42" i="4"/>
  <c r="U41" i="4"/>
  <c r="U40" i="4"/>
  <c r="AL21" i="4"/>
  <c r="AL22" i="4" s="1"/>
  <c r="AL64" i="4" s="1"/>
  <c r="AL58" i="4"/>
  <c r="AL57" i="4"/>
  <c r="AL42" i="4"/>
  <c r="AL41" i="4"/>
  <c r="AL40" i="4"/>
  <c r="V21" i="4"/>
  <c r="V22" i="4" s="1"/>
  <c r="V64" i="4" s="1"/>
  <c r="V58" i="4"/>
  <c r="V57" i="4"/>
  <c r="V42" i="4"/>
  <c r="V41" i="4"/>
  <c r="V40" i="4"/>
  <c r="W21" i="4"/>
  <c r="W22" i="4" s="1"/>
  <c r="W64" i="4" s="1"/>
  <c r="W57" i="4"/>
  <c r="W58" i="4"/>
  <c r="W42" i="4"/>
  <c r="W41" i="4"/>
  <c r="W40" i="4"/>
  <c r="AF21" i="4"/>
  <c r="AF22" i="4" s="1"/>
  <c r="AF64" i="4" s="1"/>
  <c r="AF58" i="4"/>
  <c r="AF57" i="4"/>
  <c r="AF42" i="4"/>
  <c r="AF41" i="4"/>
  <c r="AF40" i="4"/>
  <c r="S21" i="4"/>
  <c r="S22" i="4" s="1"/>
  <c r="S64" i="4" s="1"/>
  <c r="S42" i="4"/>
  <c r="S41" i="4"/>
  <c r="S58" i="4"/>
  <c r="S57" i="4"/>
  <c r="S40" i="4"/>
  <c r="AO21" i="4"/>
  <c r="AO22" i="4" s="1"/>
  <c r="AO64" i="4" s="1"/>
  <c r="AO58" i="4"/>
  <c r="AO41" i="4"/>
  <c r="AO57" i="4"/>
  <c r="AO42" i="4"/>
  <c r="AO40" i="4"/>
  <c r="AN21" i="4"/>
  <c r="AN22" i="4" s="1"/>
  <c r="AN64" i="4" s="1"/>
  <c r="AN58" i="4"/>
  <c r="AN57" i="4"/>
  <c r="AN42" i="4"/>
  <c r="AN41" i="4"/>
  <c r="AN40" i="4"/>
  <c r="Z21" i="4"/>
  <c r="Z22" i="4" s="1"/>
  <c r="Z64" i="4" s="1"/>
  <c r="Z58" i="4"/>
  <c r="Z57" i="4"/>
  <c r="Z42" i="4"/>
  <c r="Z41" i="4"/>
  <c r="Z40" i="4"/>
  <c r="T21" i="4"/>
  <c r="T22" i="4" s="1"/>
  <c r="T64" i="4" s="1"/>
  <c r="T58" i="4"/>
  <c r="T57" i="4"/>
  <c r="T42" i="4"/>
  <c r="T41" i="4"/>
  <c r="T40" i="4"/>
  <c r="AJ21" i="4"/>
  <c r="AJ22" i="4" s="1"/>
  <c r="AJ64" i="4" s="1"/>
  <c r="AJ58" i="4"/>
  <c r="AJ57" i="4"/>
  <c r="AJ42" i="4"/>
  <c r="AJ41" i="4"/>
  <c r="AJ40" i="4"/>
  <c r="AP21" i="4"/>
  <c r="AP22" i="4" s="1"/>
  <c r="AP64" i="4" s="1"/>
  <c r="AP58" i="4"/>
  <c r="AP57" i="4"/>
  <c r="AP42" i="4"/>
  <c r="AP41" i="4"/>
  <c r="AP40" i="4"/>
  <c r="AM21" i="4"/>
  <c r="AM22" i="4" s="1"/>
  <c r="AM64" i="4" s="1"/>
  <c r="AM58" i="4"/>
  <c r="AM57" i="4"/>
  <c r="AM42" i="4"/>
  <c r="AM41" i="4"/>
  <c r="AM40" i="4"/>
  <c r="R21" i="4"/>
  <c r="R22" i="4" s="1"/>
  <c r="R64" i="4" s="1"/>
  <c r="R58" i="4"/>
  <c r="R57" i="4"/>
  <c r="R42" i="4"/>
  <c r="R41" i="4"/>
  <c r="R40" i="4"/>
  <c r="X21" i="4"/>
  <c r="X22" i="4" s="1"/>
  <c r="X64" i="4" s="1"/>
  <c r="X58" i="4"/>
  <c r="X57" i="4"/>
  <c r="X42" i="4"/>
  <c r="X41" i="4"/>
  <c r="X40" i="4"/>
  <c r="AH21" i="4"/>
  <c r="AH22" i="4" s="1"/>
  <c r="AH64" i="4" s="1"/>
  <c r="AH58" i="4"/>
  <c r="AH57" i="4"/>
  <c r="AH42" i="4"/>
  <c r="AH41" i="4"/>
  <c r="AH40" i="4"/>
  <c r="Y21" i="4"/>
  <c r="Y22" i="4" s="1"/>
  <c r="Y64" i="4" s="1"/>
  <c r="Y58" i="4"/>
  <c r="Y57" i="4"/>
  <c r="Y42" i="4"/>
  <c r="Y41" i="4"/>
  <c r="Y40" i="4"/>
  <c r="AB21" i="4"/>
  <c r="AB22" i="4" s="1"/>
  <c r="AB64" i="4" s="1"/>
  <c r="AB58" i="4"/>
  <c r="AB57" i="4"/>
  <c r="AB42" i="4"/>
  <c r="AB41" i="4"/>
  <c r="AB40" i="4"/>
  <c r="D32" i="7"/>
  <c r="W63" i="4"/>
  <c r="AG63" i="4"/>
  <c r="AK63" i="4"/>
  <c r="AC17" i="4"/>
  <c r="Q18" i="4"/>
  <c r="AA63" i="4"/>
  <c r="AO63" i="4"/>
  <c r="D85" i="4"/>
  <c r="AQ17" i="4"/>
  <c r="AE18" i="4"/>
  <c r="AN63" i="4"/>
  <c r="Z63" i="4"/>
  <c r="U63" i="4"/>
  <c r="AL63" i="4"/>
  <c r="V63" i="4"/>
  <c r="AM63" i="4"/>
  <c r="R63" i="4"/>
  <c r="X63" i="4"/>
  <c r="T63" i="4"/>
  <c r="AJ63" i="4"/>
  <c r="AP63" i="4"/>
  <c r="AF63" i="4"/>
  <c r="AI63" i="4"/>
  <c r="S63" i="4"/>
  <c r="AH63" i="4"/>
  <c r="Y63" i="4"/>
  <c r="AB63" i="4"/>
  <c r="AE21" i="4" l="1"/>
  <c r="AE58" i="4"/>
  <c r="AQ58" i="4" s="1"/>
  <c r="AR58" i="4" s="1"/>
  <c r="AE57" i="4"/>
  <c r="AQ57" i="4" s="1"/>
  <c r="AR57" i="4" s="1"/>
  <c r="AE42" i="4"/>
  <c r="AE41" i="4"/>
  <c r="AQ41" i="4" s="1"/>
  <c r="AR41" i="4" s="1"/>
  <c r="AE40" i="4"/>
  <c r="Q21" i="4"/>
  <c r="Q22" i="4" s="1"/>
  <c r="Q64" i="4" s="1"/>
  <c r="AC64" i="4" s="1"/>
  <c r="Q58" i="4"/>
  <c r="AC58" i="4" s="1"/>
  <c r="Q57" i="4"/>
  <c r="AC57" i="4" s="1"/>
  <c r="Q42" i="4"/>
  <c r="Q41" i="4"/>
  <c r="AC41" i="4" s="1"/>
  <c r="Q40" i="4"/>
  <c r="AE22" i="4"/>
  <c r="AE64" i="4" s="1"/>
  <c r="AQ64" i="4" s="1"/>
  <c r="AR64" i="4" s="1"/>
  <c r="AQ21" i="4"/>
  <c r="AC21" i="4"/>
  <c r="AJ65" i="4"/>
  <c r="AJ73" i="4"/>
  <c r="AL65" i="4"/>
  <c r="AL73" i="4"/>
  <c r="AE63" i="4"/>
  <c r="AQ56" i="4"/>
  <c r="AR56" i="4" s="1"/>
  <c r="AC56" i="4"/>
  <c r="Q63" i="4"/>
  <c r="Y65" i="4"/>
  <c r="Y73" i="4"/>
  <c r="AF73" i="4"/>
  <c r="AF65" i="4"/>
  <c r="T65" i="4"/>
  <c r="T73" i="4"/>
  <c r="X65" i="4"/>
  <c r="X73" i="4"/>
  <c r="R65" i="4"/>
  <c r="R73" i="4"/>
  <c r="V73" i="4"/>
  <c r="V65" i="4"/>
  <c r="AN65" i="4"/>
  <c r="AN73" i="4"/>
  <c r="AQ18" i="4"/>
  <c r="AR17" i="4"/>
  <c r="AR18" i="4" s="1"/>
  <c r="AO73" i="4"/>
  <c r="AO65" i="4"/>
  <c r="AD17" i="4"/>
  <c r="AD18" i="4" s="1"/>
  <c r="AC18" i="4"/>
  <c r="AS17" i="4"/>
  <c r="AS18" i="4" s="1"/>
  <c r="W73" i="4"/>
  <c r="W65" i="4"/>
  <c r="AH65" i="4"/>
  <c r="AH73" i="4"/>
  <c r="AM73" i="4"/>
  <c r="AM65" i="4"/>
  <c r="D87" i="4"/>
  <c r="AG73" i="4"/>
  <c r="AG65" i="4"/>
  <c r="AB65" i="4"/>
  <c r="AB73" i="4"/>
  <c r="S73" i="4"/>
  <c r="S65" i="4"/>
  <c r="AI65" i="4"/>
  <c r="AI73" i="4"/>
  <c r="AP73" i="4"/>
  <c r="AP65" i="4"/>
  <c r="U73" i="4"/>
  <c r="U65" i="4"/>
  <c r="Z65" i="4"/>
  <c r="Z73" i="4"/>
  <c r="AA65" i="4"/>
  <c r="AA73" i="4"/>
  <c r="AK65" i="4"/>
  <c r="AK73" i="4"/>
  <c r="AD58" i="4" l="1"/>
  <c r="AS58" i="4"/>
  <c r="AD41" i="4"/>
  <c r="AS41" i="4"/>
  <c r="AD21" i="4"/>
  <c r="AD22" i="4" s="1"/>
  <c r="AC22" i="4"/>
  <c r="AS21" i="4"/>
  <c r="AS22" i="4" s="1"/>
  <c r="AR21" i="4"/>
  <c r="AR22" i="4" s="1"/>
  <c r="AQ22" i="4"/>
  <c r="AD64" i="4"/>
  <c r="AS64" i="4"/>
  <c r="AQ40" i="4"/>
  <c r="AC63" i="4"/>
  <c r="Q73" i="4"/>
  <c r="Q65" i="4"/>
  <c r="AD56" i="4"/>
  <c r="AS56" i="4"/>
  <c r="AD57" i="4"/>
  <c r="AS57" i="4"/>
  <c r="AC40" i="4"/>
  <c r="AQ63" i="4"/>
  <c r="AR63" i="4" s="1"/>
  <c r="AE65" i="4"/>
  <c r="AE73" i="4"/>
  <c r="AD63" i="4" l="1"/>
  <c r="AS63" i="4"/>
  <c r="AQ73" i="4"/>
  <c r="AR73" i="4" s="1"/>
  <c r="AC65" i="4"/>
  <c r="AR40" i="4"/>
  <c r="AQ65" i="4"/>
  <c r="AR65" i="4" s="1"/>
  <c r="AD40" i="4"/>
  <c r="AS40" i="4"/>
  <c r="AC73" i="4"/>
  <c r="AS65" i="4" l="1"/>
  <c r="AD65" i="4"/>
  <c r="AS73" i="4"/>
  <c r="AD73" i="4"/>
  <c r="C60" i="4" l="1"/>
  <c r="C67" i="4" s="1"/>
  <c r="C69" i="4" s="1"/>
  <c r="C96" i="4" s="1"/>
  <c r="D96" i="4" l="1"/>
  <c r="C68" i="4"/>
  <c r="C36" i="4"/>
  <c r="C85" i="4"/>
  <c r="C74" i="4"/>
  <c r="C37" i="4" l="1"/>
  <c r="D37" i="4" s="1"/>
  <c r="C75" i="4"/>
  <c r="C70" i="4"/>
  <c r="C86" i="4"/>
  <c r="D86" i="4" s="1"/>
  <c r="C87" i="4"/>
  <c r="C88" i="4" s="1"/>
  <c r="D88" i="4" s="1"/>
  <c r="C38" i="4" l="1"/>
  <c r="D38" i="4" s="1"/>
  <c r="C79" i="4"/>
  <c r="D78" i="4" s="1"/>
  <c r="D79" i="4" s="1"/>
  <c r="E78" i="4" s="1"/>
  <c r="C95" i="4"/>
  <c r="D70" i="4"/>
  <c r="D95" i="4" s="1"/>
  <c r="J60" i="4"/>
  <c r="J36" i="4" s="1"/>
  <c r="N60" i="4"/>
  <c r="N36" i="4" s="1"/>
  <c r="O43" i="4"/>
  <c r="P43" i="4" s="1"/>
  <c r="M60" i="4"/>
  <c r="K60" i="4"/>
  <c r="F60" i="4"/>
  <c r="F67" i="4" s="1"/>
  <c r="I60" i="4"/>
  <c r="I36" i="4" s="1"/>
  <c r="L60" i="4"/>
  <c r="L36" i="4" s="1"/>
  <c r="G60" i="4"/>
  <c r="G74" i="4" s="1"/>
  <c r="G75" i="4" s="1"/>
  <c r="H60" i="4"/>
  <c r="O42" i="4"/>
  <c r="P42" i="4" s="1"/>
  <c r="G34" i="7" s="1"/>
  <c r="E60" i="4"/>
  <c r="E74" i="4" s="1"/>
  <c r="E75" i="4" s="1"/>
  <c r="D34" i="7" l="1"/>
  <c r="G35" i="7"/>
  <c r="D35" i="7" s="1"/>
  <c r="L67" i="4"/>
  <c r="L69" i="4" s="1"/>
  <c r="L85" i="4" s="1"/>
  <c r="L87" i="4" s="1"/>
  <c r="L74" i="4"/>
  <c r="L75" i="4" s="1"/>
  <c r="I74" i="4"/>
  <c r="I75" i="4" s="1"/>
  <c r="E67" i="4"/>
  <c r="E36" i="4"/>
  <c r="D33" i="7"/>
  <c r="F69" i="4"/>
  <c r="F68" i="4"/>
  <c r="H36" i="4"/>
  <c r="H67" i="4"/>
  <c r="H74" i="4"/>
  <c r="H75" i="4" s="1"/>
  <c r="K36" i="4"/>
  <c r="K67" i="4"/>
  <c r="K74" i="4"/>
  <c r="K75" i="4" s="1"/>
  <c r="M36" i="4"/>
  <c r="M67" i="4"/>
  <c r="M74" i="4"/>
  <c r="M75" i="4" s="1"/>
  <c r="F74" i="4"/>
  <c r="F36" i="4"/>
  <c r="E79" i="4"/>
  <c r="F78" i="4" s="1"/>
  <c r="O60" i="4"/>
  <c r="N74" i="4"/>
  <c r="N75" i="4" s="1"/>
  <c r="J74" i="4"/>
  <c r="J75" i="4" s="1"/>
  <c r="I67" i="4"/>
  <c r="P60" i="4"/>
  <c r="G36" i="4"/>
  <c r="G67" i="4"/>
  <c r="J67" i="4"/>
  <c r="N67" i="4"/>
  <c r="G52" i="7" l="1"/>
  <c r="D52" i="7"/>
  <c r="L68" i="4"/>
  <c r="O67" i="4"/>
  <c r="P67" i="4" s="1"/>
  <c r="E37" i="4"/>
  <c r="F37" i="4" s="1"/>
  <c r="G37" i="4" s="1"/>
  <c r="H37" i="4" s="1"/>
  <c r="I37" i="4" s="1"/>
  <c r="J37" i="4" s="1"/>
  <c r="K37" i="4" s="1"/>
  <c r="L37" i="4" s="1"/>
  <c r="M37" i="4" s="1"/>
  <c r="N37" i="4" s="1"/>
  <c r="E38" i="4"/>
  <c r="F38" i="4" s="1"/>
  <c r="G38" i="4" s="1"/>
  <c r="H38" i="4" s="1"/>
  <c r="I38" i="4" s="1"/>
  <c r="J38" i="4" s="1"/>
  <c r="K38" i="4" s="1"/>
  <c r="L38" i="4" s="1"/>
  <c r="M38" i="4" s="1"/>
  <c r="N38" i="4" s="1"/>
  <c r="E68" i="4"/>
  <c r="E70" i="4" s="1"/>
  <c r="E95" i="4" s="1"/>
  <c r="E69" i="4"/>
  <c r="AC43" i="4"/>
  <c r="N69" i="4"/>
  <c r="N68" i="4"/>
  <c r="M69" i="4"/>
  <c r="M68" i="4"/>
  <c r="F85" i="4"/>
  <c r="F87" i="4" s="1"/>
  <c r="AP60" i="4"/>
  <c r="T60" i="4"/>
  <c r="AI60" i="4"/>
  <c r="AO60" i="4"/>
  <c r="AJ60" i="4"/>
  <c r="AG60" i="4"/>
  <c r="Y60" i="4"/>
  <c r="S60" i="4"/>
  <c r="V60" i="4"/>
  <c r="U60" i="4"/>
  <c r="AH60" i="4"/>
  <c r="AN60" i="4"/>
  <c r="AL60" i="4"/>
  <c r="X60" i="4"/>
  <c r="W60" i="4"/>
  <c r="AB60" i="4"/>
  <c r="AA60" i="4"/>
  <c r="AM60" i="4"/>
  <c r="AF60" i="4"/>
  <c r="AK60" i="4"/>
  <c r="Z60" i="4"/>
  <c r="R60" i="4"/>
  <c r="F75" i="4"/>
  <c r="O74" i="4"/>
  <c r="K68" i="4"/>
  <c r="K69" i="4"/>
  <c r="H69" i="4"/>
  <c r="H68" i="4"/>
  <c r="AQ43" i="4"/>
  <c r="AR43" i="4" s="1"/>
  <c r="J69" i="4"/>
  <c r="J68" i="4"/>
  <c r="G69" i="4"/>
  <c r="G68" i="4"/>
  <c r="I69" i="4"/>
  <c r="I68" i="4"/>
  <c r="F70" i="4" l="1"/>
  <c r="F95" i="4" s="1"/>
  <c r="E85" i="4"/>
  <c r="E96" i="4"/>
  <c r="F96" i="4" s="1"/>
  <c r="G96" i="4" s="1"/>
  <c r="H96" i="4" s="1"/>
  <c r="I96" i="4" s="1"/>
  <c r="J96" i="4" s="1"/>
  <c r="K96" i="4" s="1"/>
  <c r="L96" i="4" s="1"/>
  <c r="M96" i="4" s="1"/>
  <c r="N96" i="4" s="1"/>
  <c r="G85" i="4"/>
  <c r="G87" i="4" s="1"/>
  <c r="O69" i="4"/>
  <c r="P69" i="4" s="1"/>
  <c r="AA36" i="4"/>
  <c r="AA74" i="4"/>
  <c r="AA75" i="4" s="1"/>
  <c r="AA67" i="4"/>
  <c r="V67" i="4"/>
  <c r="V74" i="4"/>
  <c r="V75" i="4" s="1"/>
  <c r="V36" i="4"/>
  <c r="H85" i="4"/>
  <c r="H87" i="4" s="1"/>
  <c r="AF36" i="4"/>
  <c r="AF67" i="4"/>
  <c r="AF74" i="4"/>
  <c r="AF75" i="4" s="1"/>
  <c r="AB36" i="4"/>
  <c r="AB67" i="4"/>
  <c r="AB74" i="4"/>
  <c r="AB75" i="4" s="1"/>
  <c r="AN74" i="4"/>
  <c r="AN75" i="4" s="1"/>
  <c r="AN67" i="4"/>
  <c r="AN36" i="4"/>
  <c r="S36" i="4"/>
  <c r="S67" i="4"/>
  <c r="S74" i="4"/>
  <c r="S75" i="4" s="1"/>
  <c r="AO67" i="4"/>
  <c r="AO74" i="4"/>
  <c r="AO75" i="4" s="1"/>
  <c r="AO36" i="4"/>
  <c r="AP36" i="4"/>
  <c r="AP74" i="4"/>
  <c r="AP75" i="4" s="1"/>
  <c r="AP67" i="4"/>
  <c r="I85" i="4"/>
  <c r="I87" i="4" s="1"/>
  <c r="J85" i="4"/>
  <c r="J87" i="4" s="1"/>
  <c r="K85" i="4"/>
  <c r="K87" i="4" s="1"/>
  <c r="P74" i="4"/>
  <c r="Z36" i="4"/>
  <c r="Z67" i="4"/>
  <c r="Z74" i="4"/>
  <c r="Z75" i="4" s="1"/>
  <c r="AM36" i="4"/>
  <c r="AM74" i="4"/>
  <c r="AM75" i="4" s="1"/>
  <c r="AM67" i="4"/>
  <c r="W74" i="4"/>
  <c r="W75" i="4" s="1"/>
  <c r="W36" i="4"/>
  <c r="W67" i="4"/>
  <c r="AH36" i="4"/>
  <c r="AH67" i="4"/>
  <c r="AH74" i="4"/>
  <c r="AH75" i="4" s="1"/>
  <c r="Y36" i="4"/>
  <c r="Y74" i="4"/>
  <c r="Y75" i="4" s="1"/>
  <c r="Y67" i="4"/>
  <c r="AI36" i="4"/>
  <c r="AI67" i="4"/>
  <c r="AI74" i="4"/>
  <c r="AI75" i="4" s="1"/>
  <c r="N85" i="4"/>
  <c r="N87" i="4" s="1"/>
  <c r="AK36" i="4"/>
  <c r="AK67" i="4"/>
  <c r="AK74" i="4"/>
  <c r="AK75" i="4" s="1"/>
  <c r="AL36" i="4"/>
  <c r="AL67" i="4"/>
  <c r="AL74" i="4"/>
  <c r="AL75" i="4" s="1"/>
  <c r="AJ67" i="4"/>
  <c r="AJ36" i="4"/>
  <c r="AJ74" i="4"/>
  <c r="AJ75" i="4" s="1"/>
  <c r="AC42" i="4"/>
  <c r="Q60" i="4"/>
  <c r="R74" i="4"/>
  <c r="R75" i="4" s="1"/>
  <c r="R36" i="4"/>
  <c r="R67" i="4"/>
  <c r="G70" i="4"/>
  <c r="G95" i="4" s="1"/>
  <c r="O68" i="4"/>
  <c r="F79" i="4"/>
  <c r="G78" i="4" s="1"/>
  <c r="G79" i="4" s="1"/>
  <c r="H78" i="4" s="1"/>
  <c r="H79" i="4" s="1"/>
  <c r="I78" i="4" s="1"/>
  <c r="I79" i="4" s="1"/>
  <c r="J78" i="4" s="1"/>
  <c r="J79" i="4" s="1"/>
  <c r="K78" i="4" s="1"/>
  <c r="K79" i="4" s="1"/>
  <c r="L78" i="4" s="1"/>
  <c r="L79" i="4" s="1"/>
  <c r="M78" i="4" s="1"/>
  <c r="M79" i="4" s="1"/>
  <c r="N78" i="4" s="1"/>
  <c r="N79" i="4" s="1"/>
  <c r="O75" i="4"/>
  <c r="AE60" i="4"/>
  <c r="AQ42" i="4"/>
  <c r="X36" i="4"/>
  <c r="X67" i="4"/>
  <c r="X74" i="4"/>
  <c r="X75" i="4" s="1"/>
  <c r="U67" i="4"/>
  <c r="U36" i="4"/>
  <c r="U74" i="4"/>
  <c r="U75" i="4" s="1"/>
  <c r="AG67" i="4"/>
  <c r="AG36" i="4"/>
  <c r="AG74" i="4"/>
  <c r="AG75" i="4" s="1"/>
  <c r="T36" i="4"/>
  <c r="T67" i="4"/>
  <c r="T74" i="4"/>
  <c r="T75" i="4" s="1"/>
  <c r="M85" i="4"/>
  <c r="M87" i="4" s="1"/>
  <c r="AD43" i="4"/>
  <c r="AS43" i="4"/>
  <c r="E86" i="4" l="1"/>
  <c r="F86" i="4" s="1"/>
  <c r="G86" i="4" s="1"/>
  <c r="H86" i="4" s="1"/>
  <c r="I86" i="4" s="1"/>
  <c r="J86" i="4" s="1"/>
  <c r="K86" i="4" s="1"/>
  <c r="L86" i="4" s="1"/>
  <c r="M86" i="4" s="1"/>
  <c r="N86" i="4" s="1"/>
  <c r="E87" i="4"/>
  <c r="E88" i="4" s="1"/>
  <c r="F88" i="4" s="1"/>
  <c r="G88" i="4" s="1"/>
  <c r="H88" i="4" s="1"/>
  <c r="I88" i="4" s="1"/>
  <c r="J88" i="4" s="1"/>
  <c r="K88" i="4" s="1"/>
  <c r="L88" i="4" s="1"/>
  <c r="M88" i="4" s="1"/>
  <c r="N88" i="4" s="1"/>
  <c r="X68" i="4"/>
  <c r="X69" i="4"/>
  <c r="P68" i="4"/>
  <c r="S69" i="4"/>
  <c r="S68" i="4"/>
  <c r="V69" i="4"/>
  <c r="V68" i="4"/>
  <c r="Q78" i="4"/>
  <c r="AC78" i="4" s="1"/>
  <c r="O79" i="4"/>
  <c r="Y69" i="4"/>
  <c r="Y68" i="4"/>
  <c r="AH69" i="4"/>
  <c r="AH68" i="4"/>
  <c r="AP69" i="4"/>
  <c r="AP68" i="4"/>
  <c r="D55" i="7"/>
  <c r="L1" i="7" s="1"/>
  <c r="I55" i="7"/>
  <c r="M1" i="7" s="1"/>
  <c r="U69" i="4"/>
  <c r="U68" i="4"/>
  <c r="AQ60" i="4"/>
  <c r="AR42" i="4"/>
  <c r="AR60" i="4" s="1"/>
  <c r="H70" i="4"/>
  <c r="AM68" i="4"/>
  <c r="AM69" i="4"/>
  <c r="Z69" i="4"/>
  <c r="Z68" i="4"/>
  <c r="AO69" i="4"/>
  <c r="AO68" i="4"/>
  <c r="AB68" i="4"/>
  <c r="AB69" i="4"/>
  <c r="P75" i="4"/>
  <c r="AC60" i="4"/>
  <c r="AD42" i="4"/>
  <c r="AD60" i="4" s="1"/>
  <c r="AS42" i="4"/>
  <c r="AS60" i="4" s="1"/>
  <c r="AK69" i="4"/>
  <c r="AK68" i="4"/>
  <c r="AL69" i="4"/>
  <c r="AL68" i="4"/>
  <c r="AF69" i="4"/>
  <c r="AF68" i="4"/>
  <c r="AA68" i="4"/>
  <c r="AA69" i="4"/>
  <c r="T69" i="4"/>
  <c r="T68" i="4"/>
  <c r="AG69" i="4"/>
  <c r="AG68" i="4"/>
  <c r="AE67" i="4"/>
  <c r="AE74" i="4"/>
  <c r="AE36" i="4"/>
  <c r="R68" i="4"/>
  <c r="R69" i="4"/>
  <c r="Q36" i="4"/>
  <c r="Q74" i="4"/>
  <c r="Q67" i="4"/>
  <c r="AJ69" i="4"/>
  <c r="AJ68" i="4"/>
  <c r="AI69" i="4"/>
  <c r="AI68" i="4"/>
  <c r="W68" i="4"/>
  <c r="W69" i="4"/>
  <c r="AN69" i="4"/>
  <c r="AN68" i="4"/>
  <c r="AE75" i="4" l="1"/>
  <c r="AQ74" i="4"/>
  <c r="AR74" i="4" s="1"/>
  <c r="AG85" i="4"/>
  <c r="AG87" i="4" s="1"/>
  <c r="AN85" i="4"/>
  <c r="AN87" i="4" s="1"/>
  <c r="AJ85" i="4"/>
  <c r="AJ87" i="4" s="1"/>
  <c r="R85" i="4"/>
  <c r="R87" i="4" s="1"/>
  <c r="AQ67" i="4"/>
  <c r="AR67" i="4" s="1"/>
  <c r="AE69" i="4"/>
  <c r="AE68" i="4"/>
  <c r="AO85" i="4"/>
  <c r="AO87" i="4" s="1"/>
  <c r="U85" i="4"/>
  <c r="U87" i="4" s="1"/>
  <c r="Y85" i="4"/>
  <c r="Y87" i="4" s="1"/>
  <c r="W85" i="4"/>
  <c r="W87" i="4" s="1"/>
  <c r="T85" i="4"/>
  <c r="T87" i="4" s="1"/>
  <c r="AF85" i="4"/>
  <c r="AF87" i="4" s="1"/>
  <c r="AK85" i="4"/>
  <c r="AK87" i="4" s="1"/>
  <c r="H95" i="4"/>
  <c r="I70" i="4"/>
  <c r="S85" i="4"/>
  <c r="S87" i="4" s="1"/>
  <c r="Q37" i="4"/>
  <c r="R37" i="4" s="1"/>
  <c r="S37" i="4" s="1"/>
  <c r="T37" i="4" s="1"/>
  <c r="U37" i="4" s="1"/>
  <c r="V37" i="4" s="1"/>
  <c r="W37" i="4" s="1"/>
  <c r="X37" i="4" s="1"/>
  <c r="Y37" i="4" s="1"/>
  <c r="Z37" i="4" s="1"/>
  <c r="AA37" i="4" s="1"/>
  <c r="AB37" i="4" s="1"/>
  <c r="AE37" i="4" s="1"/>
  <c r="AF37" i="4" s="1"/>
  <c r="AG37" i="4" s="1"/>
  <c r="AH37" i="4" s="1"/>
  <c r="AI37" i="4" s="1"/>
  <c r="AJ37" i="4" s="1"/>
  <c r="AK37" i="4" s="1"/>
  <c r="AL37" i="4" s="1"/>
  <c r="AM37" i="4" s="1"/>
  <c r="AN37" i="4" s="1"/>
  <c r="AO37" i="4" s="1"/>
  <c r="AP37" i="4" s="1"/>
  <c r="Q38" i="4"/>
  <c r="R38" i="4" s="1"/>
  <c r="S38" i="4" s="1"/>
  <c r="T38" i="4" s="1"/>
  <c r="U38" i="4" s="1"/>
  <c r="V38" i="4" s="1"/>
  <c r="W38" i="4" s="1"/>
  <c r="X38" i="4" s="1"/>
  <c r="Y38" i="4" s="1"/>
  <c r="Z38" i="4" s="1"/>
  <c r="AA38" i="4" s="1"/>
  <c r="AB38" i="4" s="1"/>
  <c r="AE38" i="4" s="1"/>
  <c r="AF38" i="4" s="1"/>
  <c r="AG38" i="4" s="1"/>
  <c r="AH38" i="4" s="1"/>
  <c r="AI38" i="4" s="1"/>
  <c r="AJ38" i="4" s="1"/>
  <c r="AK38" i="4" s="1"/>
  <c r="AL38" i="4" s="1"/>
  <c r="AM38" i="4" s="1"/>
  <c r="AN38" i="4" s="1"/>
  <c r="AO38" i="4" s="1"/>
  <c r="AP38" i="4" s="1"/>
  <c r="Z85" i="4"/>
  <c r="Z87" i="4" s="1"/>
  <c r="AP85" i="4"/>
  <c r="AP87" i="4" s="1"/>
  <c r="AB85" i="4"/>
  <c r="AB87" i="4" s="1"/>
  <c r="AM85" i="4"/>
  <c r="AM87" i="4" s="1"/>
  <c r="X85" i="4"/>
  <c r="X87" i="4" s="1"/>
  <c r="AI85" i="4"/>
  <c r="AI87" i="4" s="1"/>
  <c r="AC67" i="4"/>
  <c r="Q69" i="4"/>
  <c r="Q68" i="4"/>
  <c r="AC74" i="4"/>
  <c r="Q75" i="4"/>
  <c r="AA85" i="4"/>
  <c r="AA87" i="4" s="1"/>
  <c r="AL85" i="4"/>
  <c r="AL87" i="4" s="1"/>
  <c r="AH85" i="4"/>
  <c r="AH87" i="4" s="1"/>
  <c r="V85" i="4"/>
  <c r="V87" i="4" s="1"/>
  <c r="AC68" i="4" l="1"/>
  <c r="AQ68" i="4"/>
  <c r="AR68" i="4" s="1"/>
  <c r="Q79" i="4"/>
  <c r="R78" i="4" s="1"/>
  <c r="R79" i="4" s="1"/>
  <c r="S78" i="4" s="1"/>
  <c r="S79" i="4" s="1"/>
  <c r="T78" i="4" s="1"/>
  <c r="T79" i="4" s="1"/>
  <c r="U78" i="4" s="1"/>
  <c r="U79" i="4" s="1"/>
  <c r="V78" i="4" s="1"/>
  <c r="V79" i="4" s="1"/>
  <c r="W78" i="4" s="1"/>
  <c r="W79" i="4" s="1"/>
  <c r="X78" i="4" s="1"/>
  <c r="X79" i="4" s="1"/>
  <c r="Y78" i="4" s="1"/>
  <c r="Y79" i="4" s="1"/>
  <c r="Z78" i="4" s="1"/>
  <c r="Z79" i="4" s="1"/>
  <c r="AA78" i="4" s="1"/>
  <c r="AA79" i="4" s="1"/>
  <c r="AB78" i="4" s="1"/>
  <c r="AB79" i="4" s="1"/>
  <c r="AC75" i="4"/>
  <c r="I95" i="4"/>
  <c r="J70" i="4"/>
  <c r="AQ75" i="4"/>
  <c r="AR75" i="4" s="1"/>
  <c r="AD74" i="4"/>
  <c r="AS74" i="4"/>
  <c r="Q96" i="4"/>
  <c r="AC69" i="4"/>
  <c r="AD69" i="4" s="1"/>
  <c r="Q85" i="4"/>
  <c r="AD67" i="4"/>
  <c r="AS67" i="4"/>
  <c r="AE85" i="4"/>
  <c r="AE87" i="4" s="1"/>
  <c r="AQ69" i="4"/>
  <c r="AR69" i="4" s="1"/>
  <c r="Q87" i="4" l="1"/>
  <c r="Q88" i="4" s="1"/>
  <c r="R88" i="4" s="1"/>
  <c r="S88" i="4" s="1"/>
  <c r="T88" i="4" s="1"/>
  <c r="U88" i="4" s="1"/>
  <c r="V88" i="4" s="1"/>
  <c r="W88" i="4" s="1"/>
  <c r="X88" i="4" s="1"/>
  <c r="Y88" i="4" s="1"/>
  <c r="Z88" i="4" s="1"/>
  <c r="AA88" i="4" s="1"/>
  <c r="AB88" i="4" s="1"/>
  <c r="AE88" i="4" s="1"/>
  <c r="AF88" i="4" s="1"/>
  <c r="AG88" i="4" s="1"/>
  <c r="AH88" i="4" s="1"/>
  <c r="AI88" i="4" s="1"/>
  <c r="AJ88" i="4" s="1"/>
  <c r="AK88" i="4" s="1"/>
  <c r="AL88" i="4" s="1"/>
  <c r="AM88" i="4" s="1"/>
  <c r="AN88" i="4" s="1"/>
  <c r="AO88" i="4" s="1"/>
  <c r="AP88" i="4" s="1"/>
  <c r="Q86" i="4"/>
  <c r="R86" i="4" s="1"/>
  <c r="S86" i="4" s="1"/>
  <c r="T86" i="4" s="1"/>
  <c r="U86" i="4" s="1"/>
  <c r="V86" i="4" s="1"/>
  <c r="W86" i="4" s="1"/>
  <c r="X86" i="4" s="1"/>
  <c r="Y86" i="4" s="1"/>
  <c r="Z86" i="4" s="1"/>
  <c r="AA86" i="4" s="1"/>
  <c r="AB86" i="4" s="1"/>
  <c r="AE86" i="4" s="1"/>
  <c r="AF86" i="4" s="1"/>
  <c r="AG86" i="4" s="1"/>
  <c r="AH86" i="4" s="1"/>
  <c r="AI86" i="4" s="1"/>
  <c r="AJ86" i="4" s="1"/>
  <c r="AK86" i="4" s="1"/>
  <c r="AL86" i="4" s="1"/>
  <c r="AM86" i="4" s="1"/>
  <c r="AN86" i="4" s="1"/>
  <c r="AO86" i="4" s="1"/>
  <c r="AP86" i="4" s="1"/>
  <c r="I57" i="7"/>
  <c r="M2" i="7" s="1"/>
  <c r="D57" i="7"/>
  <c r="L2" i="7" s="1"/>
  <c r="AD75" i="4"/>
  <c r="AS75" i="4"/>
  <c r="AD68" i="4"/>
  <c r="AS68" i="4"/>
  <c r="I59" i="7"/>
  <c r="M3" i="7" s="1"/>
  <c r="D59" i="7"/>
  <c r="L3" i="7" s="1"/>
  <c r="J95" i="4"/>
  <c r="K70" i="4"/>
  <c r="R96" i="4"/>
  <c r="S96" i="4" s="1"/>
  <c r="T96" i="4" s="1"/>
  <c r="U96" i="4" s="1"/>
  <c r="V96" i="4" s="1"/>
  <c r="W96" i="4" s="1"/>
  <c r="X96" i="4" s="1"/>
  <c r="Y96" i="4" s="1"/>
  <c r="Z96" i="4" s="1"/>
  <c r="AA96" i="4" s="1"/>
  <c r="AB96" i="4" s="1"/>
  <c r="AE96" i="4" s="1"/>
  <c r="AF96" i="4" s="1"/>
  <c r="AG96" i="4" s="1"/>
  <c r="AH96" i="4" s="1"/>
  <c r="AI96" i="4" s="1"/>
  <c r="AJ96" i="4" s="1"/>
  <c r="AK96" i="4" s="1"/>
  <c r="AL96" i="4" s="1"/>
  <c r="AM96" i="4" s="1"/>
  <c r="AN96" i="4" s="1"/>
  <c r="AO96" i="4" s="1"/>
  <c r="AP96" i="4" s="1"/>
  <c r="AS96" i="4" s="1"/>
  <c r="AE78" i="4"/>
  <c r="AC79" i="4"/>
  <c r="AS98" i="4" l="1"/>
  <c r="B93" i="4" s="1"/>
  <c r="D61" i="7" s="1"/>
  <c r="L4" i="7" s="1"/>
  <c r="K95" i="4"/>
  <c r="L70" i="4"/>
  <c r="AQ78" i="4"/>
  <c r="AE79" i="4"/>
  <c r="AF78" i="4" s="1"/>
  <c r="AF79" i="4" s="1"/>
  <c r="AG78" i="4" s="1"/>
  <c r="AG79" i="4" s="1"/>
  <c r="AH78" i="4" s="1"/>
  <c r="AH79" i="4" s="1"/>
  <c r="AI78" i="4" s="1"/>
  <c r="AI79" i="4" s="1"/>
  <c r="AJ78" i="4" s="1"/>
  <c r="AJ79" i="4" s="1"/>
  <c r="AK78" i="4" s="1"/>
  <c r="AK79" i="4" s="1"/>
  <c r="AL78" i="4" s="1"/>
  <c r="AL79" i="4" s="1"/>
  <c r="AM78" i="4" s="1"/>
  <c r="AM79" i="4" s="1"/>
  <c r="AN78" i="4" s="1"/>
  <c r="AN79" i="4" s="1"/>
  <c r="AO78" i="4" s="1"/>
  <c r="AO79" i="4" s="1"/>
  <c r="AP78" i="4" s="1"/>
  <c r="AP79" i="4" s="1"/>
  <c r="AQ79" i="4" s="1"/>
  <c r="AS79" i="4" s="1"/>
  <c r="B91" i="4"/>
  <c r="B90" i="4"/>
  <c r="L95" i="4" l="1"/>
  <c r="M70" i="4"/>
  <c r="M95" i="4" l="1"/>
  <c r="N70" i="4"/>
  <c r="N95" i="4" l="1"/>
  <c r="O70" i="4"/>
  <c r="Q70" i="4"/>
  <c r="Q95" i="4" l="1"/>
  <c r="R70" i="4"/>
  <c r="R95" i="4" l="1"/>
  <c r="S70" i="4"/>
  <c r="S95" i="4" l="1"/>
  <c r="T70" i="4"/>
  <c r="T95" i="4" l="1"/>
  <c r="U70" i="4"/>
  <c r="U95" i="4" l="1"/>
  <c r="V70" i="4"/>
  <c r="V95" i="4" l="1"/>
  <c r="W70" i="4"/>
  <c r="W95" i="4" l="1"/>
  <c r="X70" i="4"/>
  <c r="X95" i="4" l="1"/>
  <c r="Y70" i="4"/>
  <c r="Y95" i="4" l="1"/>
  <c r="Z70" i="4"/>
  <c r="Z95" i="4" l="1"/>
  <c r="AA70" i="4"/>
  <c r="AA95" i="4" l="1"/>
  <c r="AB70" i="4"/>
  <c r="AC70" i="4" l="1"/>
  <c r="AB95" i="4"/>
  <c r="AE70" i="4"/>
  <c r="AE95" i="4" l="1"/>
  <c r="AF70" i="4"/>
  <c r="AF95" i="4" l="1"/>
  <c r="AG70" i="4"/>
  <c r="AG95" i="4" l="1"/>
  <c r="AH70" i="4"/>
  <c r="AH95" i="4" l="1"/>
  <c r="AI70" i="4"/>
  <c r="AI95" i="4" l="1"/>
  <c r="AJ70" i="4"/>
  <c r="AJ95" i="4" l="1"/>
  <c r="AK70" i="4"/>
  <c r="AK95" i="4" l="1"/>
  <c r="AL70" i="4"/>
  <c r="AL95" i="4" l="1"/>
  <c r="AM70" i="4"/>
  <c r="AM95" i="4" l="1"/>
  <c r="AN70" i="4"/>
  <c r="AN95" i="4" l="1"/>
  <c r="AO70" i="4"/>
  <c r="AO95" i="4" l="1"/>
  <c r="AP70" i="4"/>
  <c r="AQ70" i="4" l="1"/>
  <c r="AP95" i="4"/>
  <c r="AS95" i="4" s="1"/>
  <c r="AS97" i="4" s="1"/>
  <c r="B92" i="4" s="1"/>
  <c r="D2" i="4" l="1"/>
  <c r="D63" i="7"/>
  <c r="L5" i="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Яна Мирская</author>
  </authors>
  <commentList>
    <comment ref="A68" authorId="0" shapeId="0" xr:uid="{24B7B550-0AAC-4301-978B-38E2461BFEDE}">
      <text>
        <r>
          <rPr>
            <b/>
            <sz val="9"/>
            <color indexed="81"/>
            <rFont val="Tahoma"/>
            <family val="2"/>
            <charset val="204"/>
          </rPr>
          <t>Выручка - себестоимость - текущие затраты  - инвестиции , т.е. чистая прибыль - инвестиции</t>
        </r>
      </text>
    </comment>
    <comment ref="A69" authorId="0" shapeId="0" xr:uid="{F4B2F411-F4E1-4E8E-B26B-445188111C77}">
      <text>
        <r>
          <rPr>
            <b/>
            <sz val="9"/>
            <color indexed="81"/>
            <rFont val="Tahoma"/>
            <family val="2"/>
            <charset val="204"/>
          </rPr>
          <t>Выручка - себестоимость - текущие затраты = чистая прибыль</t>
        </r>
      </text>
    </comment>
    <comment ref="A70" authorId="0" shapeId="0" xr:uid="{02DD58DB-1A27-4469-8446-F00FA5C677AC}">
      <text>
        <r>
          <rPr>
            <b/>
            <sz val="9"/>
            <color indexed="81"/>
            <rFont val="Tahoma"/>
            <family val="2"/>
            <charset val="204"/>
          </rPr>
          <t>Чистая прибыль суммарно за каждый месяц - инвестиции.
Показывает с какого месяца проект окупился.</t>
        </r>
      </text>
    </comment>
    <comment ref="A73" authorId="0" shapeId="0" xr:uid="{9A14C7FF-07A7-4DE6-AE24-869DBCB2856E}">
      <text>
        <r>
          <rPr>
            <b/>
            <sz val="9"/>
            <color indexed="81"/>
            <rFont val="Tahoma"/>
            <family val="2"/>
            <charset val="204"/>
          </rPr>
          <t>Выручка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A74" authorId="0" shapeId="0" xr:uid="{D8685AF7-E2BF-42CF-A574-A0E5240C60F6}">
      <text>
        <r>
          <rPr>
            <b/>
            <sz val="9"/>
            <color indexed="81"/>
            <rFont val="Tahoma"/>
            <family val="2"/>
            <charset val="204"/>
          </rPr>
          <t>Себестоимость + текущие затраты</t>
        </r>
      </text>
    </comment>
    <comment ref="A75" authorId="0" shapeId="0" xr:uid="{583E2909-0E63-4DEB-A60F-0D944E8FB106}">
      <text>
        <r>
          <rPr>
            <b/>
            <sz val="9"/>
            <color indexed="81"/>
            <rFont val="Tahoma"/>
            <family val="2"/>
            <charset val="204"/>
          </rPr>
          <t>чистая прибыль</t>
        </r>
      </text>
    </comment>
    <comment ref="A76" authorId="0" shapeId="0" xr:uid="{95EE7183-187C-4FC5-88EC-C98BAA2F0142}">
      <text>
        <r>
          <rPr>
            <b/>
            <sz val="9"/>
            <color indexed="81"/>
            <rFont val="Tahoma"/>
            <family val="2"/>
            <charset val="204"/>
          </rPr>
          <t>инвестиции</t>
        </r>
      </text>
    </comment>
    <comment ref="A77" authorId="0" shapeId="0" xr:uid="{CDBD52B2-DD49-497E-9578-AC89EC35E65D}">
      <text>
        <r>
          <rPr>
            <b/>
            <sz val="9"/>
            <color indexed="81"/>
            <rFont val="Tahoma"/>
            <family val="2"/>
            <charset val="204"/>
          </rPr>
          <t>привлечение средств для осуществления инвестиций</t>
        </r>
      </text>
    </comment>
    <comment ref="A78" authorId="0" shapeId="0" xr:uid="{7395C29F-0F11-4A6B-97F7-5EA511C110E2}">
      <text>
        <r>
          <rPr>
            <b/>
            <sz val="9"/>
            <color indexed="81"/>
            <rFont val="Tahoma"/>
            <family val="2"/>
            <charset val="204"/>
          </rPr>
          <t>Деньги на начало месяца (накопленная чистая прибыль за прошлые месяцы)</t>
        </r>
      </text>
    </comment>
    <comment ref="A79" authorId="0" shapeId="0" xr:uid="{FFF5FB8B-F4EA-408B-BC06-371FD91F01D6}">
      <text>
        <r>
          <rPr>
            <b/>
            <sz val="9"/>
            <color indexed="81"/>
            <rFont val="Tahoma"/>
            <family val="2"/>
            <charset val="204"/>
          </rPr>
          <t>Деньги на конец месяца (накопленная чистая прибыль за прошлые месяцы с учетом текущего месяца)</t>
        </r>
      </text>
    </comment>
    <comment ref="A83" authorId="0" shapeId="0" xr:uid="{1653C1A5-7888-4B53-A28B-954507B5F795}">
      <text>
        <r>
          <rPr>
            <b/>
            <sz val="9"/>
            <color indexed="81"/>
            <rFont val="Tahoma"/>
            <family val="2"/>
            <charset val="204"/>
          </rPr>
          <t>коэффициент обесценивания денег</t>
        </r>
      </text>
    </comment>
    <comment ref="A85" authorId="0" shapeId="0" xr:uid="{F16484C2-A4FA-4FB3-993A-F199F11B1F98}">
      <text>
        <r>
          <rPr>
            <b/>
            <sz val="9"/>
            <color indexed="81"/>
            <rFont val="Tahoma"/>
            <family val="2"/>
            <charset val="204"/>
          </rPr>
          <t>чистая прибыль помесячно</t>
        </r>
      </text>
    </comment>
    <comment ref="A86" authorId="0" shapeId="0" xr:uid="{BB94159C-B5F7-4F75-BF2C-D67633786CCE}">
      <text>
        <r>
          <rPr>
            <b/>
            <sz val="9"/>
            <color indexed="81"/>
            <rFont val="Tahoma"/>
            <family val="2"/>
            <charset val="204"/>
          </rPr>
          <t>чистая прибыль суммарно за каждый месяц</t>
        </r>
      </text>
    </comment>
    <comment ref="A87" authorId="0" shapeId="0" xr:uid="{E44F176C-3DDF-4E0D-A726-C6D4C142AF9B}">
      <text>
        <r>
          <rPr>
            <b/>
            <sz val="9"/>
            <color indexed="81"/>
            <rFont val="Tahoma"/>
            <family val="2"/>
            <charset val="204"/>
          </rPr>
          <t>чистая прибыль помесячно с учетом применения дисконтирования (обесценивания денег)</t>
        </r>
      </text>
    </comment>
    <comment ref="A88" authorId="0" shapeId="0" xr:uid="{FA469599-B311-47D9-BBB3-DA3F015F09E9}">
      <text>
        <r>
          <rPr>
            <b/>
            <sz val="9"/>
            <color indexed="81"/>
            <rFont val="Tahoma"/>
            <family val="2"/>
            <charset val="204"/>
          </rPr>
          <t>чистая прибыль суммарно за каждый месяц  с учетом применения дисконтирования (обесценивания денег)</t>
        </r>
      </text>
    </comment>
    <comment ref="A90" authorId="0" shapeId="0" xr:uid="{57BEF8F9-08C6-4F77-8C52-27A8ACCACA49}">
      <text>
        <r>
          <rPr>
            <b/>
            <sz val="9"/>
            <color indexed="81"/>
            <rFont val="Tahoma"/>
            <family val="2"/>
            <charset val="204"/>
          </rPr>
          <t>Дисконтированная чистая прибыль суммарно за 3 года - инвестиции</t>
        </r>
      </text>
    </comment>
    <comment ref="A91" authorId="0" shapeId="0" xr:uid="{25DAA6AE-F2FA-4F6C-837C-F10DA2968DAD}">
      <text>
        <r>
          <rPr>
            <b/>
            <sz val="9"/>
            <color indexed="81"/>
            <rFont val="Tahoma"/>
            <family val="2"/>
            <charset val="204"/>
          </rPr>
          <t>Во сколько раз дисконтированная чистая прибыль суммарно за 3 года превышает инвестиции. Должен быль больше 1</t>
        </r>
      </text>
    </comment>
    <comment ref="A92" authorId="0" shapeId="0" xr:uid="{AFE05D10-8360-4EC8-880D-6BFABE426C42}">
      <text>
        <r>
          <rPr>
            <b/>
            <sz val="9"/>
            <color indexed="81"/>
            <rFont val="Tahoma"/>
            <family val="2"/>
            <charset val="204"/>
          </rPr>
          <t xml:space="preserve">Количество месяцев, за которые накопленная (суммарная) чистая прибыль превысит размер инвестиций </t>
        </r>
      </text>
    </comment>
    <comment ref="A93" authorId="0" shapeId="0" xr:uid="{13BC99F4-F359-4B31-B7B2-DA10E03CE413}">
      <text>
        <r>
          <rPr>
            <b/>
            <sz val="9"/>
            <color indexed="81"/>
            <rFont val="Tahoma"/>
            <family val="2"/>
            <charset val="204"/>
          </rPr>
          <t>Количество месяцев, за которые появится чистая прибыль, т.е. выручка - текущие затраты &gt;0</t>
        </r>
      </text>
    </comment>
  </commentList>
</comments>
</file>

<file path=xl/sharedStrings.xml><?xml version="1.0" encoding="utf-8"?>
<sst xmlns="http://schemas.openxmlformats.org/spreadsheetml/2006/main" count="241" uniqueCount="161">
  <si>
    <t>Итого:</t>
  </si>
  <si>
    <t>Текущие затраты</t>
  </si>
  <si>
    <t>Прочее</t>
  </si>
  <si>
    <t>Итого</t>
  </si>
  <si>
    <t>мес.</t>
  </si>
  <si>
    <t>Изменения можно вносить только в ячейки, окрашенные в серый цвет</t>
  </si>
  <si>
    <t>ЗАГРУЗКА</t>
  </si>
  <si>
    <t>ДИНАМИКА ПРОДАЖ</t>
  </si>
  <si>
    <t>ТЕКУЩИЕ ЗАТРАТЫ</t>
  </si>
  <si>
    <t>ИТОГО</t>
  </si>
  <si>
    <t>ОТЧЕТ О ПРИБЫЛЯХ И УБЫТКАХ</t>
  </si>
  <si>
    <t>Выручка</t>
  </si>
  <si>
    <t>Валовая прибыль</t>
  </si>
  <si>
    <t>ДВИЖЕНИЕ ДЕНЕЖНЫХ СРЕДСТВ (КЭШ-ФЛО)</t>
  </si>
  <si>
    <t>Поступления от основной деятельности</t>
  </si>
  <si>
    <t>Кэш-фло от оперативной деятельности</t>
  </si>
  <si>
    <t>Кэш-фло от инвестиционной деятельности</t>
  </si>
  <si>
    <t>Кэш-фло от финансовой деятельности</t>
  </si>
  <si>
    <t>Баланс наличности на начало периода</t>
  </si>
  <si>
    <t>Баланс наличности на конец периода</t>
  </si>
  <si>
    <t>ОКУПАЕМОСТЬ ПРОЕКТА</t>
  </si>
  <si>
    <t>Индекс прибыльности проекта (PI)</t>
  </si>
  <si>
    <t>Паушальный взнос</t>
  </si>
  <si>
    <t>Месяц, с которого начинается работа</t>
  </si>
  <si>
    <t>январь</t>
  </si>
  <si>
    <t>февраль</t>
  </si>
  <si>
    <t>июль</t>
  </si>
  <si>
    <t>август</t>
  </si>
  <si>
    <t>сентябрь</t>
  </si>
  <si>
    <t>октябрь</t>
  </si>
  <si>
    <t>ноябрь</t>
  </si>
  <si>
    <t>декабрь</t>
  </si>
  <si>
    <t>1-й год работы</t>
  </si>
  <si>
    <t>2-й год работы</t>
  </si>
  <si>
    <t>прибыль</t>
  </si>
  <si>
    <t>3-й год работы</t>
  </si>
  <si>
    <t>Итого за 1-й год</t>
  </si>
  <si>
    <t>Среднемесячно за 1-й год</t>
  </si>
  <si>
    <t>Среднемесячно за 2-й год</t>
  </si>
  <si>
    <t>Итого за 2-й год</t>
  </si>
  <si>
    <t>Итого за 3-й год</t>
  </si>
  <si>
    <t>Среднемесячно за 3-й год</t>
  </si>
  <si>
    <t>Итого за три года</t>
  </si>
  <si>
    <t>Ремонт помещения</t>
  </si>
  <si>
    <t>Местная реклама (буклеты, печатная продукция и т.д.)</t>
  </si>
  <si>
    <t>Зарплата персонала</t>
  </si>
  <si>
    <t>самоокупаемость</t>
  </si>
  <si>
    <t>Срок выхода на самоокупаемость проекта, мес.:</t>
  </si>
  <si>
    <t>Выход на самоокупаемость с</t>
  </si>
  <si>
    <t>Валюта, в которой производится расчет</t>
  </si>
  <si>
    <t>Хозяйственные нужды</t>
  </si>
  <si>
    <t>Финансовые параметры</t>
  </si>
  <si>
    <t>март</t>
  </si>
  <si>
    <t>апрель</t>
  </si>
  <si>
    <t>май</t>
  </si>
  <si>
    <t>Сигнализация (охранная и пожарная)</t>
  </si>
  <si>
    <t>Инвестиции в открытие</t>
  </si>
  <si>
    <t>Видеонаблюдение</t>
  </si>
  <si>
    <t>Аренда</t>
  </si>
  <si>
    <t>Коммунальные платежи</t>
  </si>
  <si>
    <t>UAH</t>
  </si>
  <si>
    <t>USD</t>
  </si>
  <si>
    <t>EUR</t>
  </si>
  <si>
    <t>RUB</t>
  </si>
  <si>
    <t>Рекламная кампания</t>
  </si>
  <si>
    <t>Персонал</t>
  </si>
  <si>
    <t>Должностные единицы</t>
  </si>
  <si>
    <t>Сервисное обслуживание техники и оборудования</t>
  </si>
  <si>
    <t>Услуги связи и интернет</t>
  </si>
  <si>
    <t>Окупаемость инвестиций</t>
  </si>
  <si>
    <r>
      <rPr>
        <b/>
        <sz val="8"/>
        <rFont val="Arial Cyr"/>
        <charset val="204"/>
      </rPr>
      <t xml:space="preserve">Чистая прибыль </t>
    </r>
    <r>
      <rPr>
        <b/>
        <sz val="8"/>
        <color rgb="FFFF0000"/>
        <rFont val="Arial Cyr"/>
        <family val="2"/>
        <charset val="204"/>
      </rPr>
      <t>(убыток)</t>
    </r>
    <r>
      <rPr>
        <b/>
        <sz val="8"/>
        <rFont val="Arial Cyr"/>
        <charset val="204"/>
      </rPr>
      <t xml:space="preserve"> без учета инвестиций</t>
    </r>
  </si>
  <si>
    <t>Охрана</t>
  </si>
  <si>
    <t>накопленная прибыль</t>
  </si>
  <si>
    <t>общая выручка</t>
  </si>
  <si>
    <t>Удельный вес в объеме выручки за 1-й год работы</t>
  </si>
  <si>
    <t>Налоги</t>
  </si>
  <si>
    <t>июнь</t>
  </si>
  <si>
    <t>Обучение персонала</t>
  </si>
  <si>
    <t>Выход продаж на плановые показатели и дальнейший рост объемов*</t>
  </si>
  <si>
    <t>Рост арендной платы*</t>
  </si>
  <si>
    <t>Рост заработной платы (фиксированного оклада)*</t>
  </si>
  <si>
    <t xml:space="preserve"> * - по сравнения с данными, указанными на странице "Исходные данные".</t>
  </si>
  <si>
    <t>Роялти</t>
  </si>
  <si>
    <t>Среднемесячная сумма затрат за 1-й год работы</t>
  </si>
  <si>
    <t>накопленная прибыль с покрытыми убытками</t>
  </si>
  <si>
    <t>Формат сотрудничества</t>
  </si>
  <si>
    <t>ИНВЕСТИЦИИ</t>
  </si>
  <si>
    <t>Базовый размер бонуса, % от базы начисления*</t>
  </si>
  <si>
    <t xml:space="preserve"> * - База начисления бонуса</t>
  </si>
  <si>
    <t>Среднемесячная сумма затрат</t>
  </si>
  <si>
    <t>Форматы сотрудничества (название)</t>
  </si>
  <si>
    <t>Банковское обслуживание</t>
  </si>
  <si>
    <t>Маркетинговые отчисления</t>
  </si>
  <si>
    <t>Процент выхода продаж на плановые показатели*, %</t>
  </si>
  <si>
    <t>Рост заработной платы (фиксированного оклада)**, %</t>
  </si>
  <si>
    <t>Рост арендной платы**, %</t>
  </si>
  <si>
    <t>Порядковый месяц от начала работы</t>
  </si>
  <si>
    <t>Коэффициент дисконтирования, % годовых</t>
  </si>
  <si>
    <t>Ведение бухгалтерского учета</t>
  </si>
  <si>
    <t>или</t>
  </si>
  <si>
    <t>Рентабельность (чистая прибыль/выручка), %</t>
  </si>
  <si>
    <r>
      <rPr>
        <b/>
        <sz val="8"/>
        <rFont val="Arial Cyr"/>
        <charset val="204"/>
      </rPr>
      <t xml:space="preserve">Чистая прибыль </t>
    </r>
    <r>
      <rPr>
        <b/>
        <sz val="8"/>
        <color rgb="FFFF0000"/>
        <rFont val="Arial Cyr"/>
        <family val="2"/>
        <charset val="204"/>
      </rPr>
      <t xml:space="preserve">(убыток) </t>
    </r>
    <r>
      <rPr>
        <b/>
        <sz val="8"/>
        <rFont val="Arial Cyr"/>
        <charset val="204"/>
      </rPr>
      <t>с учетом инвестиций</t>
    </r>
    <r>
      <rPr>
        <b/>
        <sz val="8"/>
        <color rgb="FFFF0000"/>
        <rFont val="Arial Cyr"/>
        <charset val="204"/>
      </rPr>
      <t xml:space="preserve"> </t>
    </r>
  </si>
  <si>
    <t>% от выручки, который проходит по безналичному расчету</t>
  </si>
  <si>
    <t>размер банковской комиссии</t>
  </si>
  <si>
    <t>Срок окупаемости проекта с учетом инвестиций, мес.:</t>
  </si>
  <si>
    <t>Среднемесячная чистая прибыль 
за 1-й год работы</t>
  </si>
  <si>
    <t>Среднемесячная чистая прибыль 
за 2-й год работы</t>
  </si>
  <si>
    <t>Среднемесячная чистая прибыль 
за 3-й год работы</t>
  </si>
  <si>
    <t>Процент роста выручки*, %</t>
  </si>
  <si>
    <t>Рост коммунальных платежей**, %</t>
  </si>
  <si>
    <t>Рост затрат на услуги связи и интернет**, %</t>
  </si>
  <si>
    <t>Рост затрат на налоги**, %</t>
  </si>
  <si>
    <t>Рост коммунальных платежей*</t>
  </si>
  <si>
    <t>Рост затрат на услуги связи и интернет*</t>
  </si>
  <si>
    <t>Рост затрат на налоги*</t>
  </si>
  <si>
    <t>Мебель</t>
  </si>
  <si>
    <t>Оборудование</t>
  </si>
  <si>
    <t>Количество сотрудников, чел.</t>
  </si>
  <si>
    <t>ДИНАМИКА СЕБЕСТОИМОСТИ</t>
  </si>
  <si>
    <t>Курс валют (1 единица валюты = указанному количеству гривен)</t>
  </si>
  <si>
    <t>Параметры сезонности и выхода продаж на плановые показатели и дальнейший рост объемов продаж</t>
  </si>
  <si>
    <t>Процент влияния сезона на плановые показатели по выручке*, %</t>
  </si>
  <si>
    <t>Название месяца</t>
  </si>
  <si>
    <t>Процент влияния сезонности на плановые показатели по выручке*</t>
  </si>
  <si>
    <t>Фиксированный оклад в день</t>
  </si>
  <si>
    <t>UAH/день</t>
  </si>
  <si>
    <t>UAH/мес.* или %</t>
  </si>
  <si>
    <t>Униформа персонала</t>
  </si>
  <si>
    <t>Униформа персонала*</t>
  </si>
  <si>
    <t>Группы услуг</t>
  </si>
  <si>
    <t>Плановая среднемесячная выручка</t>
  </si>
  <si>
    <t>UAH/мес.</t>
  </si>
  <si>
    <t>Администратор</t>
  </si>
  <si>
    <t>Количество рабочих дней в месяц у каждого сотрудника, дней</t>
  </si>
  <si>
    <t xml:space="preserve">фиксированная сумма	</t>
  </si>
  <si>
    <t>% от общей выручки</t>
  </si>
  <si>
    <t>Вид оплаты налогов</t>
  </si>
  <si>
    <t>Финансовая модель франшизы спа-салонов "Spa-Sense"</t>
  </si>
  <si>
    <t>Исходные данные для финансовой модели франшизы спа-салонов "Spa-Sense"</t>
  </si>
  <si>
    <t>Спа-салон 150 кв.м.</t>
  </si>
  <si>
    <t>Спа-салон 200 кв.м.</t>
  </si>
  <si>
    <t>Спа-салон 300 кв.м.</t>
  </si>
  <si>
    <t>СПА-процедуры</t>
  </si>
  <si>
    <t>Средняя стоимость одной процедуры</t>
  </si>
  <si>
    <t>Среднее количество оказываемых процедур в день, шт./день</t>
  </si>
  <si>
    <t>Форматы сотрудничества</t>
  </si>
  <si>
    <t>Управляющий салоном</t>
  </si>
  <si>
    <t>СПА-Мастер</t>
  </si>
  <si>
    <t>Налоги**, % от общей выручки</t>
  </si>
  <si>
    <t>Налоги**, фиксированная сумма</t>
  </si>
  <si>
    <t>Сервисное обслуживание техники и оборудования*</t>
  </si>
  <si>
    <r>
      <t xml:space="preserve"> </t>
    </r>
    <r>
      <rPr>
        <sz val="14"/>
        <rFont val="Calibri"/>
        <family val="2"/>
        <charset val="204"/>
        <scheme val="minor"/>
      </rPr>
      <t>* - затраты на "Униформу персонала" и  "Сервисное обслуживание техники и оборудования" осуществляются в указанной сумме раз в 6 месяцев.</t>
    </r>
    <r>
      <rPr>
        <b/>
        <sz val="14"/>
        <color rgb="FFFF0000"/>
        <rFont val="Calibri"/>
        <family val="2"/>
        <charset val="204"/>
        <scheme val="minor"/>
      </rPr>
      <t xml:space="preserve">
</t>
    </r>
    <r>
      <rPr>
        <sz val="14"/>
        <rFont val="Calibri"/>
        <family val="2"/>
        <charset val="204"/>
        <scheme val="minor"/>
      </rPr>
      <t xml:space="preserve"> ** - налог, который применяется в расчете, выбирается на странице "Обобщенный расчет".</t>
    </r>
  </si>
  <si>
    <t>Уборка помещения</t>
  </si>
  <si>
    <t>Стирка белья</t>
  </si>
  <si>
    <t>Текущий ремонт</t>
  </si>
  <si>
    <t>Среднее количество оказываемых процедур в день за 1-й год работы, шт./день</t>
  </si>
  <si>
    <t>Материалы для проведения процедур</t>
  </si>
  <si>
    <t xml:space="preserve"> * - с учетом параметров сезонности и выхода продаж на плановые показатели и дальнейший рост объемов продаж, которые указываются на странице "Исходные данные".</t>
  </si>
  <si>
    <t>Транспортные расходы, в т.ч. курьер, если нет в штате</t>
  </si>
  <si>
    <t xml:space="preserve"> * - процент по отношению к данным о средней стоимости одной процедуры и количестве оказанных процедур, указанным в блоке "Финансовые параметры" на странице "Исходные данные".
 ** - по сравнения с данными, указанными в блоке "Персонал" и "Текущие затраты" на странице "Исходные данные".</t>
  </si>
  <si>
    <t>Зав. Хозяйством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</si>
</sst>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_р_._-;\-* #,##0.00_р_._-;_-* &quot;-&quot;??_р_._-;_-@_-"/>
    <numFmt numFmtId="165" formatCode="#,##0.0"/>
    <numFmt numFmtId="166" formatCode="#,##0.0000"/>
    <numFmt numFmtId="167" formatCode="0.0%"/>
    <numFmt numFmtId="168" formatCode="#,##0_ ;[Red]\-#,##0\ "/>
  </numFmts>
  <fonts count="6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8"/>
      <color theme="6" tint="-0.499984740745262"/>
      <name val="Calibri"/>
      <family val="2"/>
      <charset val="204"/>
      <scheme val="minor"/>
    </font>
    <font>
      <b/>
      <sz val="48"/>
      <color theme="6" tint="-0.499984740745262"/>
      <name val="Calibri"/>
      <family val="2"/>
      <charset val="204"/>
      <scheme val="minor"/>
    </font>
    <font>
      <b/>
      <sz val="20"/>
      <color theme="6" tint="-0.499984740745262"/>
      <name val="Calibri"/>
      <family val="2"/>
      <charset val="204"/>
      <scheme val="minor"/>
    </font>
    <font>
      <b/>
      <sz val="16"/>
      <color theme="6" tint="-0.499984740745262"/>
      <name val="Calibri"/>
      <family val="2"/>
      <charset val="204"/>
      <scheme val="minor"/>
    </font>
    <font>
      <b/>
      <sz val="14"/>
      <color theme="6" tint="-0.499984740745262"/>
      <name val="Calibri"/>
      <family val="2"/>
      <charset val="204"/>
      <scheme val="minor"/>
    </font>
    <font>
      <sz val="10"/>
      <name val="Arial Cyr"/>
      <family val="2"/>
      <charset val="204"/>
    </font>
    <font>
      <b/>
      <sz val="9"/>
      <name val="Arial Cyr"/>
      <family val="2"/>
      <charset val="204"/>
    </font>
    <font>
      <b/>
      <sz val="9"/>
      <name val="Arial"/>
      <family val="2"/>
      <charset val="204"/>
    </font>
    <font>
      <sz val="8"/>
      <name val="Arial Cyr"/>
      <family val="2"/>
      <charset val="204"/>
    </font>
    <font>
      <sz val="8"/>
      <color indexed="9"/>
      <name val="Arial Cyr"/>
      <family val="2"/>
      <charset val="204"/>
    </font>
    <font>
      <i/>
      <sz val="8"/>
      <color indexed="9"/>
      <name val="Arial Cyr"/>
      <family val="2"/>
      <charset val="204"/>
    </font>
    <font>
      <b/>
      <i/>
      <sz val="8"/>
      <name val="Arial Cyr"/>
      <family val="2"/>
      <charset val="204"/>
    </font>
    <font>
      <sz val="11"/>
      <color indexed="8"/>
      <name val="Calibri"/>
      <family val="2"/>
      <charset val="204"/>
    </font>
    <font>
      <b/>
      <sz val="8"/>
      <name val="Arial Cyr"/>
      <charset val="204"/>
    </font>
    <font>
      <b/>
      <sz val="8"/>
      <name val="Arial Cyr"/>
      <family val="2"/>
      <charset val="204"/>
    </font>
    <font>
      <b/>
      <sz val="8"/>
      <color rgb="FFFF0000"/>
      <name val="Arial Cyr"/>
      <family val="2"/>
      <charset val="204"/>
    </font>
    <font>
      <sz val="11"/>
      <color indexed="8"/>
      <name val="Arial Cyr"/>
      <family val="2"/>
      <charset val="204"/>
    </font>
    <font>
      <sz val="8"/>
      <color indexed="8"/>
      <name val="Arial Cyr"/>
      <family val="2"/>
      <charset val="204"/>
    </font>
    <font>
      <b/>
      <sz val="9"/>
      <name val="Arial Cyr"/>
      <charset val="204"/>
    </font>
    <font>
      <b/>
      <sz val="8"/>
      <color rgb="FFFF0000"/>
      <name val="Arial Cyr"/>
      <charset val="204"/>
    </font>
    <font>
      <sz val="8"/>
      <name val="Arial Cyr"/>
      <charset val="204"/>
    </font>
    <font>
      <b/>
      <sz val="46"/>
      <color theme="6" tint="-0.499984740745262"/>
      <name val="Calibri"/>
      <family val="2"/>
      <charset val="204"/>
      <scheme val="minor"/>
    </font>
    <font>
      <sz val="11"/>
      <color theme="4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24"/>
      <color theme="6" tint="-0.499984740745262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8"/>
      <color theme="6" tint="-0.499984740745262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sz val="10"/>
      <color rgb="FF0070C0"/>
      <name val="Arial Cyr"/>
      <family val="2"/>
      <charset val="204"/>
    </font>
    <font>
      <b/>
      <sz val="10"/>
      <name val="Arial Cyr"/>
      <charset val="204"/>
    </font>
    <font>
      <sz val="11"/>
      <color rgb="FF0070C0"/>
      <name val="Calibri"/>
      <family val="2"/>
      <charset val="204"/>
      <scheme val="minor"/>
    </font>
    <font>
      <b/>
      <sz val="10"/>
      <name val="Arial Cyr"/>
      <family val="2"/>
      <charset val="204"/>
    </font>
    <font>
      <b/>
      <sz val="10"/>
      <color rgb="FF0070C0"/>
      <name val="Arial Cyr"/>
      <family val="2"/>
      <charset val="204"/>
    </font>
    <font>
      <b/>
      <sz val="8"/>
      <color indexed="9"/>
      <name val="Arial Cyr"/>
      <family val="2"/>
      <charset val="204"/>
    </font>
    <font>
      <b/>
      <sz val="11"/>
      <color indexed="8"/>
      <name val="Arial Cyr"/>
      <family val="2"/>
      <charset val="204"/>
    </font>
    <font>
      <sz val="8"/>
      <color theme="3"/>
      <name val="Arial Cyr"/>
      <family val="2"/>
      <charset val="204"/>
    </font>
    <font>
      <b/>
      <sz val="8"/>
      <color theme="3"/>
      <name val="Arial Cyr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8"/>
      <color rgb="FF0070C0"/>
      <name val="Arial Cyr"/>
      <charset val="204"/>
    </font>
    <font>
      <sz val="8"/>
      <color rgb="FF0070C0"/>
      <name val="Arial Cyr"/>
      <charset val="204"/>
    </font>
    <font>
      <b/>
      <i/>
      <sz val="8"/>
      <color rgb="FF0070C0"/>
      <name val="Arial Cyr"/>
      <charset val="204"/>
    </font>
    <font>
      <b/>
      <sz val="14"/>
      <name val="Calibri"/>
      <family val="2"/>
      <charset val="204"/>
      <scheme val="minor"/>
    </font>
    <font>
      <b/>
      <sz val="16"/>
      <color theme="1" tint="0.34998626667073579"/>
      <name val="Calibri"/>
      <family val="2"/>
      <charset val="204"/>
      <scheme val="minor"/>
    </font>
    <font>
      <b/>
      <sz val="20"/>
      <color theme="1" tint="0.34998626667073579"/>
      <name val="Calibri"/>
      <family val="2"/>
      <charset val="204"/>
      <scheme val="minor"/>
    </font>
    <font>
      <sz val="8"/>
      <color rgb="FF0070C0"/>
      <name val="Times New Roman"/>
      <family val="1"/>
      <charset val="204"/>
    </font>
    <font>
      <sz val="11"/>
      <color rgb="FFFF000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8"/>
      <color rgb="FF0070C0"/>
      <name val="Arial Cyr"/>
      <family val="2"/>
      <charset val="204"/>
    </font>
    <font>
      <b/>
      <sz val="8"/>
      <color rgb="FF0070C0"/>
      <name val="Arial Cyr"/>
      <family val="2"/>
      <charset val="204"/>
    </font>
    <font>
      <sz val="11"/>
      <color rgb="FF0070C0"/>
      <name val="Arial Cyr"/>
      <family val="2"/>
      <charset val="204"/>
    </font>
    <font>
      <b/>
      <sz val="11"/>
      <color rgb="FF0070C0"/>
      <name val="Arial Cyr"/>
      <family val="2"/>
      <charset val="204"/>
    </font>
    <font>
      <b/>
      <sz val="14"/>
      <color rgb="FFFF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8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</cellStyleXfs>
  <cellXfs count="380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/>
    <xf numFmtId="9" fontId="10" fillId="0" borderId="0" xfId="2" applyFont="1" applyBorder="1" applyAlignment="1">
      <alignment horizontal="left" vertical="center" indent="1"/>
    </xf>
    <xf numFmtId="0" fontId="0" fillId="0" borderId="0" xfId="0" applyAlignment="1">
      <alignment horizontal="left" indent="1"/>
    </xf>
    <xf numFmtId="0" fontId="0" fillId="0" borderId="5" xfId="0" applyBorder="1"/>
    <xf numFmtId="0" fontId="0" fillId="0" borderId="5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0" fontId="12" fillId="3" borderId="0" xfId="3" applyFont="1" applyFill="1" applyBorder="1" applyAlignment="1">
      <alignment vertical="center"/>
    </xf>
    <xf numFmtId="0" fontId="12" fillId="3" borderId="0" xfId="3" applyFont="1" applyFill="1" applyBorder="1" applyAlignment="1">
      <alignment vertical="center" wrapText="1"/>
    </xf>
    <xf numFmtId="0" fontId="13" fillId="3" borderId="0" xfId="3" applyFont="1" applyFill="1" applyBorder="1" applyAlignment="1">
      <alignment vertical="center" wrapText="1"/>
    </xf>
    <xf numFmtId="0" fontId="11" fillId="3" borderId="0" xfId="3" applyFont="1" applyFill="1"/>
    <xf numFmtId="0" fontId="11" fillId="0" borderId="0" xfId="3" applyFont="1"/>
    <xf numFmtId="0" fontId="14" fillId="0" borderId="0" xfId="3" applyFont="1"/>
    <xf numFmtId="0" fontId="15" fillId="4" borderId="6" xfId="3" applyFont="1" applyFill="1" applyBorder="1" applyAlignment="1">
      <alignment vertical="center"/>
    </xf>
    <xf numFmtId="0" fontId="15" fillId="4" borderId="6" xfId="3" applyFont="1" applyFill="1" applyBorder="1" applyAlignment="1">
      <alignment horizontal="center" vertical="center"/>
    </xf>
    <xf numFmtId="165" fontId="16" fillId="4" borderId="6" xfId="3" applyNumberFormat="1" applyFont="1" applyFill="1" applyBorder="1" applyAlignment="1">
      <alignment horizontal="center" vertical="center"/>
    </xf>
    <xf numFmtId="0" fontId="14" fillId="0" borderId="0" xfId="3" applyFont="1" applyBorder="1" applyAlignment="1">
      <alignment horizontal="left" vertical="center" wrapText="1"/>
    </xf>
    <xf numFmtId="0" fontId="15" fillId="4" borderId="6" xfId="0" applyFont="1" applyFill="1" applyBorder="1" applyAlignment="1">
      <alignment vertical="center"/>
    </xf>
    <xf numFmtId="0" fontId="15" fillId="4" borderId="6" xfId="0" applyFont="1" applyFill="1" applyBorder="1" applyAlignment="1">
      <alignment horizontal="center" vertical="center"/>
    </xf>
    <xf numFmtId="0" fontId="14" fillId="0" borderId="0" xfId="0" applyFont="1"/>
    <xf numFmtId="0" fontId="14" fillId="5" borderId="0" xfId="0" applyFont="1" applyFill="1" applyBorder="1" applyAlignment="1">
      <alignment horizontal="center" vertical="center"/>
    </xf>
    <xf numFmtId="4" fontId="17" fillId="0" borderId="0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center" vertical="center"/>
    </xf>
    <xf numFmtId="4" fontId="14" fillId="0" borderId="0" xfId="0" applyNumberFormat="1" applyFont="1" applyFill="1" applyBorder="1" applyAlignment="1">
      <alignment vertical="center"/>
    </xf>
    <xf numFmtId="9" fontId="14" fillId="0" borderId="0" xfId="4" applyFont="1" applyFill="1"/>
    <xf numFmtId="0" fontId="14" fillId="0" borderId="0" xfId="0" applyFont="1" applyFill="1"/>
    <xf numFmtId="0" fontId="19" fillId="0" borderId="7" xfId="0" applyFont="1" applyFill="1" applyBorder="1" applyAlignment="1">
      <alignment vertical="center"/>
    </xf>
    <xf numFmtId="0" fontId="14" fillId="0" borderId="7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3" fontId="14" fillId="5" borderId="0" xfId="0" applyNumberFormat="1" applyFont="1" applyFill="1" applyBorder="1" applyAlignment="1">
      <alignment vertical="center"/>
    </xf>
    <xf numFmtId="3" fontId="14" fillId="0" borderId="0" xfId="4" applyNumberFormat="1" applyFont="1"/>
    <xf numFmtId="3" fontId="14" fillId="0" borderId="0" xfId="0" applyNumberFormat="1" applyFont="1"/>
    <xf numFmtId="3" fontId="14" fillId="0" borderId="0" xfId="0" applyNumberFormat="1" applyFont="1" applyFill="1" applyBorder="1" applyAlignment="1">
      <alignment vertical="center"/>
    </xf>
    <xf numFmtId="3" fontId="14" fillId="0" borderId="0" xfId="4" applyNumberFormat="1" applyFont="1" applyFill="1"/>
    <xf numFmtId="3" fontId="14" fillId="0" borderId="0" xfId="0" applyNumberFormat="1" applyFont="1" applyFill="1"/>
    <xf numFmtId="0" fontId="14" fillId="0" borderId="0" xfId="3" applyFont="1" applyBorder="1" applyAlignment="1">
      <alignment horizontal="center" vertical="center"/>
    </xf>
    <xf numFmtId="0" fontId="14" fillId="0" borderId="0" xfId="3" applyFont="1" applyBorder="1" applyAlignment="1">
      <alignment vertical="center"/>
    </xf>
    <xf numFmtId="4" fontId="14" fillId="0" borderId="0" xfId="3" applyNumberFormat="1" applyFont="1" applyFill="1" applyBorder="1" applyAlignment="1">
      <alignment vertical="center"/>
    </xf>
    <xf numFmtId="0" fontId="14" fillId="0" borderId="0" xfId="3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/>
    </xf>
    <xf numFmtId="0" fontId="22" fillId="0" borderId="0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 vertical="center" wrapText="1"/>
    </xf>
    <xf numFmtId="0" fontId="14" fillId="0" borderId="0" xfId="0" applyFont="1" applyBorder="1" applyAlignment="1">
      <alignment vertical="center"/>
    </xf>
    <xf numFmtId="10" fontId="17" fillId="0" borderId="0" xfId="0" applyNumberFormat="1" applyFont="1" applyBorder="1" applyAlignment="1">
      <alignment vertical="center"/>
    </xf>
    <xf numFmtId="166" fontId="14" fillId="0" borderId="0" xfId="0" applyNumberFormat="1" applyFont="1" applyFill="1" applyBorder="1" applyAlignment="1">
      <alignment horizontal="left" vertical="center"/>
    </xf>
    <xf numFmtId="166" fontId="14" fillId="0" borderId="0" xfId="0" applyNumberFormat="1" applyFont="1"/>
    <xf numFmtId="166" fontId="17" fillId="0" borderId="0" xfId="0" applyNumberFormat="1" applyFont="1" applyFill="1" applyBorder="1" applyAlignment="1">
      <alignment vertical="center"/>
    </xf>
    <xf numFmtId="4" fontId="14" fillId="0" borderId="0" xfId="0" applyNumberFormat="1" applyFont="1" applyFill="1"/>
    <xf numFmtId="3" fontId="20" fillId="0" borderId="0" xfId="0" applyNumberFormat="1" applyFont="1" applyFill="1" applyBorder="1" applyAlignment="1">
      <alignment vertical="center"/>
    </xf>
    <xf numFmtId="4" fontId="14" fillId="0" borderId="0" xfId="0" applyNumberFormat="1" applyFont="1" applyFill="1" applyBorder="1" applyAlignment="1">
      <alignment horizontal="center" vertical="center"/>
    </xf>
    <xf numFmtId="4" fontId="20" fillId="0" borderId="1" xfId="0" applyNumberFormat="1" applyFont="1" applyFill="1" applyBorder="1" applyAlignment="1">
      <alignment vertical="center"/>
    </xf>
    <xf numFmtId="0" fontId="20" fillId="0" borderId="0" xfId="0" applyFont="1"/>
    <xf numFmtId="4" fontId="19" fillId="0" borderId="0" xfId="0" applyNumberFormat="1" applyFont="1"/>
    <xf numFmtId="0" fontId="23" fillId="0" borderId="0" xfId="0" applyFont="1"/>
    <xf numFmtId="0" fontId="22" fillId="0" borderId="0" xfId="0" applyFont="1"/>
    <xf numFmtId="0" fontId="24" fillId="3" borderId="0" xfId="3" applyFont="1" applyFill="1" applyBorder="1" applyAlignment="1">
      <alignment horizontal="left" vertical="center"/>
    </xf>
    <xf numFmtId="9" fontId="14" fillId="5" borderId="0" xfId="0" applyNumberFormat="1" applyFont="1" applyFill="1" applyBorder="1" applyAlignment="1">
      <alignment horizontal="left" vertical="center"/>
    </xf>
    <xf numFmtId="9" fontId="14" fillId="0" borderId="0" xfId="0" applyNumberFormat="1" applyFont="1" applyFill="1" applyBorder="1" applyAlignment="1">
      <alignment horizontal="left" vertical="center"/>
    </xf>
    <xf numFmtId="0" fontId="14" fillId="6" borderId="0" xfId="3" applyFont="1" applyFill="1" applyBorder="1" applyAlignment="1">
      <alignment horizontal="center" vertical="center"/>
    </xf>
    <xf numFmtId="0" fontId="14" fillId="6" borderId="0" xfId="3" applyFont="1" applyFill="1"/>
    <xf numFmtId="0" fontId="26" fillId="6" borderId="0" xfId="0" applyFont="1" applyFill="1" applyBorder="1" applyAlignment="1">
      <alignment horizontal="left" vertical="center"/>
    </xf>
    <xf numFmtId="0" fontId="14" fillId="6" borderId="0" xfId="0" applyFont="1" applyFill="1" applyBorder="1" applyAlignment="1">
      <alignment horizontal="center" vertical="center"/>
    </xf>
    <xf numFmtId="0" fontId="14" fillId="6" borderId="0" xfId="0" applyFont="1" applyFill="1"/>
    <xf numFmtId="3" fontId="14" fillId="6" borderId="0" xfId="0" applyNumberFormat="1" applyFont="1" applyFill="1"/>
    <xf numFmtId="0" fontId="2" fillId="0" borderId="0" xfId="0" applyFont="1" applyAlignment="1">
      <alignment horizontal="center" vertical="center"/>
    </xf>
    <xf numFmtId="0" fontId="11" fillId="0" borderId="0" xfId="3" applyFont="1" applyBorder="1" applyAlignment="1">
      <alignment horizontal="left" vertical="center" wrapText="1"/>
    </xf>
    <xf numFmtId="0" fontId="28" fillId="0" borderId="0" xfId="0" applyFont="1" applyAlignment="1">
      <alignment vertical="center"/>
    </xf>
    <xf numFmtId="0" fontId="28" fillId="0" borderId="0" xfId="0" applyFont="1" applyAlignment="1">
      <alignment vertical="center" wrapText="1"/>
    </xf>
    <xf numFmtId="10" fontId="28" fillId="0" borderId="0" xfId="2" applyNumberFormat="1" applyFont="1"/>
    <xf numFmtId="0" fontId="27" fillId="0" borderId="0" xfId="0" applyFont="1" applyAlignment="1">
      <alignment horizontal="center" vertical="center"/>
    </xf>
    <xf numFmtId="0" fontId="3" fillId="6" borderId="0" xfId="0" applyFont="1" applyFill="1" applyProtection="1">
      <protection locked="0"/>
    </xf>
    <xf numFmtId="0" fontId="29" fillId="0" borderId="0" xfId="0" applyFont="1" applyAlignment="1">
      <alignment vertical="center"/>
    </xf>
    <xf numFmtId="0" fontId="28" fillId="6" borderId="0" xfId="0" applyFont="1" applyFill="1" applyProtection="1">
      <protection locked="0"/>
    </xf>
    <xf numFmtId="0" fontId="31" fillId="0" borderId="0" xfId="0" applyFont="1" applyAlignment="1">
      <alignment vertical="center"/>
    </xf>
    <xf numFmtId="9" fontId="10" fillId="6" borderId="0" xfId="2" applyFont="1" applyFill="1" applyBorder="1" applyAlignment="1">
      <alignment horizontal="left" vertical="center" indent="1"/>
    </xf>
    <xf numFmtId="0" fontId="2" fillId="6" borderId="0" xfId="0" applyFont="1" applyFill="1" applyAlignment="1"/>
    <xf numFmtId="0" fontId="2" fillId="6" borderId="0" xfId="0" applyFont="1" applyFill="1" applyBorder="1" applyAlignment="1"/>
    <xf numFmtId="0" fontId="5" fillId="6" borderId="0" xfId="0" applyFont="1" applyFill="1" applyAlignment="1">
      <alignment vertical="center"/>
    </xf>
    <xf numFmtId="0" fontId="28" fillId="0" borderId="0" xfId="0" applyFont="1"/>
    <xf numFmtId="0" fontId="0" fillId="6" borderId="0" xfId="0" applyFill="1" applyBorder="1"/>
    <xf numFmtId="0" fontId="33" fillId="0" borderId="0" xfId="0" applyFont="1"/>
    <xf numFmtId="3" fontId="9" fillId="6" borderId="0" xfId="1" applyNumberFormat="1" applyFont="1" applyFill="1" applyBorder="1" applyAlignment="1">
      <alignment vertical="center"/>
    </xf>
    <xf numFmtId="9" fontId="9" fillId="6" borderId="0" xfId="2" applyFont="1" applyFill="1" applyBorder="1" applyAlignment="1">
      <alignment vertical="center"/>
    </xf>
    <xf numFmtId="9" fontId="14" fillId="6" borderId="0" xfId="3" applyNumberFormat="1" applyFont="1" applyFill="1" applyBorder="1" applyAlignment="1">
      <alignment horizontal="center" vertical="center"/>
    </xf>
    <xf numFmtId="0" fontId="14" fillId="6" borderId="0" xfId="3" applyFont="1" applyFill="1" applyBorder="1" applyAlignment="1">
      <alignment horizontal="left" vertical="center"/>
    </xf>
    <xf numFmtId="0" fontId="34" fillId="0" borderId="0" xfId="3" applyFont="1"/>
    <xf numFmtId="0" fontId="14" fillId="6" borderId="0" xfId="3" applyFont="1" applyFill="1" applyBorder="1"/>
    <xf numFmtId="0" fontId="11" fillId="6" borderId="0" xfId="3" applyFont="1" applyFill="1" applyBorder="1"/>
    <xf numFmtId="0" fontId="15" fillId="4" borderId="9" xfId="0" applyFont="1" applyFill="1" applyBorder="1" applyAlignment="1">
      <alignment horizontal="center" vertical="center"/>
    </xf>
    <xf numFmtId="0" fontId="15" fillId="4" borderId="9" xfId="3" applyFont="1" applyFill="1" applyBorder="1" applyAlignment="1">
      <alignment horizontal="center" vertical="center"/>
    </xf>
    <xf numFmtId="0" fontId="36" fillId="0" borderId="0" xfId="0" applyFont="1"/>
    <xf numFmtId="0" fontId="36" fillId="0" borderId="0" xfId="0" applyFont="1" applyAlignment="1">
      <alignment vertical="center"/>
    </xf>
    <xf numFmtId="3" fontId="19" fillId="0" borderId="7" xfId="0" applyNumberFormat="1" applyFont="1" applyFill="1" applyBorder="1" applyAlignment="1">
      <alignment vertical="center"/>
    </xf>
    <xf numFmtId="3" fontId="0" fillId="0" borderId="0" xfId="0" applyNumberFormat="1"/>
    <xf numFmtId="1" fontId="20" fillId="0" borderId="1" xfId="0" applyNumberFormat="1" applyFont="1" applyFill="1" applyBorder="1"/>
    <xf numFmtId="0" fontId="2" fillId="0" borderId="0" xfId="0" applyFont="1"/>
    <xf numFmtId="0" fontId="37" fillId="3" borderId="0" xfId="3" applyFont="1" applyFill="1"/>
    <xf numFmtId="0" fontId="37" fillId="0" borderId="0" xfId="3" applyFont="1"/>
    <xf numFmtId="0" fontId="38" fillId="0" borderId="0" xfId="3" applyFont="1"/>
    <xf numFmtId="0" fontId="37" fillId="6" borderId="0" xfId="3" applyFont="1" applyFill="1" applyBorder="1"/>
    <xf numFmtId="0" fontId="39" fillId="4" borderId="9" xfId="3" applyFont="1" applyFill="1" applyBorder="1" applyAlignment="1">
      <alignment horizontal="center" vertical="center" wrapText="1"/>
    </xf>
    <xf numFmtId="0" fontId="20" fillId="0" borderId="0" xfId="3" applyFont="1"/>
    <xf numFmtId="0" fontId="39" fillId="4" borderId="9" xfId="0" applyFont="1" applyFill="1" applyBorder="1" applyAlignment="1">
      <alignment horizontal="center" vertical="center" wrapText="1"/>
    </xf>
    <xf numFmtId="3" fontId="20" fillId="5" borderId="0" xfId="0" applyNumberFormat="1" applyFont="1" applyFill="1" applyBorder="1" applyAlignment="1">
      <alignment vertical="center"/>
    </xf>
    <xf numFmtId="0" fontId="39" fillId="4" borderId="6" xfId="0" applyFont="1" applyFill="1" applyBorder="1" applyAlignment="1">
      <alignment horizontal="center" vertical="center" wrapText="1"/>
    </xf>
    <xf numFmtId="4" fontId="20" fillId="0" borderId="0" xfId="0" applyNumberFormat="1" applyFont="1" applyFill="1" applyBorder="1" applyAlignment="1">
      <alignment vertical="center"/>
    </xf>
    <xf numFmtId="0" fontId="20" fillId="0" borderId="0" xfId="3" applyFont="1" applyBorder="1" applyAlignment="1">
      <alignment vertical="center"/>
    </xf>
    <xf numFmtId="0" fontId="39" fillId="4" borderId="6" xfId="0" applyFont="1" applyFill="1" applyBorder="1" applyAlignment="1">
      <alignment horizontal="center" vertical="center"/>
    </xf>
    <xf numFmtId="166" fontId="20" fillId="0" borderId="0" xfId="0" applyNumberFormat="1" applyFont="1" applyFill="1" applyBorder="1" applyAlignment="1">
      <alignment vertical="center"/>
    </xf>
    <xf numFmtId="0" fontId="40" fillId="0" borderId="0" xfId="0" applyFont="1"/>
    <xf numFmtId="3" fontId="17" fillId="6" borderId="0" xfId="0" applyNumberFormat="1" applyFont="1" applyFill="1" applyBorder="1" applyAlignment="1">
      <alignment vertical="center"/>
    </xf>
    <xf numFmtId="3" fontId="19" fillId="6" borderId="7" xfId="0" applyNumberFormat="1" applyFont="1" applyFill="1" applyBorder="1" applyAlignment="1">
      <alignment vertical="center"/>
    </xf>
    <xf numFmtId="165" fontId="15" fillId="4" borderId="6" xfId="3" applyNumberFormat="1" applyFont="1" applyFill="1" applyBorder="1" applyAlignment="1">
      <alignment horizontal="center" vertical="center" wrapText="1"/>
    </xf>
    <xf numFmtId="165" fontId="15" fillId="4" borderId="6" xfId="0" applyNumberFormat="1" applyFont="1" applyFill="1" applyBorder="1" applyAlignment="1">
      <alignment horizontal="center" vertical="center" wrapText="1"/>
    </xf>
    <xf numFmtId="0" fontId="41" fillId="0" borderId="0" xfId="0" applyFont="1"/>
    <xf numFmtId="0" fontId="41" fillId="0" borderId="0" xfId="0" applyFont="1" applyFill="1"/>
    <xf numFmtId="0" fontId="42" fillId="0" borderId="0" xfId="0" applyFont="1" applyFill="1"/>
    <xf numFmtId="0" fontId="5" fillId="0" borderId="0" xfId="0" applyFont="1" applyBorder="1" applyAlignment="1">
      <alignment vertical="center"/>
    </xf>
    <xf numFmtId="3" fontId="17" fillId="6" borderId="0" xfId="3" applyNumberFormat="1" applyFont="1" applyFill="1" applyBorder="1" applyAlignment="1">
      <alignment vertical="center"/>
    </xf>
    <xf numFmtId="3" fontId="14" fillId="6" borderId="0" xfId="0" applyNumberFormat="1" applyFont="1" applyFill="1" applyBorder="1" applyAlignment="1">
      <alignment vertical="center"/>
    </xf>
    <xf numFmtId="3" fontId="17" fillId="0" borderId="0" xfId="3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3" fontId="20" fillId="0" borderId="0" xfId="0" applyNumberFormat="1" applyFont="1" applyBorder="1" applyAlignment="1">
      <alignment vertical="center"/>
    </xf>
    <xf numFmtId="0" fontId="12" fillId="3" borderId="0" xfId="3" applyFont="1" applyFill="1" applyBorder="1" applyAlignment="1">
      <alignment horizontal="right" vertical="center"/>
    </xf>
    <xf numFmtId="1" fontId="24" fillId="3" borderId="0" xfId="3" applyNumberFormat="1" applyFont="1" applyFill="1" applyBorder="1" applyAlignment="1">
      <alignment horizontal="left" vertical="center"/>
    </xf>
    <xf numFmtId="168" fontId="14" fillId="0" borderId="0" xfId="0" applyNumberFormat="1" applyFont="1" applyFill="1" applyBorder="1" applyAlignment="1">
      <alignment vertical="center"/>
    </xf>
    <xf numFmtId="168" fontId="20" fillId="0" borderId="0" xfId="0" applyNumberFormat="1" applyFont="1" applyFill="1" applyBorder="1" applyAlignment="1">
      <alignment vertical="center"/>
    </xf>
    <xf numFmtId="168" fontId="17" fillId="6" borderId="0" xfId="3" applyNumberFormat="1" applyFont="1" applyFill="1" applyBorder="1" applyAlignment="1">
      <alignment vertical="center"/>
    </xf>
    <xf numFmtId="168" fontId="14" fillId="6" borderId="0" xfId="0" applyNumberFormat="1" applyFont="1" applyFill="1" applyBorder="1" applyAlignment="1">
      <alignment vertical="center"/>
    </xf>
    <xf numFmtId="168" fontId="17" fillId="0" borderId="0" xfId="3" applyNumberFormat="1" applyFont="1" applyFill="1" applyBorder="1" applyAlignment="1">
      <alignment vertical="center"/>
    </xf>
    <xf numFmtId="3" fontId="8" fillId="6" borderId="0" xfId="1" applyNumberFormat="1" applyFont="1" applyFill="1" applyBorder="1" applyAlignment="1" applyProtection="1">
      <alignment horizontal="center" vertical="center"/>
      <protection locked="0"/>
    </xf>
    <xf numFmtId="0" fontId="20" fillId="6" borderId="7" xfId="3" applyFont="1" applyFill="1" applyBorder="1" applyAlignment="1">
      <alignment horizontal="left" vertical="center"/>
    </xf>
    <xf numFmtId="0" fontId="14" fillId="6" borderId="7" xfId="3" applyFont="1" applyFill="1" applyBorder="1" applyAlignment="1">
      <alignment horizontal="center" vertical="center"/>
    </xf>
    <xf numFmtId="3" fontId="20" fillId="6" borderId="7" xfId="3" applyNumberFormat="1" applyFont="1" applyFill="1" applyBorder="1" applyAlignment="1">
      <alignment vertical="center"/>
    </xf>
    <xf numFmtId="0" fontId="29" fillId="0" borderId="0" xfId="0" applyFont="1" applyAlignment="1">
      <alignment horizontal="right" vertical="center"/>
    </xf>
    <xf numFmtId="0" fontId="2" fillId="6" borderId="0" xfId="0" applyFont="1" applyFill="1" applyBorder="1"/>
    <xf numFmtId="0" fontId="29" fillId="0" borderId="0" xfId="0" applyFont="1" applyAlignment="1">
      <alignment horizontal="left" vertical="center"/>
    </xf>
    <xf numFmtId="0" fontId="46" fillId="6" borderId="0" xfId="3" applyFont="1" applyFill="1" applyBorder="1" applyAlignment="1">
      <alignment horizontal="left" vertical="center"/>
    </xf>
    <xf numFmtId="0" fontId="47" fillId="6" borderId="0" xfId="3" applyFont="1" applyFill="1" applyBorder="1" applyAlignment="1">
      <alignment horizontal="center" vertical="center"/>
    </xf>
    <xf numFmtId="4" fontId="46" fillId="6" borderId="0" xfId="3" applyNumberFormat="1" applyFont="1" applyFill="1" applyBorder="1" applyAlignment="1">
      <alignment vertical="center"/>
    </xf>
    <xf numFmtId="4" fontId="48" fillId="6" borderId="0" xfId="0" applyNumberFormat="1" applyFont="1" applyFill="1" applyBorder="1" applyAlignment="1">
      <alignment vertical="center"/>
    </xf>
    <xf numFmtId="0" fontId="47" fillId="6" borderId="0" xfId="3" applyFont="1" applyFill="1"/>
    <xf numFmtId="0" fontId="43" fillId="6" borderId="0" xfId="0" applyFont="1" applyFill="1" applyBorder="1" applyAlignment="1">
      <alignment horizontal="left" wrapText="1"/>
    </xf>
    <xf numFmtId="9" fontId="10" fillId="0" borderId="0" xfId="2" applyFont="1" applyBorder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9" fontId="33" fillId="0" borderId="0" xfId="0" applyNumberFormat="1" applyFont="1" applyAlignment="1">
      <alignment vertical="center"/>
    </xf>
    <xf numFmtId="0" fontId="33" fillId="0" borderId="0" xfId="0" applyFont="1" applyAlignment="1">
      <alignment vertical="center"/>
    </xf>
    <xf numFmtId="0" fontId="47" fillId="0" borderId="0" xfId="3" applyFont="1" applyBorder="1" applyAlignment="1">
      <alignment horizontal="center" vertical="center"/>
    </xf>
    <xf numFmtId="0" fontId="47" fillId="0" borderId="0" xfId="3" applyFont="1" applyBorder="1" applyAlignment="1">
      <alignment vertical="center"/>
    </xf>
    <xf numFmtId="0" fontId="47" fillId="0" borderId="0" xfId="3" applyFont="1"/>
    <xf numFmtId="0" fontId="47" fillId="0" borderId="0" xfId="3" applyFont="1" applyFill="1" applyBorder="1" applyAlignment="1">
      <alignment vertical="center"/>
    </xf>
    <xf numFmtId="3" fontId="47" fillId="0" borderId="0" xfId="3" applyNumberFormat="1" applyFont="1" applyBorder="1" applyAlignment="1">
      <alignment vertical="center"/>
    </xf>
    <xf numFmtId="14" fontId="0" fillId="0" borderId="0" xfId="0" applyNumberFormat="1"/>
    <xf numFmtId="0" fontId="29" fillId="2" borderId="1" xfId="0" applyFont="1" applyFill="1" applyBorder="1" applyAlignment="1">
      <alignment horizontal="center" vertical="center"/>
    </xf>
    <xf numFmtId="166" fontId="8" fillId="2" borderId="1" xfId="2" applyNumberFormat="1" applyFont="1" applyFill="1" applyBorder="1" applyAlignment="1" applyProtection="1">
      <alignment horizontal="center" vertical="center"/>
      <protection locked="0"/>
    </xf>
    <xf numFmtId="0" fontId="43" fillId="6" borderId="1" xfId="0" applyFont="1" applyFill="1" applyBorder="1" applyAlignment="1">
      <alignment vertical="center" wrapText="1"/>
    </xf>
    <xf numFmtId="0" fontId="0" fillId="6" borderId="0" xfId="0" applyFill="1"/>
    <xf numFmtId="0" fontId="36" fillId="6" borderId="0" xfId="0" applyFont="1" applyFill="1"/>
    <xf numFmtId="0" fontId="6" fillId="0" borderId="0" xfId="0" applyFont="1" applyAlignment="1">
      <alignment horizontal="center" vertical="center" wrapText="1"/>
    </xf>
    <xf numFmtId="0" fontId="29" fillId="0" borderId="5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2" fillId="0" borderId="0" xfId="0" applyFont="1" applyBorder="1" applyAlignment="1">
      <alignment vertical="center" wrapText="1"/>
    </xf>
    <xf numFmtId="0" fontId="33" fillId="0" borderId="0" xfId="0" applyFont="1" applyBorder="1"/>
    <xf numFmtId="0" fontId="31" fillId="6" borderId="0" xfId="0" applyFont="1" applyFill="1" applyAlignment="1">
      <alignment vertical="center"/>
    </xf>
    <xf numFmtId="0" fontId="31" fillId="6" borderId="0" xfId="0" applyNumberFormat="1" applyFont="1" applyFill="1" applyAlignment="1">
      <alignment horizontal="left" vertical="center"/>
    </xf>
    <xf numFmtId="9" fontId="20" fillId="6" borderId="0" xfId="3" applyNumberFormat="1" applyFont="1" applyFill="1" applyBorder="1" applyAlignment="1">
      <alignment horizontal="center" vertical="center"/>
    </xf>
    <xf numFmtId="0" fontId="11" fillId="6" borderId="0" xfId="3" applyFont="1" applyFill="1"/>
    <xf numFmtId="9" fontId="14" fillId="6" borderId="0" xfId="2" applyFont="1" applyFill="1" applyBorder="1" applyAlignment="1">
      <alignment vertical="center"/>
    </xf>
    <xf numFmtId="166" fontId="14" fillId="6" borderId="0" xfId="0" applyNumberFormat="1" applyFont="1" applyFill="1" applyBorder="1" applyAlignment="1">
      <alignment horizontal="left" vertical="center"/>
    </xf>
    <xf numFmtId="9" fontId="14" fillId="6" borderId="0" xfId="2" applyFont="1" applyFill="1" applyBorder="1" applyAlignment="1">
      <alignment horizontal="center" vertical="center"/>
    </xf>
    <xf numFmtId="168" fontId="52" fillId="6" borderId="0" xfId="0" applyNumberFormat="1" applyFont="1" applyFill="1"/>
    <xf numFmtId="166" fontId="20" fillId="6" borderId="0" xfId="0" applyNumberFormat="1" applyFont="1" applyFill="1" applyBorder="1" applyAlignment="1">
      <alignment vertical="center"/>
    </xf>
    <xf numFmtId="166" fontId="17" fillId="6" borderId="0" xfId="0" applyNumberFormat="1" applyFont="1" applyFill="1" applyBorder="1" applyAlignment="1">
      <alignment vertical="center"/>
    </xf>
    <xf numFmtId="166" fontId="14" fillId="6" borderId="0" xfId="0" applyNumberFormat="1" applyFont="1" applyFill="1"/>
    <xf numFmtId="9" fontId="9" fillId="6" borderId="0" xfId="2" applyFont="1" applyFill="1" applyBorder="1" applyAlignment="1">
      <alignment horizontal="left" vertical="center" wrapText="1"/>
    </xf>
    <xf numFmtId="0" fontId="14" fillId="5" borderId="0" xfId="0" applyNumberFormat="1" applyFont="1" applyFill="1" applyBorder="1" applyAlignment="1">
      <alignment horizontal="left" vertical="center"/>
    </xf>
    <xf numFmtId="3" fontId="51" fillId="2" borderId="1" xfId="1" applyNumberFormat="1" applyFont="1" applyFill="1" applyBorder="1" applyAlignment="1" applyProtection="1">
      <alignment horizontal="center" vertical="center"/>
      <protection locked="0"/>
    </xf>
    <xf numFmtId="0" fontId="0" fillId="6" borderId="0" xfId="0" applyFill="1" applyAlignment="1">
      <alignment vertical="center"/>
    </xf>
    <xf numFmtId="0" fontId="0" fillId="0" borderId="5" xfId="0" applyBorder="1" applyAlignment="1">
      <alignment vertical="center"/>
    </xf>
    <xf numFmtId="0" fontId="14" fillId="6" borderId="0" xfId="0" applyFont="1" applyFill="1" applyBorder="1" applyAlignment="1">
      <alignment horizontal="left" vertical="center"/>
    </xf>
    <xf numFmtId="0" fontId="20" fillId="6" borderId="0" xfId="0" applyFont="1" applyFill="1" applyBorder="1" applyAlignment="1">
      <alignment horizontal="right"/>
    </xf>
    <xf numFmtId="0" fontId="20" fillId="6" borderId="0" xfId="0" applyFont="1" applyFill="1" applyAlignment="1">
      <alignment horizontal="right"/>
    </xf>
    <xf numFmtId="3" fontId="14" fillId="6" borderId="0" xfId="0" applyNumberFormat="1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left" vertical="center" wrapText="1"/>
    </xf>
    <xf numFmtId="0" fontId="25" fillId="6" borderId="0" xfId="0" applyFont="1" applyFill="1" applyBorder="1" applyAlignment="1">
      <alignment horizontal="left" vertical="center"/>
    </xf>
    <xf numFmtId="0" fontId="56" fillId="0" borderId="0" xfId="0" applyFont="1"/>
    <xf numFmtId="3" fontId="56" fillId="0" borderId="0" xfId="0" applyNumberFormat="1" applyFont="1" applyBorder="1" applyAlignment="1">
      <alignment vertical="center"/>
    </xf>
    <xf numFmtId="168" fontId="57" fillId="0" borderId="0" xfId="0" applyNumberFormat="1" applyFont="1" applyFill="1" applyBorder="1" applyAlignment="1">
      <alignment vertical="center"/>
    </xf>
    <xf numFmtId="0" fontId="58" fillId="0" borderId="0" xfId="0" applyFont="1"/>
    <xf numFmtId="0" fontId="59" fillId="0" borderId="0" xfId="0" applyFont="1"/>
    <xf numFmtId="9" fontId="8" fillId="6" borderId="0" xfId="2" applyFont="1" applyFill="1" applyBorder="1" applyAlignment="1">
      <alignment horizontal="left" vertical="center" wrapText="1"/>
    </xf>
    <xf numFmtId="10" fontId="8" fillId="2" borderId="1" xfId="2" applyNumberFormat="1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>
      <alignment horizontal="center" vertical="center" wrapText="1"/>
    </xf>
    <xf numFmtId="0" fontId="39" fillId="4" borderId="9" xfId="0" applyFont="1" applyFill="1" applyBorder="1" applyAlignment="1">
      <alignment horizontal="center" vertical="center" wrapText="1"/>
    </xf>
    <xf numFmtId="3" fontId="53" fillId="0" borderId="0" xfId="0" applyNumberFormat="1" applyFont="1"/>
    <xf numFmtId="9" fontId="53" fillId="0" borderId="0" xfId="0" applyNumberFormat="1" applyFont="1"/>
    <xf numFmtId="0" fontId="53" fillId="0" borderId="0" xfId="0" applyFont="1"/>
    <xf numFmtId="0" fontId="4" fillId="0" borderId="1" xfId="0" applyFont="1" applyBorder="1" applyAlignment="1" applyProtection="1">
      <alignment horizontal="center" vertical="center" wrapText="1"/>
    </xf>
    <xf numFmtId="0" fontId="14" fillId="6" borderId="0" xfId="3" applyFont="1" applyFill="1" applyBorder="1" applyAlignment="1" applyProtection="1">
      <alignment horizontal="left" vertical="center"/>
    </xf>
    <xf numFmtId="0" fontId="14" fillId="6" borderId="0" xfId="3" applyFont="1" applyFill="1" applyBorder="1" applyAlignment="1" applyProtection="1">
      <alignment horizontal="center" vertical="center"/>
    </xf>
    <xf numFmtId="9" fontId="14" fillId="6" borderId="0" xfId="3" applyNumberFormat="1" applyFont="1" applyFill="1" applyBorder="1" applyAlignment="1" applyProtection="1">
      <alignment horizontal="center" vertical="center"/>
    </xf>
    <xf numFmtId="9" fontId="20" fillId="6" borderId="0" xfId="3" applyNumberFormat="1" applyFont="1" applyFill="1" applyBorder="1" applyAlignment="1" applyProtection="1">
      <alignment horizontal="center" vertical="center"/>
    </xf>
    <xf numFmtId="0" fontId="14" fillId="6" borderId="0" xfId="3" applyFont="1" applyFill="1" applyProtection="1"/>
    <xf numFmtId="0" fontId="14" fillId="0" borderId="0" xfId="3" applyFont="1" applyProtection="1"/>
    <xf numFmtId="0" fontId="11" fillId="6" borderId="0" xfId="3" applyFont="1" applyFill="1" applyProtection="1"/>
    <xf numFmtId="0" fontId="0" fillId="0" borderId="0" xfId="0" applyBorder="1" applyAlignment="1">
      <alignment vertical="center"/>
    </xf>
    <xf numFmtId="3" fontId="51" fillId="6" borderId="1" xfId="1" applyNumberFormat="1" applyFont="1" applyFill="1" applyBorder="1" applyAlignment="1" applyProtection="1">
      <alignment horizontal="center" vertical="center"/>
      <protection locked="0"/>
    </xf>
    <xf numFmtId="0" fontId="49" fillId="0" borderId="1" xfId="0" applyFont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 wrapText="1"/>
    </xf>
    <xf numFmtId="3" fontId="10" fillId="6" borderId="0" xfId="1" applyNumberFormat="1" applyFont="1" applyFill="1" applyBorder="1" applyAlignment="1" applyProtection="1">
      <alignment vertical="center"/>
      <protection locked="0"/>
    </xf>
    <xf numFmtId="0" fontId="0" fillId="0" borderId="0" xfId="0" applyBorder="1" applyAlignment="1"/>
    <xf numFmtId="0" fontId="4" fillId="0" borderId="7" xfId="0" applyFont="1" applyBorder="1" applyAlignment="1">
      <alignment vertical="center" wrapText="1"/>
    </xf>
    <xf numFmtId="3" fontId="10" fillId="0" borderId="0" xfId="1" applyNumberFormat="1" applyFont="1" applyBorder="1" applyAlignment="1">
      <alignment vertical="center"/>
    </xf>
    <xf numFmtId="3" fontId="51" fillId="2" borderId="1" xfId="1" applyNumberFormat="1" applyFont="1" applyFill="1" applyBorder="1" applyAlignment="1" applyProtection="1">
      <alignment horizontal="center" vertical="center"/>
      <protection locked="0"/>
    </xf>
    <xf numFmtId="3" fontId="51" fillId="6" borderId="1" xfId="1" applyNumberFormat="1" applyFont="1" applyFill="1" applyBorder="1" applyAlignment="1" applyProtection="1">
      <alignment horizontal="center" vertical="center"/>
      <protection locked="0"/>
    </xf>
    <xf numFmtId="0" fontId="49" fillId="0" borderId="1" xfId="0" applyFont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10" fontId="8" fillId="2" borderId="1" xfId="2" applyNumberFormat="1" applyFont="1" applyFill="1" applyBorder="1" applyAlignment="1" applyProtection="1">
      <alignment horizontal="center" vertical="center"/>
      <protection locked="0"/>
    </xf>
    <xf numFmtId="10" fontId="8" fillId="2" borderId="14" xfId="2" applyNumberFormat="1" applyFont="1" applyFill="1" applyBorder="1" applyAlignment="1" applyProtection="1">
      <alignment horizontal="center" vertical="center"/>
      <protection locked="0"/>
    </xf>
    <xf numFmtId="0" fontId="4" fillId="0" borderId="13" xfId="0" applyFont="1" applyBorder="1" applyAlignment="1">
      <alignment horizontal="center" vertical="center" wrapText="1"/>
    </xf>
    <xf numFmtId="10" fontId="8" fillId="2" borderId="16" xfId="2" applyNumberFormat="1" applyFont="1" applyFill="1" applyBorder="1" applyAlignment="1" applyProtection="1">
      <alignment horizontal="center" vertical="center"/>
      <protection locked="0"/>
    </xf>
    <xf numFmtId="10" fontId="8" fillId="2" borderId="17" xfId="2" applyNumberFormat="1" applyFont="1" applyFill="1" applyBorder="1" applyAlignment="1" applyProtection="1">
      <alignment horizontal="center" vertical="center"/>
      <protection locked="0"/>
    </xf>
    <xf numFmtId="166" fontId="49" fillId="0" borderId="1" xfId="0" applyNumberFormat="1" applyFont="1" applyBorder="1" applyAlignment="1">
      <alignment horizontal="center" vertical="center" wrapText="1"/>
    </xf>
    <xf numFmtId="3" fontId="8" fillId="6" borderId="1" xfId="1" applyNumberFormat="1" applyFont="1" applyFill="1" applyBorder="1" applyAlignment="1" applyProtection="1">
      <alignment horizontal="center" vertical="center"/>
      <protection locked="0"/>
    </xf>
    <xf numFmtId="3" fontId="8" fillId="2" borderId="1" xfId="1" applyNumberFormat="1" applyFont="1" applyFill="1" applyBorder="1" applyAlignment="1" applyProtection="1">
      <alignment horizontal="center" vertical="center"/>
      <protection locked="0"/>
    </xf>
    <xf numFmtId="3" fontId="8" fillId="2" borderId="13" xfId="1" applyNumberFormat="1" applyFont="1" applyFill="1" applyBorder="1" applyAlignment="1">
      <alignment horizontal="center" vertical="center"/>
    </xf>
    <xf numFmtId="3" fontId="30" fillId="6" borderId="15" xfId="1" applyNumberFormat="1" applyFont="1" applyFill="1" applyBorder="1" applyAlignment="1">
      <alignment horizontal="center" vertical="center"/>
    </xf>
    <xf numFmtId="167" fontId="8" fillId="2" borderId="1" xfId="2" applyNumberFormat="1" applyFont="1" applyFill="1" applyBorder="1" applyAlignment="1" applyProtection="1">
      <alignment horizontal="center" vertical="center"/>
      <protection locked="0"/>
    </xf>
    <xf numFmtId="167" fontId="8" fillId="6" borderId="0" xfId="2" applyNumberFormat="1" applyFont="1" applyFill="1" applyBorder="1" applyAlignment="1" applyProtection="1">
      <alignment horizontal="center" vertical="center"/>
      <protection locked="0"/>
    </xf>
    <xf numFmtId="9" fontId="8" fillId="2" borderId="1" xfId="2" applyFont="1" applyFill="1" applyBorder="1" applyAlignment="1" applyProtection="1">
      <alignment horizontal="center" vertical="center"/>
      <protection locked="0"/>
    </xf>
    <xf numFmtId="10" fontId="51" fillId="6" borderId="1" xfId="2" applyNumberFormat="1" applyFont="1" applyFill="1" applyBorder="1" applyAlignment="1" applyProtection="1">
      <alignment horizontal="center" vertical="center"/>
      <protection locked="0"/>
    </xf>
    <xf numFmtId="3" fontId="8" fillId="6" borderId="2" xfId="1" applyNumberFormat="1" applyFont="1" applyFill="1" applyBorder="1" applyAlignment="1">
      <alignment horizontal="center" vertical="center"/>
    </xf>
    <xf numFmtId="3" fontId="30" fillId="6" borderId="18" xfId="1" applyNumberFormat="1" applyFont="1" applyFill="1" applyBorder="1" applyAlignment="1">
      <alignment horizontal="center" vertical="center"/>
    </xf>
    <xf numFmtId="3" fontId="8" fillId="2" borderId="4" xfId="1" applyNumberFormat="1" applyFont="1" applyFill="1" applyBorder="1" applyAlignment="1">
      <alignment horizontal="center" vertical="center"/>
    </xf>
    <xf numFmtId="3" fontId="30" fillId="6" borderId="19" xfId="1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10" fontId="51" fillId="6" borderId="1" xfId="2" applyNumberFormat="1" applyFont="1" applyFill="1" applyBorder="1" applyAlignment="1" applyProtection="1">
      <alignment horizontal="center" vertical="center"/>
      <protection locked="0"/>
    </xf>
    <xf numFmtId="0" fontId="43" fillId="6" borderId="1" xfId="0" applyFont="1" applyFill="1" applyBorder="1" applyAlignment="1">
      <alignment horizontal="center" vertical="center" wrapText="1"/>
    </xf>
    <xf numFmtId="3" fontId="8" fillId="6" borderId="1" xfId="2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>
      <alignment horizontal="center" vertical="center" wrapText="1"/>
    </xf>
    <xf numFmtId="3" fontId="8" fillId="6" borderId="1" xfId="1" applyNumberFormat="1" applyFont="1" applyFill="1" applyBorder="1" applyAlignment="1" applyProtection="1">
      <alignment horizontal="center" vertical="center"/>
      <protection locked="0"/>
    </xf>
    <xf numFmtId="0" fontId="5" fillId="0" borderId="14" xfId="0" applyFont="1" applyBorder="1" applyAlignment="1">
      <alignment horizontal="center" vertical="center" wrapText="1"/>
    </xf>
    <xf numFmtId="0" fontId="2" fillId="6" borderId="0" xfId="0" applyFont="1" applyFill="1" applyAlignment="1">
      <alignment horizontal="center" vertical="center"/>
    </xf>
    <xf numFmtId="10" fontId="8" fillId="2" borderId="1" xfId="2" applyNumberFormat="1" applyFont="1" applyFill="1" applyBorder="1" applyAlignment="1" applyProtection="1">
      <alignment horizontal="center" vertical="center"/>
      <protection locked="0"/>
    </xf>
    <xf numFmtId="3" fontId="8" fillId="2" borderId="1" xfId="2" applyNumberFormat="1" applyFont="1" applyFill="1" applyBorder="1" applyAlignment="1" applyProtection="1">
      <alignment horizontal="center" vertical="center"/>
      <protection locked="0"/>
    </xf>
    <xf numFmtId="3" fontId="8" fillId="6" borderId="2" xfId="1" applyNumberFormat="1" applyFont="1" applyFill="1" applyBorder="1" applyAlignment="1" applyProtection="1">
      <alignment horizontal="center" vertical="center"/>
      <protection locked="0"/>
    </xf>
    <xf numFmtId="3" fontId="8" fillId="6" borderId="4" xfId="1" applyNumberFormat="1" applyFont="1" applyFill="1" applyBorder="1" applyAlignment="1" applyProtection="1">
      <alignment horizontal="center" vertical="center"/>
      <protection locked="0"/>
    </xf>
    <xf numFmtId="166" fontId="49" fillId="0" borderId="2" xfId="0" applyNumberFormat="1" applyFont="1" applyBorder="1" applyAlignment="1">
      <alignment horizontal="center" vertical="center" wrapText="1"/>
    </xf>
    <xf numFmtId="166" fontId="49" fillId="0" borderId="4" xfId="0" applyNumberFormat="1" applyFont="1" applyBorder="1" applyAlignment="1">
      <alignment horizontal="center" vertical="center" wrapText="1"/>
    </xf>
    <xf numFmtId="9" fontId="9" fillId="0" borderId="0" xfId="2" applyFont="1" applyBorder="1" applyAlignment="1">
      <alignment horizontal="left" vertical="center" wrapText="1"/>
    </xf>
    <xf numFmtId="9" fontId="9" fillId="0" borderId="8" xfId="2" applyFont="1" applyBorder="1" applyAlignment="1">
      <alignment horizontal="left" vertical="center" wrapText="1"/>
    </xf>
    <xf numFmtId="9" fontId="9" fillId="6" borderId="0" xfId="2" applyFont="1" applyFill="1" applyBorder="1" applyAlignment="1">
      <alignment horizontal="left" vertical="center"/>
    </xf>
    <xf numFmtId="9" fontId="9" fillId="6" borderId="8" xfId="2" applyFont="1" applyFill="1" applyBorder="1" applyAlignment="1">
      <alignment horizontal="left" vertical="center"/>
    </xf>
    <xf numFmtId="0" fontId="29" fillId="0" borderId="13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center"/>
    </xf>
    <xf numFmtId="9" fontId="50" fillId="2" borderId="1" xfId="2" applyFont="1" applyFill="1" applyBorder="1" applyAlignment="1" applyProtection="1">
      <alignment vertical="center" wrapText="1"/>
      <protection locked="0"/>
    </xf>
    <xf numFmtId="3" fontId="51" fillId="6" borderId="2" xfId="1" applyNumberFormat="1" applyFont="1" applyFill="1" applyBorder="1" applyAlignment="1" applyProtection="1">
      <alignment horizontal="center" vertical="center"/>
      <protection locked="0"/>
    </xf>
    <xf numFmtId="3" fontId="51" fillId="6" borderId="4" xfId="1" applyNumberFormat="1" applyFont="1" applyFill="1" applyBorder="1" applyAlignment="1" applyProtection="1">
      <alignment horizontal="center" vertical="center"/>
      <protection locked="0"/>
    </xf>
    <xf numFmtId="10" fontId="51" fillId="2" borderId="1" xfId="2" applyNumberFormat="1" applyFont="1" applyFill="1" applyBorder="1" applyAlignment="1" applyProtection="1">
      <alignment horizontal="center" vertical="center"/>
      <protection locked="0"/>
    </xf>
    <xf numFmtId="0" fontId="43" fillId="6" borderId="3" xfId="0" applyFont="1" applyFill="1" applyBorder="1" applyAlignment="1">
      <alignment horizontal="left" wrapText="1"/>
    </xf>
    <xf numFmtId="0" fontId="49" fillId="0" borderId="1" xfId="0" applyFont="1" applyBorder="1" applyAlignment="1">
      <alignment horizontal="center" vertical="center" wrapText="1"/>
    </xf>
    <xf numFmtId="0" fontId="49" fillId="6" borderId="1" xfId="0" applyFont="1" applyFill="1" applyBorder="1" applyAlignment="1">
      <alignment horizontal="center" vertical="center" wrapText="1"/>
    </xf>
    <xf numFmtId="0" fontId="49" fillId="0" borderId="2" xfId="0" applyFont="1" applyBorder="1" applyAlignment="1">
      <alignment horizontal="center" vertical="center" wrapText="1"/>
    </xf>
    <xf numFmtId="0" fontId="49" fillId="0" borderId="3" xfId="0" applyFont="1" applyBorder="1" applyAlignment="1">
      <alignment horizontal="center" vertical="center" wrapText="1"/>
    </xf>
    <xf numFmtId="0" fontId="49" fillId="0" borderId="4" xfId="0" applyFont="1" applyBorder="1" applyAlignment="1">
      <alignment horizontal="center" vertical="center" wrapText="1"/>
    </xf>
    <xf numFmtId="0" fontId="49" fillId="0" borderId="20" xfId="0" applyFont="1" applyBorder="1" applyAlignment="1">
      <alignment horizontal="center" vertical="center" wrapText="1"/>
    </xf>
    <xf numFmtId="0" fontId="49" fillId="0" borderId="21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60" fillId="6" borderId="5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9" fontId="9" fillId="6" borderId="0" xfId="2" applyFont="1" applyFill="1" applyBorder="1" applyAlignment="1">
      <alignment horizontal="left" vertical="center" wrapText="1"/>
    </xf>
    <xf numFmtId="9" fontId="9" fillId="6" borderId="8" xfId="2" applyFont="1" applyFill="1" applyBorder="1" applyAlignment="1">
      <alignment horizontal="left" vertical="center" wrapText="1"/>
    </xf>
    <xf numFmtId="0" fontId="62" fillId="0" borderId="2" xfId="0" applyNumberFormat="1" applyFont="1" applyBorder="1" applyAlignment="1">
      <alignment horizontal="center" vertical="center" wrapText="1"/>
    </xf>
    <xf numFmtId="0" fontId="62" fillId="0" borderId="4" xfId="0" applyNumberFormat="1" applyFont="1" applyBorder="1" applyAlignment="1">
      <alignment horizontal="center" vertical="center" wrapText="1"/>
    </xf>
    <xf numFmtId="0" fontId="62" fillId="0" borderId="3" xfId="0" applyNumberFormat="1" applyFont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/>
    </xf>
    <xf numFmtId="0" fontId="43" fillId="6" borderId="5" xfId="0" applyFont="1" applyFill="1" applyBorder="1" applyAlignment="1">
      <alignment horizontal="left" vertical="center" wrapText="1"/>
    </xf>
    <xf numFmtId="9" fontId="9" fillId="0" borderId="0" xfId="2" applyFont="1" applyBorder="1" applyAlignment="1">
      <alignment vertical="center" wrapText="1"/>
    </xf>
    <xf numFmtId="9" fontId="9" fillId="0" borderId="8" xfId="2" applyFont="1" applyBorder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9" fontId="50" fillId="0" borderId="0" xfId="2" applyFont="1" applyBorder="1" applyAlignment="1">
      <alignment vertical="center" wrapText="1"/>
    </xf>
    <xf numFmtId="0" fontId="32" fillId="0" borderId="0" xfId="0" applyFont="1" applyBorder="1" applyAlignment="1">
      <alignment horizontal="left" vertical="center"/>
    </xf>
    <xf numFmtId="0" fontId="29" fillId="0" borderId="0" xfId="0" applyFont="1" applyAlignment="1">
      <alignment horizontal="left" vertical="center" wrapText="1"/>
    </xf>
    <xf numFmtId="0" fontId="29" fillId="0" borderId="8" xfId="0" applyFont="1" applyBorder="1" applyAlignment="1">
      <alignment horizontal="left" vertical="center" wrapText="1"/>
    </xf>
    <xf numFmtId="0" fontId="29" fillId="2" borderId="2" xfId="0" applyFont="1" applyFill="1" applyBorder="1" applyAlignment="1">
      <alignment horizontal="center" vertical="center"/>
    </xf>
    <xf numFmtId="0" fontId="29" fillId="2" borderId="4" xfId="0" applyFont="1" applyFill="1" applyBorder="1" applyAlignment="1">
      <alignment horizontal="center" vertical="center"/>
    </xf>
    <xf numFmtId="165" fontId="8" fillId="6" borderId="1" xfId="2" applyNumberFormat="1" applyFont="1" applyFill="1" applyBorder="1" applyAlignment="1" applyProtection="1">
      <alignment horizontal="left" vertical="center" wrapText="1"/>
      <protection locked="0"/>
    </xf>
    <xf numFmtId="0" fontId="8" fillId="2" borderId="1" xfId="2" applyNumberFormat="1" applyFont="1" applyFill="1" applyBorder="1" applyAlignment="1" applyProtection="1">
      <alignment horizontal="center" vertical="center"/>
      <protection locked="0"/>
    </xf>
    <xf numFmtId="0" fontId="43" fillId="6" borderId="0" xfId="0" applyFont="1" applyFill="1" applyBorder="1" applyAlignment="1">
      <alignment horizontal="left" vertical="center" wrapText="1"/>
    </xf>
    <xf numFmtId="0" fontId="43" fillId="6" borderId="1" xfId="0" applyFont="1" applyFill="1" applyBorder="1" applyAlignment="1">
      <alignment horizontal="center" vertical="center" wrapText="1"/>
    </xf>
    <xf numFmtId="10" fontId="8" fillId="2" borderId="1" xfId="2" applyNumberFormat="1" applyFont="1" applyFill="1" applyBorder="1" applyAlignment="1" applyProtection="1">
      <alignment horizontal="center" vertical="center"/>
      <protection locked="0"/>
    </xf>
    <xf numFmtId="0" fontId="9" fillId="6" borderId="1" xfId="2" applyNumberFormat="1" applyFont="1" applyFill="1" applyBorder="1" applyAlignment="1">
      <alignment vertical="center" wrapText="1"/>
    </xf>
    <xf numFmtId="0" fontId="29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3" fontId="8" fillId="6" borderId="1" xfId="2" applyNumberFormat="1" applyFont="1" applyFill="1" applyBorder="1" applyAlignment="1" applyProtection="1">
      <alignment horizontal="center" vertical="center"/>
      <protection locked="0"/>
    </xf>
    <xf numFmtId="0" fontId="4" fillId="0" borderId="12" xfId="0" applyFont="1" applyBorder="1" applyAlignment="1">
      <alignment horizontal="center" vertical="center" wrapText="1"/>
    </xf>
    <xf numFmtId="0" fontId="32" fillId="6" borderId="13" xfId="2" applyNumberFormat="1" applyFont="1" applyFill="1" applyBorder="1" applyAlignment="1">
      <alignment horizontal="center" vertical="center" wrapText="1"/>
    </xf>
    <xf numFmtId="0" fontId="32" fillId="6" borderId="1" xfId="2" applyNumberFormat="1" applyFont="1" applyFill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32" fillId="6" borderId="15" xfId="2" applyNumberFormat="1" applyFont="1" applyFill="1" applyBorder="1" applyAlignment="1">
      <alignment horizontal="center" vertical="center" wrapText="1"/>
    </xf>
    <xf numFmtId="0" fontId="32" fillId="6" borderId="16" xfId="2" applyNumberFormat="1" applyFont="1" applyFill="1" applyBorder="1" applyAlignment="1">
      <alignment horizontal="center" vertical="center" wrapText="1"/>
    </xf>
    <xf numFmtId="3" fontId="8" fillId="6" borderId="1" xfId="1" applyNumberFormat="1" applyFont="1" applyFill="1" applyBorder="1" applyAlignment="1">
      <alignment horizontal="center" vertical="center"/>
    </xf>
    <xf numFmtId="3" fontId="8" fillId="6" borderId="14" xfId="1" applyNumberFormat="1" applyFont="1" applyFill="1" applyBorder="1" applyAlignment="1">
      <alignment horizontal="center" vertical="center"/>
    </xf>
    <xf numFmtId="0" fontId="29" fillId="0" borderId="10" xfId="0" applyFont="1" applyBorder="1" applyAlignment="1">
      <alignment horizontal="center" vertical="center" wrapText="1"/>
    </xf>
    <xf numFmtId="0" fontId="29" fillId="0" borderId="22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29" fillId="0" borderId="23" xfId="0" applyFont="1" applyBorder="1" applyAlignment="1">
      <alignment horizontal="center" vertical="center" wrapText="1"/>
    </xf>
    <xf numFmtId="3" fontId="30" fillId="6" borderId="16" xfId="1" applyNumberFormat="1" applyFont="1" applyFill="1" applyBorder="1" applyAlignment="1">
      <alignment horizontal="center" vertical="center"/>
    </xf>
    <xf numFmtId="3" fontId="30" fillId="6" borderId="17" xfId="1" applyNumberFormat="1" applyFont="1" applyFill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167" fontId="8" fillId="6" borderId="3" xfId="2" applyNumberFormat="1" applyFont="1" applyFill="1" applyBorder="1" applyAlignment="1" applyProtection="1">
      <alignment horizontal="center" vertical="center"/>
      <protection locked="0"/>
    </xf>
    <xf numFmtId="165" fontId="32" fillId="2" borderId="1" xfId="2" applyNumberFormat="1" applyFont="1" applyFill="1" applyBorder="1" applyAlignment="1" applyProtection="1">
      <alignment horizontal="center" vertical="center" wrapText="1"/>
      <protection locked="0"/>
    </xf>
    <xf numFmtId="0" fontId="32" fillId="0" borderId="8" xfId="0" applyFont="1" applyBorder="1" applyAlignment="1">
      <alignment horizontal="left" vertical="center"/>
    </xf>
    <xf numFmtId="0" fontId="50" fillId="6" borderId="1" xfId="2" applyNumberFormat="1" applyFont="1" applyFill="1" applyBorder="1" applyAlignment="1" applyProtection="1">
      <alignment horizontal="center" vertical="center" wrapText="1"/>
      <protection locked="0"/>
    </xf>
    <xf numFmtId="167" fontId="8" fillId="6" borderId="1" xfId="2" applyNumberFormat="1" applyFont="1" applyFill="1" applyBorder="1" applyAlignment="1" applyProtection="1">
      <alignment horizontal="center" vertical="center"/>
      <protection locked="0"/>
    </xf>
    <xf numFmtId="3" fontId="8" fillId="6" borderId="1" xfId="1" applyNumberFormat="1" applyFont="1" applyFill="1" applyBorder="1" applyAlignment="1" applyProtection="1">
      <alignment horizontal="center" vertical="center"/>
      <protection locked="0"/>
    </xf>
    <xf numFmtId="9" fontId="9" fillId="0" borderId="0" xfId="2" applyFont="1" applyBorder="1" applyAlignment="1">
      <alignment horizontal="left" vertical="center"/>
    </xf>
    <xf numFmtId="9" fontId="9" fillId="0" borderId="8" xfId="2" applyFont="1" applyBorder="1" applyAlignment="1">
      <alignment horizontal="left" vertical="center"/>
    </xf>
    <xf numFmtId="0" fontId="43" fillId="6" borderId="5" xfId="0" applyFont="1" applyFill="1" applyBorder="1" applyAlignment="1">
      <alignment horizontal="left" wrapText="1"/>
    </xf>
    <xf numFmtId="0" fontId="2" fillId="0" borderId="5" xfId="0" applyFont="1" applyBorder="1" applyAlignment="1">
      <alignment horizontal="center" vertical="center" wrapText="1"/>
    </xf>
    <xf numFmtId="3" fontId="30" fillId="6" borderId="1" xfId="1" applyNumberFormat="1" applyFont="1" applyFill="1" applyBorder="1" applyAlignment="1">
      <alignment horizontal="center" vertical="center"/>
    </xf>
    <xf numFmtId="3" fontId="51" fillId="6" borderId="1" xfId="1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9" fontId="8" fillId="0" borderId="0" xfId="2" applyFont="1" applyBorder="1" applyAlignment="1">
      <alignment horizontal="center" vertical="center" wrapText="1"/>
    </xf>
    <xf numFmtId="167" fontId="30" fillId="6" borderId="0" xfId="2" applyNumberFormat="1" applyFont="1" applyFill="1" applyBorder="1" applyAlignment="1" applyProtection="1">
      <alignment horizontal="center" vertical="center"/>
      <protection locked="0"/>
    </xf>
    <xf numFmtId="3" fontId="7" fillId="0" borderId="2" xfId="1" applyNumberFormat="1" applyFont="1" applyBorder="1" applyAlignment="1">
      <alignment horizontal="center" vertical="center"/>
    </xf>
    <xf numFmtId="3" fontId="7" fillId="0" borderId="3" xfId="1" applyNumberFormat="1" applyFont="1" applyBorder="1" applyAlignment="1">
      <alignment horizontal="center" vertical="center"/>
    </xf>
    <xf numFmtId="3" fontId="7" fillId="0" borderId="4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4" fillId="0" borderId="3" xfId="0" applyFont="1" applyBorder="1" applyAlignment="1">
      <alignment horizontal="center" vertical="center" wrapText="1"/>
    </xf>
    <xf numFmtId="9" fontId="7" fillId="0" borderId="1" xfId="2" applyFont="1" applyBorder="1" applyAlignment="1">
      <alignment horizontal="center" vertical="center"/>
    </xf>
    <xf numFmtId="3" fontId="7" fillId="0" borderId="1" xfId="1" applyNumberFormat="1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29" fillId="0" borderId="0" xfId="0" applyFont="1" applyAlignment="1">
      <alignment horizontal="left" vertical="center"/>
    </xf>
    <xf numFmtId="0" fontId="29" fillId="0" borderId="0" xfId="0" applyFont="1" applyBorder="1" applyAlignment="1">
      <alignment horizontal="right" vertical="center"/>
    </xf>
    <xf numFmtId="0" fontId="29" fillId="0" borderId="0" xfId="0" applyFont="1" applyBorder="1" applyAlignment="1">
      <alignment horizontal="left" vertical="center"/>
    </xf>
    <xf numFmtId="0" fontId="0" fillId="6" borderId="3" xfId="0" applyFill="1" applyBorder="1" applyAlignment="1">
      <alignment horizontal="left" vertical="center" wrapText="1"/>
    </xf>
    <xf numFmtId="0" fontId="9" fillId="6" borderId="1" xfId="2" applyNumberFormat="1" applyFont="1" applyFill="1" applyBorder="1" applyAlignment="1" applyProtection="1">
      <alignment horizontal="left" vertical="center" wrapText="1"/>
      <protection locked="0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3" fontId="8" fillId="6" borderId="2" xfId="2" applyNumberFormat="1" applyFont="1" applyFill="1" applyBorder="1" applyAlignment="1" applyProtection="1">
      <alignment horizontal="center" vertical="center"/>
      <protection locked="0"/>
    </xf>
    <xf numFmtId="3" fontId="8" fillId="6" borderId="3" xfId="2" applyNumberFormat="1" applyFont="1" applyFill="1" applyBorder="1" applyAlignment="1" applyProtection="1">
      <alignment horizontal="center" vertical="center"/>
      <protection locked="0"/>
    </xf>
    <xf numFmtId="3" fontId="8" fillId="6" borderId="4" xfId="2" applyNumberFormat="1" applyFont="1" applyFill="1" applyBorder="1" applyAlignment="1" applyProtection="1">
      <alignment horizontal="center" vertical="center"/>
      <protection locked="0"/>
    </xf>
    <xf numFmtId="4" fontId="8" fillId="6" borderId="1" xfId="2" applyNumberFormat="1" applyFont="1" applyFill="1" applyBorder="1" applyAlignment="1" applyProtection="1">
      <alignment horizontal="center" vertical="center"/>
      <protection locked="0"/>
    </xf>
    <xf numFmtId="3" fontId="7" fillId="6" borderId="1" xfId="1" applyNumberFormat="1" applyFont="1" applyFill="1" applyBorder="1" applyAlignment="1">
      <alignment horizontal="center" vertical="center"/>
    </xf>
    <xf numFmtId="3" fontId="30" fillId="6" borderId="0" xfId="1" applyNumberFormat="1" applyFont="1" applyFill="1" applyBorder="1" applyAlignment="1">
      <alignment horizontal="center" vertical="center"/>
    </xf>
    <xf numFmtId="0" fontId="44" fillId="2" borderId="0" xfId="0" applyFont="1" applyFill="1" applyAlignment="1">
      <alignment horizontal="center"/>
    </xf>
    <xf numFmtId="0" fontId="39" fillId="4" borderId="0" xfId="0" applyFont="1" applyFill="1" applyBorder="1" applyAlignment="1">
      <alignment horizontal="center" vertical="center" wrapText="1"/>
    </xf>
    <xf numFmtId="0" fontId="39" fillId="4" borderId="9" xfId="0" applyFont="1" applyFill="1" applyBorder="1" applyAlignment="1">
      <alignment horizontal="center" vertical="center" wrapText="1"/>
    </xf>
    <xf numFmtId="0" fontId="35" fillId="6" borderId="2" xfId="3" applyFont="1" applyFill="1" applyBorder="1" applyAlignment="1">
      <alignment horizontal="center" vertical="center" wrapText="1"/>
    </xf>
    <xf numFmtId="0" fontId="35" fillId="6" borderId="3" xfId="3" applyFont="1" applyFill="1" applyBorder="1" applyAlignment="1">
      <alignment horizontal="center" vertical="center" wrapText="1"/>
    </xf>
    <xf numFmtId="0" fontId="35" fillId="6" borderId="4" xfId="3" applyFont="1" applyFill="1" applyBorder="1" applyAlignment="1">
      <alignment horizontal="center" vertical="center" wrapText="1"/>
    </xf>
    <xf numFmtId="0" fontId="35" fillId="0" borderId="2" xfId="3" applyFont="1" applyBorder="1" applyAlignment="1">
      <alignment horizontal="center" vertical="center" wrapText="1"/>
    </xf>
    <xf numFmtId="0" fontId="35" fillId="0" borderId="3" xfId="3" applyFont="1" applyBorder="1" applyAlignment="1">
      <alignment horizontal="center" vertical="center" wrapText="1"/>
    </xf>
    <xf numFmtId="0" fontId="35" fillId="0" borderId="4" xfId="3" applyFont="1" applyBorder="1" applyAlignment="1">
      <alignment horizontal="center" vertical="center" wrapText="1"/>
    </xf>
    <xf numFmtId="0" fontId="35" fillId="0" borderId="1" xfId="3" applyFont="1" applyBorder="1" applyAlignment="1">
      <alignment horizontal="center" vertical="center" wrapText="1"/>
    </xf>
  </cellXfs>
  <cellStyles count="6">
    <cellStyle name="Обычный" xfId="0" builtinId="0"/>
    <cellStyle name="Обычный_7.1. ТЭО (RH)" xfId="3" xr:uid="{00000000-0005-0000-0000-000001000000}"/>
    <cellStyle name="Процентный" xfId="2" builtinId="5"/>
    <cellStyle name="Процентный 2" xfId="4" xr:uid="{00000000-0005-0000-0000-000003000000}"/>
    <cellStyle name="Финансовый" xfId="1" builtinId="3"/>
    <cellStyle name="Финансовый 2" xfId="5" xr:uid="{00000000-0005-0000-0000-000005000000}"/>
  </cellStyles>
  <dxfs count="39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Lines="4" dropStyle="combo" dx="22" fmlaLink="$O$2" fmlaRange="$P$2:$P$5" sel="1" val="0"/>
</file>

<file path=xl/ctrlProps/ctrlProp2.xml><?xml version="1.0" encoding="utf-8"?>
<formControlPr xmlns="http://schemas.microsoft.com/office/spreadsheetml/2009/9/main" objectType="Drop" dropLines="12" dropStyle="combo" dx="22" fmlaLink="Q$2" fmlaRange="$R$2:$R$13" sel="1" val="0"/>
</file>

<file path=xl/ctrlProps/ctrlProp3.xml><?xml version="1.0" encoding="utf-8"?>
<formControlPr xmlns="http://schemas.microsoft.com/office/spreadsheetml/2009/9/main" objectType="Drop" dropLines="3" dropStyle="combo" dx="22" fmlaLink="$N$1" fmlaRange="$O$1:$O$3" sel="3" val="0"/>
</file>

<file path=xl/ctrlProps/ctrlProp4.xml><?xml version="1.0" encoding="utf-8"?>
<formControlPr xmlns="http://schemas.microsoft.com/office/spreadsheetml/2009/9/main" objectType="Drop" dropLines="2" dropStyle="combo" dx="22" fmlaLink="$P$1" fmlaRange="$Q$1:$Q$2" sel="1" val="0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9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8.png"/><Relationship Id="rId2" Type="http://schemas.openxmlformats.org/officeDocument/2006/relationships/image" Target="../media/image2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6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97</xdr:row>
      <xdr:rowOff>26175</xdr:rowOff>
    </xdr:from>
    <xdr:to>
      <xdr:col>0</xdr:col>
      <xdr:colOff>542100</xdr:colOff>
      <xdr:row>97</xdr:row>
      <xdr:rowOff>530175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565795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52274</xdr:colOff>
      <xdr:row>100</xdr:row>
      <xdr:rowOff>23700</xdr:rowOff>
    </xdr:from>
    <xdr:to>
      <xdr:col>0</xdr:col>
      <xdr:colOff>592274</xdr:colOff>
      <xdr:row>100</xdr:row>
      <xdr:rowOff>515580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24074325"/>
          <a:ext cx="540000" cy="491880"/>
        </a:xfrm>
        <a:prstGeom prst="rect">
          <a:avLst/>
        </a:prstGeom>
      </xdr:spPr>
    </xdr:pic>
    <xdr:clientData/>
  </xdr:twoCellAnchor>
  <xdr:twoCellAnchor editAs="oneCell">
    <xdr:from>
      <xdr:col>0</xdr:col>
      <xdr:colOff>49875</xdr:colOff>
      <xdr:row>103</xdr:row>
      <xdr:rowOff>21300</xdr:rowOff>
    </xdr:from>
    <xdr:to>
      <xdr:col>0</xdr:col>
      <xdr:colOff>553875</xdr:colOff>
      <xdr:row>103</xdr:row>
      <xdr:rowOff>525300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5" y="2618647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81</xdr:row>
      <xdr:rowOff>9525</xdr:rowOff>
    </xdr:from>
    <xdr:to>
      <xdr:col>0</xdr:col>
      <xdr:colOff>551625</xdr:colOff>
      <xdr:row>81</xdr:row>
      <xdr:rowOff>513525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53540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42867</xdr:colOff>
      <xdr:row>47</xdr:row>
      <xdr:rowOff>28578</xdr:rowOff>
    </xdr:from>
    <xdr:to>
      <xdr:col>0</xdr:col>
      <xdr:colOff>546867</xdr:colOff>
      <xdr:row>47</xdr:row>
      <xdr:rowOff>532578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7" y="13158791"/>
          <a:ext cx="504000" cy="504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704850</xdr:colOff>
          <xdr:row>2</xdr:row>
          <xdr:rowOff>57150</xdr:rowOff>
        </xdr:from>
        <xdr:to>
          <xdr:col>4</xdr:col>
          <xdr:colOff>826770</xdr:colOff>
          <xdr:row>2</xdr:row>
          <xdr:rowOff>342900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47622</xdr:colOff>
      <xdr:row>45</xdr:row>
      <xdr:rowOff>12814</xdr:rowOff>
    </xdr:from>
    <xdr:to>
      <xdr:col>0</xdr:col>
      <xdr:colOff>551622</xdr:colOff>
      <xdr:row>45</xdr:row>
      <xdr:rowOff>516815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2" y="12133377"/>
          <a:ext cx="504000" cy="504001"/>
        </a:xfrm>
        <a:prstGeom prst="rect">
          <a:avLst/>
        </a:prstGeom>
      </xdr:spPr>
    </xdr:pic>
    <xdr:clientData/>
  </xdr:twoCellAnchor>
  <xdr:twoCellAnchor editAs="oneCell">
    <xdr:from>
      <xdr:col>0</xdr:col>
      <xdr:colOff>50426</xdr:colOff>
      <xdr:row>46</xdr:row>
      <xdr:rowOff>23815</xdr:rowOff>
    </xdr:from>
    <xdr:to>
      <xdr:col>0</xdr:col>
      <xdr:colOff>554426</xdr:colOff>
      <xdr:row>46</xdr:row>
      <xdr:rowOff>523331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" y="12649203"/>
          <a:ext cx="504000" cy="49951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</xdr:colOff>
      <xdr:row>39</xdr:row>
      <xdr:rowOff>0</xdr:rowOff>
    </xdr:from>
    <xdr:to>
      <xdr:col>0</xdr:col>
      <xdr:colOff>551624</xdr:colOff>
      <xdr:row>39</xdr:row>
      <xdr:rowOff>504000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8353425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47623</xdr:colOff>
      <xdr:row>44</xdr:row>
      <xdr:rowOff>90</xdr:rowOff>
    </xdr:from>
    <xdr:to>
      <xdr:col>0</xdr:col>
      <xdr:colOff>551623</xdr:colOff>
      <xdr:row>44</xdr:row>
      <xdr:rowOff>504091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3" y="11615828"/>
          <a:ext cx="504000" cy="50400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88</xdr:row>
      <xdr:rowOff>19050</xdr:rowOff>
    </xdr:from>
    <xdr:to>
      <xdr:col>0</xdr:col>
      <xdr:colOff>551625</xdr:colOff>
      <xdr:row>88</xdr:row>
      <xdr:rowOff>523050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2983825"/>
          <a:ext cx="504000" cy="504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685800</xdr:colOff>
          <xdr:row>3</xdr:row>
          <xdr:rowOff>49530</xdr:rowOff>
        </xdr:from>
        <xdr:to>
          <xdr:col>4</xdr:col>
          <xdr:colOff>834390</xdr:colOff>
          <xdr:row>3</xdr:row>
          <xdr:rowOff>342900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0</xdr:col>
      <xdr:colOff>44824</xdr:colOff>
      <xdr:row>86</xdr:row>
      <xdr:rowOff>22412</xdr:rowOff>
    </xdr:from>
    <xdr:to>
      <xdr:col>0</xdr:col>
      <xdr:colOff>548824</xdr:colOff>
      <xdr:row>86</xdr:row>
      <xdr:rowOff>526412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824" y="26176941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42</xdr:row>
      <xdr:rowOff>501742</xdr:rowOff>
    </xdr:from>
    <xdr:to>
      <xdr:col>0</xdr:col>
      <xdr:colOff>560030</xdr:colOff>
      <xdr:row>43</xdr:row>
      <xdr:rowOff>472903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6030" y="11107830"/>
          <a:ext cx="504000" cy="504561"/>
        </a:xfrm>
        <a:prstGeom prst="rect">
          <a:avLst/>
        </a:prstGeom>
      </xdr:spPr>
    </xdr:pic>
    <xdr:clientData/>
  </xdr:twoCellAnchor>
  <xdr:twoCellAnchor editAs="oneCell">
    <xdr:from>
      <xdr:col>0</xdr:col>
      <xdr:colOff>47630</xdr:colOff>
      <xdr:row>84</xdr:row>
      <xdr:rowOff>0</xdr:rowOff>
    </xdr:from>
    <xdr:to>
      <xdr:col>0</xdr:col>
      <xdr:colOff>551630</xdr:colOff>
      <xdr:row>84</xdr:row>
      <xdr:rowOff>506721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30" y="18030825"/>
          <a:ext cx="504000" cy="506721"/>
        </a:xfrm>
        <a:prstGeom prst="rect">
          <a:avLst/>
        </a:prstGeom>
      </xdr:spPr>
    </xdr:pic>
    <xdr:clientData/>
  </xdr:twoCellAnchor>
  <xdr:oneCellAnchor>
    <xdr:from>
      <xdr:col>0</xdr:col>
      <xdr:colOff>52393</xdr:colOff>
      <xdr:row>96</xdr:row>
      <xdr:rowOff>9526</xdr:rowOff>
    </xdr:from>
    <xdr:ext cx="504000" cy="504000"/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2393" y="25298401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47630</xdr:colOff>
      <xdr:row>83</xdr:row>
      <xdr:rowOff>4763</xdr:rowOff>
    </xdr:from>
    <xdr:to>
      <xdr:col>0</xdr:col>
      <xdr:colOff>551630</xdr:colOff>
      <xdr:row>83</xdr:row>
      <xdr:rowOff>511485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630" y="25241251"/>
          <a:ext cx="504000" cy="506722"/>
        </a:xfrm>
        <a:prstGeom prst="rect">
          <a:avLst/>
        </a:prstGeom>
      </xdr:spPr>
    </xdr:pic>
    <xdr:clientData/>
  </xdr:twoCellAnchor>
  <xdr:twoCellAnchor editAs="oneCell">
    <xdr:from>
      <xdr:col>0</xdr:col>
      <xdr:colOff>52393</xdr:colOff>
      <xdr:row>87</xdr:row>
      <xdr:rowOff>0</xdr:rowOff>
    </xdr:from>
    <xdr:to>
      <xdr:col>0</xdr:col>
      <xdr:colOff>556393</xdr:colOff>
      <xdr:row>87</xdr:row>
      <xdr:rowOff>504561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393" y="21383625"/>
          <a:ext cx="504000" cy="504561"/>
        </a:xfrm>
        <a:prstGeom prst="rect">
          <a:avLst/>
        </a:prstGeom>
      </xdr:spPr>
    </xdr:pic>
    <xdr:clientData/>
  </xdr:twoCellAnchor>
  <xdr:oneCellAnchor>
    <xdr:from>
      <xdr:col>0</xdr:col>
      <xdr:colOff>52393</xdr:colOff>
      <xdr:row>40</xdr:row>
      <xdr:rowOff>21775</xdr:rowOff>
    </xdr:from>
    <xdr:ext cx="504000" cy="504000"/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393" y="25331061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57156</xdr:colOff>
      <xdr:row>94</xdr:row>
      <xdr:rowOff>0</xdr:rowOff>
    </xdr:from>
    <xdr:ext cx="479937" cy="504000"/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6" y="18183225"/>
          <a:ext cx="479937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38104</xdr:colOff>
      <xdr:row>92</xdr:row>
      <xdr:rowOff>9526</xdr:rowOff>
    </xdr:from>
    <xdr:to>
      <xdr:col>0</xdr:col>
      <xdr:colOff>542104</xdr:colOff>
      <xdr:row>92</xdr:row>
      <xdr:rowOff>513526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8104" y="23131464"/>
          <a:ext cx="504000" cy="504000"/>
        </a:xfrm>
        <a:prstGeom prst="rect">
          <a:avLst/>
        </a:prstGeom>
      </xdr:spPr>
    </xdr:pic>
    <xdr:clientData/>
  </xdr:twoCellAnchor>
  <xdr:oneCellAnchor>
    <xdr:from>
      <xdr:col>0</xdr:col>
      <xdr:colOff>38104</xdr:colOff>
      <xdr:row>42</xdr:row>
      <xdr:rowOff>0</xdr:rowOff>
    </xdr:from>
    <xdr:ext cx="517622" cy="506721"/>
    <xdr:pic>
      <xdr:nvPicPr>
        <xdr:cNvPr id="39" name="Рисунок 2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" y="12906374"/>
          <a:ext cx="517622" cy="50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38101</xdr:colOff>
      <xdr:row>91</xdr:row>
      <xdr:rowOff>0</xdr:rowOff>
    </xdr:from>
    <xdr:to>
      <xdr:col>0</xdr:col>
      <xdr:colOff>542101</xdr:colOff>
      <xdr:row>91</xdr:row>
      <xdr:rowOff>504000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62777914"/>
          <a:ext cx="504000" cy="504000"/>
        </a:xfrm>
        <a:prstGeom prst="rect">
          <a:avLst/>
        </a:prstGeom>
      </xdr:spPr>
    </xdr:pic>
    <xdr:clientData/>
  </xdr:twoCellAnchor>
  <xdr:oneCellAnchor>
    <xdr:from>
      <xdr:col>0</xdr:col>
      <xdr:colOff>38101</xdr:colOff>
      <xdr:row>98</xdr:row>
      <xdr:rowOff>317500</xdr:rowOff>
    </xdr:from>
    <xdr:ext cx="504000" cy="504000"/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811395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82</xdr:row>
      <xdr:rowOff>9525</xdr:rowOff>
    </xdr:from>
    <xdr:ext cx="504000" cy="504000"/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8636011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52274</xdr:colOff>
      <xdr:row>102</xdr:row>
      <xdr:rowOff>23700</xdr:rowOff>
    </xdr:from>
    <xdr:ext cx="540000" cy="491880"/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63389443"/>
          <a:ext cx="540000" cy="491880"/>
        </a:xfrm>
        <a:prstGeom prst="rect">
          <a:avLst/>
        </a:prstGeom>
      </xdr:spPr>
    </xdr:pic>
    <xdr:clientData/>
  </xdr:oneCellAnchor>
  <xdr:twoCellAnchor editAs="oneCell">
    <xdr:from>
      <xdr:col>0</xdr:col>
      <xdr:colOff>31750</xdr:colOff>
      <xdr:row>41</xdr:row>
      <xdr:rowOff>0</xdr:rowOff>
    </xdr:from>
    <xdr:to>
      <xdr:col>0</xdr:col>
      <xdr:colOff>535750</xdr:colOff>
      <xdr:row>41</xdr:row>
      <xdr:rowOff>499516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0" y="30327600"/>
          <a:ext cx="504000" cy="49951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95</xdr:row>
      <xdr:rowOff>6350</xdr:rowOff>
    </xdr:from>
    <xdr:to>
      <xdr:col>0</xdr:col>
      <xdr:colOff>562160</xdr:colOff>
      <xdr:row>95</xdr:row>
      <xdr:rowOff>510350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7150" y="43980100"/>
          <a:ext cx="505010" cy="504000"/>
        </a:xfrm>
        <a:prstGeom prst="rect">
          <a:avLst/>
        </a:prstGeom>
      </xdr:spPr>
    </xdr:pic>
    <xdr:clientData/>
  </xdr:twoCellAnchor>
  <xdr:oneCellAnchor>
    <xdr:from>
      <xdr:col>0</xdr:col>
      <xdr:colOff>44824</xdr:colOff>
      <xdr:row>89</xdr:row>
      <xdr:rowOff>22412</xdr:rowOff>
    </xdr:from>
    <xdr:ext cx="504000" cy="504000"/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824" y="43037312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38100</xdr:colOff>
      <xdr:row>93</xdr:row>
      <xdr:rowOff>0</xdr:rowOff>
    </xdr:from>
    <xdr:to>
      <xdr:col>0</xdr:col>
      <xdr:colOff>542100</xdr:colOff>
      <xdr:row>93</xdr:row>
      <xdr:rowOff>504000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3561000"/>
          <a:ext cx="504000" cy="50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</xdr:colOff>
      <xdr:row>90</xdr:row>
      <xdr:rowOff>6350</xdr:rowOff>
    </xdr:from>
    <xdr:to>
      <xdr:col>0</xdr:col>
      <xdr:colOff>551832</xdr:colOff>
      <xdr:row>90</xdr:row>
      <xdr:rowOff>510350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4450" y="44659550"/>
          <a:ext cx="507382" cy="504000"/>
        </a:xfrm>
        <a:prstGeom prst="rect">
          <a:avLst/>
        </a:prstGeom>
      </xdr:spPr>
    </xdr:pic>
    <xdr:clientData/>
  </xdr:twoCellAnchor>
  <xdr:oneCellAnchor>
    <xdr:from>
      <xdr:col>0</xdr:col>
      <xdr:colOff>38101</xdr:colOff>
      <xdr:row>85</xdr:row>
      <xdr:rowOff>0</xdr:rowOff>
    </xdr:from>
    <xdr:ext cx="504000" cy="504000"/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45745400"/>
          <a:ext cx="50400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47</xdr:row>
      <xdr:rowOff>26175</xdr:rowOff>
    </xdr:from>
    <xdr:ext cx="504000" cy="504000"/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7399775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52274</xdr:colOff>
      <xdr:row>49</xdr:row>
      <xdr:rowOff>23700</xdr:rowOff>
    </xdr:from>
    <xdr:ext cx="540000" cy="491880"/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74" y="17214420"/>
          <a:ext cx="540000" cy="491880"/>
        </a:xfrm>
        <a:prstGeom prst="rect">
          <a:avLst/>
        </a:prstGeom>
      </xdr:spPr>
    </xdr:pic>
    <xdr:clientData/>
  </xdr:oneCellAnchor>
  <xdr:oneCellAnchor>
    <xdr:from>
      <xdr:col>0</xdr:col>
      <xdr:colOff>49875</xdr:colOff>
      <xdr:row>50</xdr:row>
      <xdr:rowOff>21300</xdr:rowOff>
    </xdr:from>
    <xdr:ext cx="504000" cy="504000"/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875" y="1757778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32</xdr:row>
      <xdr:rowOff>9525</xdr:rowOff>
    </xdr:from>
    <xdr:ext cx="504000" cy="504000"/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371445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42867</xdr:colOff>
      <xdr:row>18</xdr:row>
      <xdr:rowOff>28578</xdr:rowOff>
    </xdr:from>
    <xdr:ext cx="504000" cy="504000"/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7" y="12098658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47622</xdr:colOff>
      <xdr:row>16</xdr:row>
      <xdr:rowOff>12814</xdr:rowOff>
    </xdr:from>
    <xdr:ext cx="504000" cy="504001"/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2" y="11534254"/>
          <a:ext cx="504000" cy="504001"/>
        </a:xfrm>
        <a:prstGeom prst="rect">
          <a:avLst/>
        </a:prstGeom>
      </xdr:spPr>
    </xdr:pic>
    <xdr:clientData/>
  </xdr:oneCellAnchor>
  <xdr:oneCellAnchor>
    <xdr:from>
      <xdr:col>0</xdr:col>
      <xdr:colOff>50426</xdr:colOff>
      <xdr:row>17</xdr:row>
      <xdr:rowOff>23815</xdr:rowOff>
    </xdr:from>
    <xdr:ext cx="504000" cy="499516"/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26" y="11728135"/>
          <a:ext cx="504000" cy="499516"/>
        </a:xfrm>
        <a:prstGeom prst="rect">
          <a:avLst/>
        </a:prstGeom>
      </xdr:spPr>
    </xdr:pic>
    <xdr:clientData/>
  </xdr:oneCellAnchor>
  <xdr:oneCellAnchor>
    <xdr:from>
      <xdr:col>0</xdr:col>
      <xdr:colOff>47624</xdr:colOff>
      <xdr:row>10</xdr:row>
      <xdr:rowOff>0</xdr:rowOff>
    </xdr:from>
    <xdr:ext cx="504000" cy="504000"/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4" y="1005840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47623</xdr:colOff>
      <xdr:row>15</xdr:row>
      <xdr:rowOff>90</xdr:rowOff>
    </xdr:from>
    <xdr:ext cx="504000" cy="504001"/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3" y="11338650"/>
          <a:ext cx="504000" cy="504001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38</xdr:row>
      <xdr:rowOff>19050</xdr:rowOff>
    </xdr:from>
    <xdr:ext cx="504000" cy="504000"/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684401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44824</xdr:colOff>
      <xdr:row>36</xdr:row>
      <xdr:rowOff>22412</xdr:rowOff>
    </xdr:from>
    <xdr:ext cx="504000" cy="504000"/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824" y="16115852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56030</xdr:colOff>
      <xdr:row>13</xdr:row>
      <xdr:rowOff>501742</xdr:rowOff>
    </xdr:from>
    <xdr:ext cx="504000" cy="504561"/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6030" y="11154502"/>
          <a:ext cx="504000" cy="504561"/>
        </a:xfrm>
        <a:prstGeom prst="rect">
          <a:avLst/>
        </a:prstGeom>
      </xdr:spPr>
    </xdr:pic>
    <xdr:clientData/>
  </xdr:oneCellAnchor>
  <xdr:oneCellAnchor>
    <xdr:from>
      <xdr:col>0</xdr:col>
      <xdr:colOff>47630</xdr:colOff>
      <xdr:row>35</xdr:row>
      <xdr:rowOff>0</xdr:rowOff>
    </xdr:from>
    <xdr:ext cx="504000" cy="506721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30" y="15910560"/>
          <a:ext cx="504000" cy="506721"/>
        </a:xfrm>
        <a:prstGeom prst="rect">
          <a:avLst/>
        </a:prstGeom>
      </xdr:spPr>
    </xdr:pic>
    <xdr:clientData/>
  </xdr:oneCellAnchor>
  <xdr:oneCellAnchor>
    <xdr:from>
      <xdr:col>0</xdr:col>
      <xdr:colOff>52393</xdr:colOff>
      <xdr:row>46</xdr:row>
      <xdr:rowOff>9526</xdr:rowOff>
    </xdr:from>
    <xdr:ext cx="504000" cy="504000"/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2393" y="16468726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47630</xdr:colOff>
      <xdr:row>34</xdr:row>
      <xdr:rowOff>4763</xdr:rowOff>
    </xdr:from>
    <xdr:ext cx="504000" cy="506722"/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7630" y="15732443"/>
          <a:ext cx="504000" cy="506722"/>
        </a:xfrm>
        <a:prstGeom prst="rect">
          <a:avLst/>
        </a:prstGeom>
      </xdr:spPr>
    </xdr:pic>
    <xdr:clientData/>
  </xdr:oneCellAnchor>
  <xdr:oneCellAnchor>
    <xdr:from>
      <xdr:col>0</xdr:col>
      <xdr:colOff>52393</xdr:colOff>
      <xdr:row>37</xdr:row>
      <xdr:rowOff>0</xdr:rowOff>
    </xdr:from>
    <xdr:ext cx="504000" cy="504561"/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2393" y="16642080"/>
          <a:ext cx="504000" cy="504561"/>
        </a:xfrm>
        <a:prstGeom prst="rect">
          <a:avLst/>
        </a:prstGeom>
      </xdr:spPr>
    </xdr:pic>
    <xdr:clientData/>
  </xdr:oneCellAnchor>
  <xdr:oneCellAnchor>
    <xdr:from>
      <xdr:col>0</xdr:col>
      <xdr:colOff>57156</xdr:colOff>
      <xdr:row>44</xdr:row>
      <xdr:rowOff>0</xdr:rowOff>
    </xdr:from>
    <xdr:ext cx="479937" cy="504000"/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6" y="15179040"/>
          <a:ext cx="479937" cy="504000"/>
        </a:xfrm>
        <a:prstGeom prst="rect">
          <a:avLst/>
        </a:prstGeom>
      </xdr:spPr>
    </xdr:pic>
    <xdr:clientData/>
  </xdr:oneCellAnchor>
  <xdr:oneCellAnchor>
    <xdr:from>
      <xdr:col>0</xdr:col>
      <xdr:colOff>38104</xdr:colOff>
      <xdr:row>42</xdr:row>
      <xdr:rowOff>9526</xdr:rowOff>
    </xdr:from>
    <xdr:ext cx="504000" cy="504000"/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8104" y="17017366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38104</xdr:colOff>
      <xdr:row>13</xdr:row>
      <xdr:rowOff>0</xdr:rowOff>
    </xdr:from>
    <xdr:ext cx="517622" cy="506721"/>
    <xdr:pic>
      <xdr:nvPicPr>
        <xdr:cNvPr id="31" name="Рисунок 21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4" y="10972799"/>
          <a:ext cx="517622" cy="5067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213360</xdr:colOff>
          <xdr:row>3</xdr:row>
          <xdr:rowOff>30480</xdr:rowOff>
        </xdr:from>
        <xdr:to>
          <xdr:col>3</xdr:col>
          <xdr:colOff>1146810</xdr:colOff>
          <xdr:row>3</xdr:row>
          <xdr:rowOff>346710</xdr:rowOff>
        </xdr:to>
        <xdr:sp macro="" textlink="">
          <xdr:nvSpPr>
            <xdr:cNvPr id="6149" name="Drop Down 1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0</xdr:col>
      <xdr:colOff>57836</xdr:colOff>
      <xdr:row>11</xdr:row>
      <xdr:rowOff>4768</xdr:rowOff>
    </xdr:from>
    <xdr:ext cx="504000" cy="504000"/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7836" y="13998354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32658</xdr:colOff>
      <xdr:row>41</xdr:row>
      <xdr:rowOff>0</xdr:rowOff>
    </xdr:from>
    <xdr:ext cx="504000" cy="504000"/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35242500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32658</xdr:colOff>
      <xdr:row>48</xdr:row>
      <xdr:rowOff>0</xdr:rowOff>
    </xdr:from>
    <xdr:ext cx="504000" cy="504000"/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27638829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47625</xdr:colOff>
      <xdr:row>33</xdr:row>
      <xdr:rowOff>9525</xdr:rowOff>
    </xdr:from>
    <xdr:ext cx="504000" cy="504000"/>
    <xdr:pic>
      <xdr:nvPicPr>
        <xdr:cNvPr id="36" name="Рисунок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9879925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54430</xdr:colOff>
      <xdr:row>12</xdr:row>
      <xdr:rowOff>0</xdr:rowOff>
    </xdr:from>
    <xdr:ext cx="504000" cy="499516"/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0" y="9780814"/>
          <a:ext cx="504000" cy="499516"/>
        </a:xfrm>
        <a:prstGeom prst="rect">
          <a:avLst/>
        </a:prstGeom>
      </xdr:spPr>
    </xdr:pic>
    <xdr:clientData/>
  </xdr:oneCellAnchor>
  <xdr:twoCellAnchor editAs="oneCell">
    <xdr:from>
      <xdr:col>0</xdr:col>
      <xdr:colOff>39008</xdr:colOff>
      <xdr:row>45</xdr:row>
      <xdr:rowOff>5443</xdr:rowOff>
    </xdr:from>
    <xdr:to>
      <xdr:col>0</xdr:col>
      <xdr:colOff>544018</xdr:colOff>
      <xdr:row>45</xdr:row>
      <xdr:rowOff>509443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9008" y="26599243"/>
          <a:ext cx="505010" cy="5040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99060</xdr:colOff>
          <xdr:row>3</xdr:row>
          <xdr:rowOff>3810</xdr:rowOff>
        </xdr:from>
        <xdr:to>
          <xdr:col>9</xdr:col>
          <xdr:colOff>792480</xdr:colOff>
          <xdr:row>3</xdr:row>
          <xdr:rowOff>320040</xdr:rowOff>
        </xdr:to>
        <xdr:sp macro="" textlink="">
          <xdr:nvSpPr>
            <xdr:cNvPr id="6150" name="Drop Down 1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  <xdr:oneCellAnchor>
    <xdr:from>
      <xdr:col>0</xdr:col>
      <xdr:colOff>65316</xdr:colOff>
      <xdr:row>31</xdr:row>
      <xdr:rowOff>0</xdr:rowOff>
    </xdr:from>
    <xdr:ext cx="479937" cy="504000"/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6" y="15000514"/>
          <a:ext cx="479937" cy="504000"/>
        </a:xfrm>
        <a:prstGeom prst="rect">
          <a:avLst/>
        </a:prstGeom>
      </xdr:spPr>
    </xdr:pic>
    <xdr:clientData/>
  </xdr:oneCellAnchor>
  <xdr:oneCellAnchor>
    <xdr:from>
      <xdr:col>0</xdr:col>
      <xdr:colOff>32658</xdr:colOff>
      <xdr:row>30</xdr:row>
      <xdr:rowOff>0</xdr:rowOff>
    </xdr:from>
    <xdr:ext cx="504000" cy="504000"/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20867914"/>
          <a:ext cx="504000" cy="504000"/>
        </a:xfrm>
        <a:prstGeom prst="rect">
          <a:avLst/>
        </a:prstGeom>
      </xdr:spPr>
    </xdr:pic>
    <xdr:clientData/>
  </xdr:oneCellAnchor>
  <xdr:oneCellAnchor>
    <xdr:from>
      <xdr:col>0</xdr:col>
      <xdr:colOff>43918</xdr:colOff>
      <xdr:row>39</xdr:row>
      <xdr:rowOff>0</xdr:rowOff>
    </xdr:from>
    <xdr:ext cx="504000" cy="504000"/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3918" y="19267714"/>
          <a:ext cx="504000" cy="504000"/>
        </a:xfrm>
        <a:prstGeom prst="rect">
          <a:avLst/>
        </a:prstGeom>
      </xdr:spPr>
    </xdr:pic>
    <xdr:clientData/>
  </xdr:oneCellAnchor>
  <xdr:twoCellAnchor editAs="oneCell">
    <xdr:from>
      <xdr:col>0</xdr:col>
      <xdr:colOff>43544</xdr:colOff>
      <xdr:row>39</xdr:row>
      <xdr:rowOff>530038</xdr:rowOff>
    </xdr:from>
    <xdr:to>
      <xdr:col>0</xdr:col>
      <xdr:colOff>550926</xdr:colOff>
      <xdr:row>40</xdr:row>
      <xdr:rowOff>500638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3544" y="19797752"/>
          <a:ext cx="507382" cy="504000"/>
        </a:xfrm>
        <a:prstGeom prst="rect">
          <a:avLst/>
        </a:prstGeom>
      </xdr:spPr>
    </xdr:pic>
    <xdr:clientData/>
  </xdr:twoCellAnchor>
  <xdr:oneCellAnchor>
    <xdr:from>
      <xdr:col>0</xdr:col>
      <xdr:colOff>32658</xdr:colOff>
      <xdr:row>43</xdr:row>
      <xdr:rowOff>0</xdr:rowOff>
    </xdr:from>
    <xdr:ext cx="504000" cy="504000"/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8" y="21401314"/>
          <a:ext cx="504000" cy="504000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manager\AppData\Local\Temp\Rar$DI00.349\DOCUME~1\ZaziOne\LOCALS~1\Temp\bat\&#1056;&#1072;&#1089;&#1095;&#1077;&#1090;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AZIPC\Exchange\_&#1071;&#1085;&#1072;\&#1056;&#1052;C%20&#1040;&#1074;&#1090;&#1086;\&#1060;&#1080;&#1085;&#1072;&#1085;&#1089;&#1086;&#1074;&#1072;&#1103;%20&#1084;&#1086;&#1076;&#1077;&#1083;&#1100;%20&#1092;&#1088;&#1072;&#1085;&#1096;&#1080;&#1079;&#1099;%20RMSAuto%2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manager\AppData\Local\Temp\Rar$DI00.349\Documents%20and%20Settings\&#1052;&#1072;&#1088;&#1075;&#1086;\&#1056;&#1072;&#1073;&#1086;&#1095;&#1080;&#1081;%20&#1089;&#1090;&#1086;&#1083;\5.%20&#1058;&#1069;&#1054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мпания"/>
      <sheetName val="Проект"/>
      <sheetName val="Сумм"/>
      <sheetName val="Анализ"/>
      <sheetName val="Отчет"/>
      <sheetName val="Опции"/>
      <sheetName val="Язык"/>
    </sheetNames>
    <sheetDataSet>
      <sheetData sheetId="0" refreshError="1"/>
      <sheetData sheetId="1" refreshError="1">
        <row r="7">
          <cell r="D7">
            <v>39083</v>
          </cell>
        </row>
        <row r="8">
          <cell r="D8">
            <v>6</v>
          </cell>
        </row>
        <row r="9">
          <cell r="D9">
            <v>3</v>
          </cell>
          <cell r="E9" t="str">
            <v>пг.</v>
          </cell>
        </row>
        <row r="10">
          <cell r="D10">
            <v>180</v>
          </cell>
        </row>
        <row r="11">
          <cell r="B11" t="str">
            <v>грн.</v>
          </cell>
          <cell r="D11">
            <v>4</v>
          </cell>
        </row>
        <row r="12">
          <cell r="B12" t="str">
            <v>тыс. $</v>
          </cell>
          <cell r="D12">
            <v>6</v>
          </cell>
        </row>
        <row r="17">
          <cell r="D17">
            <v>0</v>
          </cell>
        </row>
        <row r="18">
          <cell r="D18" t="b">
            <v>0</v>
          </cell>
        </row>
        <row r="19">
          <cell r="B19" t="str">
            <v>грн.</v>
          </cell>
          <cell r="D19">
            <v>1</v>
          </cell>
        </row>
        <row r="20">
          <cell r="D20" t="b">
            <v>1</v>
          </cell>
        </row>
        <row r="25">
          <cell r="F25">
            <v>2007</v>
          </cell>
        </row>
        <row r="26">
          <cell r="F26">
            <v>1</v>
          </cell>
        </row>
        <row r="86">
          <cell r="F86" t="str">
            <v>"0"</v>
          </cell>
          <cell r="G86" t="str">
            <v>1/ 2007</v>
          </cell>
          <cell r="H86" t="str">
            <v>2/ 2007</v>
          </cell>
          <cell r="I86" t="str">
            <v>1/ 2008</v>
          </cell>
          <cell r="J86" t="str">
            <v>2/ 2008</v>
          </cell>
          <cell r="K86" t="str">
            <v>1/ 2009</v>
          </cell>
          <cell r="L86" t="str">
            <v>2/ 2009</v>
          </cell>
        </row>
        <row r="88">
          <cell r="F88">
            <v>2</v>
          </cell>
        </row>
        <row r="749">
          <cell r="B749">
            <v>0</v>
          </cell>
        </row>
        <row r="751">
          <cell r="B751">
            <v>0</v>
          </cell>
        </row>
        <row r="755">
          <cell r="B755">
            <v>0</v>
          </cell>
        </row>
        <row r="760">
          <cell r="B760">
            <v>0</v>
          </cell>
          <cell r="C760">
            <v>0</v>
          </cell>
        </row>
        <row r="761">
          <cell r="B761">
            <v>0</v>
          </cell>
          <cell r="C761">
            <v>0</v>
          </cell>
        </row>
        <row r="772">
          <cell r="B772">
            <v>0</v>
          </cell>
          <cell r="C772">
            <v>0</v>
          </cell>
        </row>
        <row r="773">
          <cell r="B773">
            <v>0</v>
          </cell>
          <cell r="C773">
            <v>10</v>
          </cell>
        </row>
        <row r="889">
          <cell r="B889">
            <v>0.2</v>
          </cell>
        </row>
        <row r="890">
          <cell r="B890">
            <v>30</v>
          </cell>
        </row>
        <row r="891">
          <cell r="B891">
            <v>2</v>
          </cell>
        </row>
        <row r="892">
          <cell r="B892">
            <v>1</v>
          </cell>
        </row>
        <row r="945">
          <cell r="B945">
            <v>0.25</v>
          </cell>
        </row>
        <row r="946">
          <cell r="B946">
            <v>60</v>
          </cell>
        </row>
      </sheetData>
      <sheetData sheetId="2" refreshError="1"/>
      <sheetData sheetId="3" refreshError="1">
        <row r="9">
          <cell r="E9">
            <v>4</v>
          </cell>
        </row>
      </sheetData>
      <sheetData sheetId="4" refreshError="1"/>
      <sheetData sheetId="5" refreshError="1">
        <row r="5">
          <cell r="B5" t="str">
            <v>5.05</v>
          </cell>
        </row>
        <row r="10">
          <cell r="B10" t="b">
            <v>1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Исходные данные"/>
      <sheetName val="2. Резюме проекта"/>
      <sheetName val="3. Детальный расчет"/>
    </sheetNames>
    <sheetDataSet>
      <sheetData sheetId="0">
        <row r="1">
          <cell r="I1">
            <v>4</v>
          </cell>
        </row>
      </sheetData>
      <sheetData sheetId="1"/>
      <sheetData sheetId="2">
        <row r="12">
          <cell r="D12">
            <v>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105"/>
  <sheetViews>
    <sheetView showGridLines="0" tabSelected="1" zoomScale="60" zoomScaleNormal="60" workbookViewId="0">
      <selection sqref="A1:K1"/>
    </sheetView>
  </sheetViews>
  <sheetFormatPr defaultRowHeight="34.200000000000003" customHeight="1" x14ac:dyDescent="0.55000000000000004"/>
  <cols>
    <col min="1" max="1" width="8.41796875" customWidth="1"/>
    <col min="2" max="2" width="24.41796875" customWidth="1"/>
    <col min="3" max="3" width="19.578125" customWidth="1"/>
    <col min="4" max="4" width="21.20703125" customWidth="1"/>
    <col min="5" max="5" width="36.47265625" customWidth="1"/>
    <col min="6" max="6" width="21.20703125" customWidth="1"/>
    <col min="7" max="7" width="23.47265625" customWidth="1"/>
    <col min="8" max="8" width="21.20703125" customWidth="1"/>
    <col min="9" max="9" width="23.47265625" customWidth="1"/>
    <col min="10" max="10" width="21.20703125" customWidth="1"/>
    <col min="11" max="11" width="18.05078125" customWidth="1"/>
    <col min="12" max="12" width="11.83984375" customWidth="1"/>
    <col min="13" max="14" width="9.15625" customWidth="1"/>
    <col min="15" max="15" width="1.68359375" hidden="1" customWidth="1"/>
    <col min="16" max="16" width="4.26171875" hidden="1" customWidth="1"/>
    <col min="17" max="17" width="1.68359375" hidden="1" customWidth="1"/>
    <col min="18" max="18" width="8.15625" hidden="1" customWidth="1"/>
    <col min="19" max="24" width="8.83984375" customWidth="1"/>
  </cols>
  <sheetData>
    <row r="1" spans="1:27" ht="34.200000000000003" customHeight="1" x14ac:dyDescent="0.55000000000000004">
      <c r="A1" s="291" t="s">
        <v>5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80"/>
    </row>
    <row r="2" spans="1:27" ht="72.599999999999994" customHeight="1" x14ac:dyDescent="0.55000000000000004">
      <c r="A2" s="295" t="s">
        <v>138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148"/>
      <c r="O2" s="76">
        <v>1</v>
      </c>
      <c r="P2" s="82" t="s">
        <v>60</v>
      </c>
      <c r="Q2" s="94">
        <v>1</v>
      </c>
      <c r="R2" s="94" t="s">
        <v>24</v>
      </c>
      <c r="T2" s="94"/>
      <c r="U2" s="94"/>
    </row>
    <row r="3" spans="1:27" ht="34.200000000000003" customHeight="1" x14ac:dyDescent="0.55000000000000004">
      <c r="A3" s="75" t="s">
        <v>49</v>
      </c>
      <c r="B3" s="81"/>
      <c r="K3" s="73"/>
      <c r="L3" s="161"/>
      <c r="M3" s="74"/>
      <c r="O3" s="82"/>
      <c r="P3" s="82" t="str">
        <f>E5</f>
        <v>USD</v>
      </c>
      <c r="Q3" s="94"/>
      <c r="R3" s="94" t="s">
        <v>25</v>
      </c>
      <c r="T3" s="94"/>
      <c r="U3" s="94"/>
    </row>
    <row r="4" spans="1:27" ht="34.200000000000003" customHeight="1" x14ac:dyDescent="0.55000000000000004">
      <c r="A4" s="140" t="s">
        <v>23</v>
      </c>
      <c r="B4" s="81"/>
      <c r="I4" s="138"/>
      <c r="K4" s="73"/>
      <c r="L4" s="73"/>
      <c r="M4" s="74"/>
      <c r="O4" s="82"/>
      <c r="P4" s="82" t="str">
        <f>G5</f>
        <v>EUR</v>
      </c>
      <c r="Q4" s="94"/>
      <c r="R4" s="94" t="s">
        <v>52</v>
      </c>
    </row>
    <row r="5" spans="1:27" ht="46.5" customHeight="1" x14ac:dyDescent="0.55000000000000004">
      <c r="A5" s="298" t="s">
        <v>119</v>
      </c>
      <c r="B5" s="298"/>
      <c r="C5" s="298"/>
      <c r="D5" s="299"/>
      <c r="E5" s="157" t="s">
        <v>61</v>
      </c>
      <c r="F5" s="158">
        <v>28</v>
      </c>
      <c r="G5" s="300" t="s">
        <v>62</v>
      </c>
      <c r="H5" s="301"/>
      <c r="I5" s="158">
        <v>30</v>
      </c>
      <c r="J5" s="157" t="s">
        <v>63</v>
      </c>
      <c r="K5" s="158">
        <v>0.41689999999999999</v>
      </c>
      <c r="L5" s="73"/>
      <c r="M5" s="74"/>
      <c r="O5" s="82"/>
      <c r="P5" s="82" t="str">
        <f>J5</f>
        <v>RUB</v>
      </c>
      <c r="Q5" s="94"/>
      <c r="R5" s="94" t="s">
        <v>53</v>
      </c>
    </row>
    <row r="6" spans="1:27" ht="17.7" customHeight="1" x14ac:dyDescent="0.55000000000000004">
      <c r="A6" s="77"/>
      <c r="P6" s="82"/>
      <c r="Q6" s="94"/>
      <c r="R6" s="94" t="s">
        <v>54</v>
      </c>
    </row>
    <row r="7" spans="1:27" ht="46.5" customHeight="1" x14ac:dyDescent="0.55000000000000004">
      <c r="A7" s="308" t="s">
        <v>90</v>
      </c>
      <c r="B7" s="308"/>
      <c r="C7" s="308"/>
      <c r="D7" s="303" t="s">
        <v>139</v>
      </c>
      <c r="E7" s="303"/>
      <c r="F7" s="303"/>
      <c r="G7" s="303" t="s">
        <v>140</v>
      </c>
      <c r="H7" s="303"/>
      <c r="I7" s="303" t="s">
        <v>141</v>
      </c>
      <c r="J7" s="303"/>
      <c r="K7" s="303"/>
      <c r="L7" s="73"/>
      <c r="M7" s="74"/>
      <c r="O7" s="82"/>
      <c r="P7" s="82"/>
      <c r="Q7" s="94"/>
      <c r="R7" s="94" t="s">
        <v>76</v>
      </c>
    </row>
    <row r="8" spans="1:27" ht="17.7" customHeight="1" x14ac:dyDescent="0.55000000000000004">
      <c r="A8" s="77"/>
      <c r="P8" s="82"/>
      <c r="Q8" s="94"/>
      <c r="R8" s="94" t="s">
        <v>26</v>
      </c>
    </row>
    <row r="9" spans="1:27" ht="34.200000000000003" customHeight="1" x14ac:dyDescent="0.55000000000000004">
      <c r="A9" s="77" t="s">
        <v>51</v>
      </c>
      <c r="P9" s="82"/>
      <c r="Q9" s="94"/>
      <c r="R9" s="94" t="s">
        <v>27</v>
      </c>
    </row>
    <row r="10" spans="1:27" ht="17.7" customHeight="1" x14ac:dyDescent="0.7">
      <c r="A10" s="169"/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85"/>
      <c r="O10" s="84"/>
      <c r="Q10" s="84"/>
      <c r="R10" s="84" t="s">
        <v>28</v>
      </c>
      <c r="S10" s="84"/>
      <c r="T10" s="84"/>
      <c r="U10" s="84"/>
      <c r="V10" s="84"/>
      <c r="W10" s="84"/>
      <c r="X10" s="84"/>
      <c r="Y10" s="84"/>
      <c r="Z10" s="84"/>
      <c r="AA10" s="84"/>
    </row>
    <row r="11" spans="1:27" s="1" customFormat="1" ht="39.299999999999997" customHeight="1" x14ac:dyDescent="0.55000000000000004">
      <c r="A11" s="309" t="s">
        <v>145</v>
      </c>
      <c r="B11" s="309"/>
      <c r="C11" s="309" t="s">
        <v>129</v>
      </c>
      <c r="D11" s="309"/>
      <c r="E11" s="281" t="s">
        <v>143</v>
      </c>
      <c r="F11" s="281"/>
      <c r="G11" s="281"/>
      <c r="H11" s="281" t="s">
        <v>144</v>
      </c>
      <c r="I11" s="281" t="s">
        <v>130</v>
      </c>
      <c r="J11" s="281"/>
      <c r="K11" s="281"/>
      <c r="L11" s="68"/>
      <c r="O11" s="68"/>
      <c r="P11" s="70"/>
      <c r="Q11" s="95"/>
      <c r="R11" s="94" t="s">
        <v>29</v>
      </c>
      <c r="S11" s="71"/>
    </row>
    <row r="12" spans="1:27" s="1" customFormat="1" ht="59.4" customHeight="1" x14ac:dyDescent="0.55000000000000004">
      <c r="A12" s="309"/>
      <c r="B12" s="309"/>
      <c r="C12" s="309"/>
      <c r="D12" s="309"/>
      <c r="E12" s="244" t="s">
        <v>60</v>
      </c>
      <c r="F12" s="281" t="str">
        <f>"В валюте, в которой производиться расчет, "&amp;CHOOSE($O$2,$P$2,$P$3,$P$4,$P$5)&amp;""</f>
        <v>В валюте, в которой производиться расчет, UAH</v>
      </c>
      <c r="G12" s="281"/>
      <c r="H12" s="281"/>
      <c r="I12" s="244" t="s">
        <v>131</v>
      </c>
      <c r="J12" s="281" t="str">
        <f>"В валюте, в которой производиться расчет, "&amp;CHOOSE($O$2,$P$2,$P$3,$P$4,$P$5)&amp;"/мес."</f>
        <v>В валюте, в которой производиться расчет, UAH/мес.</v>
      </c>
      <c r="K12" s="281"/>
      <c r="L12" s="68"/>
      <c r="O12" s="68"/>
      <c r="P12" s="70"/>
      <c r="Q12" s="95"/>
      <c r="R12" s="94" t="s">
        <v>30</v>
      </c>
      <c r="S12" s="71"/>
    </row>
    <row r="13" spans="1:27" s="1" customFormat="1" ht="44.7" customHeight="1" x14ac:dyDescent="0.55000000000000004">
      <c r="A13" s="302" t="str">
        <f>D7</f>
        <v>Спа-салон 150 кв.м.</v>
      </c>
      <c r="B13" s="302"/>
      <c r="C13" s="331" t="s">
        <v>142</v>
      </c>
      <c r="D13" s="331"/>
      <c r="E13" s="253">
        <v>1200</v>
      </c>
      <c r="F13" s="310">
        <f>E13/CHOOSE($O$2,1,$F$5,$I$5,$K$5)</f>
        <v>1200</v>
      </c>
      <c r="G13" s="310"/>
      <c r="H13" s="247">
        <f>I13/E13/30</f>
        <v>9.1439444444444451</v>
      </c>
      <c r="I13" s="253">
        <v>329182</v>
      </c>
      <c r="J13" s="310">
        <f>I13/CHOOSE($O$2,1,$F$5,$I$5,$K$5)</f>
        <v>329182</v>
      </c>
      <c r="K13" s="310"/>
      <c r="L13" s="68"/>
      <c r="O13" s="68"/>
      <c r="P13" s="70"/>
      <c r="Q13" s="95"/>
      <c r="R13" s="94" t="s">
        <v>31</v>
      </c>
      <c r="S13" s="95"/>
      <c r="T13" s="95"/>
      <c r="U13" s="95"/>
      <c r="V13" s="95"/>
      <c r="W13" s="95"/>
      <c r="X13" s="95"/>
    </row>
    <row r="14" spans="1:27" ht="44.7" customHeight="1" x14ac:dyDescent="0.55000000000000004">
      <c r="A14" s="302" t="str">
        <f>G7</f>
        <v>Спа-салон 200 кв.м.</v>
      </c>
      <c r="B14" s="302"/>
      <c r="C14" s="331"/>
      <c r="D14" s="331"/>
      <c r="E14" s="253">
        <v>1140</v>
      </c>
      <c r="F14" s="310">
        <f>E14/CHOOSE($O$2,1,$F$5,$I$5,$K$5)</f>
        <v>1140</v>
      </c>
      <c r="G14" s="310"/>
      <c r="H14" s="247">
        <f>I14/E14/30</f>
        <v>12.813128654970761</v>
      </c>
      <c r="I14" s="253">
        <v>438209</v>
      </c>
      <c r="J14" s="310">
        <f>I14/CHOOSE($O$2,1,$F$5,$I$5,$K$5)</f>
        <v>438209</v>
      </c>
      <c r="K14" s="310"/>
      <c r="L14" s="78"/>
      <c r="O14" s="94"/>
      <c r="P14" s="94"/>
      <c r="Q14" s="72"/>
      <c r="R14" s="95"/>
      <c r="S14" s="95"/>
      <c r="T14" s="95"/>
      <c r="U14" s="95"/>
      <c r="V14" s="95"/>
      <c r="W14" s="95"/>
      <c r="X14" s="95"/>
      <c r="Y14" s="1"/>
    </row>
    <row r="15" spans="1:27" ht="44.7" customHeight="1" x14ac:dyDescent="0.55000000000000004">
      <c r="A15" s="302" t="str">
        <f>I7</f>
        <v>Спа-салон 300 кв.м.</v>
      </c>
      <c r="B15" s="302"/>
      <c r="C15" s="331"/>
      <c r="D15" s="331"/>
      <c r="E15" s="253">
        <v>1500</v>
      </c>
      <c r="F15" s="310">
        <f>E15/CHOOSE($O$2,1,$F$5,$I$5,$K$5)</f>
        <v>1500</v>
      </c>
      <c r="G15" s="310"/>
      <c r="H15" s="247">
        <f>I15/E15/30</f>
        <v>14.630088888888888</v>
      </c>
      <c r="I15" s="253">
        <v>658354</v>
      </c>
      <c r="J15" s="310">
        <f>I15/CHOOSE($O$2,1,$F$5,$I$5,$K$5)</f>
        <v>658354</v>
      </c>
      <c r="K15" s="310"/>
      <c r="M15" s="156"/>
      <c r="R15" s="95"/>
      <c r="S15" s="95"/>
      <c r="T15" s="95"/>
      <c r="U15" s="95"/>
      <c r="V15" s="95"/>
      <c r="W15" s="95"/>
      <c r="X15" s="95"/>
      <c r="Y15" s="1"/>
    </row>
    <row r="16" spans="1:27" ht="23.1" customHeight="1" x14ac:dyDescent="0.55000000000000004">
      <c r="A16" s="77"/>
      <c r="P16" s="82"/>
      <c r="Q16" s="94"/>
    </row>
    <row r="17" spans="1:19" ht="47.1" customHeight="1" thickBot="1" x14ac:dyDescent="0.6">
      <c r="A17" s="77" t="s">
        <v>120</v>
      </c>
      <c r="P17" s="82"/>
      <c r="Q17" s="94"/>
    </row>
    <row r="18" spans="1:19" s="1" customFormat="1" ht="30.6" customHeight="1" x14ac:dyDescent="0.55000000000000004">
      <c r="A18" s="278" t="s">
        <v>96</v>
      </c>
      <c r="B18" s="279"/>
      <c r="C18" s="279"/>
      <c r="D18" s="279" t="s">
        <v>93</v>
      </c>
      <c r="E18" s="279"/>
      <c r="F18" s="311"/>
      <c r="G18" s="314" t="s">
        <v>121</v>
      </c>
      <c r="H18" s="315"/>
      <c r="I18" s="315"/>
      <c r="J18" s="315"/>
      <c r="K18" s="316"/>
      <c r="L18" s="68"/>
      <c r="O18" s="68"/>
      <c r="P18" s="70"/>
      <c r="Q18" s="95"/>
      <c r="S18" s="71"/>
    </row>
    <row r="19" spans="1:19" s="1" customFormat="1" ht="53.1" customHeight="1" x14ac:dyDescent="0.55000000000000004">
      <c r="A19" s="280"/>
      <c r="B19" s="281"/>
      <c r="C19" s="281"/>
      <c r="D19" s="248" t="str">
        <f>D7</f>
        <v>Спа-салон 150 кв.м.</v>
      </c>
      <c r="E19" s="248" t="str">
        <f>G7</f>
        <v>Спа-салон 200 кв.м.</v>
      </c>
      <c r="F19" s="250" t="str">
        <f>I7</f>
        <v>Спа-салон 300 кв.м.</v>
      </c>
      <c r="G19" s="282" t="s">
        <v>122</v>
      </c>
      <c r="H19" s="283"/>
      <c r="I19" s="248" t="str">
        <f>D19</f>
        <v>Спа-салон 150 кв.м.</v>
      </c>
      <c r="J19" s="248" t="str">
        <f>E19</f>
        <v>Спа-салон 200 кв.м.</v>
      </c>
      <c r="K19" s="250" t="str">
        <f>F19</f>
        <v>Спа-салон 300 кв.м.</v>
      </c>
      <c r="L19" s="68"/>
      <c r="O19" s="68"/>
      <c r="P19" s="70"/>
      <c r="Q19" s="95"/>
      <c r="S19" s="71"/>
    </row>
    <row r="20" spans="1:19" s="1" customFormat="1" ht="35.049999999999997" customHeight="1" x14ac:dyDescent="0.55000000000000004">
      <c r="A20" s="312">
        <v>1</v>
      </c>
      <c r="B20" s="313"/>
      <c r="C20" s="313"/>
      <c r="D20" s="225">
        <v>0.7</v>
      </c>
      <c r="E20" s="225">
        <v>0.7</v>
      </c>
      <c r="F20" s="226">
        <v>0.7</v>
      </c>
      <c r="G20" s="262" t="str">
        <f t="shared" ref="G20:G31" si="0">R2</f>
        <v>январь</v>
      </c>
      <c r="H20" s="263"/>
      <c r="I20" s="252">
        <v>0.63</v>
      </c>
      <c r="J20" s="252">
        <v>0.63</v>
      </c>
      <c r="K20" s="226">
        <v>0.63</v>
      </c>
      <c r="L20" s="68"/>
      <c r="O20" s="68"/>
      <c r="P20" s="70"/>
      <c r="Q20" s="95"/>
      <c r="S20" s="71"/>
    </row>
    <row r="21" spans="1:19" ht="35.049999999999997" customHeight="1" x14ac:dyDescent="0.55000000000000004">
      <c r="A21" s="312">
        <v>2</v>
      </c>
      <c r="B21" s="313"/>
      <c r="C21" s="313"/>
      <c r="D21" s="225">
        <v>0.8</v>
      </c>
      <c r="E21" s="225">
        <v>0.8</v>
      </c>
      <c r="F21" s="226">
        <v>0.8</v>
      </c>
      <c r="G21" s="262" t="str">
        <f t="shared" si="0"/>
        <v>февраль</v>
      </c>
      <c r="H21" s="263"/>
      <c r="I21" s="252">
        <v>0.7</v>
      </c>
      <c r="J21" s="252">
        <v>0.7</v>
      </c>
      <c r="K21" s="226">
        <v>0.7</v>
      </c>
      <c r="L21" s="78"/>
      <c r="O21" s="94"/>
      <c r="P21" s="94"/>
      <c r="Q21" s="72"/>
      <c r="S21" s="72"/>
    </row>
    <row r="22" spans="1:19" ht="35.049999999999997" customHeight="1" x14ac:dyDescent="0.55000000000000004">
      <c r="A22" s="312">
        <v>3</v>
      </c>
      <c r="B22" s="313"/>
      <c r="C22" s="313"/>
      <c r="D22" s="225">
        <v>0.9</v>
      </c>
      <c r="E22" s="225">
        <v>0.9</v>
      </c>
      <c r="F22" s="226">
        <v>0.9</v>
      </c>
      <c r="G22" s="262" t="str">
        <f t="shared" si="0"/>
        <v>март</v>
      </c>
      <c r="H22" s="263"/>
      <c r="I22" s="252">
        <v>1.05</v>
      </c>
      <c r="J22" s="252">
        <v>1.05</v>
      </c>
      <c r="K22" s="226">
        <v>1.05</v>
      </c>
      <c r="M22" s="156"/>
    </row>
    <row r="23" spans="1:19" s="1" customFormat="1" ht="35.049999999999997" customHeight="1" x14ac:dyDescent="0.55000000000000004">
      <c r="A23" s="312">
        <v>4</v>
      </c>
      <c r="B23" s="313"/>
      <c r="C23" s="313"/>
      <c r="D23" s="225">
        <v>1</v>
      </c>
      <c r="E23" s="225">
        <v>1</v>
      </c>
      <c r="F23" s="226">
        <v>1</v>
      </c>
      <c r="G23" s="262" t="str">
        <f t="shared" si="0"/>
        <v>апрель</v>
      </c>
      <c r="H23" s="263"/>
      <c r="I23" s="252">
        <v>0.6</v>
      </c>
      <c r="J23" s="252">
        <v>0.6</v>
      </c>
      <c r="K23" s="226">
        <v>0.6</v>
      </c>
      <c r="L23" s="68"/>
      <c r="O23" s="68"/>
      <c r="P23" s="70"/>
      <c r="Q23" s="95"/>
      <c r="S23" s="71"/>
    </row>
    <row r="24" spans="1:19" ht="35.049999999999997" customHeight="1" x14ac:dyDescent="0.55000000000000004">
      <c r="A24" s="312">
        <v>5</v>
      </c>
      <c r="B24" s="313"/>
      <c r="C24" s="313"/>
      <c r="D24" s="225">
        <v>1</v>
      </c>
      <c r="E24" s="225">
        <v>1</v>
      </c>
      <c r="F24" s="226">
        <v>1</v>
      </c>
      <c r="G24" s="262" t="str">
        <f t="shared" si="0"/>
        <v>май</v>
      </c>
      <c r="H24" s="263"/>
      <c r="I24" s="252">
        <v>0.9</v>
      </c>
      <c r="J24" s="252">
        <v>0.9</v>
      </c>
      <c r="K24" s="226">
        <v>0.9</v>
      </c>
      <c r="L24" s="78"/>
      <c r="O24" s="94"/>
      <c r="P24" s="94"/>
      <c r="Q24" s="72"/>
      <c r="S24" s="72"/>
    </row>
    <row r="25" spans="1:19" ht="35.049999999999997" customHeight="1" x14ac:dyDescent="0.55000000000000004">
      <c r="A25" s="312">
        <v>6</v>
      </c>
      <c r="B25" s="313"/>
      <c r="C25" s="313"/>
      <c r="D25" s="225">
        <v>1</v>
      </c>
      <c r="E25" s="225">
        <v>1</v>
      </c>
      <c r="F25" s="226">
        <v>1</v>
      </c>
      <c r="G25" s="262" t="str">
        <f t="shared" si="0"/>
        <v>июнь</v>
      </c>
      <c r="H25" s="263"/>
      <c r="I25" s="252">
        <v>1.18</v>
      </c>
      <c r="J25" s="252">
        <v>1.18</v>
      </c>
      <c r="K25" s="226">
        <v>1.18</v>
      </c>
      <c r="M25" s="156"/>
    </row>
    <row r="26" spans="1:19" s="1" customFormat="1" ht="35.049999999999997" customHeight="1" x14ac:dyDescent="0.55000000000000004">
      <c r="A26" s="312">
        <v>7</v>
      </c>
      <c r="B26" s="313"/>
      <c r="C26" s="313"/>
      <c r="D26" s="225">
        <v>1</v>
      </c>
      <c r="E26" s="225">
        <v>1</v>
      </c>
      <c r="F26" s="226">
        <v>1</v>
      </c>
      <c r="G26" s="262" t="str">
        <f t="shared" si="0"/>
        <v>июль</v>
      </c>
      <c r="H26" s="263"/>
      <c r="I26" s="252">
        <v>1.17</v>
      </c>
      <c r="J26" s="252">
        <v>1.17</v>
      </c>
      <c r="K26" s="226">
        <v>1.17</v>
      </c>
      <c r="L26" s="68"/>
      <c r="O26" s="68"/>
      <c r="P26" s="70"/>
      <c r="Q26" s="95"/>
      <c r="S26" s="71"/>
    </row>
    <row r="27" spans="1:19" ht="35.049999999999997" customHeight="1" x14ac:dyDescent="0.55000000000000004">
      <c r="A27" s="312">
        <v>8</v>
      </c>
      <c r="B27" s="313"/>
      <c r="C27" s="313"/>
      <c r="D27" s="225">
        <v>1</v>
      </c>
      <c r="E27" s="225">
        <v>1</v>
      </c>
      <c r="F27" s="226">
        <v>1</v>
      </c>
      <c r="G27" s="262" t="str">
        <f t="shared" si="0"/>
        <v>август</v>
      </c>
      <c r="H27" s="263"/>
      <c r="I27" s="252">
        <v>1.33</v>
      </c>
      <c r="J27" s="252">
        <v>1.33</v>
      </c>
      <c r="K27" s="226">
        <v>1.33</v>
      </c>
      <c r="L27" s="78"/>
      <c r="O27" s="94"/>
      <c r="P27" s="94"/>
      <c r="Q27" s="72"/>
      <c r="S27" s="72"/>
    </row>
    <row r="28" spans="1:19" ht="35.049999999999997" customHeight="1" x14ac:dyDescent="0.55000000000000004">
      <c r="A28" s="312">
        <v>9</v>
      </c>
      <c r="B28" s="313"/>
      <c r="C28" s="313"/>
      <c r="D28" s="225">
        <v>1</v>
      </c>
      <c r="E28" s="225">
        <v>1</v>
      </c>
      <c r="F28" s="226">
        <v>1</v>
      </c>
      <c r="G28" s="262" t="str">
        <f t="shared" si="0"/>
        <v>сентябрь</v>
      </c>
      <c r="H28" s="263"/>
      <c r="I28" s="252">
        <v>1.44</v>
      </c>
      <c r="J28" s="252">
        <v>1.44</v>
      </c>
      <c r="K28" s="226">
        <v>1.44</v>
      </c>
      <c r="M28" s="156"/>
    </row>
    <row r="29" spans="1:19" s="1" customFormat="1" ht="35.049999999999997" customHeight="1" x14ac:dyDescent="0.55000000000000004">
      <c r="A29" s="312">
        <v>10</v>
      </c>
      <c r="B29" s="313"/>
      <c r="C29" s="313"/>
      <c r="D29" s="225">
        <v>1</v>
      </c>
      <c r="E29" s="225">
        <v>1</v>
      </c>
      <c r="F29" s="226">
        <v>1</v>
      </c>
      <c r="G29" s="262" t="str">
        <f t="shared" si="0"/>
        <v>октябрь</v>
      </c>
      <c r="H29" s="263"/>
      <c r="I29" s="252">
        <v>1.29</v>
      </c>
      <c r="J29" s="252">
        <v>1.29</v>
      </c>
      <c r="K29" s="226">
        <v>1.29</v>
      </c>
      <c r="L29" s="251"/>
      <c r="O29" s="68"/>
      <c r="P29" s="70"/>
      <c r="Q29" s="95"/>
      <c r="S29" s="71"/>
    </row>
    <row r="30" spans="1:19" ht="35.049999999999997" customHeight="1" x14ac:dyDescent="0.55000000000000004">
      <c r="A30" s="312">
        <v>11</v>
      </c>
      <c r="B30" s="313"/>
      <c r="C30" s="313"/>
      <c r="D30" s="225">
        <v>1</v>
      </c>
      <c r="E30" s="225">
        <v>1</v>
      </c>
      <c r="F30" s="226">
        <v>1</v>
      </c>
      <c r="G30" s="262" t="str">
        <f t="shared" si="0"/>
        <v>ноябрь</v>
      </c>
      <c r="H30" s="263"/>
      <c r="I30" s="252">
        <v>1.45</v>
      </c>
      <c r="J30" s="252">
        <v>1.45</v>
      </c>
      <c r="K30" s="226">
        <v>1.45</v>
      </c>
      <c r="L30" s="78"/>
      <c r="O30" s="94"/>
      <c r="P30" s="94"/>
      <c r="Q30" s="72"/>
      <c r="S30" s="72"/>
    </row>
    <row r="31" spans="1:19" ht="35.049999999999997" customHeight="1" thickBot="1" x14ac:dyDescent="0.6">
      <c r="A31" s="318">
        <v>12</v>
      </c>
      <c r="B31" s="319"/>
      <c r="C31" s="319"/>
      <c r="D31" s="228">
        <v>1</v>
      </c>
      <c r="E31" s="228">
        <v>1</v>
      </c>
      <c r="F31" s="229">
        <v>1</v>
      </c>
      <c r="G31" s="264" t="str">
        <f t="shared" si="0"/>
        <v>декабрь</v>
      </c>
      <c r="H31" s="265"/>
      <c r="I31" s="228">
        <v>1.64</v>
      </c>
      <c r="J31" s="228">
        <v>1.64</v>
      </c>
      <c r="K31" s="229">
        <v>1.64</v>
      </c>
      <c r="L31" s="160"/>
      <c r="M31" s="156"/>
    </row>
    <row r="32" spans="1:19" ht="32.4" customHeight="1" x14ac:dyDescent="0.55000000000000004">
      <c r="A32" s="304"/>
      <c r="B32" s="304"/>
      <c r="C32" s="304"/>
      <c r="D32" s="304"/>
      <c r="E32" s="304"/>
      <c r="F32" s="304"/>
      <c r="G32" s="304"/>
      <c r="H32" s="304"/>
      <c r="I32" s="304"/>
      <c r="J32" s="304"/>
      <c r="K32" s="304"/>
      <c r="P32" s="82"/>
      <c r="Q32" s="94"/>
    </row>
    <row r="33" spans="1:28" ht="54.3" customHeight="1" x14ac:dyDescent="0.55000000000000004">
      <c r="A33" s="305"/>
      <c r="B33" s="305"/>
      <c r="C33" s="197" t="s">
        <v>108</v>
      </c>
      <c r="D33" s="281" t="s">
        <v>94</v>
      </c>
      <c r="E33" s="281"/>
      <c r="F33" s="197" t="s">
        <v>95</v>
      </c>
      <c r="G33" s="202" t="s">
        <v>109</v>
      </c>
      <c r="H33" s="202" t="s">
        <v>110</v>
      </c>
      <c r="I33" s="202" t="s">
        <v>111</v>
      </c>
      <c r="J33" s="281" t="s">
        <v>97</v>
      </c>
      <c r="K33" s="281"/>
      <c r="P33" s="82"/>
      <c r="Q33" s="94"/>
    </row>
    <row r="34" spans="1:28" ht="43.8" customHeight="1" x14ac:dyDescent="0.55000000000000004">
      <c r="A34" s="307" t="s">
        <v>33</v>
      </c>
      <c r="B34" s="307"/>
      <c r="C34" s="196">
        <v>1.2</v>
      </c>
      <c r="D34" s="306">
        <v>1.1000000000000001</v>
      </c>
      <c r="E34" s="306"/>
      <c r="F34" s="196">
        <v>1.05</v>
      </c>
      <c r="G34" s="196">
        <v>1</v>
      </c>
      <c r="H34" s="196">
        <v>1</v>
      </c>
      <c r="I34" s="196">
        <v>1</v>
      </c>
      <c r="J34" s="306">
        <v>0.1</v>
      </c>
      <c r="K34" s="306"/>
      <c r="M34" s="156"/>
    </row>
    <row r="35" spans="1:28" ht="43.8" customHeight="1" x14ac:dyDescent="0.55000000000000004">
      <c r="A35" s="307" t="s">
        <v>35</v>
      </c>
      <c r="B35" s="307"/>
      <c r="C35" s="196">
        <v>1.4</v>
      </c>
      <c r="D35" s="306">
        <v>1.2</v>
      </c>
      <c r="E35" s="306"/>
      <c r="F35" s="196">
        <v>1.1000000000000001</v>
      </c>
      <c r="G35" s="196">
        <v>1</v>
      </c>
      <c r="H35" s="196">
        <v>1</v>
      </c>
      <c r="I35" s="196">
        <v>1</v>
      </c>
      <c r="J35" s="306"/>
      <c r="K35" s="306"/>
      <c r="M35" s="156"/>
    </row>
    <row r="36" spans="1:28" ht="56.1" customHeight="1" x14ac:dyDescent="0.55000000000000004">
      <c r="A36" s="292" t="s">
        <v>159</v>
      </c>
      <c r="B36" s="292"/>
      <c r="C36" s="292"/>
      <c r="D36" s="292"/>
      <c r="E36" s="292"/>
      <c r="F36" s="292"/>
      <c r="G36" s="292"/>
      <c r="H36" s="292"/>
      <c r="I36" s="292"/>
      <c r="J36" s="292"/>
      <c r="K36" s="292"/>
      <c r="P36" s="82"/>
      <c r="Q36" s="94"/>
    </row>
    <row r="37" spans="1:28" ht="34.200000000000003" customHeight="1" thickBot="1" x14ac:dyDescent="0.6">
      <c r="A37" s="168" t="s">
        <v>56</v>
      </c>
      <c r="H37" s="4"/>
      <c r="I37" s="4"/>
      <c r="J37" s="4"/>
    </row>
    <row r="38" spans="1:28" ht="34.200000000000003" customHeight="1" x14ac:dyDescent="0.55000000000000004">
      <c r="A38" s="168"/>
      <c r="D38" s="322" t="str">
        <f>D7</f>
        <v>Спа-салон 150 кв.м.</v>
      </c>
      <c r="E38" s="323"/>
      <c r="F38" s="322" t="str">
        <f>G7</f>
        <v>Спа-салон 200 кв.м.</v>
      </c>
      <c r="G38" s="324"/>
      <c r="H38" s="325"/>
      <c r="I38" s="326" t="str">
        <f>K19</f>
        <v>Спа-салон 300 кв.м.</v>
      </c>
      <c r="J38" s="324"/>
      <c r="K38" s="325"/>
    </row>
    <row r="39" spans="1:28" ht="62.1" customHeight="1" x14ac:dyDescent="0.6">
      <c r="D39" s="227" t="s">
        <v>60</v>
      </c>
      <c r="E39" s="223" t="str">
        <f>"В валюте, в которой производиться расчет, "&amp;CHOOSE($O$2,$P$2,$P$3,$P$4,$P$5)&amp;""</f>
        <v>В валюте, в которой производиться расчет, UAH</v>
      </c>
      <c r="F39" s="227" t="str">
        <f>D39</f>
        <v>UAH</v>
      </c>
      <c r="G39" s="281" t="str">
        <f>"В валюте, в которой производиться расчет, "&amp;CHOOSE($O$2,$P$2,$P$3,$P$4,$P$5)&amp;""</f>
        <v>В валюте, в которой производиться расчет, UAH</v>
      </c>
      <c r="H39" s="317"/>
      <c r="I39" s="224" t="str">
        <f>F39</f>
        <v>UAH</v>
      </c>
      <c r="J39" s="281" t="str">
        <f>"В валюте, в которой производиться расчет, "&amp;CHOOSE($O$2,$P$2,$P$3,$P$4,$P$5)&amp;""</f>
        <v>В валюте, в которой производиться расчет, UAH</v>
      </c>
      <c r="K39" s="317"/>
      <c r="L39" s="83"/>
      <c r="M39" s="83"/>
      <c r="P39" s="84"/>
      <c r="Q39" s="84"/>
      <c r="S39" s="84"/>
      <c r="T39" s="84"/>
      <c r="U39" s="84"/>
      <c r="V39" s="84"/>
      <c r="W39" s="84"/>
      <c r="X39" s="84"/>
      <c r="Y39" s="84"/>
      <c r="Z39" s="84"/>
      <c r="AA39" s="84"/>
      <c r="AB39" s="84"/>
    </row>
    <row r="40" spans="1:28" ht="42" customHeight="1" x14ac:dyDescent="0.6">
      <c r="A40" s="83"/>
      <c r="B40" s="258" t="s">
        <v>43</v>
      </c>
      <c r="C40" s="258"/>
      <c r="D40" s="233">
        <v>375000</v>
      </c>
      <c r="E40" s="239">
        <f t="shared" ref="E40:E47" si="1">D40/CHOOSE($O$2,1,$F$5,$I$5,$K$5)</f>
        <v>375000</v>
      </c>
      <c r="F40" s="233">
        <v>500000</v>
      </c>
      <c r="G40" s="320">
        <f t="shared" ref="G40:G47" si="2">F40/CHOOSE($O$2,1,$F$5,$I$5,$K$5)</f>
        <v>500000</v>
      </c>
      <c r="H40" s="321"/>
      <c r="I40" s="241">
        <v>750000</v>
      </c>
      <c r="J40" s="320">
        <f t="shared" ref="J40:J47" si="3">I40/CHOOSE($O$2,1,$F$5,$I$5,$K$5)</f>
        <v>750000</v>
      </c>
      <c r="K40" s="321"/>
      <c r="L40" s="85"/>
      <c r="O40" s="84"/>
      <c r="P40" s="84"/>
      <c r="Q40" s="84"/>
      <c r="S40" s="84"/>
      <c r="T40" s="84"/>
      <c r="U40" s="84"/>
      <c r="V40" s="84"/>
      <c r="W40" s="84"/>
      <c r="X40" s="84"/>
      <c r="Y40" s="84"/>
      <c r="Z40" s="84"/>
      <c r="AA40" s="84"/>
    </row>
    <row r="41" spans="1:28" ht="42" customHeight="1" x14ac:dyDescent="0.6">
      <c r="A41" s="83"/>
      <c r="B41" s="286" t="s">
        <v>115</v>
      </c>
      <c r="C41" s="286"/>
      <c r="D41" s="233">
        <v>150000</v>
      </c>
      <c r="E41" s="239">
        <f t="shared" si="1"/>
        <v>150000</v>
      </c>
      <c r="F41" s="233">
        <v>200000</v>
      </c>
      <c r="G41" s="320">
        <f t="shared" si="2"/>
        <v>200000</v>
      </c>
      <c r="H41" s="321"/>
      <c r="I41" s="241">
        <v>300000</v>
      </c>
      <c r="J41" s="320">
        <f t="shared" si="3"/>
        <v>300000</v>
      </c>
      <c r="K41" s="321"/>
      <c r="L41" s="85"/>
      <c r="O41" s="84"/>
      <c r="P41" s="84"/>
      <c r="Q41" s="84"/>
      <c r="S41" s="84"/>
      <c r="T41" s="84"/>
      <c r="U41" s="84"/>
      <c r="V41" s="84"/>
      <c r="W41" s="84"/>
      <c r="X41" s="84"/>
      <c r="Y41" s="84"/>
      <c r="Z41" s="84"/>
      <c r="AA41" s="84"/>
    </row>
    <row r="42" spans="1:28" ht="42" customHeight="1" x14ac:dyDescent="0.6">
      <c r="A42" s="83"/>
      <c r="B42" s="286" t="s">
        <v>116</v>
      </c>
      <c r="C42" s="286"/>
      <c r="D42" s="233">
        <v>226000</v>
      </c>
      <c r="E42" s="239">
        <f t="shared" si="1"/>
        <v>226000</v>
      </c>
      <c r="F42" s="233">
        <v>336000</v>
      </c>
      <c r="G42" s="320">
        <f t="shared" si="2"/>
        <v>336000</v>
      </c>
      <c r="H42" s="321"/>
      <c r="I42" s="241">
        <v>497000</v>
      </c>
      <c r="J42" s="320">
        <f t="shared" si="3"/>
        <v>497000</v>
      </c>
      <c r="K42" s="321"/>
      <c r="L42" s="85"/>
      <c r="O42" s="84"/>
      <c r="P42" s="84"/>
      <c r="Q42" s="84"/>
      <c r="S42" s="84"/>
      <c r="T42" s="84"/>
      <c r="U42" s="84"/>
      <c r="V42" s="84"/>
      <c r="W42" s="84"/>
      <c r="X42" s="84"/>
      <c r="Y42" s="84"/>
      <c r="Z42" s="84"/>
      <c r="AA42" s="84"/>
    </row>
    <row r="43" spans="1:28" ht="42" customHeight="1" x14ac:dyDescent="0.6">
      <c r="A43" s="139"/>
      <c r="B43" s="258" t="s">
        <v>57</v>
      </c>
      <c r="C43" s="258"/>
      <c r="D43" s="233">
        <v>25000</v>
      </c>
      <c r="E43" s="239">
        <f t="shared" si="1"/>
        <v>25000</v>
      </c>
      <c r="F43" s="233">
        <v>25000</v>
      </c>
      <c r="G43" s="320">
        <f t="shared" si="2"/>
        <v>25000</v>
      </c>
      <c r="H43" s="321"/>
      <c r="I43" s="241">
        <v>25000</v>
      </c>
      <c r="J43" s="320">
        <f t="shared" si="3"/>
        <v>25000</v>
      </c>
      <c r="K43" s="321"/>
      <c r="L43" s="85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</row>
    <row r="44" spans="1:28" ht="42" customHeight="1" x14ac:dyDescent="0.6">
      <c r="A44" s="139"/>
      <c r="B44" s="258" t="s">
        <v>55</v>
      </c>
      <c r="C44" s="258"/>
      <c r="D44" s="233">
        <v>25000</v>
      </c>
      <c r="E44" s="239">
        <f t="shared" si="1"/>
        <v>25000</v>
      </c>
      <c r="F44" s="233">
        <v>25000</v>
      </c>
      <c r="G44" s="320">
        <f t="shared" si="2"/>
        <v>25000</v>
      </c>
      <c r="H44" s="321"/>
      <c r="I44" s="241">
        <v>25000</v>
      </c>
      <c r="J44" s="320">
        <f t="shared" si="3"/>
        <v>25000</v>
      </c>
      <c r="K44" s="321"/>
      <c r="L44" s="85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</row>
    <row r="45" spans="1:28" ht="42" customHeight="1" x14ac:dyDescent="0.6">
      <c r="A45" s="83"/>
      <c r="B45" s="258" t="s">
        <v>64</v>
      </c>
      <c r="C45" s="258"/>
      <c r="D45" s="233">
        <v>30000</v>
      </c>
      <c r="E45" s="239">
        <f t="shared" si="1"/>
        <v>30000</v>
      </c>
      <c r="F45" s="233">
        <v>40000</v>
      </c>
      <c r="G45" s="320">
        <f t="shared" si="2"/>
        <v>40000</v>
      </c>
      <c r="H45" s="321"/>
      <c r="I45" s="241">
        <v>60000</v>
      </c>
      <c r="J45" s="320">
        <f t="shared" si="3"/>
        <v>60000</v>
      </c>
      <c r="K45" s="321"/>
      <c r="L45" s="85"/>
      <c r="O45" s="84"/>
      <c r="P45" s="84"/>
      <c r="Q45" s="84"/>
      <c r="S45" s="84"/>
      <c r="T45" s="84"/>
      <c r="U45" s="84"/>
      <c r="V45" s="84"/>
      <c r="W45" s="84"/>
      <c r="X45" s="84"/>
      <c r="Y45" s="84"/>
      <c r="Z45" s="84"/>
      <c r="AA45" s="84"/>
    </row>
    <row r="46" spans="1:28" ht="42" customHeight="1" x14ac:dyDescent="0.6">
      <c r="A46" s="83"/>
      <c r="B46" s="258" t="s">
        <v>22</v>
      </c>
      <c r="C46" s="258"/>
      <c r="D46" s="233">
        <v>200000</v>
      </c>
      <c r="E46" s="239">
        <f t="shared" si="1"/>
        <v>200000</v>
      </c>
      <c r="F46" s="233">
        <v>270000</v>
      </c>
      <c r="G46" s="320">
        <f t="shared" si="2"/>
        <v>270000</v>
      </c>
      <c r="H46" s="321"/>
      <c r="I46" s="241">
        <v>400000</v>
      </c>
      <c r="J46" s="320">
        <f t="shared" si="3"/>
        <v>400000</v>
      </c>
      <c r="K46" s="321"/>
      <c r="L46" s="85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</row>
    <row r="47" spans="1:28" ht="42" customHeight="1" x14ac:dyDescent="0.6">
      <c r="A47" s="83"/>
      <c r="B47" s="258" t="s">
        <v>2</v>
      </c>
      <c r="C47" s="258"/>
      <c r="D47" s="233">
        <v>20000</v>
      </c>
      <c r="E47" s="239">
        <f t="shared" si="1"/>
        <v>20000</v>
      </c>
      <c r="F47" s="233">
        <v>30000</v>
      </c>
      <c r="G47" s="320">
        <f t="shared" si="2"/>
        <v>30000</v>
      </c>
      <c r="H47" s="321"/>
      <c r="I47" s="241">
        <v>40000</v>
      </c>
      <c r="J47" s="320">
        <f t="shared" si="3"/>
        <v>40000</v>
      </c>
      <c r="K47" s="321"/>
      <c r="L47" s="85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</row>
    <row r="48" spans="1:28" ht="42" customHeight="1" thickBot="1" x14ac:dyDescent="0.65">
      <c r="A48" s="83"/>
      <c r="B48" s="297" t="s">
        <v>0</v>
      </c>
      <c r="C48" s="297"/>
      <c r="D48" s="234">
        <f>SUM(D40:D47)</f>
        <v>1051000</v>
      </c>
      <c r="E48" s="240">
        <f>SUM(E40:E47)</f>
        <v>1051000</v>
      </c>
      <c r="F48" s="234">
        <f>SUM(F40:F47)</f>
        <v>1426000</v>
      </c>
      <c r="G48" s="327">
        <f>SUM(G40:H47)</f>
        <v>1426000</v>
      </c>
      <c r="H48" s="328"/>
      <c r="I48" s="242">
        <f>SUM(I40:I47)</f>
        <v>2097000</v>
      </c>
      <c r="J48" s="327">
        <f>SUM(J40:K47)</f>
        <v>2097000</v>
      </c>
      <c r="K48" s="328"/>
      <c r="L48" s="85"/>
      <c r="M48" s="97"/>
      <c r="O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</row>
    <row r="49" spans="1:27" ht="34.200000000000003" customHeight="1" x14ac:dyDescent="0.6">
      <c r="A49" s="292"/>
      <c r="B49" s="292"/>
      <c r="C49" s="292"/>
      <c r="D49" s="292"/>
      <c r="E49" s="292"/>
      <c r="F49" s="292"/>
      <c r="G49" s="292"/>
      <c r="H49" s="292"/>
      <c r="I49" s="292"/>
      <c r="J49" s="292"/>
      <c r="K49" s="292"/>
      <c r="L49" s="85"/>
      <c r="O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</row>
    <row r="50" spans="1:27" ht="34.200000000000003" customHeight="1" x14ac:dyDescent="0.7">
      <c r="A50" s="168" t="s">
        <v>65</v>
      </c>
      <c r="B50" s="146"/>
      <c r="C50" s="146"/>
      <c r="D50" s="146"/>
      <c r="E50" s="146"/>
      <c r="F50" s="146"/>
      <c r="G50" s="146"/>
      <c r="H50" s="146"/>
      <c r="I50" s="146"/>
      <c r="J50" s="146"/>
      <c r="K50" s="146"/>
      <c r="L50" s="85"/>
      <c r="O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</row>
    <row r="51" spans="1:27" ht="34.200000000000003" customHeight="1" x14ac:dyDescent="0.7">
      <c r="A51" s="169" t="str">
        <f>D38</f>
        <v>Спа-салон 150 кв.м.</v>
      </c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L51" s="85"/>
      <c r="O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</row>
    <row r="52" spans="1:27" ht="34.200000000000003" customHeight="1" x14ac:dyDescent="0.6">
      <c r="A52" s="271" t="s">
        <v>66</v>
      </c>
      <c r="B52" s="271"/>
      <c r="C52" s="271"/>
      <c r="D52" s="272" t="s">
        <v>117</v>
      </c>
      <c r="E52" s="273" t="s">
        <v>124</v>
      </c>
      <c r="F52" s="274"/>
      <c r="G52" s="275"/>
      <c r="H52" s="276" t="s">
        <v>133</v>
      </c>
      <c r="I52" s="271" t="s">
        <v>87</v>
      </c>
      <c r="J52" s="271"/>
      <c r="K52" s="271" t="s">
        <v>88</v>
      </c>
      <c r="L52" s="85"/>
      <c r="O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</row>
    <row r="53" spans="1:27" ht="45.9" customHeight="1" x14ac:dyDescent="0.6">
      <c r="A53" s="271"/>
      <c r="B53" s="271"/>
      <c r="C53" s="271"/>
      <c r="D53" s="272"/>
      <c r="E53" s="221" t="s">
        <v>125</v>
      </c>
      <c r="F53" s="273" t="str">
        <f>"В валюте, в которой производиться расчет, "&amp;CHOOSE($O$2,$P$2,$P$3,$P$4,$P$5)&amp;"/день"</f>
        <v>В валюте, в которой производиться расчет, UAH/день</v>
      </c>
      <c r="G53" s="275"/>
      <c r="H53" s="277"/>
      <c r="I53" s="271"/>
      <c r="J53" s="271"/>
      <c r="K53" s="271"/>
      <c r="L53" s="85"/>
      <c r="O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</row>
    <row r="54" spans="1:27" s="1" customFormat="1" ht="40" customHeight="1" x14ac:dyDescent="0.55000000000000004">
      <c r="A54" s="266" t="s">
        <v>146</v>
      </c>
      <c r="B54" s="266"/>
      <c r="C54" s="266"/>
      <c r="D54" s="219">
        <v>1</v>
      </c>
      <c r="E54" s="219">
        <v>300</v>
      </c>
      <c r="F54" s="267">
        <f>E54/CHOOSE($O$2,1,$F$5,$I$5,$K$5)</f>
        <v>300</v>
      </c>
      <c r="G54" s="268"/>
      <c r="H54" s="219">
        <v>30</v>
      </c>
      <c r="I54" s="269">
        <v>0.05</v>
      </c>
      <c r="J54" s="269"/>
      <c r="K54" s="159" t="s">
        <v>73</v>
      </c>
      <c r="L54" s="85"/>
      <c r="N54" s="149"/>
      <c r="O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</row>
    <row r="55" spans="1:27" s="1" customFormat="1" ht="40" customHeight="1" x14ac:dyDescent="0.55000000000000004">
      <c r="A55" s="266" t="s">
        <v>132</v>
      </c>
      <c r="B55" s="266"/>
      <c r="C55" s="266"/>
      <c r="D55" s="219">
        <v>2</v>
      </c>
      <c r="E55" s="219">
        <v>250</v>
      </c>
      <c r="F55" s="267">
        <f>E55/CHOOSE($O$2,1,$F$5,$I$5,$K$5)</f>
        <v>250</v>
      </c>
      <c r="G55" s="268"/>
      <c r="H55" s="219">
        <v>15</v>
      </c>
      <c r="I55" s="269">
        <v>0.03</v>
      </c>
      <c r="J55" s="269"/>
      <c r="K55" s="159" t="s">
        <v>73</v>
      </c>
      <c r="L55" s="85"/>
      <c r="M55" s="182"/>
      <c r="N55" s="149"/>
      <c r="O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</row>
    <row r="56" spans="1:27" s="1" customFormat="1" ht="40" customHeight="1" x14ac:dyDescent="0.55000000000000004">
      <c r="A56" s="266" t="s">
        <v>147</v>
      </c>
      <c r="B56" s="266"/>
      <c r="C56" s="266"/>
      <c r="D56" s="219">
        <v>10</v>
      </c>
      <c r="E56" s="219">
        <v>0</v>
      </c>
      <c r="F56" s="267">
        <f>E56/CHOOSE($O$2,1,$F$5,$I$5,$K$5)</f>
        <v>0</v>
      </c>
      <c r="G56" s="268"/>
      <c r="H56" s="219">
        <v>15</v>
      </c>
      <c r="I56" s="269">
        <v>0.3</v>
      </c>
      <c r="J56" s="269"/>
      <c r="K56" s="159" t="s">
        <v>73</v>
      </c>
      <c r="L56" s="85"/>
      <c r="M56" s="182"/>
      <c r="N56" s="149"/>
      <c r="O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</row>
    <row r="57" spans="1:27" s="1" customFormat="1" ht="40" customHeight="1" x14ac:dyDescent="0.55000000000000004">
      <c r="A57" s="266"/>
      <c r="B57" s="266"/>
      <c r="C57" s="266"/>
      <c r="D57" s="219"/>
      <c r="E57" s="219"/>
      <c r="F57" s="267">
        <f>E57/CHOOSE($O$2,1,$F$5,$I$5,$K$5)</f>
        <v>0</v>
      </c>
      <c r="G57" s="268"/>
      <c r="H57" s="219"/>
      <c r="I57" s="269"/>
      <c r="J57" s="269"/>
      <c r="K57" s="159" t="s">
        <v>73</v>
      </c>
      <c r="L57" s="85"/>
      <c r="M57" s="182"/>
      <c r="N57" s="149"/>
      <c r="O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/>
    </row>
    <row r="58" spans="1:27" s="1" customFormat="1" ht="40" customHeight="1" x14ac:dyDescent="0.55000000000000004">
      <c r="A58" s="266"/>
      <c r="B58" s="266"/>
      <c r="C58" s="266"/>
      <c r="D58" s="219"/>
      <c r="E58" s="219"/>
      <c r="F58" s="267">
        <f>E58/CHOOSE($O$2,1,$F$5,$I$5,$K$5)</f>
        <v>0</v>
      </c>
      <c r="G58" s="268"/>
      <c r="H58" s="219"/>
      <c r="I58" s="269"/>
      <c r="J58" s="269"/>
      <c r="K58" s="159" t="s">
        <v>73</v>
      </c>
      <c r="L58" s="85"/>
      <c r="M58" s="182"/>
      <c r="N58" s="149"/>
      <c r="O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  <c r="AA58" s="150"/>
    </row>
    <row r="59" spans="1:27" ht="25.8" customHeight="1" x14ac:dyDescent="0.7">
      <c r="A59" s="270"/>
      <c r="B59" s="270"/>
      <c r="C59" s="270"/>
      <c r="D59" s="270"/>
      <c r="E59" s="270"/>
      <c r="F59" s="270"/>
      <c r="G59" s="270"/>
      <c r="H59" s="270"/>
      <c r="I59" s="270"/>
      <c r="J59" s="270"/>
      <c r="K59" s="270"/>
      <c r="L59" s="85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</row>
    <row r="60" spans="1:27" ht="34.200000000000003" customHeight="1" x14ac:dyDescent="0.7">
      <c r="A60" s="169" t="str">
        <f>G7</f>
        <v>Спа-салон 200 кв.м.</v>
      </c>
      <c r="B60" s="146"/>
      <c r="C60" s="146"/>
      <c r="D60" s="146"/>
      <c r="E60" s="146"/>
      <c r="F60" s="146"/>
      <c r="G60" s="146"/>
      <c r="H60" s="146"/>
      <c r="I60" s="146"/>
      <c r="J60" s="146"/>
      <c r="K60" s="146"/>
      <c r="L60" s="85"/>
      <c r="O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</row>
    <row r="61" spans="1:27" ht="34.200000000000003" customHeight="1" x14ac:dyDescent="0.6">
      <c r="A61" s="271" t="s">
        <v>66</v>
      </c>
      <c r="B61" s="271"/>
      <c r="C61" s="271"/>
      <c r="D61" s="272" t="s">
        <v>117</v>
      </c>
      <c r="E61" s="273" t="str">
        <f>E52</f>
        <v>Фиксированный оклад в день</v>
      </c>
      <c r="F61" s="274"/>
      <c r="G61" s="275"/>
      <c r="H61" s="276" t="str">
        <f>H52</f>
        <v>Количество рабочих дней в месяц у каждого сотрудника, дней</v>
      </c>
      <c r="I61" s="271" t="s">
        <v>87</v>
      </c>
      <c r="J61" s="271"/>
      <c r="K61" s="271" t="s">
        <v>88</v>
      </c>
      <c r="L61" s="85"/>
      <c r="O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</row>
    <row r="62" spans="1:27" ht="45.9" customHeight="1" x14ac:dyDescent="0.6">
      <c r="A62" s="271"/>
      <c r="B62" s="271"/>
      <c r="C62" s="271"/>
      <c r="D62" s="272"/>
      <c r="E62" s="221" t="str">
        <f>E53</f>
        <v>UAH/день</v>
      </c>
      <c r="F62" s="273" t="str">
        <f>F53</f>
        <v>В валюте, в которой производиться расчет, UAH/день</v>
      </c>
      <c r="G62" s="275"/>
      <c r="H62" s="277"/>
      <c r="I62" s="271"/>
      <c r="J62" s="271"/>
      <c r="K62" s="271"/>
      <c r="L62" s="85"/>
      <c r="O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</row>
    <row r="63" spans="1:27" s="1" customFormat="1" ht="40" customHeight="1" x14ac:dyDescent="0.55000000000000004">
      <c r="A63" s="266" t="s">
        <v>146</v>
      </c>
      <c r="B63" s="266"/>
      <c r="C63" s="266"/>
      <c r="D63" s="219">
        <v>1</v>
      </c>
      <c r="E63" s="219">
        <v>300</v>
      </c>
      <c r="F63" s="267">
        <f>E63/CHOOSE($O$2,1,$F$5,$I$5,$K$5)</f>
        <v>300</v>
      </c>
      <c r="G63" s="268"/>
      <c r="H63" s="219">
        <v>30</v>
      </c>
      <c r="I63" s="269">
        <v>0.05</v>
      </c>
      <c r="J63" s="269"/>
      <c r="K63" s="159" t="s">
        <v>73</v>
      </c>
      <c r="L63" s="85"/>
      <c r="N63" s="149"/>
      <c r="O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</row>
    <row r="64" spans="1:27" s="1" customFormat="1" ht="40" customHeight="1" x14ac:dyDescent="0.55000000000000004">
      <c r="A64" s="266" t="s">
        <v>132</v>
      </c>
      <c r="B64" s="266"/>
      <c r="C64" s="266"/>
      <c r="D64" s="219">
        <v>2</v>
      </c>
      <c r="E64" s="219">
        <v>250</v>
      </c>
      <c r="F64" s="267">
        <f>E64/CHOOSE($O$2,1,$F$5,$I$5,$K$5)</f>
        <v>250</v>
      </c>
      <c r="G64" s="268"/>
      <c r="H64" s="219">
        <v>15</v>
      </c>
      <c r="I64" s="269">
        <v>0.03</v>
      </c>
      <c r="J64" s="269"/>
      <c r="K64" s="159" t="s">
        <v>73</v>
      </c>
      <c r="L64" s="85"/>
      <c r="M64" s="182"/>
      <c r="N64" s="149"/>
      <c r="O64" s="150"/>
      <c r="Q64" s="150"/>
      <c r="R64" s="150"/>
      <c r="S64" s="150"/>
      <c r="T64" s="150"/>
      <c r="U64" s="150"/>
      <c r="V64" s="150"/>
      <c r="W64" s="150"/>
      <c r="X64" s="150"/>
      <c r="Y64" s="150"/>
      <c r="Z64" s="150"/>
      <c r="AA64" s="150"/>
    </row>
    <row r="65" spans="1:27" s="1" customFormat="1" ht="40" customHeight="1" x14ac:dyDescent="0.55000000000000004">
      <c r="A65" s="266" t="s">
        <v>147</v>
      </c>
      <c r="B65" s="266"/>
      <c r="C65" s="266"/>
      <c r="D65" s="219">
        <v>15</v>
      </c>
      <c r="E65" s="219">
        <v>0</v>
      </c>
      <c r="F65" s="267">
        <f>E65/CHOOSE($O$2,1,$F$5,$I$5,$K$5)</f>
        <v>0</v>
      </c>
      <c r="G65" s="268"/>
      <c r="H65" s="219">
        <v>15</v>
      </c>
      <c r="I65" s="269">
        <v>0.3</v>
      </c>
      <c r="J65" s="269"/>
      <c r="K65" s="159" t="s">
        <v>73</v>
      </c>
      <c r="L65" s="85"/>
      <c r="M65" s="182"/>
      <c r="N65" s="149"/>
      <c r="O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0"/>
    </row>
    <row r="66" spans="1:27" s="1" customFormat="1" ht="40" customHeight="1" x14ac:dyDescent="0.55000000000000004">
      <c r="A66" s="266" t="s">
        <v>160</v>
      </c>
      <c r="B66" s="266"/>
      <c r="C66" s="266"/>
      <c r="D66" s="219">
        <v>1</v>
      </c>
      <c r="E66" s="219">
        <v>200</v>
      </c>
      <c r="F66" s="267">
        <f>E66/CHOOSE($O$2,1,$F$5,$I$5,$K$5)</f>
        <v>200</v>
      </c>
      <c r="G66" s="268"/>
      <c r="H66" s="219">
        <v>20</v>
      </c>
      <c r="I66" s="269"/>
      <c r="J66" s="269"/>
      <c r="K66" s="159" t="s">
        <v>73</v>
      </c>
      <c r="L66" s="85"/>
      <c r="M66" s="182"/>
      <c r="N66" s="149"/>
      <c r="O66" s="150"/>
      <c r="Q66" s="150"/>
      <c r="R66" s="150"/>
      <c r="S66" s="150"/>
      <c r="T66" s="150"/>
      <c r="U66" s="150"/>
      <c r="V66" s="150"/>
      <c r="W66" s="150"/>
      <c r="X66" s="150"/>
      <c r="Y66" s="150"/>
      <c r="Z66" s="150"/>
      <c r="AA66" s="150"/>
    </row>
    <row r="67" spans="1:27" s="1" customFormat="1" ht="40" customHeight="1" x14ac:dyDescent="0.55000000000000004">
      <c r="A67" s="266"/>
      <c r="B67" s="266"/>
      <c r="C67" s="266"/>
      <c r="D67" s="181"/>
      <c r="E67" s="219"/>
      <c r="F67" s="267">
        <f>E67/CHOOSE($O$2,1,$F$5,$I$5,$K$5)</f>
        <v>0</v>
      </c>
      <c r="G67" s="268"/>
      <c r="H67" s="219"/>
      <c r="I67" s="269"/>
      <c r="J67" s="269"/>
      <c r="K67" s="159" t="s">
        <v>73</v>
      </c>
      <c r="L67" s="85"/>
      <c r="M67" s="182"/>
      <c r="N67" s="149"/>
      <c r="O67" s="150"/>
      <c r="Q67" s="150"/>
      <c r="R67" s="150"/>
      <c r="S67" s="150"/>
      <c r="T67" s="150"/>
      <c r="U67" s="150"/>
      <c r="V67" s="150"/>
      <c r="W67" s="150"/>
      <c r="X67" s="150"/>
      <c r="Y67" s="150"/>
      <c r="Z67" s="150"/>
      <c r="AA67" s="150"/>
    </row>
    <row r="68" spans="1:27" ht="25.8" customHeight="1" x14ac:dyDescent="0.7">
      <c r="A68" s="270"/>
      <c r="B68" s="270"/>
      <c r="C68" s="270"/>
      <c r="D68" s="270"/>
      <c r="E68" s="270"/>
      <c r="F68" s="270"/>
      <c r="G68" s="270"/>
      <c r="H68" s="270"/>
      <c r="I68" s="270"/>
      <c r="J68" s="270"/>
      <c r="K68" s="270"/>
    </row>
    <row r="69" spans="1:27" ht="34.200000000000003" customHeight="1" x14ac:dyDescent="0.7">
      <c r="A69" s="169" t="str">
        <f>I38</f>
        <v>Спа-салон 300 кв.м.</v>
      </c>
      <c r="B69" s="146"/>
      <c r="C69" s="146"/>
      <c r="D69" s="146"/>
      <c r="E69" s="146"/>
      <c r="F69" s="146"/>
      <c r="G69" s="146"/>
      <c r="H69" s="146"/>
      <c r="I69" s="146"/>
      <c r="J69" s="146"/>
      <c r="K69" s="146"/>
      <c r="L69" s="85"/>
      <c r="O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</row>
    <row r="70" spans="1:27" ht="34.200000000000003" customHeight="1" x14ac:dyDescent="0.6">
      <c r="A70" s="271" t="s">
        <v>66</v>
      </c>
      <c r="B70" s="271"/>
      <c r="C70" s="271"/>
      <c r="D70" s="272" t="s">
        <v>117</v>
      </c>
      <c r="E70" s="273" t="str">
        <f>E61</f>
        <v>Фиксированный оклад в день</v>
      </c>
      <c r="F70" s="274"/>
      <c r="G70" s="275"/>
      <c r="H70" s="276" t="str">
        <f>H61</f>
        <v>Количество рабочих дней в месяц у каждого сотрудника, дней</v>
      </c>
      <c r="I70" s="271" t="s">
        <v>87</v>
      </c>
      <c r="J70" s="271"/>
      <c r="K70" s="271" t="s">
        <v>88</v>
      </c>
      <c r="L70" s="85"/>
      <c r="O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</row>
    <row r="71" spans="1:27" ht="45.9" customHeight="1" x14ac:dyDescent="0.6">
      <c r="A71" s="271"/>
      <c r="B71" s="271"/>
      <c r="C71" s="271"/>
      <c r="D71" s="272"/>
      <c r="E71" s="222" t="str">
        <f>E62</f>
        <v>UAH/день</v>
      </c>
      <c r="F71" s="273" t="str">
        <f>F62</f>
        <v>В валюте, в которой производиться расчет, UAH/день</v>
      </c>
      <c r="G71" s="275"/>
      <c r="H71" s="277"/>
      <c r="I71" s="271"/>
      <c r="J71" s="271"/>
      <c r="K71" s="271"/>
      <c r="L71" s="85"/>
      <c r="O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</row>
    <row r="72" spans="1:27" s="1" customFormat="1" ht="40" customHeight="1" x14ac:dyDescent="0.55000000000000004">
      <c r="A72" s="266" t="s">
        <v>146</v>
      </c>
      <c r="B72" s="266"/>
      <c r="C72" s="266"/>
      <c r="D72" s="219">
        <v>1</v>
      </c>
      <c r="E72" s="219">
        <v>300</v>
      </c>
      <c r="F72" s="267">
        <f>E72/CHOOSE($O$2,1,$F$5,$I$5,$K$5)</f>
        <v>300</v>
      </c>
      <c r="G72" s="268"/>
      <c r="H72" s="219">
        <v>30</v>
      </c>
      <c r="I72" s="269">
        <v>0.05</v>
      </c>
      <c r="J72" s="269"/>
      <c r="K72" s="159" t="s">
        <v>73</v>
      </c>
      <c r="L72" s="85"/>
      <c r="N72" s="149"/>
      <c r="O72" s="150"/>
      <c r="Q72" s="150"/>
      <c r="R72" s="150"/>
      <c r="S72" s="150"/>
      <c r="T72" s="150"/>
      <c r="U72" s="150"/>
      <c r="V72" s="150"/>
      <c r="W72" s="150"/>
      <c r="X72" s="150"/>
      <c r="Y72" s="150"/>
      <c r="Z72" s="150"/>
      <c r="AA72" s="150"/>
    </row>
    <row r="73" spans="1:27" s="1" customFormat="1" ht="40" customHeight="1" x14ac:dyDescent="0.55000000000000004">
      <c r="A73" s="266" t="s">
        <v>132</v>
      </c>
      <c r="B73" s="266"/>
      <c r="C73" s="266"/>
      <c r="D73" s="219">
        <v>3</v>
      </c>
      <c r="E73" s="219">
        <v>250</v>
      </c>
      <c r="F73" s="267">
        <f>E73/CHOOSE($O$2,1,$F$5,$I$5,$K$5)</f>
        <v>250</v>
      </c>
      <c r="G73" s="268"/>
      <c r="H73" s="219">
        <v>15</v>
      </c>
      <c r="I73" s="269">
        <v>0.03</v>
      </c>
      <c r="J73" s="269"/>
      <c r="K73" s="159" t="s">
        <v>73</v>
      </c>
      <c r="L73" s="85"/>
      <c r="M73" s="182"/>
      <c r="N73" s="149"/>
      <c r="O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</row>
    <row r="74" spans="1:27" s="1" customFormat="1" ht="40" customHeight="1" x14ac:dyDescent="0.55000000000000004">
      <c r="A74" s="266" t="s">
        <v>147</v>
      </c>
      <c r="B74" s="266"/>
      <c r="C74" s="266"/>
      <c r="D74" s="219">
        <v>20</v>
      </c>
      <c r="E74" s="219">
        <v>0</v>
      </c>
      <c r="F74" s="267">
        <f>E74/CHOOSE($O$2,1,$F$5,$I$5,$K$5)</f>
        <v>0</v>
      </c>
      <c r="G74" s="268"/>
      <c r="H74" s="219">
        <v>15</v>
      </c>
      <c r="I74" s="269">
        <v>0.3</v>
      </c>
      <c r="J74" s="269"/>
      <c r="K74" s="159" t="s">
        <v>73</v>
      </c>
      <c r="L74" s="85"/>
      <c r="M74" s="182"/>
      <c r="N74" s="149"/>
      <c r="O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</row>
    <row r="75" spans="1:27" s="1" customFormat="1" ht="40" customHeight="1" x14ac:dyDescent="0.55000000000000004">
      <c r="A75" s="266" t="s">
        <v>160</v>
      </c>
      <c r="B75" s="266"/>
      <c r="C75" s="266"/>
      <c r="D75" s="219">
        <v>1</v>
      </c>
      <c r="E75" s="219">
        <v>200</v>
      </c>
      <c r="F75" s="267">
        <f>E75/CHOOSE($O$2,1,$F$5,$I$5,$K$5)</f>
        <v>200</v>
      </c>
      <c r="G75" s="268"/>
      <c r="H75" s="219">
        <v>20</v>
      </c>
      <c r="I75" s="269"/>
      <c r="J75" s="269"/>
      <c r="K75" s="159" t="s">
        <v>73</v>
      </c>
      <c r="L75" s="85"/>
      <c r="M75" s="182"/>
      <c r="N75" s="149"/>
      <c r="O75" s="150"/>
      <c r="Q75" s="150"/>
      <c r="R75" s="150"/>
      <c r="S75" s="150"/>
      <c r="T75" s="150"/>
      <c r="U75" s="150"/>
      <c r="V75" s="150"/>
      <c r="W75" s="150"/>
      <c r="X75" s="150"/>
      <c r="Y75" s="150"/>
      <c r="Z75" s="150"/>
      <c r="AA75" s="150"/>
    </row>
    <row r="76" spans="1:27" s="1" customFormat="1" ht="40" customHeight="1" x14ac:dyDescent="0.55000000000000004">
      <c r="A76" s="266"/>
      <c r="B76" s="266"/>
      <c r="C76" s="266"/>
      <c r="D76" s="219"/>
      <c r="E76" s="219"/>
      <c r="F76" s="267">
        <f>E76/CHOOSE($O$2,1,$F$5,$I$5,$K$5)</f>
        <v>0</v>
      </c>
      <c r="G76" s="268"/>
      <c r="H76" s="219"/>
      <c r="I76" s="269"/>
      <c r="J76" s="269"/>
      <c r="K76" s="159" t="s">
        <v>73</v>
      </c>
      <c r="L76" s="85"/>
      <c r="M76" s="182"/>
      <c r="N76" s="149"/>
      <c r="O76" s="150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</row>
    <row r="77" spans="1:27" ht="25.8" customHeight="1" x14ac:dyDescent="0.7">
      <c r="A77" s="270"/>
      <c r="B77" s="270"/>
      <c r="C77" s="270"/>
      <c r="D77" s="270"/>
      <c r="E77" s="270"/>
      <c r="F77" s="270"/>
      <c r="G77" s="270"/>
      <c r="H77" s="270"/>
      <c r="I77" s="270"/>
      <c r="J77" s="270"/>
      <c r="K77" s="270"/>
    </row>
    <row r="78" spans="1:27" ht="42" customHeight="1" x14ac:dyDescent="0.55000000000000004">
      <c r="A78" s="77" t="s">
        <v>1</v>
      </c>
      <c r="D78" s="166"/>
      <c r="E78" s="166"/>
      <c r="H78" s="285"/>
      <c r="I78" s="285"/>
      <c r="J78" s="285"/>
      <c r="K78" s="285"/>
    </row>
    <row r="79" spans="1:27" ht="42" customHeight="1" x14ac:dyDescent="0.55000000000000004">
      <c r="D79" s="329" t="s">
        <v>89</v>
      </c>
      <c r="E79" s="329"/>
      <c r="F79" s="329"/>
      <c r="G79" s="329"/>
      <c r="H79" s="329"/>
      <c r="I79" s="329"/>
      <c r="J79" s="329"/>
      <c r="K79" s="329"/>
    </row>
    <row r="80" spans="1:27" ht="42" customHeight="1" x14ac:dyDescent="0.55000000000000004">
      <c r="A80" s="165"/>
      <c r="D80" s="288" t="str">
        <f>A51</f>
        <v>Спа-салон 150 кв.м.</v>
      </c>
      <c r="E80" s="289"/>
      <c r="F80" s="288" t="str">
        <f>A60</f>
        <v>Спа-салон 200 кв.м.</v>
      </c>
      <c r="G80" s="290"/>
      <c r="H80" s="289"/>
      <c r="I80" s="288" t="str">
        <f>A69</f>
        <v>Спа-салон 300 кв.м.</v>
      </c>
      <c r="J80" s="290"/>
      <c r="K80" s="289"/>
    </row>
    <row r="81" spans="1:28" ht="58.8" customHeight="1" x14ac:dyDescent="0.55000000000000004">
      <c r="A81" s="77"/>
      <c r="D81" s="230" t="s">
        <v>126</v>
      </c>
      <c r="E81" s="230" t="str">
        <f>"В валюте, в которой производиться расчет, "&amp;CHOOSE($O$2,$P$2,$P$3,$P$4,$P$5)&amp;"/мес.*"</f>
        <v>В валюте, в которой производиться расчет, UAH/мес.*</v>
      </c>
      <c r="F81" s="230" t="str">
        <f>D81</f>
        <v>UAH/мес.* или %</v>
      </c>
      <c r="G81" s="256" t="str">
        <f>"В валюте, в которой производиться расчет, "&amp;CHOOSE($O$2,$P$2,$P$3,$P$4,$P$5)&amp;"/мес."</f>
        <v>В валюте, в которой производиться расчет, UAH/мес.</v>
      </c>
      <c r="H81" s="257"/>
      <c r="I81" s="230" t="str">
        <f>F81</f>
        <v>UAH/мес.* или %</v>
      </c>
      <c r="J81" s="256" t="str">
        <f>"В валюте, в которой производиться расчет, "&amp;CHOOSE($O$2,$P$2,$P$3,$P$4,$P$5)&amp;"/мес."</f>
        <v>В валюте, в которой производиться расчет, UAH/мес.</v>
      </c>
      <c r="K81" s="257"/>
    </row>
    <row r="82" spans="1:28" ht="43" customHeight="1" x14ac:dyDescent="0.55000000000000004">
      <c r="A82" s="121"/>
      <c r="B82" s="260" t="s">
        <v>82</v>
      </c>
      <c r="C82" s="261"/>
      <c r="D82" s="235">
        <v>0.02</v>
      </c>
      <c r="E82" s="230" t="s">
        <v>135</v>
      </c>
      <c r="F82" s="235">
        <v>0.02</v>
      </c>
      <c r="G82" s="256" t="s">
        <v>135</v>
      </c>
      <c r="H82" s="257"/>
      <c r="I82" s="235">
        <v>0.02</v>
      </c>
      <c r="J82" s="256" t="s">
        <v>135</v>
      </c>
      <c r="K82" s="257"/>
    </row>
    <row r="83" spans="1:28" ht="43" customHeight="1" x14ac:dyDescent="0.55000000000000004">
      <c r="A83" s="121"/>
      <c r="B83" s="286" t="s">
        <v>92</v>
      </c>
      <c r="C83" s="287"/>
      <c r="D83" s="235">
        <v>0.05</v>
      </c>
      <c r="E83" s="230" t="s">
        <v>135</v>
      </c>
      <c r="F83" s="235">
        <v>0.05</v>
      </c>
      <c r="G83" s="256" t="s">
        <v>135</v>
      </c>
      <c r="H83" s="257"/>
      <c r="I83" s="235">
        <v>0.05</v>
      </c>
      <c r="J83" s="256" t="s">
        <v>135</v>
      </c>
      <c r="K83" s="257"/>
    </row>
    <row r="84" spans="1:28" s="2" customFormat="1" ht="43" customHeight="1" x14ac:dyDescent="0.6">
      <c r="A84" s="83"/>
      <c r="B84" s="293" t="s">
        <v>58</v>
      </c>
      <c r="C84" s="294"/>
      <c r="D84" s="232">
        <v>40000</v>
      </c>
      <c r="E84" s="231">
        <f t="shared" ref="E84:E97" si="4">D84/CHOOSE($O$2,1,$F$5,$I$5,$K$5)</f>
        <v>40000</v>
      </c>
      <c r="F84" s="232">
        <v>50000</v>
      </c>
      <c r="G84" s="254">
        <f t="shared" ref="G84:G97" si="5">F84/CHOOSE($O$2,1,$F$5,$I$5,$K$5)</f>
        <v>50000</v>
      </c>
      <c r="H84" s="255"/>
      <c r="I84" s="232">
        <v>75000</v>
      </c>
      <c r="J84" s="254">
        <f t="shared" ref="J84:J97" si="6">I84/CHOOSE($O$2,1,$F$5,$I$5,$K$5)</f>
        <v>75000</v>
      </c>
      <c r="K84" s="255"/>
      <c r="L84" s="85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</row>
    <row r="85" spans="1:28" ht="43" customHeight="1" x14ac:dyDescent="0.55000000000000004">
      <c r="A85" s="83"/>
      <c r="B85" s="293" t="s">
        <v>59</v>
      </c>
      <c r="C85" s="294"/>
      <c r="D85" s="232">
        <v>7000</v>
      </c>
      <c r="E85" s="231">
        <f t="shared" si="4"/>
        <v>7000</v>
      </c>
      <c r="F85" s="232">
        <v>10000</v>
      </c>
      <c r="G85" s="254">
        <f t="shared" si="5"/>
        <v>10000</v>
      </c>
      <c r="H85" s="255"/>
      <c r="I85" s="232">
        <v>15000</v>
      </c>
      <c r="J85" s="254">
        <f t="shared" si="6"/>
        <v>15000</v>
      </c>
      <c r="K85" s="255"/>
      <c r="M85" s="1"/>
    </row>
    <row r="86" spans="1:28" ht="43" customHeight="1" x14ac:dyDescent="0.6">
      <c r="A86" s="2"/>
      <c r="B86" s="258" t="s">
        <v>156</v>
      </c>
      <c r="C86" s="259"/>
      <c r="D86" s="235">
        <v>0.05</v>
      </c>
      <c r="E86" s="230" t="s">
        <v>135</v>
      </c>
      <c r="F86" s="235">
        <v>0.05</v>
      </c>
      <c r="G86" s="256" t="s">
        <v>135</v>
      </c>
      <c r="H86" s="257"/>
      <c r="I86" s="235">
        <v>0.05</v>
      </c>
      <c r="J86" s="256" t="s">
        <v>135</v>
      </c>
      <c r="K86" s="257"/>
      <c r="L86" s="86"/>
      <c r="M86" s="83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</row>
    <row r="87" spans="1:28" ht="43" customHeight="1" x14ac:dyDescent="0.55000000000000004">
      <c r="A87" s="2"/>
      <c r="B87" s="258" t="s">
        <v>50</v>
      </c>
      <c r="C87" s="259"/>
      <c r="D87" s="232">
        <v>20000</v>
      </c>
      <c r="E87" s="231">
        <f t="shared" si="4"/>
        <v>20000</v>
      </c>
      <c r="F87" s="232">
        <v>27000</v>
      </c>
      <c r="G87" s="254">
        <f t="shared" si="5"/>
        <v>27000</v>
      </c>
      <c r="H87" s="255"/>
      <c r="I87" s="232">
        <v>40000</v>
      </c>
      <c r="J87" s="254">
        <f t="shared" si="6"/>
        <v>40000</v>
      </c>
      <c r="K87" s="255"/>
      <c r="M87" s="1"/>
    </row>
    <row r="88" spans="1:28" ht="42.9" customHeight="1" x14ac:dyDescent="0.55000000000000004">
      <c r="A88" s="2"/>
      <c r="B88" s="258" t="s">
        <v>71</v>
      </c>
      <c r="C88" s="259"/>
      <c r="D88" s="232">
        <v>600</v>
      </c>
      <c r="E88" s="231">
        <f>D88/CHOOSE($O$2,1,$F$5,$I$5,$K$5)</f>
        <v>600</v>
      </c>
      <c r="F88" s="232">
        <v>600</v>
      </c>
      <c r="G88" s="254">
        <f>F88/CHOOSE($O$2,1,$F$5,$I$5,$K$5)</f>
        <v>600</v>
      </c>
      <c r="H88" s="255"/>
      <c r="I88" s="232">
        <v>1200</v>
      </c>
      <c r="J88" s="254">
        <f>I88/CHOOSE($O$2,1,$F$5,$I$5,$K$5)</f>
        <v>1200</v>
      </c>
      <c r="K88" s="255"/>
    </row>
    <row r="89" spans="1:28" ht="43" customHeight="1" x14ac:dyDescent="0.6">
      <c r="A89" s="2"/>
      <c r="B89" s="258" t="s">
        <v>68</v>
      </c>
      <c r="C89" s="259"/>
      <c r="D89" s="232">
        <v>1500</v>
      </c>
      <c r="E89" s="231">
        <f>D89/CHOOSE($O$2,1,$F$5,$I$5,$K$5)</f>
        <v>1500</v>
      </c>
      <c r="F89" s="232">
        <v>1500</v>
      </c>
      <c r="G89" s="254">
        <f>F89/CHOOSE($O$2,1,$F$5,$I$5,$K$5)</f>
        <v>1500</v>
      </c>
      <c r="H89" s="255"/>
      <c r="I89" s="232">
        <v>1500</v>
      </c>
      <c r="J89" s="254">
        <f>I89/CHOOSE($O$2,1,$F$5,$I$5,$K$5)</f>
        <v>1500</v>
      </c>
      <c r="K89" s="255"/>
      <c r="L89" s="86"/>
      <c r="M89" s="83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</row>
    <row r="90" spans="1:28" ht="43" customHeight="1" x14ac:dyDescent="0.55000000000000004">
      <c r="A90" s="2"/>
      <c r="B90" s="258" t="s">
        <v>152</v>
      </c>
      <c r="C90" s="259"/>
      <c r="D90" s="232">
        <v>4000</v>
      </c>
      <c r="E90" s="249">
        <f t="shared" ref="E90:E91" si="7">D90/CHOOSE($O$2,1,$F$5,$I$5,$K$5)</f>
        <v>4000</v>
      </c>
      <c r="F90" s="232">
        <v>5000</v>
      </c>
      <c r="G90" s="254">
        <f t="shared" ref="G90:G91" si="8">F90/CHOOSE($O$2,1,$F$5,$I$5,$K$5)</f>
        <v>5000</v>
      </c>
      <c r="H90" s="255"/>
      <c r="I90" s="232">
        <v>6000</v>
      </c>
      <c r="J90" s="254">
        <f t="shared" ref="J90:J91" si="9">I90/CHOOSE($O$2,1,$F$5,$I$5,$K$5)</f>
        <v>6000</v>
      </c>
      <c r="K90" s="255"/>
      <c r="M90" s="1"/>
    </row>
    <row r="91" spans="1:28" ht="43" customHeight="1" x14ac:dyDescent="0.6">
      <c r="A91" s="83"/>
      <c r="B91" s="258" t="s">
        <v>153</v>
      </c>
      <c r="C91" s="259"/>
      <c r="D91" s="232">
        <v>10000</v>
      </c>
      <c r="E91" s="249">
        <f t="shared" si="7"/>
        <v>10000</v>
      </c>
      <c r="F91" s="232">
        <v>12000</v>
      </c>
      <c r="G91" s="254">
        <f t="shared" si="8"/>
        <v>12000</v>
      </c>
      <c r="H91" s="255"/>
      <c r="I91" s="232">
        <v>15000</v>
      </c>
      <c r="J91" s="254">
        <f t="shared" si="9"/>
        <v>15000</v>
      </c>
      <c r="K91" s="255"/>
      <c r="L91" s="86"/>
      <c r="M91" s="83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</row>
    <row r="92" spans="1:28" ht="43" customHeight="1" x14ac:dyDescent="0.6">
      <c r="A92" s="2"/>
      <c r="B92" s="258" t="s">
        <v>98</v>
      </c>
      <c r="C92" s="259"/>
      <c r="D92" s="232">
        <v>2000</v>
      </c>
      <c r="E92" s="231">
        <f>D92/CHOOSE($O$2,1,$F$5,$I$5,$K$5)</f>
        <v>2000</v>
      </c>
      <c r="F92" s="232">
        <v>2000</v>
      </c>
      <c r="G92" s="254">
        <f>F92/CHOOSE($O$2,1,$F$5,$I$5,$K$5)</f>
        <v>2000</v>
      </c>
      <c r="H92" s="255"/>
      <c r="I92" s="232">
        <v>2000</v>
      </c>
      <c r="J92" s="254">
        <f>I92/CHOOSE($O$2,1,$F$5,$I$5,$K$5)</f>
        <v>2000</v>
      </c>
      <c r="K92" s="255"/>
      <c r="L92" s="86"/>
      <c r="M92" s="83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</row>
    <row r="93" spans="1:28" ht="43" customHeight="1" x14ac:dyDescent="0.55000000000000004">
      <c r="A93" s="2"/>
      <c r="B93" s="258" t="s">
        <v>158</v>
      </c>
      <c r="C93" s="259"/>
      <c r="D93" s="232">
        <v>1000</v>
      </c>
      <c r="E93" s="231">
        <f>D93/CHOOSE($O$2,1,$F$5,$I$5,$K$5)</f>
        <v>1000</v>
      </c>
      <c r="F93" s="232">
        <v>1500</v>
      </c>
      <c r="G93" s="254">
        <f>F93/CHOOSE($O$2,1,$F$5,$I$5,$K$5)</f>
        <v>1500</v>
      </c>
      <c r="H93" s="255"/>
      <c r="I93" s="232">
        <v>2000</v>
      </c>
      <c r="J93" s="254">
        <f>I93/CHOOSE($O$2,1,$F$5,$I$5,$K$5)</f>
        <v>2000</v>
      </c>
      <c r="K93" s="255"/>
    </row>
    <row r="94" spans="1:28" ht="43" customHeight="1" x14ac:dyDescent="0.55000000000000004">
      <c r="A94" s="2"/>
      <c r="B94" s="258" t="s">
        <v>154</v>
      </c>
      <c r="C94" s="259"/>
      <c r="D94" s="232">
        <v>1000</v>
      </c>
      <c r="E94" s="249">
        <f t="shared" ref="E94" si="10">D94/CHOOSE($O$2,1,$F$5,$I$5,$K$5)</f>
        <v>1000</v>
      </c>
      <c r="F94" s="232">
        <v>1500</v>
      </c>
      <c r="G94" s="254">
        <f t="shared" ref="G94" si="11">F94/CHOOSE($O$2,1,$F$5,$I$5,$K$5)</f>
        <v>1500</v>
      </c>
      <c r="H94" s="255"/>
      <c r="I94" s="232">
        <v>2000</v>
      </c>
      <c r="J94" s="254">
        <f t="shared" ref="J94" si="12">I94/CHOOSE($O$2,1,$F$5,$I$5,$K$5)</f>
        <v>2000</v>
      </c>
      <c r="K94" s="255"/>
      <c r="M94" s="1"/>
    </row>
    <row r="95" spans="1:28" ht="43" customHeight="1" x14ac:dyDescent="0.55000000000000004">
      <c r="A95" s="2"/>
      <c r="B95" s="258" t="s">
        <v>77</v>
      </c>
      <c r="C95" s="259"/>
      <c r="D95" s="232">
        <v>1000</v>
      </c>
      <c r="E95" s="231">
        <f>D95/CHOOSE($O$2,1,$F$5,$I$5,$K$5)</f>
        <v>1000</v>
      </c>
      <c r="F95" s="232">
        <v>1000</v>
      </c>
      <c r="G95" s="254">
        <f>F95/CHOOSE($O$2,1,$F$5,$I$5,$K$5)</f>
        <v>1000</v>
      </c>
      <c r="H95" s="255"/>
      <c r="I95" s="232">
        <v>1000</v>
      </c>
      <c r="J95" s="254">
        <f>I95/CHOOSE($O$2,1,$F$5,$I$5,$K$5)</f>
        <v>1000</v>
      </c>
      <c r="K95" s="255"/>
      <c r="O95" s="97"/>
    </row>
    <row r="96" spans="1:28" ht="43" customHeight="1" x14ac:dyDescent="0.55000000000000004">
      <c r="A96" s="83"/>
      <c r="B96" s="258" t="s">
        <v>128</v>
      </c>
      <c r="C96" s="259"/>
      <c r="D96" s="232">
        <v>12000</v>
      </c>
      <c r="E96" s="231">
        <f t="shared" si="4"/>
        <v>12000</v>
      </c>
      <c r="F96" s="232">
        <v>18000</v>
      </c>
      <c r="G96" s="254">
        <f t="shared" si="5"/>
        <v>18000</v>
      </c>
      <c r="H96" s="255"/>
      <c r="I96" s="232">
        <v>24000</v>
      </c>
      <c r="J96" s="254">
        <f t="shared" si="6"/>
        <v>24000</v>
      </c>
      <c r="K96" s="255"/>
      <c r="M96" s="1"/>
    </row>
    <row r="97" spans="1:28" ht="43" customHeight="1" x14ac:dyDescent="0.55000000000000004">
      <c r="A97" s="2"/>
      <c r="B97" s="296" t="s">
        <v>150</v>
      </c>
      <c r="C97" s="296"/>
      <c r="D97" s="232">
        <v>1000</v>
      </c>
      <c r="E97" s="231">
        <f t="shared" si="4"/>
        <v>1000</v>
      </c>
      <c r="F97" s="232">
        <v>1500</v>
      </c>
      <c r="G97" s="254">
        <f t="shared" si="5"/>
        <v>1500</v>
      </c>
      <c r="H97" s="255"/>
      <c r="I97" s="232">
        <v>2000</v>
      </c>
      <c r="J97" s="254">
        <f t="shared" si="6"/>
        <v>2000</v>
      </c>
      <c r="K97" s="255"/>
    </row>
    <row r="98" spans="1:28" ht="43" customHeight="1" x14ac:dyDescent="0.55000000000000004">
      <c r="A98" s="2"/>
      <c r="B98" s="258" t="s">
        <v>44</v>
      </c>
      <c r="C98" s="259"/>
      <c r="D98" s="232">
        <v>6000</v>
      </c>
      <c r="E98" s="231">
        <f>D98/CHOOSE($O$2,1,$F$5,$I$5,$K$5)</f>
        <v>6000</v>
      </c>
      <c r="F98" s="232">
        <v>8000</v>
      </c>
      <c r="G98" s="254">
        <f>F98/CHOOSE($O$2,1,$F$5,$I$5,$K$5)</f>
        <v>8000</v>
      </c>
      <c r="H98" s="255"/>
      <c r="I98" s="232">
        <v>12000</v>
      </c>
      <c r="J98" s="254">
        <f>I98/CHOOSE($O$2,1,$F$5,$I$5,$K$5)</f>
        <v>12000</v>
      </c>
      <c r="K98" s="255"/>
    </row>
    <row r="99" spans="1:28" ht="49.5" customHeight="1" x14ac:dyDescent="0.55000000000000004">
      <c r="A99" s="2"/>
      <c r="B99" s="258" t="s">
        <v>91</v>
      </c>
      <c r="C99" s="259"/>
      <c r="D99" s="237">
        <v>0.45</v>
      </c>
      <c r="E99" s="230" t="s">
        <v>102</v>
      </c>
      <c r="F99" s="237">
        <v>0.45</v>
      </c>
      <c r="G99" s="256" t="str">
        <f>E99</f>
        <v>% от выручки, который проходит по безналичному расчету</v>
      </c>
      <c r="H99" s="257"/>
      <c r="I99" s="237">
        <v>0.45</v>
      </c>
      <c r="J99" s="256" t="str">
        <f>G99</f>
        <v>% от выручки, который проходит по безналичному расчету</v>
      </c>
      <c r="K99" s="257"/>
    </row>
    <row r="100" spans="1:28" ht="42" customHeight="1" x14ac:dyDescent="0.6">
      <c r="A100" s="2"/>
      <c r="B100" s="258"/>
      <c r="C100" s="259"/>
      <c r="D100" s="235">
        <v>0.02</v>
      </c>
      <c r="E100" s="230" t="s">
        <v>103</v>
      </c>
      <c r="F100" s="235">
        <v>0.02</v>
      </c>
      <c r="G100" s="256" t="str">
        <f>E100</f>
        <v>размер банковской комиссии</v>
      </c>
      <c r="H100" s="257"/>
      <c r="I100" s="235">
        <v>0.02</v>
      </c>
      <c r="J100" s="256" t="str">
        <f>G100</f>
        <v>размер банковской комиссии</v>
      </c>
      <c r="K100" s="257"/>
      <c r="L100" s="86"/>
      <c r="M100" s="83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</row>
    <row r="101" spans="1:28" ht="43" customHeight="1" x14ac:dyDescent="0.55000000000000004">
      <c r="A101" s="2"/>
      <c r="B101" s="258" t="s">
        <v>148</v>
      </c>
      <c r="C101" s="259"/>
      <c r="D101" s="235">
        <v>0.01</v>
      </c>
      <c r="E101" s="230" t="s">
        <v>135</v>
      </c>
      <c r="F101" s="235">
        <v>0.02</v>
      </c>
      <c r="G101" s="256" t="s">
        <v>135</v>
      </c>
      <c r="H101" s="257"/>
      <c r="I101" s="235">
        <v>0.02</v>
      </c>
      <c r="J101" s="256" t="s">
        <v>135</v>
      </c>
      <c r="K101" s="257"/>
    </row>
    <row r="102" spans="1:28" s="83" customFormat="1" ht="26.1" customHeight="1" x14ac:dyDescent="0.55000000000000004">
      <c r="B102" s="195" t="s">
        <v>99</v>
      </c>
      <c r="C102" s="179"/>
      <c r="D102" s="236"/>
      <c r="E102" s="236"/>
      <c r="F102" s="236"/>
      <c r="G102" s="330"/>
      <c r="H102" s="330"/>
      <c r="I102" s="236"/>
      <c r="J102" s="330"/>
      <c r="K102" s="330"/>
    </row>
    <row r="103" spans="1:28" ht="43" customHeight="1" x14ac:dyDescent="0.55000000000000004">
      <c r="A103" s="2"/>
      <c r="B103" s="258" t="s">
        <v>149</v>
      </c>
      <c r="C103" s="259"/>
      <c r="D103" s="232">
        <v>1600</v>
      </c>
      <c r="E103" s="231">
        <f>D103/CHOOSE($O$2,1,$F$5,$I$5,$K$5)</f>
        <v>1600</v>
      </c>
      <c r="F103" s="232">
        <v>2000</v>
      </c>
      <c r="G103" s="254">
        <f>F103/CHOOSE($O$2,1,$F$5,$I$5,$K$5)</f>
        <v>2000</v>
      </c>
      <c r="H103" s="255"/>
      <c r="I103" s="232">
        <v>2000</v>
      </c>
      <c r="J103" s="254">
        <f>I103/CHOOSE($O$2,1,$F$5,$I$5,$K$5)</f>
        <v>2000</v>
      </c>
      <c r="K103" s="255"/>
    </row>
    <row r="104" spans="1:28" ht="43" customHeight="1" x14ac:dyDescent="0.55000000000000004">
      <c r="A104" s="2"/>
      <c r="B104" s="258" t="s">
        <v>2</v>
      </c>
      <c r="C104" s="259"/>
      <c r="D104" s="232">
        <v>0</v>
      </c>
      <c r="E104" s="231">
        <f>D104/CHOOSE($O$2,1,$F$5,$I$5,$K$5)</f>
        <v>0</v>
      </c>
      <c r="F104" s="232">
        <v>0</v>
      </c>
      <c r="G104" s="254">
        <f>F104/CHOOSE($O$2,1,$F$5,$I$5,$K$5)</f>
        <v>0</v>
      </c>
      <c r="H104" s="255"/>
      <c r="I104" s="232">
        <v>0</v>
      </c>
      <c r="J104" s="254">
        <f>I104/CHOOSE($O$2,1,$F$5,$I$5,$K$5)</f>
        <v>0</v>
      </c>
      <c r="K104" s="255"/>
    </row>
    <row r="105" spans="1:28" ht="45.9" customHeight="1" x14ac:dyDescent="0.55000000000000004">
      <c r="A105" s="284" t="s">
        <v>151</v>
      </c>
      <c r="B105" s="284"/>
      <c r="C105" s="284"/>
      <c r="D105" s="284"/>
      <c r="E105" s="284"/>
      <c r="F105" s="284"/>
      <c r="G105" s="284"/>
      <c r="H105" s="284"/>
      <c r="I105" s="284"/>
      <c r="J105" s="284"/>
      <c r="K105" s="284"/>
    </row>
  </sheetData>
  <sheetProtection formatCells="0" formatColumns="0" formatRows="0" insertColumns="0" insertRows="0" insertHyperlinks="0" deleteColumns="0" deleteRows="0" sort="0" autoFilter="0" pivotTables="0"/>
  <mergeCells count="240">
    <mergeCell ref="I72:J72"/>
    <mergeCell ref="G94:H94"/>
    <mergeCell ref="J94:K94"/>
    <mergeCell ref="B86:C86"/>
    <mergeCell ref="G86:H86"/>
    <mergeCell ref="J86:K86"/>
    <mergeCell ref="J88:K88"/>
    <mergeCell ref="J89:K89"/>
    <mergeCell ref="J92:K92"/>
    <mergeCell ref="J93:K93"/>
    <mergeCell ref="G93:H93"/>
    <mergeCell ref="G89:H89"/>
    <mergeCell ref="G92:H92"/>
    <mergeCell ref="C11:D12"/>
    <mergeCell ref="C13:D15"/>
    <mergeCell ref="F12:G12"/>
    <mergeCell ref="F13:G13"/>
    <mergeCell ref="F14:G14"/>
    <mergeCell ref="F15:G15"/>
    <mergeCell ref="I11:K11"/>
    <mergeCell ref="H11:H12"/>
    <mergeCell ref="E11:G11"/>
    <mergeCell ref="G99:H99"/>
    <mergeCell ref="G100:H100"/>
    <mergeCell ref="G101:H101"/>
    <mergeCell ref="G102:H102"/>
    <mergeCell ref="G103:H103"/>
    <mergeCell ref="G98:H98"/>
    <mergeCell ref="G104:H104"/>
    <mergeCell ref="J96:K96"/>
    <mergeCell ref="J97:K97"/>
    <mergeCell ref="J99:K99"/>
    <mergeCell ref="J100:K100"/>
    <mergeCell ref="J101:K101"/>
    <mergeCell ref="J102:K102"/>
    <mergeCell ref="J103:K103"/>
    <mergeCell ref="J98:K98"/>
    <mergeCell ref="J104:K104"/>
    <mergeCell ref="G97:H97"/>
    <mergeCell ref="G45:H45"/>
    <mergeCell ref="G46:H46"/>
    <mergeCell ref="G47:H47"/>
    <mergeCell ref="G48:H48"/>
    <mergeCell ref="D79:K79"/>
    <mergeCell ref="F53:G53"/>
    <mergeCell ref="F54:G54"/>
    <mergeCell ref="F55:G55"/>
    <mergeCell ref="F56:G56"/>
    <mergeCell ref="H52:H53"/>
    <mergeCell ref="E52:G52"/>
    <mergeCell ref="F62:G62"/>
    <mergeCell ref="H61:H62"/>
    <mergeCell ref="E61:G61"/>
    <mergeCell ref="I64:J64"/>
    <mergeCell ref="A77:K77"/>
    <mergeCell ref="A57:C57"/>
    <mergeCell ref="F57:G57"/>
    <mergeCell ref="I57:J57"/>
    <mergeCell ref="A58:C58"/>
    <mergeCell ref="F58:G58"/>
    <mergeCell ref="I58:J58"/>
    <mergeCell ref="A72:C72"/>
    <mergeCell ref="F72:G72"/>
    <mergeCell ref="A61:C62"/>
    <mergeCell ref="D61:D62"/>
    <mergeCell ref="I61:J62"/>
    <mergeCell ref="F63:G63"/>
    <mergeCell ref="F64:G64"/>
    <mergeCell ref="A31:C31"/>
    <mergeCell ref="G40:H40"/>
    <mergeCell ref="J39:K39"/>
    <mergeCell ref="J40:K40"/>
    <mergeCell ref="J41:K41"/>
    <mergeCell ref="J42:K42"/>
    <mergeCell ref="J43:K43"/>
    <mergeCell ref="J44:K44"/>
    <mergeCell ref="D38:E38"/>
    <mergeCell ref="F38:H38"/>
    <mergeCell ref="I38:K38"/>
    <mergeCell ref="G41:H41"/>
    <mergeCell ref="G42:H42"/>
    <mergeCell ref="G43:H43"/>
    <mergeCell ref="G44:H44"/>
    <mergeCell ref="J45:K45"/>
    <mergeCell ref="J46:K46"/>
    <mergeCell ref="J47:K47"/>
    <mergeCell ref="J48:K48"/>
    <mergeCell ref="I70:J71"/>
    <mergeCell ref="K70:K71"/>
    <mergeCell ref="F71:G71"/>
    <mergeCell ref="I73:J73"/>
    <mergeCell ref="F80:H80"/>
    <mergeCell ref="G81:H81"/>
    <mergeCell ref="A73:C73"/>
    <mergeCell ref="F73:G73"/>
    <mergeCell ref="A15:B15"/>
    <mergeCell ref="A65:C65"/>
    <mergeCell ref="A54:C54"/>
    <mergeCell ref="A55:C55"/>
    <mergeCell ref="A56:C56"/>
    <mergeCell ref="A52:C53"/>
    <mergeCell ref="G18:K18"/>
    <mergeCell ref="A20:C20"/>
    <mergeCell ref="A21:C21"/>
    <mergeCell ref="A22:C22"/>
    <mergeCell ref="A23:C23"/>
    <mergeCell ref="A24:C24"/>
    <mergeCell ref="A25:C25"/>
    <mergeCell ref="A26:C26"/>
    <mergeCell ref="A27:C27"/>
    <mergeCell ref="G39:H39"/>
    <mergeCell ref="I7:K7"/>
    <mergeCell ref="A32:K32"/>
    <mergeCell ref="A36:K36"/>
    <mergeCell ref="A33:B33"/>
    <mergeCell ref="D33:E33"/>
    <mergeCell ref="D34:E34"/>
    <mergeCell ref="D35:E35"/>
    <mergeCell ref="J33:K33"/>
    <mergeCell ref="J34:K35"/>
    <mergeCell ref="A34:B34"/>
    <mergeCell ref="A35:B35"/>
    <mergeCell ref="A13:B13"/>
    <mergeCell ref="A7:C7"/>
    <mergeCell ref="D7:F7"/>
    <mergeCell ref="G7:H7"/>
    <mergeCell ref="A11:B12"/>
    <mergeCell ref="J12:K12"/>
    <mergeCell ref="J13:K13"/>
    <mergeCell ref="J14:K14"/>
    <mergeCell ref="J15:K15"/>
    <mergeCell ref="D18:F18"/>
    <mergeCell ref="A28:C28"/>
    <mergeCell ref="A29:C29"/>
    <mergeCell ref="A30:C30"/>
    <mergeCell ref="A1:K1"/>
    <mergeCell ref="A49:K49"/>
    <mergeCell ref="B98:C98"/>
    <mergeCell ref="B89:C89"/>
    <mergeCell ref="B84:C84"/>
    <mergeCell ref="B87:C87"/>
    <mergeCell ref="B101:C101"/>
    <mergeCell ref="A2:K2"/>
    <mergeCell ref="B88:C88"/>
    <mergeCell ref="B41:C41"/>
    <mergeCell ref="B97:C97"/>
    <mergeCell ref="B85:C85"/>
    <mergeCell ref="B95:C95"/>
    <mergeCell ref="B43:C43"/>
    <mergeCell ref="I54:J54"/>
    <mergeCell ref="B48:C48"/>
    <mergeCell ref="B46:C46"/>
    <mergeCell ref="B99:C100"/>
    <mergeCell ref="A5:D5"/>
    <mergeCell ref="B45:C45"/>
    <mergeCell ref="B44:C44"/>
    <mergeCell ref="G5:H5"/>
    <mergeCell ref="A14:B14"/>
    <mergeCell ref="B42:C42"/>
    <mergeCell ref="A105:K105"/>
    <mergeCell ref="B92:C92"/>
    <mergeCell ref="B104:C104"/>
    <mergeCell ref="B93:C93"/>
    <mergeCell ref="B40:C40"/>
    <mergeCell ref="H78:K78"/>
    <mergeCell ref="B103:C103"/>
    <mergeCell ref="B83:C83"/>
    <mergeCell ref="A59:K59"/>
    <mergeCell ref="K52:K53"/>
    <mergeCell ref="B47:C47"/>
    <mergeCell ref="D52:D53"/>
    <mergeCell ref="I56:J56"/>
    <mergeCell ref="I55:J55"/>
    <mergeCell ref="I52:J53"/>
    <mergeCell ref="K61:K62"/>
    <mergeCell ref="A63:C63"/>
    <mergeCell ref="I63:J63"/>
    <mergeCell ref="A64:C64"/>
    <mergeCell ref="A76:C76"/>
    <mergeCell ref="F76:G76"/>
    <mergeCell ref="I76:J76"/>
    <mergeCell ref="D80:E80"/>
    <mergeCell ref="I80:K80"/>
    <mergeCell ref="A18:C19"/>
    <mergeCell ref="G19:H19"/>
    <mergeCell ref="G20:H20"/>
    <mergeCell ref="G21:H21"/>
    <mergeCell ref="G22:H22"/>
    <mergeCell ref="G23:H23"/>
    <mergeCell ref="G24:H24"/>
    <mergeCell ref="G25:H25"/>
    <mergeCell ref="G26:H26"/>
    <mergeCell ref="G27:H27"/>
    <mergeCell ref="G28:H28"/>
    <mergeCell ref="G29:H29"/>
    <mergeCell ref="G30:H30"/>
    <mergeCell ref="G31:H31"/>
    <mergeCell ref="A74:C74"/>
    <mergeCell ref="F74:G74"/>
    <mergeCell ref="I74:J74"/>
    <mergeCell ref="A75:C75"/>
    <mergeCell ref="F75:G75"/>
    <mergeCell ref="I75:J75"/>
    <mergeCell ref="I65:J65"/>
    <mergeCell ref="A66:C66"/>
    <mergeCell ref="I66:J66"/>
    <mergeCell ref="A67:C67"/>
    <mergeCell ref="I67:J67"/>
    <mergeCell ref="F65:G65"/>
    <mergeCell ref="F66:G66"/>
    <mergeCell ref="F67:G67"/>
    <mergeCell ref="A68:K68"/>
    <mergeCell ref="A70:C71"/>
    <mergeCell ref="D70:D71"/>
    <mergeCell ref="E70:G70"/>
    <mergeCell ref="H70:H71"/>
    <mergeCell ref="G95:H95"/>
    <mergeCell ref="G82:H82"/>
    <mergeCell ref="G83:H83"/>
    <mergeCell ref="J81:K81"/>
    <mergeCell ref="J95:K95"/>
    <mergeCell ref="J82:K82"/>
    <mergeCell ref="J83:K83"/>
    <mergeCell ref="B96:C96"/>
    <mergeCell ref="J85:K85"/>
    <mergeCell ref="J84:K84"/>
    <mergeCell ref="G84:H84"/>
    <mergeCell ref="G85:H85"/>
    <mergeCell ref="G87:H87"/>
    <mergeCell ref="G96:H96"/>
    <mergeCell ref="G88:H88"/>
    <mergeCell ref="J87:K87"/>
    <mergeCell ref="B82:C82"/>
    <mergeCell ref="B90:C90"/>
    <mergeCell ref="G90:H90"/>
    <mergeCell ref="J90:K90"/>
    <mergeCell ref="B91:C91"/>
    <mergeCell ref="G91:H91"/>
    <mergeCell ref="J91:K91"/>
    <mergeCell ref="B94:C94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5" orientation="portrait" r:id="rId1"/>
  <rowBreaks count="1" manualBreakCount="1">
    <brk id="49" max="1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locked="0" defaultSize="0" autoLine="0" autoPict="0">
                <anchor moveWithCells="1">
                  <from>
                    <xdr:col>3</xdr:col>
                    <xdr:colOff>704850</xdr:colOff>
                    <xdr:row>2</xdr:row>
                    <xdr:rowOff>57150</xdr:rowOff>
                  </from>
                  <to>
                    <xdr:col>4</xdr:col>
                    <xdr:colOff>826770</xdr:colOff>
                    <xdr:row>2</xdr:row>
                    <xdr:rowOff>342900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locked="0" defaultSize="0" autoLine="0" autoPict="0">
                <anchor moveWithCells="1">
                  <from>
                    <xdr:col>3</xdr:col>
                    <xdr:colOff>685800</xdr:colOff>
                    <xdr:row>3</xdr:row>
                    <xdr:rowOff>49530</xdr:rowOff>
                  </from>
                  <to>
                    <xdr:col>4</xdr:col>
                    <xdr:colOff>834390</xdr:colOff>
                    <xdr:row>3</xdr:row>
                    <xdr:rowOff>342900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80EF0-B160-43F5-ABE2-7DAF51CC1651}">
  <dimension ref="A1:Z64"/>
  <sheetViews>
    <sheetView showGridLines="0" zoomScale="70" zoomScaleNormal="70" zoomScaleSheetLayoutView="70" workbookViewId="0">
      <selection activeCell="P1" sqref="P1:Q1048576"/>
    </sheetView>
  </sheetViews>
  <sheetFormatPr defaultRowHeight="34.200000000000003" customHeight="1" x14ac:dyDescent="0.55000000000000004"/>
  <cols>
    <col min="1" max="1" width="8.41796875" customWidth="1"/>
    <col min="2" max="2" width="24.41796875" customWidth="1"/>
    <col min="3" max="3" width="16.41796875" customWidth="1"/>
    <col min="4" max="4" width="23.41796875" customWidth="1"/>
    <col min="5" max="5" width="25.20703125" customWidth="1"/>
    <col min="6" max="6" width="17.734375" customWidth="1"/>
    <col min="7" max="7" width="18.83984375" customWidth="1"/>
    <col min="8" max="8" width="25" customWidth="1"/>
    <col min="9" max="9" width="19.734375" customWidth="1"/>
    <col min="10" max="10" width="30.5234375" customWidth="1"/>
    <col min="11" max="11" width="11.83984375" customWidth="1"/>
    <col min="12" max="13" width="9.15625" hidden="1" customWidth="1"/>
    <col min="14" max="14" width="1.68359375" hidden="1" customWidth="1"/>
    <col min="15" max="15" width="8.68359375" hidden="1" customWidth="1"/>
    <col min="16" max="16" width="1.7890625" hidden="1" customWidth="1"/>
    <col min="17" max="17" width="19.578125" hidden="1" customWidth="1"/>
    <col min="18" max="18" width="11.7890625" bestFit="1" customWidth="1"/>
    <col min="19" max="19" width="8.83984375" customWidth="1"/>
  </cols>
  <sheetData>
    <row r="1" spans="1:25" ht="59.4" customHeight="1" x14ac:dyDescent="0.55000000000000004">
      <c r="A1" s="295" t="s">
        <v>137</v>
      </c>
      <c r="B1" s="295"/>
      <c r="C1" s="295"/>
      <c r="D1" s="295"/>
      <c r="E1" s="295"/>
      <c r="F1" s="295"/>
      <c r="G1" s="295"/>
      <c r="H1" s="295"/>
      <c r="I1" s="295"/>
      <c r="J1" s="295"/>
      <c r="K1" s="162"/>
      <c r="L1" s="199">
        <f>D55</f>
        <v>133246.4138636667</v>
      </c>
      <c r="M1" s="200">
        <f>I55</f>
        <v>0.18760382732967862</v>
      </c>
      <c r="N1" s="76">
        <v>3</v>
      </c>
      <c r="O1" s="82" t="str">
        <f>'Исходные данные'!D7</f>
        <v>Спа-салон 150 кв.м.</v>
      </c>
      <c r="P1" s="94">
        <v>1</v>
      </c>
      <c r="Q1" s="82" t="s">
        <v>135</v>
      </c>
      <c r="R1" s="82"/>
      <c r="S1" s="94"/>
    </row>
    <row r="2" spans="1:25" ht="34.200000000000003" customHeight="1" x14ac:dyDescent="0.55000000000000004">
      <c r="A2" s="357" t="s">
        <v>49</v>
      </c>
      <c r="B2" s="357"/>
      <c r="C2" s="357"/>
      <c r="D2" s="357"/>
      <c r="E2" s="163" t="str">
        <f>CHOOSE('Исходные данные'!$O$2,'Исходные данные'!$P$2,'Исходные данные'!$P$3,'Исходные данные'!$P$4,'Исходные данные'!$P$5)</f>
        <v>UAH</v>
      </c>
      <c r="F2" s="358"/>
      <c r="G2" s="358"/>
      <c r="H2" s="358"/>
      <c r="J2" s="73"/>
      <c r="K2" s="73"/>
      <c r="L2" s="199">
        <f>D57</f>
        <v>207435.04075866667</v>
      </c>
      <c r="M2" s="200">
        <f>I57</f>
        <v>0.23548677876853052</v>
      </c>
      <c r="N2" s="82"/>
      <c r="O2" s="82" t="str">
        <f>'Исходные данные'!G7</f>
        <v>Спа-салон 200 кв.м.</v>
      </c>
      <c r="P2" s="94"/>
      <c r="Q2" s="82" t="s">
        <v>134</v>
      </c>
      <c r="R2" s="82"/>
      <c r="S2" s="94"/>
    </row>
    <row r="3" spans="1:25" ht="34.200000000000003" customHeight="1" x14ac:dyDescent="0.55000000000000004">
      <c r="A3" s="140" t="s">
        <v>23</v>
      </c>
      <c r="B3" s="81"/>
      <c r="E3" s="163" t="str">
        <f>CHOOSE('Исходные данные'!$Q$2,'Исходные данные'!$R$2,'Исходные данные'!$R$3,'Исходные данные'!$R$4,'Исходные данные'!$R$5,'Исходные данные'!$R$6,'Исходные данные'!$R$7,'Исходные данные'!#REF!,'Исходные данные'!$R$9,'Исходные данные'!$R$10,'Исходные данные'!$R$11,'Исходные данные'!$R$12,'Исходные данные'!$R$13)</f>
        <v>январь</v>
      </c>
      <c r="J3" s="73"/>
      <c r="K3" s="73"/>
      <c r="L3" s="199">
        <f>D59</f>
        <v>270408.93644066661</v>
      </c>
      <c r="M3" s="200">
        <f>I59</f>
        <v>0.26312290685484918</v>
      </c>
      <c r="N3" s="82"/>
      <c r="O3" s="82" t="str">
        <f>'Исходные данные'!I7</f>
        <v>Спа-салон 300 кв.м.</v>
      </c>
      <c r="P3" s="94"/>
    </row>
    <row r="4" spans="1:25" ht="34.200000000000003" customHeight="1" x14ac:dyDescent="0.55000000000000004">
      <c r="A4" s="359" t="s">
        <v>85</v>
      </c>
      <c r="B4" s="359"/>
      <c r="C4" s="359"/>
      <c r="E4" s="164"/>
      <c r="F4" s="358" t="s">
        <v>136</v>
      </c>
      <c r="G4" s="358"/>
      <c r="H4" s="358"/>
      <c r="J4" s="73"/>
      <c r="K4" s="73"/>
      <c r="L4" s="199">
        <f>D61</f>
        <v>3</v>
      </c>
      <c r="M4" s="201"/>
      <c r="N4" s="82"/>
      <c r="O4" s="82"/>
      <c r="P4" s="94"/>
    </row>
    <row r="5" spans="1:25" ht="17.7" customHeight="1" x14ac:dyDescent="0.55000000000000004">
      <c r="A5" s="77"/>
      <c r="E5" s="2"/>
      <c r="L5" s="199">
        <f>D63</f>
        <v>18</v>
      </c>
      <c r="M5" s="201"/>
      <c r="O5" s="82"/>
      <c r="P5" s="94"/>
    </row>
    <row r="6" spans="1:25" ht="34.200000000000003" customHeight="1" x14ac:dyDescent="0.55000000000000004">
      <c r="A6" s="77" t="s">
        <v>51</v>
      </c>
      <c r="L6" s="199">
        <f>D17</f>
        <v>400000</v>
      </c>
      <c r="M6" s="201"/>
      <c r="O6" s="82"/>
      <c r="P6" s="94"/>
    </row>
    <row r="7" spans="1:25" s="1" customFormat="1" ht="47.4" customHeight="1" x14ac:dyDescent="0.55000000000000004">
      <c r="A7" s="309" t="s">
        <v>129</v>
      </c>
      <c r="B7" s="309"/>
      <c r="C7" s="309"/>
      <c r="D7" s="281" t="str">
        <f>"Средняя стоимость одной процедуры, "&amp;CHOOSE('Исходные данные'!$O$2,'Исходные данные'!$P$2,'Исходные данные'!$P$3,'Исходные данные'!$P$4,'Исходные данные'!$P$5)&amp;"/шт."</f>
        <v>Средняя стоимость одной процедуры, UAH/шт.</v>
      </c>
      <c r="E7" s="281"/>
      <c r="F7" s="362" t="s">
        <v>155</v>
      </c>
      <c r="G7" s="353"/>
      <c r="H7" s="363"/>
      <c r="I7" s="281" t="str">
        <f>"Плановая среднемесячная выручка за 1-й год работы, "&amp;CHOOSE('Исходные данные'!$O$2,'Исходные данные'!$P$2,'Исходные данные'!$P$3,'Исходные данные'!$P$4,'Исходные данные'!$P$5)&amp;"/мес.*"</f>
        <v>Плановая среднемесячная выручка за 1-й год работы, UAH/мес.*</v>
      </c>
      <c r="J7" s="281"/>
      <c r="K7"/>
      <c r="L7" s="199">
        <f>D19-D17</f>
        <v>1697000</v>
      </c>
      <c r="O7" s="68"/>
      <c r="P7" s="95"/>
      <c r="Q7" s="94"/>
      <c r="R7" s="71"/>
    </row>
    <row r="8" spans="1:25" s="1" customFormat="1" ht="35.4" customHeight="1" x14ac:dyDescent="0.55000000000000004">
      <c r="A8" s="361" t="str">
        <f>'Исходные данные'!C13</f>
        <v>СПА-процедуры</v>
      </c>
      <c r="B8" s="361"/>
      <c r="C8" s="361"/>
      <c r="D8" s="367">
        <f>CHOOSE($N$1,'Исходные данные'!F13,'Исходные данные'!F14,'Исходные данные'!F15)</f>
        <v>1500</v>
      </c>
      <c r="E8" s="367"/>
      <c r="F8" s="364">
        <f>I8/D8/30</f>
        <v>15.783427562962961</v>
      </c>
      <c r="G8" s="365"/>
      <c r="H8" s="366"/>
      <c r="I8" s="310">
        <f>'Детальный расчет'!P18</f>
        <v>710254.24033333326</v>
      </c>
      <c r="J8" s="310"/>
      <c r="K8"/>
      <c r="L8" s="68"/>
      <c r="O8" s="68"/>
      <c r="P8" s="95"/>
      <c r="Q8" s="94"/>
      <c r="R8" s="95"/>
      <c r="S8" s="95"/>
      <c r="T8" s="95"/>
      <c r="U8" s="95"/>
      <c r="V8" s="95"/>
      <c r="W8" s="95"/>
    </row>
    <row r="9" spans="1:25" ht="34.200000000000003" customHeight="1" x14ac:dyDescent="0.55000000000000004">
      <c r="A9" s="360" t="s">
        <v>157</v>
      </c>
      <c r="B9" s="360"/>
      <c r="C9" s="360"/>
      <c r="D9" s="360"/>
      <c r="E9" s="360"/>
      <c r="F9" s="360"/>
      <c r="G9" s="360"/>
      <c r="H9" s="360"/>
      <c r="I9" s="360"/>
      <c r="J9" s="360"/>
    </row>
    <row r="10" spans="1:25" ht="34.200000000000003" customHeight="1" x14ac:dyDescent="0.55000000000000004">
      <c r="A10" s="168" t="s">
        <v>56</v>
      </c>
      <c r="G10" s="4"/>
      <c r="H10" s="4"/>
      <c r="I10" s="4"/>
    </row>
    <row r="11" spans="1:25" ht="42" customHeight="1" x14ac:dyDescent="0.6">
      <c r="A11" s="83"/>
      <c r="B11" s="258" t="str">
        <f>'Исходные данные'!B40:C40</f>
        <v>Ремонт помещения</v>
      </c>
      <c r="C11" s="258"/>
      <c r="D11" s="320">
        <f>CHOOSE($N$1,'Исходные данные'!E40,'Исходные данные'!G40,'Исходные данные'!J40)</f>
        <v>750000</v>
      </c>
      <c r="E11" s="320"/>
      <c r="F11" s="320"/>
      <c r="G11" s="320"/>
      <c r="H11" s="320"/>
      <c r="I11" s="243" t="str">
        <f>""&amp;CHOOSE('Исходные данные'!$O$2,'Исходные данные'!$P$2,'Исходные данные'!$P$3,'Исходные данные'!$P$4,'Исходные данные'!$P$5)&amp;""</f>
        <v>UAH</v>
      </c>
      <c r="J11" s="243"/>
      <c r="K11" s="85"/>
      <c r="N11" s="84"/>
      <c r="O11" s="84"/>
      <c r="Q11" s="84"/>
      <c r="R11" s="84"/>
      <c r="S11" s="84"/>
      <c r="T11" s="84"/>
      <c r="U11" s="84"/>
      <c r="V11" s="84"/>
      <c r="W11" s="84"/>
      <c r="X11" s="84"/>
      <c r="Y11" s="84"/>
    </row>
    <row r="12" spans="1:25" ht="42" customHeight="1" x14ac:dyDescent="0.6">
      <c r="A12" s="83"/>
      <c r="B12" s="258" t="str">
        <f>'Исходные данные'!B41:C41</f>
        <v>Мебель</v>
      </c>
      <c r="C12" s="259"/>
      <c r="D12" s="320">
        <f>CHOOSE($N$1,'Исходные данные'!E41,'Исходные данные'!G41,'Исходные данные'!J41)</f>
        <v>300000</v>
      </c>
      <c r="E12" s="320"/>
      <c r="F12" s="320"/>
      <c r="G12" s="320"/>
      <c r="H12" s="320"/>
      <c r="I12" s="243" t="str">
        <f>""&amp;CHOOSE('Исходные данные'!$O$2,'Исходные данные'!$P$2,'Исходные данные'!$P$3,'Исходные данные'!$P$4,'Исходные данные'!$P$5)&amp;""</f>
        <v>UAH</v>
      </c>
      <c r="J12" s="243"/>
      <c r="K12" s="85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</row>
    <row r="13" spans="1:25" ht="42" customHeight="1" x14ac:dyDescent="0.6">
      <c r="A13" s="83"/>
      <c r="B13" s="258" t="str">
        <f>'Исходные данные'!B42:C42</f>
        <v>Оборудование</v>
      </c>
      <c r="C13" s="259"/>
      <c r="D13" s="320">
        <f>CHOOSE($N$1,'Исходные данные'!E42,'Исходные данные'!G42,'Исходные данные'!J42)</f>
        <v>497000</v>
      </c>
      <c r="E13" s="320"/>
      <c r="F13" s="320"/>
      <c r="G13" s="320"/>
      <c r="H13" s="320"/>
      <c r="I13" s="243" t="str">
        <f>""&amp;CHOOSE('Исходные данные'!$O$2,'Исходные данные'!$P$2,'Исходные данные'!$P$3,'Исходные данные'!$P$4,'Исходные данные'!$P$5)&amp;""</f>
        <v>UAH</v>
      </c>
      <c r="J13" s="243"/>
      <c r="K13" s="85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</row>
    <row r="14" spans="1:25" ht="42" customHeight="1" x14ac:dyDescent="0.6">
      <c r="A14" s="139"/>
      <c r="B14" s="258" t="s">
        <v>57</v>
      </c>
      <c r="C14" s="259"/>
      <c r="D14" s="320">
        <f>CHOOSE($N$1,'Исходные данные'!E43,'Исходные данные'!G43,'Исходные данные'!J43)</f>
        <v>25000</v>
      </c>
      <c r="E14" s="320"/>
      <c r="F14" s="320"/>
      <c r="G14" s="320"/>
      <c r="H14" s="320"/>
      <c r="I14" s="243" t="str">
        <f>""&amp;CHOOSE('Исходные данные'!$O$2,'Исходные данные'!$P$2,'Исходные данные'!$P$3,'Исходные данные'!$P$4,'Исходные данные'!$P$5)&amp;""</f>
        <v>UAH</v>
      </c>
      <c r="J14" s="243"/>
      <c r="K14" s="85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</row>
    <row r="15" spans="1:25" ht="42" customHeight="1" x14ac:dyDescent="0.6">
      <c r="A15" s="139"/>
      <c r="B15" s="258" t="s">
        <v>55</v>
      </c>
      <c r="C15" s="259"/>
      <c r="D15" s="320">
        <f>CHOOSE($N$1,'Исходные данные'!E44,'Исходные данные'!G44,'Исходные данные'!J44)</f>
        <v>25000</v>
      </c>
      <c r="E15" s="320"/>
      <c r="F15" s="320"/>
      <c r="G15" s="320"/>
      <c r="H15" s="320"/>
      <c r="I15" s="243" t="str">
        <f>""&amp;CHOOSE('Исходные данные'!$O$2,'Исходные данные'!$P$2,'Исходные данные'!$P$3,'Исходные данные'!$P$4,'Исходные данные'!$P$5)&amp;""</f>
        <v>UAH</v>
      </c>
      <c r="J15" s="243"/>
      <c r="K15" s="85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</row>
    <row r="16" spans="1:25" ht="42" customHeight="1" x14ac:dyDescent="0.6">
      <c r="A16" s="83"/>
      <c r="B16" s="258" t="s">
        <v>64</v>
      </c>
      <c r="C16" s="259"/>
      <c r="D16" s="320">
        <f>CHOOSE($N$1,'Исходные данные'!E45,'Исходные данные'!G45,'Исходные данные'!J45)</f>
        <v>60000</v>
      </c>
      <c r="E16" s="320"/>
      <c r="F16" s="320"/>
      <c r="G16" s="320"/>
      <c r="H16" s="320"/>
      <c r="I16" s="243" t="str">
        <f>""&amp;CHOOSE('Исходные данные'!$O$2,'Исходные данные'!$P$2,'Исходные данные'!$P$3,'Исходные данные'!$P$4,'Исходные данные'!$P$5)&amp;""</f>
        <v>UAH</v>
      </c>
      <c r="J16" s="243"/>
      <c r="K16" s="85"/>
      <c r="N16" s="84"/>
      <c r="O16" s="84"/>
      <c r="Q16" s="84"/>
      <c r="R16" s="84"/>
      <c r="S16" s="84"/>
      <c r="T16" s="84"/>
      <c r="U16" s="84"/>
      <c r="V16" s="84"/>
      <c r="W16" s="84"/>
      <c r="X16" s="84"/>
      <c r="Y16" s="84"/>
    </row>
    <row r="17" spans="1:26" ht="42" customHeight="1" x14ac:dyDescent="0.6">
      <c r="A17" s="83"/>
      <c r="B17" s="258" t="s">
        <v>22</v>
      </c>
      <c r="C17" s="259"/>
      <c r="D17" s="320">
        <f>CHOOSE($N$1,'Исходные данные'!E46,'Исходные данные'!G46,'Исходные данные'!J46)</f>
        <v>400000</v>
      </c>
      <c r="E17" s="320"/>
      <c r="F17" s="320"/>
      <c r="G17" s="320"/>
      <c r="H17" s="320"/>
      <c r="I17" s="243" t="str">
        <f>""&amp;CHOOSE('Исходные данные'!$O$2,'Исходные данные'!$P$2,'Исходные данные'!$P$3,'Исходные данные'!$P$4,'Исходные данные'!$P$5)&amp;""</f>
        <v>UAH</v>
      </c>
      <c r="J17" s="243"/>
      <c r="K17" s="85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</row>
    <row r="18" spans="1:26" ht="42" customHeight="1" x14ac:dyDescent="0.6">
      <c r="A18" s="83"/>
      <c r="B18" s="258" t="s">
        <v>2</v>
      </c>
      <c r="C18" s="259"/>
      <c r="D18" s="320">
        <f>CHOOSE($N$1,'Исходные данные'!E47,'Исходные данные'!G47,'Исходные данные'!J47)</f>
        <v>40000</v>
      </c>
      <c r="E18" s="320"/>
      <c r="F18" s="320"/>
      <c r="G18" s="320"/>
      <c r="H18" s="320"/>
      <c r="I18" s="243" t="str">
        <f>""&amp;CHOOSE('Исходные данные'!$O$2,'Исходные данные'!$P$2,'Исходные данные'!$P$3,'Исходные данные'!$P$4,'Исходные данные'!$P$5)&amp;""</f>
        <v>UAH</v>
      </c>
      <c r="J18" s="243"/>
      <c r="K18" s="85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</row>
    <row r="19" spans="1:26" ht="42" customHeight="1" x14ac:dyDescent="0.6">
      <c r="A19" s="83"/>
      <c r="B19" s="297" t="s">
        <v>0</v>
      </c>
      <c r="C19" s="332"/>
      <c r="D19" s="340">
        <f>SUM(D11:H18)</f>
        <v>2097000</v>
      </c>
      <c r="E19" s="340"/>
      <c r="F19" s="340"/>
      <c r="G19" s="340"/>
      <c r="H19" s="340"/>
      <c r="I19" s="243" t="str">
        <f>""&amp;CHOOSE('Исходные данные'!$O$2,'Исходные данные'!$P$2,'Исходные данные'!$P$3,'Исходные данные'!$P$4,'Исходные данные'!$P$5)&amp;""</f>
        <v>UAH</v>
      </c>
      <c r="J19" s="243"/>
      <c r="K19" s="85"/>
      <c r="L19" s="97"/>
      <c r="N19" s="84"/>
      <c r="P19" s="84"/>
      <c r="Q19" s="84"/>
      <c r="R19" s="84"/>
      <c r="S19" s="84"/>
      <c r="T19" s="84"/>
      <c r="U19" s="84"/>
      <c r="V19" s="84"/>
      <c r="W19" s="84"/>
      <c r="X19" s="84"/>
      <c r="Y19" s="84"/>
    </row>
    <row r="20" spans="1:26" ht="34.200000000000003" customHeight="1" x14ac:dyDescent="0.7">
      <c r="A20" s="338"/>
      <c r="B20" s="338"/>
      <c r="C20" s="338"/>
      <c r="D20" s="338"/>
      <c r="E20" s="338"/>
      <c r="F20" s="338"/>
      <c r="G20" s="338"/>
      <c r="H20" s="338"/>
      <c r="I20" s="338"/>
      <c r="J20" s="338"/>
      <c r="K20" s="85"/>
      <c r="N20" s="84"/>
      <c r="P20" s="84"/>
      <c r="Q20" s="84"/>
      <c r="R20" s="84"/>
      <c r="S20" s="84"/>
      <c r="T20" s="84"/>
      <c r="U20" s="84"/>
      <c r="V20" s="84"/>
      <c r="W20" s="84"/>
      <c r="X20" s="84"/>
      <c r="Y20" s="84"/>
    </row>
    <row r="21" spans="1:26" ht="34.200000000000003" customHeight="1" x14ac:dyDescent="0.7">
      <c r="A21" s="77" t="s">
        <v>65</v>
      </c>
      <c r="B21" s="146"/>
      <c r="C21" s="146"/>
      <c r="D21" s="146"/>
      <c r="E21" s="146"/>
      <c r="F21" s="146"/>
      <c r="G21" s="146"/>
      <c r="H21" s="146"/>
      <c r="I21" s="146"/>
      <c r="J21" s="146"/>
      <c r="K21" s="85"/>
      <c r="N21" s="84"/>
      <c r="P21" s="84"/>
      <c r="Q21" s="84"/>
      <c r="R21" s="84"/>
      <c r="S21" s="84"/>
      <c r="T21" s="84"/>
      <c r="U21" s="84"/>
      <c r="V21" s="84"/>
      <c r="W21" s="84"/>
      <c r="X21" s="84"/>
      <c r="Y21" s="84"/>
    </row>
    <row r="22" spans="1:26" ht="79.5" customHeight="1" x14ac:dyDescent="0.6">
      <c r="A22" s="271" t="s">
        <v>66</v>
      </c>
      <c r="B22" s="271"/>
      <c r="C22" s="271"/>
      <c r="D22" s="212" t="str">
        <f>'Исходные данные'!D52</f>
        <v>Количество сотрудников, чел.</v>
      </c>
      <c r="E22" s="273" t="str">
        <f>"Фиксированный оклад в день, "&amp;CHOOSE('Исходные данные'!$O$2,'Исходные данные'!$P$2,'Исходные данные'!$P$3,'Исходные данные'!$P$4,'Исходные данные'!$P$5)&amp;"/день"</f>
        <v>Фиксированный оклад в день, UAH/день</v>
      </c>
      <c r="F22" s="275"/>
      <c r="G22" s="271" t="str">
        <f>'Исходные данные'!H61</f>
        <v>Количество рабочих дней в месяц у каждого сотрудника, дней</v>
      </c>
      <c r="H22" s="271"/>
      <c r="I22" s="222" t="s">
        <v>87</v>
      </c>
      <c r="J22" s="212" t="s">
        <v>88</v>
      </c>
      <c r="L22" s="85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</row>
    <row r="23" spans="1:26" s="1" customFormat="1" ht="32.700000000000003" customHeight="1" x14ac:dyDescent="0.55000000000000004">
      <c r="A23" s="333" t="str">
        <f>CHOOSE($N$1,'Исходные данные'!A54,'Исходные данные'!A63,'Исходные данные'!A72)</f>
        <v>Управляющий салоном</v>
      </c>
      <c r="B23" s="333"/>
      <c r="C23" s="333"/>
      <c r="D23" s="211">
        <f>CHOOSE($N$1,'Исходные данные'!D54,'Исходные данные'!D63,'Исходные данные'!D72)</f>
        <v>1</v>
      </c>
      <c r="E23" s="267">
        <f>CHOOSE($N$1,'Исходные данные'!F54,'Исходные данные'!F63,'Исходные данные'!F72)</f>
        <v>300</v>
      </c>
      <c r="F23" s="268"/>
      <c r="G23" s="341">
        <f>CHOOSE($N$1,'Исходные данные'!H54,'Исходные данные'!H63,'Исходные данные'!H72)</f>
        <v>30</v>
      </c>
      <c r="H23" s="341"/>
      <c r="I23" s="238">
        <f>CHOOSE($N$1,'Исходные данные'!I54,'Исходные данные'!I63,'Исходные данные'!I72)</f>
        <v>0.05</v>
      </c>
      <c r="J23" s="213" t="str">
        <f>CHOOSE($N$1,'Исходные данные'!K54,'Исходные данные'!K63,'Исходные данные'!K72)</f>
        <v>общая выручка</v>
      </c>
      <c r="L23" s="85"/>
      <c r="N23" s="149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</row>
    <row r="24" spans="1:26" s="1" customFormat="1" ht="32.700000000000003" customHeight="1" x14ac:dyDescent="0.55000000000000004">
      <c r="A24" s="333" t="str">
        <f>CHOOSE($N$1,'Исходные данные'!A55,'Исходные данные'!A64,'Исходные данные'!A73)</f>
        <v>Администратор</v>
      </c>
      <c r="B24" s="333"/>
      <c r="C24" s="333"/>
      <c r="D24" s="220">
        <f>CHOOSE($N$1,'Исходные данные'!D55,'Исходные данные'!D64,'Исходные данные'!D73)</f>
        <v>3</v>
      </c>
      <c r="E24" s="267">
        <f>CHOOSE($N$1,'Исходные данные'!F55,'Исходные данные'!F64,'Исходные данные'!F73)</f>
        <v>250</v>
      </c>
      <c r="F24" s="268"/>
      <c r="G24" s="341">
        <f>CHOOSE($N$1,'Исходные данные'!H55,'Исходные данные'!H64,'Исходные данные'!H73)</f>
        <v>15</v>
      </c>
      <c r="H24" s="341"/>
      <c r="I24" s="245">
        <f>CHOOSE($N$1,'Исходные данные'!I55,'Исходные данные'!I64,'Исходные данные'!I73)</f>
        <v>0.03</v>
      </c>
      <c r="J24" s="246" t="str">
        <f>CHOOSE($N$1,'Исходные данные'!K55,'Исходные данные'!K64,'Исходные данные'!K73)</f>
        <v>общая выручка</v>
      </c>
      <c r="L24" s="85"/>
      <c r="N24" s="149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</row>
    <row r="25" spans="1:26" s="1" customFormat="1" ht="32.700000000000003" customHeight="1" x14ac:dyDescent="0.55000000000000004">
      <c r="A25" s="333" t="str">
        <f>CHOOSE($N$1,'Исходные данные'!A56,'Исходные данные'!A65,'Исходные данные'!A74)</f>
        <v>СПА-Мастер</v>
      </c>
      <c r="B25" s="333"/>
      <c r="C25" s="333"/>
      <c r="D25" s="220">
        <f>CHOOSE($N$1,'Исходные данные'!D56,'Исходные данные'!D65,'Исходные данные'!D74)</f>
        <v>20</v>
      </c>
      <c r="E25" s="267">
        <f>CHOOSE($N$1,'Исходные данные'!F56,'Исходные данные'!F65,'Исходные данные'!F74)</f>
        <v>0</v>
      </c>
      <c r="F25" s="268"/>
      <c r="G25" s="341">
        <f>CHOOSE($N$1,'Исходные данные'!H56,'Исходные данные'!H65,'Исходные данные'!H74)</f>
        <v>15</v>
      </c>
      <c r="H25" s="341"/>
      <c r="I25" s="245">
        <f>CHOOSE($N$1,'Исходные данные'!I56,'Исходные данные'!I65,'Исходные данные'!I74)</f>
        <v>0.3</v>
      </c>
      <c r="J25" s="246" t="str">
        <f>CHOOSE($N$1,'Исходные данные'!K56,'Исходные данные'!K65,'Исходные данные'!K74)</f>
        <v>общая выручка</v>
      </c>
      <c r="L25" s="85"/>
      <c r="N25" s="149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</row>
    <row r="26" spans="1:26" s="1" customFormat="1" ht="32.700000000000003" customHeight="1" x14ac:dyDescent="0.55000000000000004">
      <c r="A26" s="333" t="str">
        <f>CHOOSE($N$1,0,'Исходные данные'!A66,'Исходные данные'!A75)</f>
        <v>Зав. Хозяйством</v>
      </c>
      <c r="B26" s="333"/>
      <c r="C26" s="333"/>
      <c r="D26" s="220">
        <f>CHOOSE($N$1,0,'Исходные данные'!D66,'Исходные данные'!D75)</f>
        <v>1</v>
      </c>
      <c r="E26" s="267">
        <f>CHOOSE($N$1,0,'Исходные данные'!F66,'Исходные данные'!F75)</f>
        <v>200</v>
      </c>
      <c r="F26" s="268"/>
      <c r="G26" s="341">
        <f>CHOOSE($N$1,0,'Исходные данные'!H66,'Исходные данные'!H75)</f>
        <v>20</v>
      </c>
      <c r="H26" s="341"/>
      <c r="I26" s="245">
        <f>CHOOSE($N$1,'Исходные данные'!I57,'Исходные данные'!I66,'Исходные данные'!I75)</f>
        <v>0</v>
      </c>
      <c r="J26" s="246" t="str">
        <f>CHOOSE($N$1,'Исходные данные'!K57,'Исходные данные'!K66,'Исходные данные'!K75)</f>
        <v>общая выручка</v>
      </c>
      <c r="L26" s="85"/>
      <c r="N26" s="149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</row>
    <row r="27" spans="1:26" s="1" customFormat="1" ht="32.700000000000003" customHeight="1" x14ac:dyDescent="0.55000000000000004">
      <c r="A27" s="333">
        <f>CHOOSE($N$1,0,'Исходные данные'!A67,'Исходные данные'!A76)</f>
        <v>0</v>
      </c>
      <c r="B27" s="333"/>
      <c r="C27" s="333"/>
      <c r="D27" s="220">
        <f>CHOOSE($N$1,0,'Исходные данные'!D67,'Исходные данные'!D76)</f>
        <v>0</v>
      </c>
      <c r="E27" s="267">
        <f>CHOOSE($N$1,0,'Исходные данные'!F67,'Исходные данные'!F76)</f>
        <v>0</v>
      </c>
      <c r="F27" s="268"/>
      <c r="G27" s="341">
        <f>CHOOSE($N$1,0,'Исходные данные'!H67,'Исходные данные'!H76)</f>
        <v>0</v>
      </c>
      <c r="H27" s="341"/>
      <c r="I27" s="245">
        <f>CHOOSE($N$1,'Исходные данные'!I58,'Исходные данные'!I67,'Исходные данные'!I76)</f>
        <v>0</v>
      </c>
      <c r="J27" s="246" t="str">
        <f>CHOOSE($N$1,'Исходные данные'!K58,'Исходные данные'!K67,'Исходные данные'!K76)</f>
        <v>общая выручка</v>
      </c>
      <c r="L27" s="85"/>
      <c r="N27" s="149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</row>
    <row r="28" spans="1:26" ht="27.6" customHeight="1" x14ac:dyDescent="0.7">
      <c r="A28" s="270"/>
      <c r="B28" s="270"/>
      <c r="C28" s="270"/>
      <c r="D28" s="270"/>
      <c r="E28" s="270"/>
      <c r="F28" s="270"/>
      <c r="G28" s="270"/>
      <c r="H28" s="270"/>
      <c r="I28" s="270"/>
      <c r="J28" s="270"/>
      <c r="K28" s="85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</row>
    <row r="29" spans="1:26" ht="34.200000000000003" customHeight="1" x14ac:dyDescent="0.55000000000000004">
      <c r="A29" s="77" t="s">
        <v>1</v>
      </c>
      <c r="L29" s="1"/>
    </row>
    <row r="30" spans="1:26" ht="22.2" customHeight="1" x14ac:dyDescent="0.55000000000000004">
      <c r="A30" s="77"/>
      <c r="D30" s="339" t="s">
        <v>74</v>
      </c>
      <c r="E30" s="339"/>
      <c r="G30" s="339" t="s">
        <v>83</v>
      </c>
      <c r="H30" s="339"/>
      <c r="I30" s="339"/>
      <c r="J30" s="166"/>
      <c r="L30" s="1"/>
    </row>
    <row r="31" spans="1:26" ht="42" customHeight="1" x14ac:dyDescent="0.55000000000000004">
      <c r="A31" s="2"/>
      <c r="B31" s="258" t="str">
        <f>'Исходные данные'!B86</f>
        <v>Материалы для проведения процедур</v>
      </c>
      <c r="C31" s="259"/>
      <c r="D31" s="334">
        <f>G31/'Детальный расчет'!$P$18</f>
        <v>0.05</v>
      </c>
      <c r="E31" s="334"/>
      <c r="G31" s="335">
        <f>'Детальный расчет'!P22</f>
        <v>35512.712016666665</v>
      </c>
      <c r="H31" s="335"/>
      <c r="I31" s="335"/>
      <c r="J31" s="215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32" spans="1:26" ht="42" customHeight="1" x14ac:dyDescent="0.55000000000000004">
      <c r="A32" s="2"/>
      <c r="B32" s="258" t="s">
        <v>45</v>
      </c>
      <c r="C32" s="259"/>
      <c r="D32" s="334">
        <f>G32/'Детальный расчет'!$P$18</f>
        <v>0.41414270358825184</v>
      </c>
      <c r="E32" s="334"/>
      <c r="G32" s="335">
        <f>'Детальный расчет'!P40</f>
        <v>294146.61132666661</v>
      </c>
      <c r="H32" s="335"/>
      <c r="I32" s="335"/>
      <c r="J32" s="215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33" spans="1:26" ht="42" customHeight="1" x14ac:dyDescent="0.55000000000000004">
      <c r="A33" s="121"/>
      <c r="B33" s="336" t="str">
        <f>'Исходные данные'!B82</f>
        <v>Роялти</v>
      </c>
      <c r="C33" s="337"/>
      <c r="D33" s="334">
        <f>G33/'Детальный расчет'!$P$18</f>
        <v>0.02</v>
      </c>
      <c r="E33" s="334"/>
      <c r="F33" s="147"/>
      <c r="G33" s="335">
        <f>'Детальный расчет'!P41</f>
        <v>14205.084806666666</v>
      </c>
      <c r="H33" s="335"/>
      <c r="I33" s="335"/>
      <c r="J33" s="215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34" spans="1:26" ht="42" customHeight="1" x14ac:dyDescent="0.55000000000000004">
      <c r="A34" s="121"/>
      <c r="B34" s="336" t="str">
        <f>'Исходные данные'!B83</f>
        <v>Маркетинговые отчисления</v>
      </c>
      <c r="C34" s="337"/>
      <c r="D34" s="334">
        <f>G34/'Детальный расчет'!$P$18</f>
        <v>0.05</v>
      </c>
      <c r="E34" s="334"/>
      <c r="F34" s="147"/>
      <c r="G34" s="335">
        <f>'Детальный расчет'!P42</f>
        <v>35512.712016666665</v>
      </c>
      <c r="H34" s="335"/>
      <c r="I34" s="335"/>
      <c r="J34" s="215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35" spans="1:26" ht="42" customHeight="1" x14ac:dyDescent="0.6">
      <c r="A35" s="83"/>
      <c r="B35" s="336" t="str">
        <f>'Исходные данные'!B84</f>
        <v>Аренда</v>
      </c>
      <c r="C35" s="337"/>
      <c r="D35" s="334">
        <f>G35/'Детальный расчет'!$P$18</f>
        <v>0.10559599047912947</v>
      </c>
      <c r="E35" s="334"/>
      <c r="F35" s="134"/>
      <c r="G35" s="335">
        <f>'Детальный расчет'!P43</f>
        <v>75000</v>
      </c>
      <c r="H35" s="335"/>
      <c r="I35" s="335"/>
      <c r="J35" s="215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  <c r="K35" s="86"/>
      <c r="L35" s="83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</row>
    <row r="36" spans="1:26" ht="42" customHeight="1" x14ac:dyDescent="0.6">
      <c r="A36" s="83"/>
      <c r="B36" s="336" t="str">
        <f>'Исходные данные'!B85</f>
        <v>Коммунальные платежи</v>
      </c>
      <c r="C36" s="337"/>
      <c r="D36" s="334">
        <f>G36/'Детальный расчет'!$P$18</f>
        <v>2.1119198095825895E-2</v>
      </c>
      <c r="E36" s="334"/>
      <c r="F36" s="134"/>
      <c r="G36" s="335">
        <f>'Детальный расчет'!P44</f>
        <v>15000</v>
      </c>
      <c r="H36" s="335"/>
      <c r="I36" s="335"/>
      <c r="J36" s="215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  <c r="K36" s="86"/>
      <c r="L36" s="83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</row>
    <row r="37" spans="1:26" ht="42" customHeight="1" x14ac:dyDescent="0.55000000000000004">
      <c r="A37" s="2"/>
      <c r="B37" s="336" t="str">
        <f>'Исходные данные'!B87</f>
        <v>Хозяйственные нужды</v>
      </c>
      <c r="C37" s="337"/>
      <c r="D37" s="334">
        <f>G37/'Детальный расчет'!$P$18</f>
        <v>5.6317861588869055E-2</v>
      </c>
      <c r="E37" s="334"/>
      <c r="G37" s="335">
        <f>'Детальный расчет'!P45</f>
        <v>40000</v>
      </c>
      <c r="H37" s="335"/>
      <c r="I37" s="335"/>
      <c r="J37" s="215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38" spans="1:26" ht="42" customHeight="1" x14ac:dyDescent="0.55000000000000004">
      <c r="A38" s="2"/>
      <c r="B38" s="336" t="str">
        <f>'Исходные данные'!B88</f>
        <v>Охрана</v>
      </c>
      <c r="C38" s="337"/>
      <c r="D38" s="334">
        <f>G38/'Детальный расчет'!$P$18</f>
        <v>1.6895358476660717E-3</v>
      </c>
      <c r="E38" s="334"/>
      <c r="G38" s="335">
        <f>'Детальный расчет'!P46</f>
        <v>1200</v>
      </c>
      <c r="H38" s="335"/>
      <c r="I38" s="335"/>
      <c r="J38" s="215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39" spans="1:26" ht="42" customHeight="1" x14ac:dyDescent="0.55000000000000004">
      <c r="A39" s="2"/>
      <c r="B39" s="336" t="str">
        <f>'Исходные данные'!B89</f>
        <v>Услуги связи и интернет</v>
      </c>
      <c r="C39" s="337"/>
      <c r="D39" s="334">
        <f>G39/'Детальный расчет'!$P$18</f>
        <v>2.1119198095825896E-3</v>
      </c>
      <c r="E39" s="334"/>
      <c r="G39" s="335">
        <f>'Детальный расчет'!P47</f>
        <v>1500</v>
      </c>
      <c r="H39" s="335"/>
      <c r="I39" s="335"/>
      <c r="J39" s="215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40" spans="1:26" ht="42" customHeight="1" x14ac:dyDescent="0.55000000000000004">
      <c r="A40" s="2"/>
      <c r="B40" s="336" t="str">
        <f>'Исходные данные'!B90</f>
        <v>Уборка помещения</v>
      </c>
      <c r="C40" s="337"/>
      <c r="D40" s="334">
        <f>G40/'Детальный расчет'!$P$18</f>
        <v>8.4476792383303585E-3</v>
      </c>
      <c r="E40" s="334"/>
      <c r="G40" s="335">
        <f>'Детальный расчет'!P48</f>
        <v>6000</v>
      </c>
      <c r="H40" s="335"/>
      <c r="I40" s="335"/>
      <c r="J40" s="215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41" spans="1:26" ht="42" customHeight="1" x14ac:dyDescent="0.55000000000000004">
      <c r="A41" s="2"/>
      <c r="B41" s="336" t="str">
        <f>'Исходные данные'!B91</f>
        <v>Стирка белья</v>
      </c>
      <c r="C41" s="337"/>
      <c r="D41" s="334">
        <f>G41/'Детальный расчет'!$P$18</f>
        <v>2.1119198095825895E-2</v>
      </c>
      <c r="E41" s="334"/>
      <c r="G41" s="335">
        <f>'Детальный расчет'!P49</f>
        <v>15000</v>
      </c>
      <c r="H41" s="335"/>
      <c r="I41" s="335"/>
      <c r="J41" s="215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42" spans="1:26" ht="42" customHeight="1" x14ac:dyDescent="0.55000000000000004">
      <c r="A42" s="2"/>
      <c r="B42" s="336" t="str">
        <f>'Исходные данные'!B92</f>
        <v>Ведение бухгалтерского учета</v>
      </c>
      <c r="C42" s="337"/>
      <c r="D42" s="334">
        <f>G42/'Детальный расчет'!$P$18</f>
        <v>2.815893079443453E-3</v>
      </c>
      <c r="E42" s="334"/>
      <c r="G42" s="335">
        <f>'Детальный расчет'!P50</f>
        <v>2000</v>
      </c>
      <c r="H42" s="335"/>
      <c r="I42" s="335"/>
      <c r="J42" s="215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43" spans="1:26" ht="42" customHeight="1" x14ac:dyDescent="0.55000000000000004">
      <c r="A43" s="2"/>
      <c r="B43" s="258" t="str">
        <f>'Исходные данные'!B93</f>
        <v>Транспортные расходы, в т.ч. курьер, если нет в штате</v>
      </c>
      <c r="C43" s="259"/>
      <c r="D43" s="334">
        <f>G43/'Детальный расчет'!$P$18</f>
        <v>2.815893079443453E-3</v>
      </c>
      <c r="E43" s="334"/>
      <c r="G43" s="335">
        <f>'Детальный расчет'!P51</f>
        <v>2000</v>
      </c>
      <c r="H43" s="335"/>
      <c r="I43" s="335"/>
      <c r="J43" s="215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44" spans="1:26" ht="42" customHeight="1" x14ac:dyDescent="0.55000000000000004">
      <c r="A44" s="2"/>
      <c r="B44" s="336" t="str">
        <f>'Исходные данные'!B94</f>
        <v>Текущий ремонт</v>
      </c>
      <c r="C44" s="337"/>
      <c r="D44" s="334">
        <f>G44/'Детальный расчет'!$P$18</f>
        <v>2.815893079443453E-3</v>
      </c>
      <c r="E44" s="334"/>
      <c r="G44" s="335">
        <f>'Детальный расчет'!P52</f>
        <v>2000</v>
      </c>
      <c r="H44" s="335"/>
      <c r="I44" s="335"/>
      <c r="J44" s="215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45" spans="1:26" ht="42" customHeight="1" x14ac:dyDescent="0.55000000000000004">
      <c r="A45" s="2"/>
      <c r="B45" s="336" t="str">
        <f>'Исходные данные'!B95</f>
        <v>Обучение персонала</v>
      </c>
      <c r="C45" s="337"/>
      <c r="D45" s="334">
        <f>G45/'Детальный расчет'!$P$18</f>
        <v>1.4079465397217265E-3</v>
      </c>
      <c r="E45" s="334"/>
      <c r="G45" s="335">
        <f>'Детальный расчет'!P53</f>
        <v>1000</v>
      </c>
      <c r="H45" s="335"/>
      <c r="I45" s="335"/>
      <c r="J45" s="215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46" spans="1:26" ht="42" customHeight="1" x14ac:dyDescent="0.55000000000000004">
      <c r="A46" s="2"/>
      <c r="B46" s="336" t="s">
        <v>127</v>
      </c>
      <c r="C46" s="337"/>
      <c r="D46" s="334">
        <f>G46/'Детальный расчет'!$P$18</f>
        <v>5.631786158886906E-3</v>
      </c>
      <c r="E46" s="334"/>
      <c r="G46" s="335">
        <f>'Детальный расчет'!P54</f>
        <v>4000</v>
      </c>
      <c r="H46" s="335"/>
      <c r="I46" s="335"/>
      <c r="J46" s="215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47" spans="1:26" ht="42" customHeight="1" x14ac:dyDescent="0.55000000000000004">
      <c r="A47" s="2"/>
      <c r="B47" s="258" t="s">
        <v>67</v>
      </c>
      <c r="C47" s="259"/>
      <c r="D47" s="334">
        <f>G47/'Детальный расчет'!$P$18</f>
        <v>4.6931551324057546E-4</v>
      </c>
      <c r="E47" s="334"/>
      <c r="G47" s="335">
        <f>'Детальный расчет'!P55</f>
        <v>333.33333333333331</v>
      </c>
      <c r="H47" s="335"/>
      <c r="I47" s="335"/>
      <c r="J47" s="215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48" spans="1:26" ht="42" customHeight="1" x14ac:dyDescent="0.55000000000000004">
      <c r="A48" s="2"/>
      <c r="B48" s="258" t="str">
        <f>'Исходные данные'!B98</f>
        <v>Местная реклама (буклеты, печатная продукция и т.д.)</v>
      </c>
      <c r="C48" s="259"/>
      <c r="D48" s="334">
        <f>G48/'Детальный расчет'!$P$18</f>
        <v>1.6895358476660717E-2</v>
      </c>
      <c r="E48" s="334"/>
      <c r="G48" s="335">
        <f>'Детальный расчет'!P56</f>
        <v>12000</v>
      </c>
      <c r="H48" s="335"/>
      <c r="I48" s="335"/>
      <c r="J48" s="215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  <c r="N48" s="97"/>
    </row>
    <row r="49" spans="1:25" ht="42" customHeight="1" x14ac:dyDescent="0.55000000000000004">
      <c r="A49" s="2"/>
      <c r="B49" s="258" t="str">
        <f>'Исходные данные'!B99</f>
        <v>Банковское обслуживание</v>
      </c>
      <c r="C49" s="259"/>
      <c r="D49" s="334">
        <f>G49/'Детальный расчет'!$P$18</f>
        <v>9.0000000000000011E-3</v>
      </c>
      <c r="E49" s="334"/>
      <c r="G49" s="335">
        <f>'Детальный расчет'!P57</f>
        <v>6392.2881630000002</v>
      </c>
      <c r="H49" s="335"/>
      <c r="I49" s="335"/>
      <c r="J49" s="215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50" spans="1:25" ht="42" customHeight="1" x14ac:dyDescent="0.55000000000000004">
      <c r="A50" s="2"/>
      <c r="B50" s="258" t="s">
        <v>75</v>
      </c>
      <c r="C50" s="259"/>
      <c r="D50" s="334">
        <f>G50/'Детальный расчет'!$P$18</f>
        <v>0.02</v>
      </c>
      <c r="E50" s="334"/>
      <c r="F50" s="147"/>
      <c r="G50" s="335">
        <f>'Детальный расчет'!P58</f>
        <v>14205.084806666666</v>
      </c>
      <c r="H50" s="335"/>
      <c r="I50" s="335"/>
      <c r="J50" s="215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51" spans="1:25" ht="42" customHeight="1" x14ac:dyDescent="0.55000000000000004">
      <c r="A51" s="2"/>
      <c r="B51" s="258" t="s">
        <v>2</v>
      </c>
      <c r="C51" s="259"/>
      <c r="D51" s="334">
        <f>G51/'Детальный расчет'!$P$18</f>
        <v>0</v>
      </c>
      <c r="E51" s="334"/>
      <c r="G51" s="335">
        <f>'Детальный расчет'!P59</f>
        <v>0</v>
      </c>
      <c r="H51" s="335"/>
      <c r="I51" s="335"/>
      <c r="J51" s="215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52" spans="1:25" ht="34.200000000000003" customHeight="1" x14ac:dyDescent="0.55000000000000004">
      <c r="A52" s="2"/>
      <c r="B52" s="347" t="s">
        <v>3</v>
      </c>
      <c r="C52" s="347"/>
      <c r="D52" s="348">
        <f>SUM(D31:E51)</f>
        <v>0.81239617267032138</v>
      </c>
      <c r="E52" s="348"/>
      <c r="G52" s="369">
        <f>SUM(G31:I51)</f>
        <v>577007.82646966667</v>
      </c>
      <c r="H52" s="369"/>
      <c r="I52" s="369"/>
      <c r="J52" s="215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</row>
    <row r="53" spans="1:25" ht="16.2" customHeight="1" x14ac:dyDescent="0.6">
      <c r="A53" s="292"/>
      <c r="B53" s="292"/>
      <c r="C53" s="292"/>
      <c r="D53" s="292"/>
      <c r="E53" s="292"/>
      <c r="F53" s="292"/>
      <c r="G53" s="292"/>
      <c r="H53" s="292"/>
      <c r="I53" s="292"/>
      <c r="J53" s="292"/>
      <c r="K53" s="85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</row>
    <row r="54" spans="1:25" ht="52.5" customHeight="1" x14ac:dyDescent="0.55000000000000004">
      <c r="A54" s="210"/>
      <c r="B54" s="210"/>
      <c r="C54" s="210"/>
      <c r="D54" s="217"/>
      <c r="E54" s="217"/>
      <c r="F54" s="217"/>
      <c r="G54" s="214"/>
      <c r="H54" s="217"/>
      <c r="I54" s="353" t="s">
        <v>100</v>
      </c>
      <c r="J54" s="353"/>
      <c r="K54" s="85"/>
    </row>
    <row r="55" spans="1:25" ht="45" customHeight="1" x14ac:dyDescent="0.55000000000000004">
      <c r="A55" s="342" t="s">
        <v>105</v>
      </c>
      <c r="B55" s="342"/>
      <c r="C55" s="344"/>
      <c r="D55" s="355">
        <f>'Детальный расчет'!P69</f>
        <v>133246.4138636667</v>
      </c>
      <c r="E55" s="355"/>
      <c r="F55" s="355"/>
      <c r="G55" s="355"/>
      <c r="H55" s="218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  <c r="I55" s="354">
        <f>'Детальный расчет'!P69/'Детальный расчет'!P63</f>
        <v>0.18760382732967862</v>
      </c>
      <c r="J55" s="354"/>
      <c r="K55" s="160"/>
    </row>
    <row r="56" spans="1:25" ht="8.0500000000000007" customHeight="1" x14ac:dyDescent="0.55000000000000004">
      <c r="A56" s="2"/>
      <c r="B56" s="2"/>
      <c r="C56" s="2"/>
      <c r="D56" s="356"/>
      <c r="E56" s="356"/>
      <c r="F56" s="356"/>
      <c r="G56" s="356"/>
      <c r="H56" s="216"/>
      <c r="I56" s="352"/>
      <c r="J56" s="352"/>
      <c r="K56" s="160"/>
    </row>
    <row r="57" spans="1:25" ht="45" customHeight="1" x14ac:dyDescent="0.55000000000000004">
      <c r="A57" s="342" t="s">
        <v>106</v>
      </c>
      <c r="B57" s="342"/>
      <c r="C57" s="344"/>
      <c r="D57" s="355">
        <f>'Детальный расчет'!AD69</f>
        <v>207435.04075866667</v>
      </c>
      <c r="E57" s="355"/>
      <c r="F57" s="355"/>
      <c r="G57" s="355"/>
      <c r="H57" s="218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  <c r="I57" s="354">
        <f>'Детальный расчет'!AD69/'Детальный расчет'!AD63</f>
        <v>0.23548677876853052</v>
      </c>
      <c r="J57" s="354"/>
      <c r="K57" s="160"/>
    </row>
    <row r="58" spans="1:25" ht="8.0500000000000007" customHeight="1" x14ac:dyDescent="0.55000000000000004">
      <c r="A58" s="2"/>
      <c r="B58" s="2"/>
      <c r="C58" s="2"/>
      <c r="D58" s="356"/>
      <c r="E58" s="356"/>
      <c r="F58" s="356"/>
      <c r="G58" s="356"/>
      <c r="H58" s="216"/>
      <c r="I58" s="352"/>
      <c r="J58" s="352"/>
    </row>
    <row r="59" spans="1:25" ht="45" customHeight="1" x14ac:dyDescent="0.55000000000000004">
      <c r="A59" s="342" t="s">
        <v>107</v>
      </c>
      <c r="B59" s="342"/>
      <c r="C59" s="344"/>
      <c r="D59" s="368">
        <f>'Детальный расчет'!AR69</f>
        <v>270408.93644066661</v>
      </c>
      <c r="E59" s="368"/>
      <c r="F59" s="368"/>
      <c r="G59" s="368"/>
      <c r="H59" s="218" t="str">
        <f>""&amp;CHOOSE('Исходные данные'!$O$2,'Исходные данные'!$P$2,'Исходные данные'!$P$3,'Исходные данные'!$P$4,'Исходные данные'!$P$5)&amp;"/мес."</f>
        <v>UAH/мес.</v>
      </c>
      <c r="I59" s="354">
        <f>'Детальный расчет'!AR69/'Детальный расчет'!AR63</f>
        <v>0.26312290685484918</v>
      </c>
      <c r="J59" s="354"/>
    </row>
    <row r="60" spans="1:25" ht="8.0500000000000007" customHeight="1" x14ac:dyDescent="0.55000000000000004">
      <c r="A60" s="2"/>
      <c r="B60" s="2"/>
      <c r="C60" s="2"/>
      <c r="D60" s="2"/>
      <c r="E60" s="2"/>
      <c r="F60" s="2"/>
      <c r="H60" s="7"/>
      <c r="I60" s="7"/>
      <c r="J60" s="7"/>
    </row>
    <row r="61" spans="1:25" ht="45" customHeight="1" x14ac:dyDescent="0.55000000000000004">
      <c r="A61" s="345" t="s">
        <v>48</v>
      </c>
      <c r="B61" s="345"/>
      <c r="C61" s="346"/>
      <c r="D61" s="349">
        <f>'Детальный расчет'!B93</f>
        <v>3</v>
      </c>
      <c r="E61" s="350"/>
      <c r="F61" s="350"/>
      <c r="G61" s="350"/>
      <c r="H61" s="351"/>
      <c r="I61" s="3" t="s">
        <v>4</v>
      </c>
    </row>
    <row r="62" spans="1:25" ht="8.0500000000000007" customHeight="1" x14ac:dyDescent="0.55000000000000004">
      <c r="A62" s="2"/>
      <c r="B62" s="2"/>
      <c r="C62" s="2"/>
      <c r="D62" s="352"/>
      <c r="E62" s="352"/>
      <c r="F62" s="352"/>
      <c r="G62" s="352"/>
      <c r="H62" s="352"/>
      <c r="I62" s="7"/>
    </row>
    <row r="63" spans="1:25" ht="45" customHeight="1" x14ac:dyDescent="0.55000000000000004">
      <c r="A63" s="342" t="s">
        <v>69</v>
      </c>
      <c r="B63" s="342"/>
      <c r="C63" s="343"/>
      <c r="D63" s="349">
        <f>'Детальный расчет'!B92</f>
        <v>18</v>
      </c>
      <c r="E63" s="350"/>
      <c r="F63" s="350"/>
      <c r="G63" s="350"/>
      <c r="H63" s="351"/>
      <c r="I63" s="3" t="s">
        <v>4</v>
      </c>
    </row>
    <row r="64" spans="1:25" ht="27" customHeight="1" x14ac:dyDescent="0.55000000000000004">
      <c r="A64" s="183"/>
      <c r="B64" s="5"/>
      <c r="C64" s="5"/>
      <c r="D64" s="5"/>
      <c r="E64" s="5"/>
      <c r="F64" s="5"/>
      <c r="G64" s="6"/>
      <c r="H64" s="6"/>
      <c r="I64" s="6"/>
      <c r="J64" s="5"/>
    </row>
  </sheetData>
  <sheetProtection formatCells="0" formatColumns="0" formatRows="0" insertColumns="0" insertRows="0" insertHyperlinks="0" deleteColumns="0" deleteRows="0" sort="0" autoFilter="0" pivotTables="0"/>
  <mergeCells count="140">
    <mergeCell ref="D58:G58"/>
    <mergeCell ref="D59:G59"/>
    <mergeCell ref="G46:I46"/>
    <mergeCell ref="G47:I47"/>
    <mergeCell ref="G38:I38"/>
    <mergeCell ref="G39:I39"/>
    <mergeCell ref="G42:I42"/>
    <mergeCell ref="G43:I43"/>
    <mergeCell ref="G49:I49"/>
    <mergeCell ref="G48:I48"/>
    <mergeCell ref="G51:I51"/>
    <mergeCell ref="G52:I52"/>
    <mergeCell ref="B50:C50"/>
    <mergeCell ref="D50:E50"/>
    <mergeCell ref="B40:C40"/>
    <mergeCell ref="D40:E40"/>
    <mergeCell ref="G40:I40"/>
    <mergeCell ref="B41:C41"/>
    <mergeCell ref="D41:E41"/>
    <mergeCell ref="G41:I41"/>
    <mergeCell ref="B49:C49"/>
    <mergeCell ref="D49:E49"/>
    <mergeCell ref="G50:I50"/>
    <mergeCell ref="B42:C42"/>
    <mergeCell ref="B44:C44"/>
    <mergeCell ref="D44:E44"/>
    <mergeCell ref="G44:I44"/>
    <mergeCell ref="G45:I45"/>
    <mergeCell ref="G37:I37"/>
    <mergeCell ref="D42:E42"/>
    <mergeCell ref="D39:E39"/>
    <mergeCell ref="D47:E47"/>
    <mergeCell ref="D38:E38"/>
    <mergeCell ref="D35:E35"/>
    <mergeCell ref="D32:E32"/>
    <mergeCell ref="A28:J28"/>
    <mergeCell ref="A26:C26"/>
    <mergeCell ref="B31:C31"/>
    <mergeCell ref="D31:E31"/>
    <mergeCell ref="G31:I31"/>
    <mergeCell ref="D37:E37"/>
    <mergeCell ref="B45:C45"/>
    <mergeCell ref="D45:E45"/>
    <mergeCell ref="B33:C33"/>
    <mergeCell ref="D33:E33"/>
    <mergeCell ref="B34:C34"/>
    <mergeCell ref="B46:C46"/>
    <mergeCell ref="D46:E46"/>
    <mergeCell ref="B43:C43"/>
    <mergeCell ref="D43:E43"/>
    <mergeCell ref="B39:C39"/>
    <mergeCell ref="B47:C47"/>
    <mergeCell ref="A1:J1"/>
    <mergeCell ref="A2:D2"/>
    <mergeCell ref="F2:H2"/>
    <mergeCell ref="A4:C4"/>
    <mergeCell ref="F4:H4"/>
    <mergeCell ref="A9:J9"/>
    <mergeCell ref="B11:C11"/>
    <mergeCell ref="D7:E7"/>
    <mergeCell ref="B15:C15"/>
    <mergeCell ref="B12:C12"/>
    <mergeCell ref="D11:H11"/>
    <mergeCell ref="D12:H12"/>
    <mergeCell ref="D13:H13"/>
    <mergeCell ref="D14:H14"/>
    <mergeCell ref="D15:H15"/>
    <mergeCell ref="A7:C7"/>
    <mergeCell ref="A8:C8"/>
    <mergeCell ref="I7:J7"/>
    <mergeCell ref="I8:J8"/>
    <mergeCell ref="F7:H7"/>
    <mergeCell ref="F8:H8"/>
    <mergeCell ref="D8:E8"/>
    <mergeCell ref="A63:C63"/>
    <mergeCell ref="A59:C59"/>
    <mergeCell ref="A61:C61"/>
    <mergeCell ref="B48:C48"/>
    <mergeCell ref="D48:E48"/>
    <mergeCell ref="B51:C51"/>
    <mergeCell ref="D51:E51"/>
    <mergeCell ref="B52:C52"/>
    <mergeCell ref="D52:E52"/>
    <mergeCell ref="A53:J53"/>
    <mergeCell ref="A55:C55"/>
    <mergeCell ref="A57:C57"/>
    <mergeCell ref="D61:H61"/>
    <mergeCell ref="D62:H62"/>
    <mergeCell ref="D63:H63"/>
    <mergeCell ref="I54:J54"/>
    <mergeCell ref="I55:J55"/>
    <mergeCell ref="I56:J56"/>
    <mergeCell ref="I57:J57"/>
    <mergeCell ref="I58:J58"/>
    <mergeCell ref="I59:J59"/>
    <mergeCell ref="D55:G55"/>
    <mergeCell ref="D56:G56"/>
    <mergeCell ref="D57:G57"/>
    <mergeCell ref="B38:C38"/>
    <mergeCell ref="B35:C35"/>
    <mergeCell ref="B36:C36"/>
    <mergeCell ref="B37:C37"/>
    <mergeCell ref="D36:E36"/>
    <mergeCell ref="A20:J20"/>
    <mergeCell ref="B13:C13"/>
    <mergeCell ref="B14:C14"/>
    <mergeCell ref="G35:I35"/>
    <mergeCell ref="G36:I36"/>
    <mergeCell ref="D30:E30"/>
    <mergeCell ref="G30:I30"/>
    <mergeCell ref="G32:I32"/>
    <mergeCell ref="A22:C22"/>
    <mergeCell ref="D19:H19"/>
    <mergeCell ref="G22:H22"/>
    <mergeCell ref="G23:H23"/>
    <mergeCell ref="G24:H24"/>
    <mergeCell ref="G25:H25"/>
    <mergeCell ref="G26:H26"/>
    <mergeCell ref="G27:H27"/>
    <mergeCell ref="A23:C23"/>
    <mergeCell ref="A24:C24"/>
    <mergeCell ref="B18:C18"/>
    <mergeCell ref="B19:C19"/>
    <mergeCell ref="B16:C16"/>
    <mergeCell ref="B17:C17"/>
    <mergeCell ref="A27:C27"/>
    <mergeCell ref="D34:E34"/>
    <mergeCell ref="G33:I33"/>
    <mergeCell ref="G34:I34"/>
    <mergeCell ref="B32:C32"/>
    <mergeCell ref="D16:H16"/>
    <mergeCell ref="D17:H17"/>
    <mergeCell ref="D18:H18"/>
    <mergeCell ref="A25:C25"/>
    <mergeCell ref="E22:F22"/>
    <mergeCell ref="E23:F23"/>
    <mergeCell ref="E24:F24"/>
    <mergeCell ref="E25:F25"/>
    <mergeCell ref="E26:F26"/>
    <mergeCell ref="E27:F27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3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9" r:id="rId4" name="Drop Down 1">
              <controlPr locked="0" defaultSize="0" autoLine="0" autoPict="0">
                <anchor moveWithCells="1">
                  <from>
                    <xdr:col>2</xdr:col>
                    <xdr:colOff>213360</xdr:colOff>
                    <xdr:row>3</xdr:row>
                    <xdr:rowOff>30480</xdr:rowOff>
                  </from>
                  <to>
                    <xdr:col>3</xdr:col>
                    <xdr:colOff>1146810</xdr:colOff>
                    <xdr:row>3</xdr:row>
                    <xdr:rowOff>346710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5" name="Drop Down 1">
              <controlPr locked="0" defaultSize="0" autoLine="0" autoPict="0">
                <anchor moveWithCells="1">
                  <from>
                    <xdr:col>8</xdr:col>
                    <xdr:colOff>99060</xdr:colOff>
                    <xdr:row>3</xdr:row>
                    <xdr:rowOff>3810</xdr:rowOff>
                  </from>
                  <to>
                    <xdr:col>9</xdr:col>
                    <xdr:colOff>792480</xdr:colOff>
                    <xdr:row>3</xdr:row>
                    <xdr:rowOff>320040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BB111"/>
  <sheetViews>
    <sheetView zoomScale="80" zoomScaleNormal="80" zoomScaleSheetLayoutView="70" workbookViewId="0">
      <pane xSplit="2" ySplit="16" topLeftCell="C17" activePane="bottomRight" state="frozen"/>
      <selection pane="topRight" activeCell="C1" sqref="C1"/>
      <selection pane="bottomLeft" activeCell="A17" sqref="A17"/>
      <selection pane="bottomRight" activeCell="A17" sqref="A17"/>
    </sheetView>
  </sheetViews>
  <sheetFormatPr defaultRowHeight="12.3" outlineLevelRow="1" outlineLevelCol="1" x14ac:dyDescent="0.4"/>
  <cols>
    <col min="1" max="1" width="51.20703125" style="13" bestFit="1" customWidth="1"/>
    <col min="2" max="2" width="12.578125" style="13" customWidth="1"/>
    <col min="3" max="14" width="11" style="12" customWidth="1" outlineLevel="1"/>
    <col min="15" max="15" width="11" style="101" customWidth="1"/>
    <col min="16" max="16" width="13.83984375" style="101" customWidth="1"/>
    <col min="17" max="28" width="11" style="12" customWidth="1" outlineLevel="1"/>
    <col min="29" max="29" width="11" style="101" customWidth="1"/>
    <col min="30" max="30" width="14.26171875" style="101" customWidth="1"/>
    <col min="31" max="42" width="11" style="12" customWidth="1" outlineLevel="1"/>
    <col min="43" max="43" width="11" style="101" customWidth="1"/>
    <col min="44" max="44" width="14.26171875" style="101" customWidth="1"/>
    <col min="45" max="45" width="12.83984375" style="12" customWidth="1"/>
    <col min="46" max="46" width="10" style="12" bestFit="1" customWidth="1"/>
    <col min="47" max="285" width="9.15625" style="12"/>
    <col min="286" max="286" width="53" style="12" customWidth="1"/>
    <col min="287" max="287" width="14.41796875" style="12" customWidth="1"/>
    <col min="288" max="300" width="11" style="12" customWidth="1"/>
    <col min="301" max="301" width="12.83984375" style="12" customWidth="1"/>
    <col min="302" max="302" width="10" style="12" bestFit="1" customWidth="1"/>
    <col min="303" max="541" width="9.15625" style="12"/>
    <col min="542" max="542" width="53" style="12" customWidth="1"/>
    <col min="543" max="543" width="14.41796875" style="12" customWidth="1"/>
    <col min="544" max="556" width="11" style="12" customWidth="1"/>
    <col min="557" max="557" width="12.83984375" style="12" customWidth="1"/>
    <col min="558" max="558" width="10" style="12" bestFit="1" customWidth="1"/>
    <col min="559" max="797" width="9.15625" style="12"/>
    <col min="798" max="798" width="53" style="12" customWidth="1"/>
    <col min="799" max="799" width="14.41796875" style="12" customWidth="1"/>
    <col min="800" max="812" width="11" style="12" customWidth="1"/>
    <col min="813" max="813" width="12.83984375" style="12" customWidth="1"/>
    <col min="814" max="814" width="10" style="12" bestFit="1" customWidth="1"/>
    <col min="815" max="1053" width="9.15625" style="12"/>
    <col min="1054" max="1054" width="53" style="12" customWidth="1"/>
    <col min="1055" max="1055" width="14.41796875" style="12" customWidth="1"/>
    <col min="1056" max="1068" width="11" style="12" customWidth="1"/>
    <col min="1069" max="1069" width="12.83984375" style="12" customWidth="1"/>
    <col min="1070" max="1070" width="10" style="12" bestFit="1" customWidth="1"/>
    <col min="1071" max="1309" width="9.15625" style="12"/>
    <col min="1310" max="1310" width="53" style="12" customWidth="1"/>
    <col min="1311" max="1311" width="14.41796875" style="12" customWidth="1"/>
    <col min="1312" max="1324" width="11" style="12" customWidth="1"/>
    <col min="1325" max="1325" width="12.83984375" style="12" customWidth="1"/>
    <col min="1326" max="1326" width="10" style="12" bestFit="1" customWidth="1"/>
    <col min="1327" max="1565" width="9.15625" style="12"/>
    <col min="1566" max="1566" width="53" style="12" customWidth="1"/>
    <col min="1567" max="1567" width="14.41796875" style="12" customWidth="1"/>
    <col min="1568" max="1580" width="11" style="12" customWidth="1"/>
    <col min="1581" max="1581" width="12.83984375" style="12" customWidth="1"/>
    <col min="1582" max="1582" width="10" style="12" bestFit="1" customWidth="1"/>
    <col min="1583" max="1821" width="9.15625" style="12"/>
    <col min="1822" max="1822" width="53" style="12" customWidth="1"/>
    <col min="1823" max="1823" width="14.41796875" style="12" customWidth="1"/>
    <col min="1824" max="1836" width="11" style="12" customWidth="1"/>
    <col min="1837" max="1837" width="12.83984375" style="12" customWidth="1"/>
    <col min="1838" max="1838" width="10" style="12" bestFit="1" customWidth="1"/>
    <col min="1839" max="2077" width="9.15625" style="12"/>
    <col min="2078" max="2078" width="53" style="12" customWidth="1"/>
    <col min="2079" max="2079" width="14.41796875" style="12" customWidth="1"/>
    <col min="2080" max="2092" width="11" style="12" customWidth="1"/>
    <col min="2093" max="2093" width="12.83984375" style="12" customWidth="1"/>
    <col min="2094" max="2094" width="10" style="12" bestFit="1" customWidth="1"/>
    <col min="2095" max="2333" width="9.15625" style="12"/>
    <col min="2334" max="2334" width="53" style="12" customWidth="1"/>
    <col min="2335" max="2335" width="14.41796875" style="12" customWidth="1"/>
    <col min="2336" max="2348" width="11" style="12" customWidth="1"/>
    <col min="2349" max="2349" width="12.83984375" style="12" customWidth="1"/>
    <col min="2350" max="2350" width="10" style="12" bestFit="1" customWidth="1"/>
    <col min="2351" max="2589" width="9.15625" style="12"/>
    <col min="2590" max="2590" width="53" style="12" customWidth="1"/>
    <col min="2591" max="2591" width="14.41796875" style="12" customWidth="1"/>
    <col min="2592" max="2604" width="11" style="12" customWidth="1"/>
    <col min="2605" max="2605" width="12.83984375" style="12" customWidth="1"/>
    <col min="2606" max="2606" width="10" style="12" bestFit="1" customWidth="1"/>
    <col min="2607" max="2845" width="9.15625" style="12"/>
    <col min="2846" max="2846" width="53" style="12" customWidth="1"/>
    <col min="2847" max="2847" width="14.41796875" style="12" customWidth="1"/>
    <col min="2848" max="2860" width="11" style="12" customWidth="1"/>
    <col min="2861" max="2861" width="12.83984375" style="12" customWidth="1"/>
    <col min="2862" max="2862" width="10" style="12" bestFit="1" customWidth="1"/>
    <col min="2863" max="3101" width="9.15625" style="12"/>
    <col min="3102" max="3102" width="53" style="12" customWidth="1"/>
    <col min="3103" max="3103" width="14.41796875" style="12" customWidth="1"/>
    <col min="3104" max="3116" width="11" style="12" customWidth="1"/>
    <col min="3117" max="3117" width="12.83984375" style="12" customWidth="1"/>
    <col min="3118" max="3118" width="10" style="12" bestFit="1" customWidth="1"/>
    <col min="3119" max="3357" width="9.15625" style="12"/>
    <col min="3358" max="3358" width="53" style="12" customWidth="1"/>
    <col min="3359" max="3359" width="14.41796875" style="12" customWidth="1"/>
    <col min="3360" max="3372" width="11" style="12" customWidth="1"/>
    <col min="3373" max="3373" width="12.83984375" style="12" customWidth="1"/>
    <col min="3374" max="3374" width="10" style="12" bestFit="1" customWidth="1"/>
    <col min="3375" max="3613" width="9.15625" style="12"/>
    <col min="3614" max="3614" width="53" style="12" customWidth="1"/>
    <col min="3615" max="3615" width="14.41796875" style="12" customWidth="1"/>
    <col min="3616" max="3628" width="11" style="12" customWidth="1"/>
    <col min="3629" max="3629" width="12.83984375" style="12" customWidth="1"/>
    <col min="3630" max="3630" width="10" style="12" bestFit="1" customWidth="1"/>
    <col min="3631" max="3869" width="9.15625" style="12"/>
    <col min="3870" max="3870" width="53" style="12" customWidth="1"/>
    <col min="3871" max="3871" width="14.41796875" style="12" customWidth="1"/>
    <col min="3872" max="3884" width="11" style="12" customWidth="1"/>
    <col min="3885" max="3885" width="12.83984375" style="12" customWidth="1"/>
    <col min="3886" max="3886" width="10" style="12" bestFit="1" customWidth="1"/>
    <col min="3887" max="4125" width="9.15625" style="12"/>
    <col min="4126" max="4126" width="53" style="12" customWidth="1"/>
    <col min="4127" max="4127" width="14.41796875" style="12" customWidth="1"/>
    <col min="4128" max="4140" width="11" style="12" customWidth="1"/>
    <col min="4141" max="4141" width="12.83984375" style="12" customWidth="1"/>
    <col min="4142" max="4142" width="10" style="12" bestFit="1" customWidth="1"/>
    <col min="4143" max="4381" width="9.15625" style="12"/>
    <col min="4382" max="4382" width="53" style="12" customWidth="1"/>
    <col min="4383" max="4383" width="14.41796875" style="12" customWidth="1"/>
    <col min="4384" max="4396" width="11" style="12" customWidth="1"/>
    <col min="4397" max="4397" width="12.83984375" style="12" customWidth="1"/>
    <col min="4398" max="4398" width="10" style="12" bestFit="1" customWidth="1"/>
    <col min="4399" max="4637" width="9.15625" style="12"/>
    <col min="4638" max="4638" width="53" style="12" customWidth="1"/>
    <col min="4639" max="4639" width="14.41796875" style="12" customWidth="1"/>
    <col min="4640" max="4652" width="11" style="12" customWidth="1"/>
    <col min="4653" max="4653" width="12.83984375" style="12" customWidth="1"/>
    <col min="4654" max="4654" width="10" style="12" bestFit="1" customWidth="1"/>
    <col min="4655" max="4893" width="9.15625" style="12"/>
    <col min="4894" max="4894" width="53" style="12" customWidth="1"/>
    <col min="4895" max="4895" width="14.41796875" style="12" customWidth="1"/>
    <col min="4896" max="4908" width="11" style="12" customWidth="1"/>
    <col min="4909" max="4909" width="12.83984375" style="12" customWidth="1"/>
    <col min="4910" max="4910" width="10" style="12" bestFit="1" customWidth="1"/>
    <col min="4911" max="5149" width="9.15625" style="12"/>
    <col min="5150" max="5150" width="53" style="12" customWidth="1"/>
    <col min="5151" max="5151" width="14.41796875" style="12" customWidth="1"/>
    <col min="5152" max="5164" width="11" style="12" customWidth="1"/>
    <col min="5165" max="5165" width="12.83984375" style="12" customWidth="1"/>
    <col min="5166" max="5166" width="10" style="12" bestFit="1" customWidth="1"/>
    <col min="5167" max="5405" width="9.15625" style="12"/>
    <col min="5406" max="5406" width="53" style="12" customWidth="1"/>
    <col min="5407" max="5407" width="14.41796875" style="12" customWidth="1"/>
    <col min="5408" max="5420" width="11" style="12" customWidth="1"/>
    <col min="5421" max="5421" width="12.83984375" style="12" customWidth="1"/>
    <col min="5422" max="5422" width="10" style="12" bestFit="1" customWidth="1"/>
    <col min="5423" max="5661" width="9.15625" style="12"/>
    <col min="5662" max="5662" width="53" style="12" customWidth="1"/>
    <col min="5663" max="5663" width="14.41796875" style="12" customWidth="1"/>
    <col min="5664" max="5676" width="11" style="12" customWidth="1"/>
    <col min="5677" max="5677" width="12.83984375" style="12" customWidth="1"/>
    <col min="5678" max="5678" width="10" style="12" bestFit="1" customWidth="1"/>
    <col min="5679" max="5917" width="9.15625" style="12"/>
    <col min="5918" max="5918" width="53" style="12" customWidth="1"/>
    <col min="5919" max="5919" width="14.41796875" style="12" customWidth="1"/>
    <col min="5920" max="5932" width="11" style="12" customWidth="1"/>
    <col min="5933" max="5933" width="12.83984375" style="12" customWidth="1"/>
    <col min="5934" max="5934" width="10" style="12" bestFit="1" customWidth="1"/>
    <col min="5935" max="6173" width="9.15625" style="12"/>
    <col min="6174" max="6174" width="53" style="12" customWidth="1"/>
    <col min="6175" max="6175" width="14.41796875" style="12" customWidth="1"/>
    <col min="6176" max="6188" width="11" style="12" customWidth="1"/>
    <col min="6189" max="6189" width="12.83984375" style="12" customWidth="1"/>
    <col min="6190" max="6190" width="10" style="12" bestFit="1" customWidth="1"/>
    <col min="6191" max="6429" width="9.15625" style="12"/>
    <col min="6430" max="6430" width="53" style="12" customWidth="1"/>
    <col min="6431" max="6431" width="14.41796875" style="12" customWidth="1"/>
    <col min="6432" max="6444" width="11" style="12" customWidth="1"/>
    <col min="6445" max="6445" width="12.83984375" style="12" customWidth="1"/>
    <col min="6446" max="6446" width="10" style="12" bestFit="1" customWidth="1"/>
    <col min="6447" max="6685" width="9.15625" style="12"/>
    <col min="6686" max="6686" width="53" style="12" customWidth="1"/>
    <col min="6687" max="6687" width="14.41796875" style="12" customWidth="1"/>
    <col min="6688" max="6700" width="11" style="12" customWidth="1"/>
    <col min="6701" max="6701" width="12.83984375" style="12" customWidth="1"/>
    <col min="6702" max="6702" width="10" style="12" bestFit="1" customWidth="1"/>
    <col min="6703" max="6941" width="9.15625" style="12"/>
    <col min="6942" max="6942" width="53" style="12" customWidth="1"/>
    <col min="6943" max="6943" width="14.41796875" style="12" customWidth="1"/>
    <col min="6944" max="6956" width="11" style="12" customWidth="1"/>
    <col min="6957" max="6957" width="12.83984375" style="12" customWidth="1"/>
    <col min="6958" max="6958" width="10" style="12" bestFit="1" customWidth="1"/>
    <col min="6959" max="7197" width="9.15625" style="12"/>
    <col min="7198" max="7198" width="53" style="12" customWidth="1"/>
    <col min="7199" max="7199" width="14.41796875" style="12" customWidth="1"/>
    <col min="7200" max="7212" width="11" style="12" customWidth="1"/>
    <col min="7213" max="7213" width="12.83984375" style="12" customWidth="1"/>
    <col min="7214" max="7214" width="10" style="12" bestFit="1" customWidth="1"/>
    <col min="7215" max="7453" width="9.15625" style="12"/>
    <col min="7454" max="7454" width="53" style="12" customWidth="1"/>
    <col min="7455" max="7455" width="14.41796875" style="12" customWidth="1"/>
    <col min="7456" max="7468" width="11" style="12" customWidth="1"/>
    <col min="7469" max="7469" width="12.83984375" style="12" customWidth="1"/>
    <col min="7470" max="7470" width="10" style="12" bestFit="1" customWidth="1"/>
    <col min="7471" max="7709" width="9.15625" style="12"/>
    <col min="7710" max="7710" width="53" style="12" customWidth="1"/>
    <col min="7711" max="7711" width="14.41796875" style="12" customWidth="1"/>
    <col min="7712" max="7724" width="11" style="12" customWidth="1"/>
    <col min="7725" max="7725" width="12.83984375" style="12" customWidth="1"/>
    <col min="7726" max="7726" width="10" style="12" bestFit="1" customWidth="1"/>
    <col min="7727" max="7965" width="9.15625" style="12"/>
    <col min="7966" max="7966" width="53" style="12" customWidth="1"/>
    <col min="7967" max="7967" width="14.41796875" style="12" customWidth="1"/>
    <col min="7968" max="7980" width="11" style="12" customWidth="1"/>
    <col min="7981" max="7981" width="12.83984375" style="12" customWidth="1"/>
    <col min="7982" max="7982" width="10" style="12" bestFit="1" customWidth="1"/>
    <col min="7983" max="8221" width="9.15625" style="12"/>
    <col min="8222" max="8222" width="53" style="12" customWidth="1"/>
    <col min="8223" max="8223" width="14.41796875" style="12" customWidth="1"/>
    <col min="8224" max="8236" width="11" style="12" customWidth="1"/>
    <col min="8237" max="8237" width="12.83984375" style="12" customWidth="1"/>
    <col min="8238" max="8238" width="10" style="12" bestFit="1" customWidth="1"/>
    <col min="8239" max="8477" width="9.15625" style="12"/>
    <col min="8478" max="8478" width="53" style="12" customWidth="1"/>
    <col min="8479" max="8479" width="14.41796875" style="12" customWidth="1"/>
    <col min="8480" max="8492" width="11" style="12" customWidth="1"/>
    <col min="8493" max="8493" width="12.83984375" style="12" customWidth="1"/>
    <col min="8494" max="8494" width="10" style="12" bestFit="1" customWidth="1"/>
    <col min="8495" max="8733" width="9.15625" style="12"/>
    <col min="8734" max="8734" width="53" style="12" customWidth="1"/>
    <col min="8735" max="8735" width="14.41796875" style="12" customWidth="1"/>
    <col min="8736" max="8748" width="11" style="12" customWidth="1"/>
    <col min="8749" max="8749" width="12.83984375" style="12" customWidth="1"/>
    <col min="8750" max="8750" width="10" style="12" bestFit="1" customWidth="1"/>
    <col min="8751" max="8989" width="9.15625" style="12"/>
    <col min="8990" max="8990" width="53" style="12" customWidth="1"/>
    <col min="8991" max="8991" width="14.41796875" style="12" customWidth="1"/>
    <col min="8992" max="9004" width="11" style="12" customWidth="1"/>
    <col min="9005" max="9005" width="12.83984375" style="12" customWidth="1"/>
    <col min="9006" max="9006" width="10" style="12" bestFit="1" customWidth="1"/>
    <col min="9007" max="9245" width="9.15625" style="12"/>
    <col min="9246" max="9246" width="53" style="12" customWidth="1"/>
    <col min="9247" max="9247" width="14.41796875" style="12" customWidth="1"/>
    <col min="9248" max="9260" width="11" style="12" customWidth="1"/>
    <col min="9261" max="9261" width="12.83984375" style="12" customWidth="1"/>
    <col min="9262" max="9262" width="10" style="12" bestFit="1" customWidth="1"/>
    <col min="9263" max="9501" width="9.15625" style="12"/>
    <col min="9502" max="9502" width="53" style="12" customWidth="1"/>
    <col min="9503" max="9503" width="14.41796875" style="12" customWidth="1"/>
    <col min="9504" max="9516" width="11" style="12" customWidth="1"/>
    <col min="9517" max="9517" width="12.83984375" style="12" customWidth="1"/>
    <col min="9518" max="9518" width="10" style="12" bestFit="1" customWidth="1"/>
    <col min="9519" max="9757" width="9.15625" style="12"/>
    <col min="9758" max="9758" width="53" style="12" customWidth="1"/>
    <col min="9759" max="9759" width="14.41796875" style="12" customWidth="1"/>
    <col min="9760" max="9772" width="11" style="12" customWidth="1"/>
    <col min="9773" max="9773" width="12.83984375" style="12" customWidth="1"/>
    <col min="9774" max="9774" width="10" style="12" bestFit="1" customWidth="1"/>
    <col min="9775" max="10013" width="9.15625" style="12"/>
    <col min="10014" max="10014" width="53" style="12" customWidth="1"/>
    <col min="10015" max="10015" width="14.41796875" style="12" customWidth="1"/>
    <col min="10016" max="10028" width="11" style="12" customWidth="1"/>
    <col min="10029" max="10029" width="12.83984375" style="12" customWidth="1"/>
    <col min="10030" max="10030" width="10" style="12" bestFit="1" customWidth="1"/>
    <col min="10031" max="10269" width="9.15625" style="12"/>
    <col min="10270" max="10270" width="53" style="12" customWidth="1"/>
    <col min="10271" max="10271" width="14.41796875" style="12" customWidth="1"/>
    <col min="10272" max="10284" width="11" style="12" customWidth="1"/>
    <col min="10285" max="10285" width="12.83984375" style="12" customWidth="1"/>
    <col min="10286" max="10286" width="10" style="12" bestFit="1" customWidth="1"/>
    <col min="10287" max="10525" width="9.15625" style="12"/>
    <col min="10526" max="10526" width="53" style="12" customWidth="1"/>
    <col min="10527" max="10527" width="14.41796875" style="12" customWidth="1"/>
    <col min="10528" max="10540" width="11" style="12" customWidth="1"/>
    <col min="10541" max="10541" width="12.83984375" style="12" customWidth="1"/>
    <col min="10542" max="10542" width="10" style="12" bestFit="1" customWidth="1"/>
    <col min="10543" max="10781" width="9.15625" style="12"/>
    <col min="10782" max="10782" width="53" style="12" customWidth="1"/>
    <col min="10783" max="10783" width="14.41796875" style="12" customWidth="1"/>
    <col min="10784" max="10796" width="11" style="12" customWidth="1"/>
    <col min="10797" max="10797" width="12.83984375" style="12" customWidth="1"/>
    <col min="10798" max="10798" width="10" style="12" bestFit="1" customWidth="1"/>
    <col min="10799" max="11037" width="9.15625" style="12"/>
    <col min="11038" max="11038" width="53" style="12" customWidth="1"/>
    <col min="11039" max="11039" width="14.41796875" style="12" customWidth="1"/>
    <col min="11040" max="11052" width="11" style="12" customWidth="1"/>
    <col min="11053" max="11053" width="12.83984375" style="12" customWidth="1"/>
    <col min="11054" max="11054" width="10" style="12" bestFit="1" customWidth="1"/>
    <col min="11055" max="11293" width="9.15625" style="12"/>
    <col min="11294" max="11294" width="53" style="12" customWidth="1"/>
    <col min="11295" max="11295" width="14.41796875" style="12" customWidth="1"/>
    <col min="11296" max="11308" width="11" style="12" customWidth="1"/>
    <col min="11309" max="11309" width="12.83984375" style="12" customWidth="1"/>
    <col min="11310" max="11310" width="10" style="12" bestFit="1" customWidth="1"/>
    <col min="11311" max="11549" width="9.15625" style="12"/>
    <col min="11550" max="11550" width="53" style="12" customWidth="1"/>
    <col min="11551" max="11551" width="14.41796875" style="12" customWidth="1"/>
    <col min="11552" max="11564" width="11" style="12" customWidth="1"/>
    <col min="11565" max="11565" width="12.83984375" style="12" customWidth="1"/>
    <col min="11566" max="11566" width="10" style="12" bestFit="1" customWidth="1"/>
    <col min="11567" max="11805" width="9.15625" style="12"/>
    <col min="11806" max="11806" width="53" style="12" customWidth="1"/>
    <col min="11807" max="11807" width="14.41796875" style="12" customWidth="1"/>
    <col min="11808" max="11820" width="11" style="12" customWidth="1"/>
    <col min="11821" max="11821" width="12.83984375" style="12" customWidth="1"/>
    <col min="11822" max="11822" width="10" style="12" bestFit="1" customWidth="1"/>
    <col min="11823" max="12061" width="9.15625" style="12"/>
    <col min="12062" max="12062" width="53" style="12" customWidth="1"/>
    <col min="12063" max="12063" width="14.41796875" style="12" customWidth="1"/>
    <col min="12064" max="12076" width="11" style="12" customWidth="1"/>
    <col min="12077" max="12077" width="12.83984375" style="12" customWidth="1"/>
    <col min="12078" max="12078" width="10" style="12" bestFit="1" customWidth="1"/>
    <col min="12079" max="12317" width="9.15625" style="12"/>
    <col min="12318" max="12318" width="53" style="12" customWidth="1"/>
    <col min="12319" max="12319" width="14.41796875" style="12" customWidth="1"/>
    <col min="12320" max="12332" width="11" style="12" customWidth="1"/>
    <col min="12333" max="12333" width="12.83984375" style="12" customWidth="1"/>
    <col min="12334" max="12334" width="10" style="12" bestFit="1" customWidth="1"/>
    <col min="12335" max="12573" width="9.15625" style="12"/>
    <col min="12574" max="12574" width="53" style="12" customWidth="1"/>
    <col min="12575" max="12575" width="14.41796875" style="12" customWidth="1"/>
    <col min="12576" max="12588" width="11" style="12" customWidth="1"/>
    <col min="12589" max="12589" width="12.83984375" style="12" customWidth="1"/>
    <col min="12590" max="12590" width="10" style="12" bestFit="1" customWidth="1"/>
    <col min="12591" max="12829" width="9.15625" style="12"/>
    <col min="12830" max="12830" width="53" style="12" customWidth="1"/>
    <col min="12831" max="12831" width="14.41796875" style="12" customWidth="1"/>
    <col min="12832" max="12844" width="11" style="12" customWidth="1"/>
    <col min="12845" max="12845" width="12.83984375" style="12" customWidth="1"/>
    <col min="12846" max="12846" width="10" style="12" bestFit="1" customWidth="1"/>
    <col min="12847" max="13085" width="9.15625" style="12"/>
    <col min="13086" max="13086" width="53" style="12" customWidth="1"/>
    <col min="13087" max="13087" width="14.41796875" style="12" customWidth="1"/>
    <col min="13088" max="13100" width="11" style="12" customWidth="1"/>
    <col min="13101" max="13101" width="12.83984375" style="12" customWidth="1"/>
    <col min="13102" max="13102" width="10" style="12" bestFit="1" customWidth="1"/>
    <col min="13103" max="13341" width="9.15625" style="12"/>
    <col min="13342" max="13342" width="53" style="12" customWidth="1"/>
    <col min="13343" max="13343" width="14.41796875" style="12" customWidth="1"/>
    <col min="13344" max="13356" width="11" style="12" customWidth="1"/>
    <col min="13357" max="13357" width="12.83984375" style="12" customWidth="1"/>
    <col min="13358" max="13358" width="10" style="12" bestFit="1" customWidth="1"/>
    <col min="13359" max="13597" width="9.15625" style="12"/>
    <col min="13598" max="13598" width="53" style="12" customWidth="1"/>
    <col min="13599" max="13599" width="14.41796875" style="12" customWidth="1"/>
    <col min="13600" max="13612" width="11" style="12" customWidth="1"/>
    <col min="13613" max="13613" width="12.83984375" style="12" customWidth="1"/>
    <col min="13614" max="13614" width="10" style="12" bestFit="1" customWidth="1"/>
    <col min="13615" max="13853" width="9.15625" style="12"/>
    <col min="13854" max="13854" width="53" style="12" customWidth="1"/>
    <col min="13855" max="13855" width="14.41796875" style="12" customWidth="1"/>
    <col min="13856" max="13868" width="11" style="12" customWidth="1"/>
    <col min="13869" max="13869" width="12.83984375" style="12" customWidth="1"/>
    <col min="13870" max="13870" width="10" style="12" bestFit="1" customWidth="1"/>
    <col min="13871" max="14109" width="9.15625" style="12"/>
    <col min="14110" max="14110" width="53" style="12" customWidth="1"/>
    <col min="14111" max="14111" width="14.41796875" style="12" customWidth="1"/>
    <col min="14112" max="14124" width="11" style="12" customWidth="1"/>
    <col min="14125" max="14125" width="12.83984375" style="12" customWidth="1"/>
    <col min="14126" max="14126" width="10" style="12" bestFit="1" customWidth="1"/>
    <col min="14127" max="14365" width="9.15625" style="12"/>
    <col min="14366" max="14366" width="53" style="12" customWidth="1"/>
    <col min="14367" max="14367" width="14.41796875" style="12" customWidth="1"/>
    <col min="14368" max="14380" width="11" style="12" customWidth="1"/>
    <col min="14381" max="14381" width="12.83984375" style="12" customWidth="1"/>
    <col min="14382" max="14382" width="10" style="12" bestFit="1" customWidth="1"/>
    <col min="14383" max="14621" width="9.15625" style="12"/>
    <col min="14622" max="14622" width="53" style="12" customWidth="1"/>
    <col min="14623" max="14623" width="14.41796875" style="12" customWidth="1"/>
    <col min="14624" max="14636" width="11" style="12" customWidth="1"/>
    <col min="14637" max="14637" width="12.83984375" style="12" customWidth="1"/>
    <col min="14638" max="14638" width="10" style="12" bestFit="1" customWidth="1"/>
    <col min="14639" max="14877" width="9.15625" style="12"/>
    <col min="14878" max="14878" width="53" style="12" customWidth="1"/>
    <col min="14879" max="14879" width="14.41796875" style="12" customWidth="1"/>
    <col min="14880" max="14892" width="11" style="12" customWidth="1"/>
    <col min="14893" max="14893" width="12.83984375" style="12" customWidth="1"/>
    <col min="14894" max="14894" width="10" style="12" bestFit="1" customWidth="1"/>
    <col min="14895" max="15133" width="9.15625" style="12"/>
    <col min="15134" max="15134" width="53" style="12" customWidth="1"/>
    <col min="15135" max="15135" width="14.41796875" style="12" customWidth="1"/>
    <col min="15136" max="15148" width="11" style="12" customWidth="1"/>
    <col min="15149" max="15149" width="12.83984375" style="12" customWidth="1"/>
    <col min="15150" max="15150" width="10" style="12" bestFit="1" customWidth="1"/>
    <col min="15151" max="15389" width="9.15625" style="12"/>
    <col min="15390" max="15390" width="53" style="12" customWidth="1"/>
    <col min="15391" max="15391" width="14.41796875" style="12" customWidth="1"/>
    <col min="15392" max="15404" width="11" style="12" customWidth="1"/>
    <col min="15405" max="15405" width="12.83984375" style="12" customWidth="1"/>
    <col min="15406" max="15406" width="10" style="12" bestFit="1" customWidth="1"/>
    <col min="15407" max="15645" width="9.15625" style="12"/>
    <col min="15646" max="15646" width="53" style="12" customWidth="1"/>
    <col min="15647" max="15647" width="14.41796875" style="12" customWidth="1"/>
    <col min="15648" max="15660" width="11" style="12" customWidth="1"/>
    <col min="15661" max="15661" width="12.83984375" style="12" customWidth="1"/>
    <col min="15662" max="15662" width="10" style="12" bestFit="1" customWidth="1"/>
    <col min="15663" max="15901" width="9.15625" style="12"/>
    <col min="15902" max="15902" width="53" style="12" customWidth="1"/>
    <col min="15903" max="15903" width="14.41796875" style="12" customWidth="1"/>
    <col min="15904" max="15916" width="11" style="12" customWidth="1"/>
    <col min="15917" max="15917" width="12.83984375" style="12" customWidth="1"/>
    <col min="15918" max="15918" width="10" style="12" bestFit="1" customWidth="1"/>
    <col min="15919" max="16157" width="9.15625" style="12"/>
    <col min="16158" max="16158" width="53" style="12" customWidth="1"/>
    <col min="16159" max="16159" width="14.41796875" style="12" customWidth="1"/>
    <col min="16160" max="16172" width="11" style="12" customWidth="1"/>
    <col min="16173" max="16173" width="12.83984375" style="12" customWidth="1"/>
    <col min="16174" max="16174" width="10" style="12" bestFit="1" customWidth="1"/>
    <col min="16175" max="16384" width="9.15625" style="12"/>
  </cols>
  <sheetData>
    <row r="1" spans="1:54" customFormat="1" ht="14.4" x14ac:dyDescent="0.55000000000000004">
      <c r="A1" s="370" t="s">
        <v>5</v>
      </c>
      <c r="B1" s="370"/>
      <c r="C1" s="79"/>
      <c r="D1" s="79"/>
      <c r="E1" s="79"/>
      <c r="F1" s="79"/>
      <c r="G1" s="79"/>
      <c r="H1" s="79"/>
      <c r="I1" s="79"/>
      <c r="J1" s="79"/>
      <c r="O1" s="99"/>
      <c r="P1" s="99"/>
      <c r="AC1" s="99"/>
      <c r="AD1" s="99"/>
      <c r="AQ1" s="99"/>
      <c r="AR1" s="99"/>
      <c r="AU1" s="12"/>
    </row>
    <row r="2" spans="1:54" ht="12.75" customHeight="1" x14ac:dyDescent="0.4">
      <c r="A2" s="8"/>
      <c r="B2" s="9"/>
      <c r="C2" s="127" t="str">
        <f>A92</f>
        <v>Срок окупаемости проекта с учетом инвестиций, мес.:</v>
      </c>
      <c r="D2" s="128">
        <f>B92</f>
        <v>18</v>
      </c>
      <c r="E2" s="9"/>
      <c r="F2" s="9"/>
      <c r="G2" s="9"/>
      <c r="H2" s="9"/>
      <c r="I2" s="10"/>
      <c r="J2" s="11"/>
      <c r="K2" s="11"/>
      <c r="L2" s="11"/>
      <c r="M2" s="11"/>
      <c r="N2" s="11"/>
      <c r="O2" s="100"/>
      <c r="P2" s="100"/>
      <c r="Q2" s="9"/>
      <c r="R2" s="59"/>
      <c r="S2" s="9"/>
      <c r="T2" s="9"/>
      <c r="U2" s="9"/>
      <c r="V2" s="9"/>
      <c r="W2" s="10"/>
      <c r="X2" s="11"/>
      <c r="Y2" s="11"/>
      <c r="Z2" s="11"/>
      <c r="AA2" s="11"/>
      <c r="AB2" s="11"/>
      <c r="AC2" s="100"/>
      <c r="AD2" s="100"/>
      <c r="AE2" s="9"/>
      <c r="AF2" s="59"/>
      <c r="AG2" s="9"/>
      <c r="AH2" s="9"/>
      <c r="AI2" s="9"/>
      <c r="AJ2" s="9"/>
      <c r="AK2" s="10"/>
      <c r="AL2" s="11"/>
      <c r="AM2" s="11"/>
      <c r="AN2" s="11"/>
      <c r="AO2" s="11"/>
      <c r="AP2" s="11"/>
      <c r="AQ2" s="100"/>
      <c r="AR2" s="100"/>
      <c r="AS2" s="11"/>
    </row>
    <row r="3" spans="1:54" hidden="1" x14ac:dyDescent="0.4">
      <c r="C3" s="89">
        <f>'Исходные данные'!$Q$2</f>
        <v>1</v>
      </c>
      <c r="D3" s="89">
        <f>IF(C3=12,1,C3+1)</f>
        <v>2</v>
      </c>
      <c r="E3" s="89">
        <f t="shared" ref="E3:AB3" si="0">IF(D3=12,1,D3+1)</f>
        <v>3</v>
      </c>
      <c r="F3" s="89">
        <f t="shared" si="0"/>
        <v>4</v>
      </c>
      <c r="G3" s="89">
        <f t="shared" si="0"/>
        <v>5</v>
      </c>
      <c r="H3" s="89">
        <f t="shared" si="0"/>
        <v>6</v>
      </c>
      <c r="I3" s="89">
        <f t="shared" si="0"/>
        <v>7</v>
      </c>
      <c r="J3" s="89">
        <f t="shared" si="0"/>
        <v>8</v>
      </c>
      <c r="K3" s="89">
        <f t="shared" si="0"/>
        <v>9</v>
      </c>
      <c r="L3" s="89">
        <f t="shared" si="0"/>
        <v>10</v>
      </c>
      <c r="M3" s="89">
        <f t="shared" si="0"/>
        <v>11</v>
      </c>
      <c r="N3" s="89">
        <f t="shared" si="0"/>
        <v>12</v>
      </c>
      <c r="O3" s="102"/>
      <c r="P3" s="102"/>
      <c r="Q3" s="89">
        <f>IF(N3=12,1,N3+1)</f>
        <v>1</v>
      </c>
      <c r="R3" s="89">
        <f t="shared" si="0"/>
        <v>2</v>
      </c>
      <c r="S3" s="89">
        <f t="shared" si="0"/>
        <v>3</v>
      </c>
      <c r="T3" s="89">
        <f t="shared" si="0"/>
        <v>4</v>
      </c>
      <c r="U3" s="89">
        <f t="shared" si="0"/>
        <v>5</v>
      </c>
      <c r="V3" s="89">
        <f t="shared" si="0"/>
        <v>6</v>
      </c>
      <c r="W3" s="89">
        <f t="shared" si="0"/>
        <v>7</v>
      </c>
      <c r="X3" s="89">
        <f t="shared" si="0"/>
        <v>8</v>
      </c>
      <c r="Y3" s="89">
        <f t="shared" si="0"/>
        <v>9</v>
      </c>
      <c r="Z3" s="89">
        <f t="shared" si="0"/>
        <v>10</v>
      </c>
      <c r="AA3" s="89">
        <f t="shared" si="0"/>
        <v>11</v>
      </c>
      <c r="AB3" s="89">
        <f t="shared" si="0"/>
        <v>12</v>
      </c>
      <c r="AC3" s="102"/>
      <c r="AD3" s="102"/>
      <c r="AE3" s="89">
        <f>IF(AB3=12,1,AB3+1)</f>
        <v>1</v>
      </c>
      <c r="AF3" s="89">
        <f t="shared" ref="AF3:AP3" si="1">IF(AE3=12,1,AE3+1)</f>
        <v>2</v>
      </c>
      <c r="AG3" s="89">
        <f t="shared" si="1"/>
        <v>3</v>
      </c>
      <c r="AH3" s="89">
        <f t="shared" si="1"/>
        <v>4</v>
      </c>
      <c r="AI3" s="89">
        <f t="shared" si="1"/>
        <v>5</v>
      </c>
      <c r="AJ3" s="89">
        <f t="shared" si="1"/>
        <v>6</v>
      </c>
      <c r="AK3" s="89">
        <f t="shared" si="1"/>
        <v>7</v>
      </c>
      <c r="AL3" s="89">
        <f t="shared" si="1"/>
        <v>8</v>
      </c>
      <c r="AM3" s="89">
        <f t="shared" si="1"/>
        <v>9</v>
      </c>
      <c r="AN3" s="89">
        <f t="shared" si="1"/>
        <v>10</v>
      </c>
      <c r="AO3" s="89">
        <f t="shared" si="1"/>
        <v>11</v>
      </c>
      <c r="AP3" s="89">
        <f t="shared" si="1"/>
        <v>12</v>
      </c>
      <c r="AQ3" s="102"/>
      <c r="AR3" s="102"/>
    </row>
    <row r="4" spans="1:54" x14ac:dyDescent="0.4">
      <c r="B4" s="90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103"/>
      <c r="P4" s="103"/>
      <c r="Q4" s="91"/>
      <c r="R4" s="91"/>
      <c r="S4" s="91"/>
      <c r="T4" s="91"/>
      <c r="U4" s="91"/>
      <c r="V4" s="91"/>
      <c r="W4" s="91"/>
      <c r="X4" s="91"/>
      <c r="Y4" s="91"/>
      <c r="AC4" s="103"/>
      <c r="AD4" s="103"/>
      <c r="AE4" s="91"/>
      <c r="AF4" s="91"/>
      <c r="AG4" s="91"/>
      <c r="AH4" s="91"/>
      <c r="AI4" s="91"/>
      <c r="AJ4" s="91"/>
      <c r="AK4" s="91"/>
      <c r="AL4" s="91"/>
      <c r="AM4" s="91"/>
      <c r="AQ4" s="103"/>
      <c r="AR4" s="103"/>
      <c r="AU4" s="87"/>
    </row>
    <row r="5" spans="1:54" s="13" customFormat="1" ht="14.25" customHeight="1" thickBot="1" x14ac:dyDescent="0.4">
      <c r="B5" s="69"/>
      <c r="C5" s="373" t="s">
        <v>32</v>
      </c>
      <c r="D5" s="374"/>
      <c r="E5" s="374"/>
      <c r="F5" s="374"/>
      <c r="G5" s="374"/>
      <c r="H5" s="374"/>
      <c r="I5" s="374"/>
      <c r="J5" s="374"/>
      <c r="K5" s="374"/>
      <c r="L5" s="374"/>
      <c r="M5" s="374"/>
      <c r="N5" s="374"/>
      <c r="O5" s="374"/>
      <c r="P5" s="375"/>
      <c r="Q5" s="376" t="s">
        <v>33</v>
      </c>
      <c r="R5" s="377"/>
      <c r="S5" s="377"/>
      <c r="T5" s="377"/>
      <c r="U5" s="377"/>
      <c r="V5" s="377"/>
      <c r="W5" s="377"/>
      <c r="X5" s="377"/>
      <c r="Y5" s="377"/>
      <c r="Z5" s="377"/>
      <c r="AA5" s="377"/>
      <c r="AB5" s="377"/>
      <c r="AC5" s="377"/>
      <c r="AD5" s="378"/>
      <c r="AE5" s="379" t="s">
        <v>35</v>
      </c>
      <c r="AF5" s="379"/>
      <c r="AG5" s="379"/>
      <c r="AH5" s="379"/>
      <c r="AI5" s="379"/>
      <c r="AJ5" s="379"/>
      <c r="AK5" s="379"/>
      <c r="AL5" s="379"/>
      <c r="AM5" s="379"/>
      <c r="AN5" s="379"/>
      <c r="AO5" s="379"/>
      <c r="AP5" s="379"/>
      <c r="AQ5" s="379"/>
      <c r="AR5" s="379"/>
      <c r="AU5" s="87"/>
    </row>
    <row r="6" spans="1:54" s="13" customFormat="1" ht="11.1" thickTop="1" thickBot="1" x14ac:dyDescent="0.4">
      <c r="A6" s="14" t="s">
        <v>6</v>
      </c>
      <c r="B6" s="17"/>
      <c r="C6" s="93" t="str">
        <f>CHOOSE(C3,'Исходные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январь</v>
      </c>
      <c r="D6" s="93" t="str">
        <f>CHOOSE(D3,'Исходные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февраль</v>
      </c>
      <c r="E6" s="93" t="str">
        <f>CHOOSE(E3,'Исходные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март</v>
      </c>
      <c r="F6" s="93" t="str">
        <f>CHOOSE(F3,'Исходные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апрель</v>
      </c>
      <c r="G6" s="93" t="str">
        <f>CHOOSE(G3,'Исходные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май</v>
      </c>
      <c r="H6" s="93" t="str">
        <f>CHOOSE(H3,'Исходные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июнь</v>
      </c>
      <c r="I6" s="93" t="str">
        <f>CHOOSE(I3,'Исходные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июль</v>
      </c>
      <c r="J6" s="93" t="str">
        <f>CHOOSE(J3,'Исходные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август</v>
      </c>
      <c r="K6" s="93" t="str">
        <f>CHOOSE(K3,'Исходные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сентябрь</v>
      </c>
      <c r="L6" s="93" t="str">
        <f>CHOOSE(L3,'Исходные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октябрь</v>
      </c>
      <c r="M6" s="93" t="str">
        <f>CHOOSE(M3,'Исходные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ноябрь</v>
      </c>
      <c r="N6" s="93" t="str">
        <f>CHOOSE(N3,'Исходные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декабрь</v>
      </c>
      <c r="O6" s="104"/>
      <c r="P6" s="104"/>
      <c r="Q6" s="93" t="str">
        <f>CHOOSE(Q3,'Исходные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январь</v>
      </c>
      <c r="R6" s="93" t="str">
        <f>CHOOSE(R3,'Исходные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февраль</v>
      </c>
      <c r="S6" s="93" t="str">
        <f>CHOOSE(S3,'Исходные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март</v>
      </c>
      <c r="T6" s="93" t="str">
        <f>CHOOSE(T3,'Исходные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апрель</v>
      </c>
      <c r="U6" s="93" t="str">
        <f>CHOOSE(U3,'Исходные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май</v>
      </c>
      <c r="V6" s="93" t="str">
        <f>CHOOSE(V3,'Исходные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июнь</v>
      </c>
      <c r="W6" s="93" t="str">
        <f>CHOOSE(W3,'Исходные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июль</v>
      </c>
      <c r="X6" s="93" t="str">
        <f>CHOOSE(X3,'Исходные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август</v>
      </c>
      <c r="Y6" s="93" t="str">
        <f>CHOOSE(Y3,'Исходные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сентябрь</v>
      </c>
      <c r="Z6" s="93" t="str">
        <f>CHOOSE(Z3,'Исходные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октябрь</v>
      </c>
      <c r="AA6" s="93" t="str">
        <f>CHOOSE(AA3,'Исходные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ноябрь</v>
      </c>
      <c r="AB6" s="93" t="str">
        <f>CHOOSE(AB3,'Исходные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декабрь</v>
      </c>
      <c r="AC6" s="104"/>
      <c r="AD6" s="104"/>
      <c r="AE6" s="93" t="str">
        <f>CHOOSE(AE3,'Исходные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январь</v>
      </c>
      <c r="AF6" s="93" t="str">
        <f>CHOOSE(AF3,'Исходные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февраль</v>
      </c>
      <c r="AG6" s="93" t="str">
        <f>CHOOSE(AG3,'Исходные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март</v>
      </c>
      <c r="AH6" s="93" t="str">
        <f>CHOOSE(AH3,'Исходные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апрель</v>
      </c>
      <c r="AI6" s="93" t="str">
        <f>CHOOSE(AI3,'Исходные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май</v>
      </c>
      <c r="AJ6" s="93" t="str">
        <f>CHOOSE(AJ3,'Исходные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июнь</v>
      </c>
      <c r="AK6" s="93" t="str">
        <f>CHOOSE(AK3,'Исходные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июль</v>
      </c>
      <c r="AL6" s="93" t="str">
        <f>CHOOSE(AL3,'Исходные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август</v>
      </c>
      <c r="AM6" s="93" t="str">
        <f>CHOOSE(AM3,'Исходные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сентябрь</v>
      </c>
      <c r="AN6" s="93" t="str">
        <f>CHOOSE(AN3,'Исходные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октябрь</v>
      </c>
      <c r="AO6" s="93" t="str">
        <f>CHOOSE(AO3,'Исходные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ноябрь</v>
      </c>
      <c r="AP6" s="93" t="str">
        <f>CHOOSE(AP3,'Исходные данные'!$R$2,'Исходные данные'!$R$3,'Исходные данные'!$R$4,'Исходные данные'!$R$5,'Исходные данные'!$R$6,'Исходные данные'!$R$7,'Исходные данные'!$R$8,'Исходные данные'!$R$9,'Исходные данные'!$R$10,'Исходные данные'!$R$11,'Исходные данные'!$R$12,'Исходные данные'!$R$13)</f>
        <v>декабрь</v>
      </c>
      <c r="AQ6" s="104"/>
      <c r="AR6" s="104"/>
      <c r="AS6" s="16"/>
      <c r="AU6" s="87"/>
    </row>
    <row r="7" spans="1:54" s="63" customFormat="1" ht="10.8" outlineLevel="1" thickTop="1" x14ac:dyDescent="0.35">
      <c r="A7" s="88" t="s">
        <v>78</v>
      </c>
      <c r="B7" s="62"/>
      <c r="C7" s="87">
        <f>CHOOSE('Обобщенный расчет'!$N$1,'Исходные данные'!$D20,'Исходные данные'!$E20,'Исходные данные'!$F20)</f>
        <v>0.7</v>
      </c>
      <c r="D7" s="87">
        <f>CHOOSE('Обобщенный расчет'!$N$1,'Исходные данные'!$D21,'Исходные данные'!$E21,'Исходные данные'!$F21)</f>
        <v>0.8</v>
      </c>
      <c r="E7" s="87">
        <f>CHOOSE('Обобщенный расчет'!$N$1,'Исходные данные'!$D22,'Исходные данные'!$E22,'Исходные данные'!$F22)</f>
        <v>0.9</v>
      </c>
      <c r="F7" s="87">
        <f>CHOOSE('Обобщенный расчет'!$N$1,'Исходные данные'!$D23,'Исходные данные'!$E23,'Исходные данные'!$F23)</f>
        <v>1</v>
      </c>
      <c r="G7" s="87">
        <f>CHOOSE('Обобщенный расчет'!$N$1,'Исходные данные'!$D24,'Исходные данные'!$E24,'Исходные данные'!$F24)</f>
        <v>1</v>
      </c>
      <c r="H7" s="87">
        <f>CHOOSE('Обобщенный расчет'!$N$1,'Исходные данные'!$D25,'Исходные данные'!$E25,'Исходные данные'!$F25)</f>
        <v>1</v>
      </c>
      <c r="I7" s="87">
        <f>CHOOSE('Обобщенный расчет'!$N$1,'Исходные данные'!$D26,'Исходные данные'!$E26,'Исходные данные'!$F26)</f>
        <v>1</v>
      </c>
      <c r="J7" s="87">
        <f>CHOOSE('Обобщенный расчет'!$N$1,'Исходные данные'!$D27,'Исходные данные'!$E27,'Исходные данные'!$F27)</f>
        <v>1</v>
      </c>
      <c r="K7" s="87">
        <f>CHOOSE('Обобщенный расчет'!$N$1,'Исходные данные'!$D28,'Исходные данные'!$E28,'Исходные данные'!$F28)</f>
        <v>1</v>
      </c>
      <c r="L7" s="87">
        <f>CHOOSE('Обобщенный расчет'!$N$1,'Исходные данные'!$D29,'Исходные данные'!$E29,'Исходные данные'!$F29)</f>
        <v>1</v>
      </c>
      <c r="M7" s="87">
        <f>CHOOSE('Обобщенный расчет'!$N$1,'Исходные данные'!$D30,'Исходные данные'!$E30,'Исходные данные'!$F30)</f>
        <v>1</v>
      </c>
      <c r="N7" s="87">
        <f>CHOOSE('Обобщенный расчет'!$N$1,'Исходные данные'!$D31,'Исходные данные'!$E31,'Исходные данные'!$F31)</f>
        <v>1</v>
      </c>
      <c r="O7" s="170"/>
      <c r="P7" s="170"/>
      <c r="Q7" s="87">
        <f>'Исходные данные'!$C$34</f>
        <v>1.2</v>
      </c>
      <c r="R7" s="87">
        <f>'Исходные данные'!$C$34</f>
        <v>1.2</v>
      </c>
      <c r="S7" s="87">
        <f>'Исходные данные'!$C$34</f>
        <v>1.2</v>
      </c>
      <c r="T7" s="87">
        <f>'Исходные данные'!$C$34</f>
        <v>1.2</v>
      </c>
      <c r="U7" s="87">
        <f>'Исходные данные'!$C$34</f>
        <v>1.2</v>
      </c>
      <c r="V7" s="87">
        <f>'Исходные данные'!$C$34</f>
        <v>1.2</v>
      </c>
      <c r="W7" s="87">
        <f>'Исходные данные'!$C$34</f>
        <v>1.2</v>
      </c>
      <c r="X7" s="87">
        <f>'Исходные данные'!$C$34</f>
        <v>1.2</v>
      </c>
      <c r="Y7" s="87">
        <f>'Исходные данные'!$C$34</f>
        <v>1.2</v>
      </c>
      <c r="Z7" s="87">
        <f>'Исходные данные'!$C$34</f>
        <v>1.2</v>
      </c>
      <c r="AA7" s="87">
        <f>'Исходные данные'!$C$34</f>
        <v>1.2</v>
      </c>
      <c r="AB7" s="87">
        <f>'Исходные данные'!$C$34</f>
        <v>1.2</v>
      </c>
      <c r="AC7" s="170"/>
      <c r="AD7" s="170"/>
      <c r="AE7" s="87">
        <f>'Исходные данные'!$C$35</f>
        <v>1.4</v>
      </c>
      <c r="AF7" s="87">
        <f>'Исходные данные'!$C$35</f>
        <v>1.4</v>
      </c>
      <c r="AG7" s="87">
        <f>'Исходные данные'!$C$35</f>
        <v>1.4</v>
      </c>
      <c r="AH7" s="87">
        <f>'Исходные данные'!$C$35</f>
        <v>1.4</v>
      </c>
      <c r="AI7" s="87">
        <f>'Исходные данные'!$C$35</f>
        <v>1.4</v>
      </c>
      <c r="AJ7" s="87">
        <f>'Исходные данные'!$C$35</f>
        <v>1.4</v>
      </c>
      <c r="AK7" s="87">
        <f>'Исходные данные'!$C$35</f>
        <v>1.4</v>
      </c>
      <c r="AL7" s="87">
        <f>'Исходные данные'!$C$35</f>
        <v>1.4</v>
      </c>
      <c r="AM7" s="87">
        <f>'Исходные данные'!$C$35</f>
        <v>1.4</v>
      </c>
      <c r="AN7" s="87">
        <f>'Исходные данные'!$C$35</f>
        <v>1.4</v>
      </c>
      <c r="AO7" s="87">
        <f>'Исходные данные'!$C$35</f>
        <v>1.4</v>
      </c>
      <c r="AP7" s="87">
        <f>'Исходные данные'!$C$35</f>
        <v>1.4</v>
      </c>
      <c r="AQ7" s="170"/>
      <c r="AR7" s="170"/>
      <c r="AS7" s="87"/>
      <c r="AU7" s="87"/>
    </row>
    <row r="8" spans="1:54" s="63" customFormat="1" ht="10.5" outlineLevel="1" x14ac:dyDescent="0.35">
      <c r="A8" s="88" t="s">
        <v>123</v>
      </c>
      <c r="B8" s="62"/>
      <c r="C8" s="87">
        <f>IF('Обобщенный расчет'!$N$1=1,CHOOSE(C3,'Исходные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расчет'!$N$1=2,CHOOSE(C3,'Исходные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расчет'!$N$1=3,CHOOSE(C3,'Исходные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0.63</v>
      </c>
      <c r="D8" s="87">
        <f>IF('Обобщенный расчет'!$N$1=1,CHOOSE(D3,'Исходные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расчет'!$N$1=2,CHOOSE(D3,'Исходные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расчет'!$N$1=3,CHOOSE(D3,'Исходные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0.7</v>
      </c>
      <c r="E8" s="87">
        <f>IF('Обобщенный расчет'!$N$1=1,CHOOSE(E3,'Исходные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расчет'!$N$1=2,CHOOSE(E3,'Исходные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расчет'!$N$1=3,CHOOSE(E3,'Исходные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1.05</v>
      </c>
      <c r="F8" s="87">
        <f>IF('Обобщенный расчет'!$N$1=1,CHOOSE(F3,'Исходные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расчет'!$N$1=2,CHOOSE(F3,'Исходные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расчет'!$N$1=3,CHOOSE(F3,'Исходные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0.6</v>
      </c>
      <c r="G8" s="87">
        <f>IF('Обобщенный расчет'!$N$1=1,CHOOSE(G3,'Исходные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расчет'!$N$1=2,CHOOSE(G3,'Исходные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расчет'!$N$1=3,CHOOSE(G3,'Исходные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0.9</v>
      </c>
      <c r="H8" s="87">
        <f>IF('Обобщенный расчет'!$N$1=1,CHOOSE(H3,'Исходные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расчет'!$N$1=2,CHOOSE(H3,'Исходные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расчет'!$N$1=3,CHOOSE(H3,'Исходные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1.18</v>
      </c>
      <c r="I8" s="87">
        <f>IF('Обобщенный расчет'!$N$1=1,CHOOSE(I3,'Исходные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расчет'!$N$1=2,CHOOSE(I3,'Исходные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расчет'!$N$1=3,CHOOSE(I3,'Исходные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1.17</v>
      </c>
      <c r="J8" s="87">
        <f>IF('Обобщенный расчет'!$N$1=1,CHOOSE(J3,'Исходные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расчет'!$N$1=2,CHOOSE(J3,'Исходные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расчет'!$N$1=3,CHOOSE(J3,'Исходные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1.33</v>
      </c>
      <c r="K8" s="87">
        <f>IF('Обобщенный расчет'!$N$1=1,CHOOSE(K3,'Исходные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расчет'!$N$1=2,CHOOSE(K3,'Исходные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расчет'!$N$1=3,CHOOSE(K3,'Исходные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1.44</v>
      </c>
      <c r="L8" s="87">
        <f>IF('Обобщенный расчет'!$N$1=1,CHOOSE(L3,'Исходные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расчет'!$N$1=2,CHOOSE(L3,'Исходные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расчет'!$N$1=3,CHOOSE(L3,'Исходные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1.29</v>
      </c>
      <c r="M8" s="87">
        <f>IF('Обобщенный расчет'!$N$1=1,CHOOSE(M3,'Исходные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расчет'!$N$1=2,CHOOSE(M3,'Исходные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расчет'!$N$1=3,CHOOSE(M3,'Исходные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1.45</v>
      </c>
      <c r="N8" s="87">
        <f>IF('Обобщенный расчет'!$N$1=1,CHOOSE(N3,'Исходные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расчет'!$N$1=2,CHOOSE(N3,'Исходные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расчет'!$N$1=3,CHOOSE(N3,'Исходные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1.64</v>
      </c>
      <c r="O8" s="170"/>
      <c r="P8" s="170"/>
      <c r="Q8" s="87">
        <f>IF('Обобщенный расчет'!$N$1=1,CHOOSE(Q3,'Исходные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расчет'!$N$1=2,CHOOSE(Q3,'Исходные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расчет'!$N$1=3,CHOOSE(Q3,'Исходные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0.63</v>
      </c>
      <c r="R8" s="87">
        <f>IF('Обобщенный расчет'!$N$1=1,CHOOSE(R3,'Исходные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расчет'!$N$1=2,CHOOSE(R3,'Исходные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расчет'!$N$1=3,CHOOSE(R3,'Исходные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0.7</v>
      </c>
      <c r="S8" s="87">
        <f>IF('Обобщенный расчет'!$N$1=1,CHOOSE(S3,'Исходные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расчет'!$N$1=2,CHOOSE(S3,'Исходные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расчет'!$N$1=3,CHOOSE(S3,'Исходные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1.05</v>
      </c>
      <c r="T8" s="87">
        <f>IF('Обобщенный расчет'!$N$1=1,CHOOSE(T3,'Исходные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расчет'!$N$1=2,CHOOSE(T3,'Исходные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расчет'!$N$1=3,CHOOSE(T3,'Исходные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0.6</v>
      </c>
      <c r="U8" s="87">
        <f>IF('Обобщенный расчет'!$N$1=1,CHOOSE(U3,'Исходные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расчет'!$N$1=2,CHOOSE(U3,'Исходные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расчет'!$N$1=3,CHOOSE(U3,'Исходные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0.9</v>
      </c>
      <c r="V8" s="87">
        <f>IF('Обобщенный расчет'!$N$1=1,CHOOSE(V3,'Исходные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расчет'!$N$1=2,CHOOSE(V3,'Исходные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расчет'!$N$1=3,CHOOSE(V3,'Исходные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1.18</v>
      </c>
      <c r="W8" s="87">
        <f>IF('Обобщенный расчет'!$N$1=1,CHOOSE(W3,'Исходные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расчет'!$N$1=2,CHOOSE(W3,'Исходные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расчет'!$N$1=3,CHOOSE(W3,'Исходные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1.17</v>
      </c>
      <c r="X8" s="87">
        <f>IF('Обобщенный расчет'!$N$1=1,CHOOSE(X3,'Исходные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расчет'!$N$1=2,CHOOSE(X3,'Исходные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расчет'!$N$1=3,CHOOSE(X3,'Исходные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1.33</v>
      </c>
      <c r="Y8" s="87">
        <f>IF('Обобщенный расчет'!$N$1=1,CHOOSE(Y3,'Исходные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расчет'!$N$1=2,CHOOSE(Y3,'Исходные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расчет'!$N$1=3,CHOOSE(Y3,'Исходные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1.44</v>
      </c>
      <c r="Z8" s="87">
        <f>IF('Обобщенный расчет'!$N$1=1,CHOOSE(Z3,'Исходные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расчет'!$N$1=2,CHOOSE(Z3,'Исходные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расчет'!$N$1=3,CHOOSE(Z3,'Исходные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1.29</v>
      </c>
      <c r="AA8" s="87">
        <f>IF('Обобщенный расчет'!$N$1=1,CHOOSE(AA3,'Исходные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расчет'!$N$1=2,CHOOSE(AA3,'Исходные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расчет'!$N$1=3,CHOOSE(AA3,'Исходные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1.45</v>
      </c>
      <c r="AB8" s="87">
        <f>IF('Обобщенный расчет'!$N$1=1,CHOOSE(AB3,'Исходные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расчет'!$N$1=2,CHOOSE(AB3,'Исходные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расчет'!$N$1=3,CHOOSE(AB3,'Исходные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1.64</v>
      </c>
      <c r="AC8" s="170"/>
      <c r="AD8" s="170"/>
      <c r="AE8" s="87">
        <f>IF('Обобщенный расчет'!$N$1=1,CHOOSE(AE3,'Исходные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расчет'!$N$1=2,CHOOSE(AE3,'Исходные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расчет'!$N$1=3,CHOOSE(AE3,'Исходные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0.63</v>
      </c>
      <c r="AF8" s="87">
        <f>IF('Обобщенный расчет'!$N$1=1,CHOOSE(AF3,'Исходные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расчет'!$N$1=2,CHOOSE(AF3,'Исходные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расчет'!$N$1=3,CHOOSE(AF3,'Исходные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0.7</v>
      </c>
      <c r="AG8" s="87">
        <f>IF('Обобщенный расчет'!$N$1=1,CHOOSE(AG3,'Исходные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расчет'!$N$1=2,CHOOSE(AG3,'Исходные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расчет'!$N$1=3,CHOOSE(AG3,'Исходные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1.05</v>
      </c>
      <c r="AH8" s="87">
        <f>IF('Обобщенный расчет'!$N$1=1,CHOOSE(AH3,'Исходные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расчет'!$N$1=2,CHOOSE(AH3,'Исходные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расчет'!$N$1=3,CHOOSE(AH3,'Исходные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0.6</v>
      </c>
      <c r="AI8" s="87">
        <f>IF('Обобщенный расчет'!$N$1=1,CHOOSE(AI3,'Исходные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расчет'!$N$1=2,CHOOSE(AI3,'Исходные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расчет'!$N$1=3,CHOOSE(AI3,'Исходные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0.9</v>
      </c>
      <c r="AJ8" s="87">
        <f>IF('Обобщенный расчет'!$N$1=1,CHOOSE(AJ3,'Исходные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расчет'!$N$1=2,CHOOSE(AJ3,'Исходные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расчет'!$N$1=3,CHOOSE(AJ3,'Исходные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1.18</v>
      </c>
      <c r="AK8" s="87">
        <f>IF('Обобщенный расчет'!$N$1=1,CHOOSE(AK3,'Исходные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расчет'!$N$1=2,CHOOSE(AK3,'Исходные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расчет'!$N$1=3,CHOOSE(AK3,'Исходные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1.17</v>
      </c>
      <c r="AL8" s="87">
        <f>IF('Обобщенный расчет'!$N$1=1,CHOOSE(AL3,'Исходные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расчет'!$N$1=2,CHOOSE(AL3,'Исходные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расчет'!$N$1=3,CHOOSE(AL3,'Исходные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1.33</v>
      </c>
      <c r="AM8" s="87">
        <f>IF('Обобщенный расчет'!$N$1=1,CHOOSE(AM3,'Исходные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расчет'!$N$1=2,CHOOSE(AM3,'Исходные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расчет'!$N$1=3,CHOOSE(AM3,'Исходные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1.44</v>
      </c>
      <c r="AN8" s="87">
        <f>IF('Обобщенный расчет'!$N$1=1,CHOOSE(AN3,'Исходные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расчет'!$N$1=2,CHOOSE(AN3,'Исходные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расчет'!$N$1=3,CHOOSE(AN3,'Исходные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1.29</v>
      </c>
      <c r="AO8" s="87">
        <f>IF('Обобщенный расчет'!$N$1=1,CHOOSE(AO3,'Исходные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расчет'!$N$1=2,CHOOSE(AO3,'Исходные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расчет'!$N$1=3,CHOOSE(AO3,'Исходные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1.45</v>
      </c>
      <c r="AP8" s="87">
        <f>IF('Обобщенный расчет'!$N$1=1,CHOOSE(AP3,'Исходные данные'!$I$20,'Исходные данные'!$I$21,'Исходные данные'!$I$22,'Исходные данные'!$I$23,'Исходные данные'!$I$24,'Исходные данные'!$I$25,'Исходные данные'!$I$26,'Исходные данные'!$I$27,'Исходные данные'!$I$28,'Исходные данные'!$I$29,'Исходные данные'!$I$30,'Исходные данные'!$I$31),0)+IF('Обобщенный расчет'!$N$1=2,CHOOSE(AP3,'Исходные данные'!$J$20,'Исходные данные'!$J$21,'Исходные данные'!$J$22,'Исходные данные'!$J$23,'Исходные данные'!$J$24,'Исходные данные'!$J$25,'Исходные данные'!$J$26,'Исходные данные'!$J$27,'Исходные данные'!$J$28,'Исходные данные'!$J$29,'Исходные данные'!$J$30,'Исходные данные'!$J$31),0)+IF('Обобщенный расчет'!$N$1=3,CHOOSE(AP3,'Исходные данные'!$K$20,'Исходные данные'!$K$21,'Исходные данные'!$K$22,'Исходные данные'!$K$23,'Исходные данные'!$K$24,'Исходные данные'!$K$25,'Исходные данные'!$K$26,'Исходные данные'!$K$27,'Исходные данные'!$K$28,'Исходные данные'!$K$29,'Исходные данные'!$K$30,'Исходные данные'!$K$31),0)</f>
        <v>1.64</v>
      </c>
      <c r="AQ8" s="170"/>
      <c r="AR8" s="170"/>
      <c r="AS8" s="87"/>
      <c r="AU8" s="87"/>
    </row>
    <row r="9" spans="1:54" s="63" customFormat="1" ht="10.5" outlineLevel="1" x14ac:dyDescent="0.35">
      <c r="A9" s="88" t="s">
        <v>80</v>
      </c>
      <c r="B9" s="62"/>
      <c r="C9" s="87">
        <v>1</v>
      </c>
      <c r="D9" s="87">
        <v>1</v>
      </c>
      <c r="E9" s="87">
        <v>1</v>
      </c>
      <c r="F9" s="87">
        <v>1</v>
      </c>
      <c r="G9" s="87">
        <v>1</v>
      </c>
      <c r="H9" s="87">
        <v>1</v>
      </c>
      <c r="I9" s="87">
        <v>1</v>
      </c>
      <c r="J9" s="87">
        <v>1</v>
      </c>
      <c r="K9" s="87">
        <v>1</v>
      </c>
      <c r="L9" s="87">
        <v>1</v>
      </c>
      <c r="M9" s="87">
        <v>1</v>
      </c>
      <c r="N9" s="87">
        <v>1</v>
      </c>
      <c r="O9" s="170"/>
      <c r="P9" s="170"/>
      <c r="Q9" s="87">
        <f>'Исходные данные'!$D$34</f>
        <v>1.1000000000000001</v>
      </c>
      <c r="R9" s="87">
        <f>'Исходные данные'!$D$34</f>
        <v>1.1000000000000001</v>
      </c>
      <c r="S9" s="87">
        <f>'Исходные данные'!$D$34</f>
        <v>1.1000000000000001</v>
      </c>
      <c r="T9" s="87">
        <f>'Исходные данные'!$D$34</f>
        <v>1.1000000000000001</v>
      </c>
      <c r="U9" s="87">
        <f>'Исходные данные'!$D$34</f>
        <v>1.1000000000000001</v>
      </c>
      <c r="V9" s="87">
        <f>'Исходные данные'!$D$34</f>
        <v>1.1000000000000001</v>
      </c>
      <c r="W9" s="87">
        <f>'Исходные данные'!$D$34</f>
        <v>1.1000000000000001</v>
      </c>
      <c r="X9" s="87">
        <f>'Исходные данные'!$D$34</f>
        <v>1.1000000000000001</v>
      </c>
      <c r="Y9" s="87">
        <f>'Исходные данные'!$D$34</f>
        <v>1.1000000000000001</v>
      </c>
      <c r="Z9" s="87">
        <f>'Исходные данные'!$D$34</f>
        <v>1.1000000000000001</v>
      </c>
      <c r="AA9" s="87">
        <f>'Исходные данные'!$D$34</f>
        <v>1.1000000000000001</v>
      </c>
      <c r="AB9" s="87">
        <f>'Исходные данные'!$D$34</f>
        <v>1.1000000000000001</v>
      </c>
      <c r="AC9" s="170"/>
      <c r="AD9" s="170"/>
      <c r="AE9" s="87">
        <f>'Исходные данные'!$D$35</f>
        <v>1.2</v>
      </c>
      <c r="AF9" s="87">
        <f>'Исходные данные'!$D$35</f>
        <v>1.2</v>
      </c>
      <c r="AG9" s="87">
        <f>'Исходные данные'!$D$35</f>
        <v>1.2</v>
      </c>
      <c r="AH9" s="87">
        <f>'Исходные данные'!$D$35</f>
        <v>1.2</v>
      </c>
      <c r="AI9" s="87">
        <f>'Исходные данные'!$D$35</f>
        <v>1.2</v>
      </c>
      <c r="AJ9" s="87">
        <f>'Исходные данные'!$D$35</f>
        <v>1.2</v>
      </c>
      <c r="AK9" s="87">
        <f>'Исходные данные'!$D$35</f>
        <v>1.2</v>
      </c>
      <c r="AL9" s="87">
        <f>'Исходные данные'!$D$35</f>
        <v>1.2</v>
      </c>
      <c r="AM9" s="87">
        <f>'Исходные данные'!$D$35</f>
        <v>1.2</v>
      </c>
      <c r="AN9" s="87">
        <f>'Исходные данные'!$D$35</f>
        <v>1.2</v>
      </c>
      <c r="AO9" s="87">
        <f>'Исходные данные'!$D$35</f>
        <v>1.2</v>
      </c>
      <c r="AP9" s="87">
        <f>'Исходные данные'!$D$35</f>
        <v>1.2</v>
      </c>
      <c r="AQ9" s="170"/>
      <c r="AR9" s="170"/>
      <c r="AS9" s="87"/>
      <c r="AU9" s="87"/>
    </row>
    <row r="10" spans="1:54" s="171" customFormat="1" outlineLevel="1" x14ac:dyDescent="0.4">
      <c r="A10" s="63" t="s">
        <v>79</v>
      </c>
      <c r="B10" s="63"/>
      <c r="C10" s="87">
        <v>1</v>
      </c>
      <c r="D10" s="87">
        <v>1</v>
      </c>
      <c r="E10" s="87">
        <v>1</v>
      </c>
      <c r="F10" s="87">
        <v>1</v>
      </c>
      <c r="G10" s="87">
        <v>1</v>
      </c>
      <c r="H10" s="87">
        <v>1</v>
      </c>
      <c r="I10" s="87">
        <v>1</v>
      </c>
      <c r="J10" s="87">
        <v>1</v>
      </c>
      <c r="K10" s="87">
        <v>1</v>
      </c>
      <c r="L10" s="87">
        <v>1</v>
      </c>
      <c r="M10" s="87">
        <v>1</v>
      </c>
      <c r="N10" s="87">
        <v>1</v>
      </c>
      <c r="O10" s="170"/>
      <c r="P10" s="170"/>
      <c r="Q10" s="87">
        <f>'Исходные данные'!$F$34</f>
        <v>1.05</v>
      </c>
      <c r="R10" s="87">
        <f>'Исходные данные'!$F$34</f>
        <v>1.05</v>
      </c>
      <c r="S10" s="87">
        <f>'Исходные данные'!$F$34</f>
        <v>1.05</v>
      </c>
      <c r="T10" s="87">
        <f>'Исходные данные'!$F$34</f>
        <v>1.05</v>
      </c>
      <c r="U10" s="87">
        <f>'Исходные данные'!$F$34</f>
        <v>1.05</v>
      </c>
      <c r="V10" s="87">
        <f>'Исходные данные'!$F$34</f>
        <v>1.05</v>
      </c>
      <c r="W10" s="87">
        <f>'Исходные данные'!$F$34</f>
        <v>1.05</v>
      </c>
      <c r="X10" s="87">
        <f>'Исходные данные'!$F$34</f>
        <v>1.05</v>
      </c>
      <c r="Y10" s="87">
        <f>'Исходные данные'!$F$34</f>
        <v>1.05</v>
      </c>
      <c r="Z10" s="87">
        <f>'Исходные данные'!$F$34</f>
        <v>1.05</v>
      </c>
      <c r="AA10" s="87">
        <f>'Исходные данные'!$F$34</f>
        <v>1.05</v>
      </c>
      <c r="AB10" s="87">
        <f>'Исходные данные'!$F$34</f>
        <v>1.05</v>
      </c>
      <c r="AC10" s="170"/>
      <c r="AD10" s="170"/>
      <c r="AE10" s="87">
        <f>'Исходные данные'!$F$35</f>
        <v>1.1000000000000001</v>
      </c>
      <c r="AF10" s="87">
        <f>'Исходные данные'!$F$35</f>
        <v>1.1000000000000001</v>
      </c>
      <c r="AG10" s="87">
        <f>'Исходные данные'!$F$35</f>
        <v>1.1000000000000001</v>
      </c>
      <c r="AH10" s="87">
        <f>'Исходные данные'!$F$35</f>
        <v>1.1000000000000001</v>
      </c>
      <c r="AI10" s="87">
        <f>'Исходные данные'!$F$35</f>
        <v>1.1000000000000001</v>
      </c>
      <c r="AJ10" s="87">
        <f>'Исходные данные'!$F$35</f>
        <v>1.1000000000000001</v>
      </c>
      <c r="AK10" s="87">
        <f>'Исходные данные'!$F$35</f>
        <v>1.1000000000000001</v>
      </c>
      <c r="AL10" s="87">
        <f>'Исходные данные'!$F$35</f>
        <v>1.1000000000000001</v>
      </c>
      <c r="AM10" s="87">
        <f>'Исходные данные'!$F$35</f>
        <v>1.1000000000000001</v>
      </c>
      <c r="AN10" s="87">
        <f>'Исходные данные'!$F$35</f>
        <v>1.1000000000000001</v>
      </c>
      <c r="AO10" s="87">
        <f>'Исходные данные'!$F$35</f>
        <v>1.1000000000000001</v>
      </c>
      <c r="AP10" s="87">
        <f>'Исходные данные'!$F$35</f>
        <v>1.1000000000000001</v>
      </c>
      <c r="AQ10" s="170"/>
      <c r="AR10" s="170"/>
      <c r="AU10" s="87"/>
    </row>
    <row r="11" spans="1:54" s="207" customFormat="1" ht="10.5" outlineLevel="1" x14ac:dyDescent="0.35">
      <c r="A11" s="203" t="s">
        <v>112</v>
      </c>
      <c r="B11" s="204"/>
      <c r="C11" s="205">
        <v>1</v>
      </c>
      <c r="D11" s="205">
        <v>1</v>
      </c>
      <c r="E11" s="205">
        <v>1</v>
      </c>
      <c r="F11" s="205">
        <v>1</v>
      </c>
      <c r="G11" s="205">
        <v>1</v>
      </c>
      <c r="H11" s="205">
        <v>1</v>
      </c>
      <c r="I11" s="205">
        <v>1</v>
      </c>
      <c r="J11" s="205">
        <v>1</v>
      </c>
      <c r="K11" s="205">
        <v>1</v>
      </c>
      <c r="L11" s="205">
        <v>1</v>
      </c>
      <c r="M11" s="205">
        <v>1</v>
      </c>
      <c r="N11" s="205">
        <v>1</v>
      </c>
      <c r="O11" s="206"/>
      <c r="P11" s="206"/>
      <c r="Q11" s="205">
        <f>'Исходные данные'!$G$34</f>
        <v>1</v>
      </c>
      <c r="R11" s="205">
        <f>'Исходные данные'!$G$34</f>
        <v>1</v>
      </c>
      <c r="S11" s="205">
        <f>'Исходные данные'!$G$34</f>
        <v>1</v>
      </c>
      <c r="T11" s="205">
        <f>'Исходные данные'!$G$34</f>
        <v>1</v>
      </c>
      <c r="U11" s="205">
        <f>'Исходные данные'!$G$34</f>
        <v>1</v>
      </c>
      <c r="V11" s="205">
        <f>'Исходные данные'!$G$34</f>
        <v>1</v>
      </c>
      <c r="W11" s="205">
        <f>'Исходные данные'!$G$34</f>
        <v>1</v>
      </c>
      <c r="X11" s="205">
        <f>'Исходные данные'!$G$34</f>
        <v>1</v>
      </c>
      <c r="Y11" s="205">
        <f>'Исходные данные'!$G$34</f>
        <v>1</v>
      </c>
      <c r="Z11" s="205">
        <f>'Исходные данные'!$G$34</f>
        <v>1</v>
      </c>
      <c r="AA11" s="205">
        <f>'Исходные данные'!$G$34</f>
        <v>1</v>
      </c>
      <c r="AB11" s="205">
        <f>'Исходные данные'!$G$34</f>
        <v>1</v>
      </c>
      <c r="AC11" s="206"/>
      <c r="AD11" s="206"/>
      <c r="AE11" s="205">
        <f>'Исходные данные'!$G$35</f>
        <v>1</v>
      </c>
      <c r="AF11" s="205">
        <f>'Исходные данные'!$G$35</f>
        <v>1</v>
      </c>
      <c r="AG11" s="205">
        <f>'Исходные данные'!$G$35</f>
        <v>1</v>
      </c>
      <c r="AH11" s="205">
        <f>'Исходные данные'!$G$35</f>
        <v>1</v>
      </c>
      <c r="AI11" s="205">
        <f>'Исходные данные'!$G$35</f>
        <v>1</v>
      </c>
      <c r="AJ11" s="205">
        <f>'Исходные данные'!$G$35</f>
        <v>1</v>
      </c>
      <c r="AK11" s="205">
        <f>'Исходные данные'!$G$35</f>
        <v>1</v>
      </c>
      <c r="AL11" s="205">
        <f>'Исходные данные'!$G$35</f>
        <v>1</v>
      </c>
      <c r="AM11" s="205">
        <f>'Исходные данные'!$G$35</f>
        <v>1</v>
      </c>
      <c r="AN11" s="205">
        <f>'Исходные данные'!$G$35</f>
        <v>1</v>
      </c>
      <c r="AO11" s="205">
        <f>'Исходные данные'!$G$35</f>
        <v>1</v>
      </c>
      <c r="AP11" s="205">
        <f>'Исходные данные'!$G$35</f>
        <v>1</v>
      </c>
      <c r="AQ11" s="206"/>
      <c r="AR11" s="206"/>
      <c r="AS11" s="205"/>
      <c r="AU11" s="87"/>
      <c r="AV11" s="205"/>
      <c r="AX11" s="208"/>
      <c r="AY11" s="208"/>
      <c r="AZ11" s="208"/>
      <c r="BA11" s="208"/>
      <c r="BB11" s="208"/>
    </row>
    <row r="12" spans="1:54" s="209" customFormat="1" outlineLevel="1" x14ac:dyDescent="0.4">
      <c r="A12" s="207" t="s">
        <v>113</v>
      </c>
      <c r="B12" s="207"/>
      <c r="C12" s="205">
        <v>1</v>
      </c>
      <c r="D12" s="205">
        <v>1</v>
      </c>
      <c r="E12" s="205">
        <v>1</v>
      </c>
      <c r="F12" s="205">
        <v>1</v>
      </c>
      <c r="G12" s="205">
        <v>1</v>
      </c>
      <c r="H12" s="205">
        <v>1</v>
      </c>
      <c r="I12" s="205">
        <v>1</v>
      </c>
      <c r="J12" s="205">
        <v>1</v>
      </c>
      <c r="K12" s="205">
        <v>1</v>
      </c>
      <c r="L12" s="205">
        <v>1</v>
      </c>
      <c r="M12" s="205">
        <v>1</v>
      </c>
      <c r="N12" s="205">
        <v>1</v>
      </c>
      <c r="O12" s="206"/>
      <c r="P12" s="206"/>
      <c r="Q12" s="205">
        <f>'Исходные данные'!$H$34</f>
        <v>1</v>
      </c>
      <c r="R12" s="205">
        <f>'Исходные данные'!$H$34</f>
        <v>1</v>
      </c>
      <c r="S12" s="205">
        <f>'Исходные данные'!$H$34</f>
        <v>1</v>
      </c>
      <c r="T12" s="205">
        <f>'Исходные данные'!$H$34</f>
        <v>1</v>
      </c>
      <c r="U12" s="205">
        <f>'Исходные данные'!$H$34</f>
        <v>1</v>
      </c>
      <c r="V12" s="205">
        <f>'Исходные данные'!$H$34</f>
        <v>1</v>
      </c>
      <c r="W12" s="205">
        <f>'Исходные данные'!$H$34</f>
        <v>1</v>
      </c>
      <c r="X12" s="205">
        <f>'Исходные данные'!$H$34</f>
        <v>1</v>
      </c>
      <c r="Y12" s="205">
        <f>'Исходные данные'!$H$34</f>
        <v>1</v>
      </c>
      <c r="Z12" s="205">
        <f>'Исходные данные'!$H$34</f>
        <v>1</v>
      </c>
      <c r="AA12" s="205">
        <f>'Исходные данные'!$H$34</f>
        <v>1</v>
      </c>
      <c r="AB12" s="205">
        <f>'Исходные данные'!$H$34</f>
        <v>1</v>
      </c>
      <c r="AC12" s="206"/>
      <c r="AD12" s="206"/>
      <c r="AE12" s="205">
        <f>'Исходные данные'!$H$35</f>
        <v>1</v>
      </c>
      <c r="AF12" s="205">
        <f>'Исходные данные'!$H$35</f>
        <v>1</v>
      </c>
      <c r="AG12" s="205">
        <f>'Исходные данные'!$H$35</f>
        <v>1</v>
      </c>
      <c r="AH12" s="205">
        <f>'Исходные данные'!$H$35</f>
        <v>1</v>
      </c>
      <c r="AI12" s="205">
        <f>'Исходные данные'!$H$35</f>
        <v>1</v>
      </c>
      <c r="AJ12" s="205">
        <f>'Исходные данные'!$H$35</f>
        <v>1</v>
      </c>
      <c r="AK12" s="205">
        <f>'Исходные данные'!$H$35</f>
        <v>1</v>
      </c>
      <c r="AL12" s="205">
        <f>'Исходные данные'!$H$35</f>
        <v>1</v>
      </c>
      <c r="AM12" s="205">
        <f>'Исходные данные'!$H$35</f>
        <v>1</v>
      </c>
      <c r="AN12" s="205">
        <f>'Исходные данные'!$H$35</f>
        <v>1</v>
      </c>
      <c r="AO12" s="205">
        <f>'Исходные данные'!$H$35</f>
        <v>1</v>
      </c>
      <c r="AP12" s="205">
        <f>'Исходные данные'!$H$35</f>
        <v>1</v>
      </c>
      <c r="AQ12" s="206"/>
      <c r="AR12" s="206"/>
      <c r="AU12" s="87"/>
      <c r="AV12" s="205"/>
      <c r="AX12" s="208"/>
      <c r="AY12" s="208"/>
      <c r="AZ12" s="208"/>
      <c r="BA12" s="208"/>
      <c r="BB12" s="208"/>
    </row>
    <row r="13" spans="1:54" s="207" customFormat="1" ht="10.5" outlineLevel="1" x14ac:dyDescent="0.35">
      <c r="A13" s="203" t="s">
        <v>114</v>
      </c>
      <c r="B13" s="204"/>
      <c r="C13" s="205">
        <v>1</v>
      </c>
      <c r="D13" s="205">
        <v>1</v>
      </c>
      <c r="E13" s="205">
        <v>1</v>
      </c>
      <c r="F13" s="205">
        <v>1</v>
      </c>
      <c r="G13" s="205">
        <v>1</v>
      </c>
      <c r="H13" s="205">
        <v>1</v>
      </c>
      <c r="I13" s="205">
        <v>1</v>
      </c>
      <c r="J13" s="205">
        <v>1</v>
      </c>
      <c r="K13" s="205">
        <v>1</v>
      </c>
      <c r="L13" s="205">
        <v>1</v>
      </c>
      <c r="M13" s="205">
        <v>1</v>
      </c>
      <c r="N13" s="205">
        <v>1</v>
      </c>
      <c r="O13" s="206"/>
      <c r="P13" s="206"/>
      <c r="Q13" s="205">
        <f>'Исходные данные'!$I$34</f>
        <v>1</v>
      </c>
      <c r="R13" s="205">
        <f>'Исходные данные'!$I$34</f>
        <v>1</v>
      </c>
      <c r="S13" s="205">
        <f>'Исходные данные'!$I$34</f>
        <v>1</v>
      </c>
      <c r="T13" s="205">
        <f>'Исходные данные'!$I$34</f>
        <v>1</v>
      </c>
      <c r="U13" s="205">
        <f>'Исходные данные'!$I$34</f>
        <v>1</v>
      </c>
      <c r="V13" s="205">
        <f>'Исходные данные'!$I$34</f>
        <v>1</v>
      </c>
      <c r="W13" s="205">
        <f>'Исходные данные'!$I$34</f>
        <v>1</v>
      </c>
      <c r="X13" s="205">
        <f>'Исходные данные'!$I$34</f>
        <v>1</v>
      </c>
      <c r="Y13" s="205">
        <f>'Исходные данные'!$I$34</f>
        <v>1</v>
      </c>
      <c r="Z13" s="205">
        <f>'Исходные данные'!$I$34</f>
        <v>1</v>
      </c>
      <c r="AA13" s="205">
        <f>'Исходные данные'!$I$34</f>
        <v>1</v>
      </c>
      <c r="AB13" s="205">
        <f>'Исходные данные'!$I$34</f>
        <v>1</v>
      </c>
      <c r="AC13" s="206"/>
      <c r="AD13" s="206"/>
      <c r="AE13" s="205">
        <f>'Исходные данные'!$I$35</f>
        <v>1</v>
      </c>
      <c r="AF13" s="205">
        <f>'Исходные данные'!$I$35</f>
        <v>1</v>
      </c>
      <c r="AG13" s="205">
        <f>'Исходные данные'!$I$35</f>
        <v>1</v>
      </c>
      <c r="AH13" s="205">
        <f>'Исходные данные'!$I$35</f>
        <v>1</v>
      </c>
      <c r="AI13" s="205">
        <f>'Исходные данные'!$I$35</f>
        <v>1</v>
      </c>
      <c r="AJ13" s="205">
        <f>'Исходные данные'!$I$35</f>
        <v>1</v>
      </c>
      <c r="AK13" s="205">
        <f>'Исходные данные'!$I$35</f>
        <v>1</v>
      </c>
      <c r="AL13" s="205">
        <f>'Исходные данные'!$I$35</f>
        <v>1</v>
      </c>
      <c r="AM13" s="205">
        <f>'Исходные данные'!$I$35</f>
        <v>1</v>
      </c>
      <c r="AN13" s="205">
        <f>'Исходные данные'!$I$35</f>
        <v>1</v>
      </c>
      <c r="AO13" s="205">
        <f>'Исходные данные'!$I$35</f>
        <v>1</v>
      </c>
      <c r="AP13" s="205">
        <f>'Исходные данные'!$I$35</f>
        <v>1</v>
      </c>
      <c r="AQ13" s="206"/>
      <c r="AR13" s="206"/>
      <c r="AS13" s="205"/>
      <c r="AU13" s="87"/>
      <c r="AX13" s="208"/>
      <c r="AY13" s="208"/>
      <c r="AZ13" s="208"/>
      <c r="BA13" s="208"/>
      <c r="BB13" s="208"/>
    </row>
    <row r="14" spans="1:54" s="13" customFormat="1" ht="10.5" outlineLevel="1" x14ac:dyDescent="0.4">
      <c r="A14" s="13" t="s">
        <v>81</v>
      </c>
      <c r="O14" s="105"/>
      <c r="P14" s="105"/>
      <c r="AC14" s="105"/>
      <c r="AD14" s="105"/>
      <c r="AQ14" s="105"/>
      <c r="AR14" s="105"/>
      <c r="AU14" s="87"/>
    </row>
    <row r="15" spans="1:54" s="13" customFormat="1" ht="13.5" customHeight="1" thickBot="1" x14ac:dyDescent="0.4">
      <c r="A15" s="69"/>
      <c r="B15" s="69"/>
      <c r="C15" s="376" t="s">
        <v>32</v>
      </c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7"/>
      <c r="O15" s="377"/>
      <c r="P15" s="378"/>
      <c r="Q15" s="376" t="s">
        <v>33</v>
      </c>
      <c r="R15" s="377"/>
      <c r="S15" s="377"/>
      <c r="T15" s="377"/>
      <c r="U15" s="377"/>
      <c r="V15" s="377"/>
      <c r="W15" s="377"/>
      <c r="X15" s="377"/>
      <c r="Y15" s="377"/>
      <c r="Z15" s="377"/>
      <c r="AA15" s="377"/>
      <c r="AB15" s="377"/>
      <c r="AC15" s="377"/>
      <c r="AD15" s="378"/>
      <c r="AE15" s="379" t="s">
        <v>35</v>
      </c>
      <c r="AF15" s="379"/>
      <c r="AG15" s="379"/>
      <c r="AH15" s="379"/>
      <c r="AI15" s="379"/>
      <c r="AJ15" s="379"/>
      <c r="AK15" s="379"/>
      <c r="AL15" s="379"/>
      <c r="AM15" s="379"/>
      <c r="AN15" s="379"/>
      <c r="AO15" s="379"/>
      <c r="AP15" s="379"/>
      <c r="AQ15" s="379"/>
      <c r="AR15" s="379"/>
      <c r="AS15" s="371" t="s">
        <v>42</v>
      </c>
      <c r="AU15" s="87"/>
    </row>
    <row r="16" spans="1:54" s="20" customFormat="1" ht="21.6" thickTop="1" thickBot="1" x14ac:dyDescent="0.4">
      <c r="A16" s="18" t="s">
        <v>7</v>
      </c>
      <c r="B16" s="19"/>
      <c r="C16" s="92" t="str">
        <f t="shared" ref="C16:N16" si="2">C$6</f>
        <v>январь</v>
      </c>
      <c r="D16" s="92" t="str">
        <f t="shared" si="2"/>
        <v>февраль</v>
      </c>
      <c r="E16" s="92" t="str">
        <f t="shared" si="2"/>
        <v>март</v>
      </c>
      <c r="F16" s="92" t="str">
        <f t="shared" si="2"/>
        <v>апрель</v>
      </c>
      <c r="G16" s="92" t="str">
        <f t="shared" si="2"/>
        <v>май</v>
      </c>
      <c r="H16" s="92" t="str">
        <f t="shared" si="2"/>
        <v>июнь</v>
      </c>
      <c r="I16" s="92" t="str">
        <f t="shared" si="2"/>
        <v>июль</v>
      </c>
      <c r="J16" s="92" t="str">
        <f t="shared" si="2"/>
        <v>август</v>
      </c>
      <c r="K16" s="92" t="str">
        <f t="shared" si="2"/>
        <v>сентябрь</v>
      </c>
      <c r="L16" s="92" t="str">
        <f t="shared" si="2"/>
        <v>октябрь</v>
      </c>
      <c r="M16" s="92" t="str">
        <f t="shared" si="2"/>
        <v>ноябрь</v>
      </c>
      <c r="N16" s="92" t="str">
        <f t="shared" si="2"/>
        <v>декабрь</v>
      </c>
      <c r="O16" s="106" t="s">
        <v>36</v>
      </c>
      <c r="P16" s="106" t="s">
        <v>37</v>
      </c>
      <c r="Q16" s="92" t="str">
        <f t="shared" ref="Q16:AB16" si="3">Q$6</f>
        <v>январь</v>
      </c>
      <c r="R16" s="92" t="str">
        <f t="shared" si="3"/>
        <v>февраль</v>
      </c>
      <c r="S16" s="92" t="str">
        <f t="shared" si="3"/>
        <v>март</v>
      </c>
      <c r="T16" s="92" t="str">
        <f t="shared" si="3"/>
        <v>апрель</v>
      </c>
      <c r="U16" s="92" t="str">
        <f t="shared" si="3"/>
        <v>май</v>
      </c>
      <c r="V16" s="92" t="str">
        <f t="shared" si="3"/>
        <v>июнь</v>
      </c>
      <c r="W16" s="92" t="str">
        <f t="shared" si="3"/>
        <v>июль</v>
      </c>
      <c r="X16" s="92" t="str">
        <f t="shared" si="3"/>
        <v>август</v>
      </c>
      <c r="Y16" s="92" t="str">
        <f t="shared" si="3"/>
        <v>сентябрь</v>
      </c>
      <c r="Z16" s="92" t="str">
        <f t="shared" si="3"/>
        <v>октябрь</v>
      </c>
      <c r="AA16" s="92" t="str">
        <f t="shared" si="3"/>
        <v>ноябрь</v>
      </c>
      <c r="AB16" s="92" t="str">
        <f t="shared" si="3"/>
        <v>декабрь</v>
      </c>
      <c r="AC16" s="106" t="s">
        <v>39</v>
      </c>
      <c r="AD16" s="106" t="s">
        <v>38</v>
      </c>
      <c r="AE16" s="92" t="str">
        <f t="shared" ref="AE16:AP16" si="4">AE$6</f>
        <v>январь</v>
      </c>
      <c r="AF16" s="92" t="str">
        <f t="shared" si="4"/>
        <v>февраль</v>
      </c>
      <c r="AG16" s="92" t="str">
        <f t="shared" si="4"/>
        <v>март</v>
      </c>
      <c r="AH16" s="92" t="str">
        <f t="shared" si="4"/>
        <v>апрель</v>
      </c>
      <c r="AI16" s="92" t="str">
        <f t="shared" si="4"/>
        <v>май</v>
      </c>
      <c r="AJ16" s="92" t="str">
        <f t="shared" si="4"/>
        <v>июнь</v>
      </c>
      <c r="AK16" s="92" t="str">
        <f t="shared" si="4"/>
        <v>июль</v>
      </c>
      <c r="AL16" s="92" t="str">
        <f t="shared" si="4"/>
        <v>август</v>
      </c>
      <c r="AM16" s="92" t="str">
        <f t="shared" si="4"/>
        <v>сентябрь</v>
      </c>
      <c r="AN16" s="92" t="str">
        <f t="shared" si="4"/>
        <v>октябрь</v>
      </c>
      <c r="AO16" s="92" t="str">
        <f t="shared" si="4"/>
        <v>ноябрь</v>
      </c>
      <c r="AP16" s="92" t="str">
        <f t="shared" si="4"/>
        <v>декабрь</v>
      </c>
      <c r="AQ16" s="106" t="s">
        <v>40</v>
      </c>
      <c r="AR16" s="106" t="s">
        <v>41</v>
      </c>
      <c r="AS16" s="372"/>
      <c r="AU16" s="87"/>
    </row>
    <row r="17" spans="1:48" s="35" customFormat="1" ht="10.8" thickTop="1" x14ac:dyDescent="0.35">
      <c r="A17" s="180" t="str">
        <f>'Обобщенный расчет'!A8</f>
        <v>СПА-процедуры</v>
      </c>
      <c r="B17" s="21" t="str">
        <f>CHOOSE('Исходные данные'!$O$2,'Исходные данные'!$P$2,'Исходные данные'!$P$3,'Исходные данные'!$P$4,'Исходные данные'!$P$5)</f>
        <v>UAH</v>
      </c>
      <c r="C17" s="33">
        <f>C$7*C$8*CHOOSE('Обобщенный расчет'!$N$1,'Исходные данные'!$J$13,'Исходные данные'!$J$14,'Исходные данные'!$J$15)</f>
        <v>290334.11399999994</v>
      </c>
      <c r="D17" s="33">
        <f>D$7*D$8*CHOOSE('Обобщенный расчет'!$N$1,'Исходные данные'!$J$13,'Исходные данные'!$J$14,'Исходные данные'!$J$15)</f>
        <v>368678.24</v>
      </c>
      <c r="E17" s="33">
        <f>E$7*E$8*CHOOSE('Обобщенный расчет'!$N$1,'Исходные данные'!$J$13,'Исходные данные'!$J$14,'Исходные данные'!$J$15)</f>
        <v>622144.53</v>
      </c>
      <c r="F17" s="33">
        <f>F$7*F$8*CHOOSE('Обобщенный расчет'!$N$1,'Исходные данные'!$J$13,'Исходные данные'!$J$14,'Исходные данные'!$J$15)</f>
        <v>395012.39999999997</v>
      </c>
      <c r="G17" s="33">
        <f>G$7*G$8*CHOOSE('Обобщенный расчет'!$N$1,'Исходные данные'!$J$13,'Исходные данные'!$J$14,'Исходные данные'!$J$15)</f>
        <v>592518.6</v>
      </c>
      <c r="H17" s="33">
        <f>H$7*H$8*CHOOSE('Обобщенный расчет'!$N$1,'Исходные данные'!$J$13,'Исходные данные'!$J$14,'Исходные данные'!$J$15)</f>
        <v>776857.72</v>
      </c>
      <c r="I17" s="33">
        <f>I$7*I$8*CHOOSE('Обобщенный расчет'!$N$1,'Исходные данные'!$J$13,'Исходные данные'!$J$14,'Исходные данные'!$J$15)</f>
        <v>770274.17999999993</v>
      </c>
      <c r="J17" s="33">
        <f>J$7*J$8*CHOOSE('Обобщенный расчет'!$N$1,'Исходные данные'!$J$13,'Исходные данные'!$J$14,'Исходные данные'!$J$15)</f>
        <v>875610.82000000007</v>
      </c>
      <c r="K17" s="33">
        <f>K$7*K$8*CHOOSE('Обобщенный расчет'!$N$1,'Исходные данные'!$J$13,'Исходные данные'!$J$14,'Исходные данные'!$J$15)</f>
        <v>948029.76</v>
      </c>
      <c r="L17" s="33">
        <f>L$7*L$8*CHOOSE('Обобщенный расчет'!$N$1,'Исходные данные'!$J$13,'Исходные данные'!$J$14,'Исходные данные'!$J$15)</f>
        <v>849276.66</v>
      </c>
      <c r="M17" s="33">
        <f>M$7*M$8*CHOOSE('Обобщенный расчет'!$N$1,'Исходные данные'!$J$13,'Исходные данные'!$J$14,'Исходные данные'!$J$15)</f>
        <v>954613.29999999993</v>
      </c>
      <c r="N17" s="33">
        <f>N$7*N$8*CHOOSE('Обобщенный расчет'!$N$1,'Исходные данные'!$J$13,'Исходные данные'!$J$14,'Исходные данные'!$J$15)</f>
        <v>1079700.5599999998</v>
      </c>
      <c r="O17" s="107">
        <f t="shared" ref="O17" si="5">SUM(C17:N17)</f>
        <v>8523050.8839999996</v>
      </c>
      <c r="P17" s="107">
        <f t="shared" ref="P17" si="6">O17/12</f>
        <v>710254.24033333326</v>
      </c>
      <c r="Q17" s="33">
        <f>Q$7*Q$8*CHOOSE('Обобщенный расчет'!$N$1,'Исходные данные'!$J$13,'Исходные данные'!$J$14,'Исходные данные'!$J$15)</f>
        <v>497715.62400000001</v>
      </c>
      <c r="R17" s="33">
        <f>R$7*R$8*CHOOSE('Обобщенный расчет'!$N$1,'Исходные данные'!$J$13,'Исходные данные'!$J$14,'Исходные данные'!$J$15)</f>
        <v>553017.36</v>
      </c>
      <c r="S17" s="33">
        <f>S$7*S$8*CHOOSE('Обобщенный расчет'!$N$1,'Исходные данные'!$J$13,'Исходные данные'!$J$14,'Исходные данные'!$J$15)</f>
        <v>829526.04</v>
      </c>
      <c r="T17" s="33">
        <f>T$7*T$8*CHOOSE('Обобщенный расчет'!$N$1,'Исходные данные'!$J$13,'Исходные данные'!$J$14,'Исходные данные'!$J$15)</f>
        <v>474014.88</v>
      </c>
      <c r="U17" s="33">
        <f>U$7*U$8*CHOOSE('Обобщенный расчет'!$N$1,'Исходные данные'!$J$13,'Исходные данные'!$J$14,'Исходные данные'!$J$15)</f>
        <v>711022.32000000007</v>
      </c>
      <c r="V17" s="33">
        <f>V$7*V$8*CHOOSE('Обобщенный расчет'!$N$1,'Исходные данные'!$J$13,'Исходные данные'!$J$14,'Исходные данные'!$J$15)</f>
        <v>932229.26399999997</v>
      </c>
      <c r="W17" s="33">
        <f>W$7*W$8*CHOOSE('Обобщенный расчет'!$N$1,'Исходные данные'!$J$13,'Исходные данные'!$J$14,'Исходные данные'!$J$15)</f>
        <v>924329.01599999995</v>
      </c>
      <c r="X17" s="33">
        <f>X$7*X$8*CHOOSE('Обобщенный расчет'!$N$1,'Исходные данные'!$J$13,'Исходные данные'!$J$14,'Исходные данные'!$J$15)</f>
        <v>1050732.9840000002</v>
      </c>
      <c r="Y17" s="33">
        <f>Y$7*Y$8*CHOOSE('Обобщенный расчет'!$N$1,'Исходные данные'!$J$13,'Исходные данные'!$J$14,'Исходные данные'!$J$15)</f>
        <v>1137635.7120000001</v>
      </c>
      <c r="Z17" s="33">
        <f>Z$7*Z$8*CHOOSE('Обобщенный расчет'!$N$1,'Исходные данные'!$J$13,'Исходные данные'!$J$14,'Исходные данные'!$J$15)</f>
        <v>1019131.9920000001</v>
      </c>
      <c r="AA17" s="33">
        <f>AA$7*AA$8*CHOOSE('Обобщенный расчет'!$N$1,'Исходные данные'!$J$13,'Исходные данные'!$J$14,'Исходные данные'!$J$15)</f>
        <v>1145535.96</v>
      </c>
      <c r="AB17" s="33">
        <f>AB$7*AB$8*CHOOSE('Обобщенный расчет'!$N$1,'Исходные данные'!$J$13,'Исходные данные'!$J$14,'Исходные данные'!$J$15)</f>
        <v>1295640.6719999998</v>
      </c>
      <c r="AC17" s="107">
        <f t="shared" ref="AC17" si="7">SUM(Q17:AB17)</f>
        <v>10570531.824000003</v>
      </c>
      <c r="AD17" s="107">
        <f t="shared" ref="AD17" si="8">AC17/12</f>
        <v>880877.65200000023</v>
      </c>
      <c r="AE17" s="33">
        <f>AE$7*AE$8*CHOOSE('Обобщенный расчет'!$N$1,'Исходные данные'!$J$13,'Исходные данные'!$J$14,'Исходные данные'!$J$15)</f>
        <v>580668.22799999989</v>
      </c>
      <c r="AF17" s="33">
        <f>AF$7*AF$8*CHOOSE('Обобщенный расчет'!$N$1,'Исходные данные'!$J$13,'Исходные данные'!$J$14,'Исходные данные'!$J$15)</f>
        <v>645186.91999999993</v>
      </c>
      <c r="AG17" s="33">
        <f>AG$7*AG$8*CHOOSE('Обобщенный расчет'!$N$1,'Исходные данные'!$J$13,'Исходные данные'!$J$14,'Исходные данные'!$J$15)</f>
        <v>967780.38</v>
      </c>
      <c r="AH17" s="33">
        <f>AH$7*AH$8*CHOOSE('Обобщенный расчет'!$N$1,'Исходные данные'!$J$13,'Исходные данные'!$J$14,'Исходные данные'!$J$15)</f>
        <v>553017.36</v>
      </c>
      <c r="AI17" s="33">
        <f>AI$7*AI$8*CHOOSE('Обобщенный расчет'!$N$1,'Исходные данные'!$J$13,'Исходные данные'!$J$14,'Исходные данные'!$J$15)</f>
        <v>829526.04</v>
      </c>
      <c r="AJ17" s="33">
        <f>AJ$7*AJ$8*CHOOSE('Обобщенный расчет'!$N$1,'Исходные данные'!$J$13,'Исходные данные'!$J$14,'Исходные данные'!$J$15)</f>
        <v>1087600.808</v>
      </c>
      <c r="AK17" s="33">
        <f>AK$7*AK$8*CHOOSE('Обобщенный расчет'!$N$1,'Исходные данные'!$J$13,'Исходные данные'!$J$14,'Исходные данные'!$J$15)</f>
        <v>1078383.852</v>
      </c>
      <c r="AL17" s="33">
        <f>AL$7*AL$8*CHOOSE('Обобщенный расчет'!$N$1,'Исходные данные'!$J$13,'Исходные данные'!$J$14,'Исходные данные'!$J$15)</f>
        <v>1225855.1479999998</v>
      </c>
      <c r="AM17" s="33">
        <f>AM$7*AM$8*CHOOSE('Обобщенный расчет'!$N$1,'Исходные данные'!$J$13,'Исходные данные'!$J$14,'Исходные данные'!$J$15)</f>
        <v>1327241.6640000001</v>
      </c>
      <c r="AN17" s="33">
        <f>AN$7*AN$8*CHOOSE('Обобщенный расчет'!$N$1,'Исходные данные'!$J$13,'Исходные данные'!$J$14,'Исходные данные'!$J$15)</f>
        <v>1188987.3239999998</v>
      </c>
      <c r="AO17" s="33">
        <f>AO$7*AO$8*CHOOSE('Обобщенный расчет'!$N$1,'Исходные данные'!$J$13,'Исходные данные'!$J$14,'Исходные данные'!$J$15)</f>
        <v>1336458.6199999999</v>
      </c>
      <c r="AP17" s="33">
        <f>AP$7*AP$8*CHOOSE('Обобщенный расчет'!$N$1,'Исходные данные'!$J$13,'Исходные данные'!$J$14,'Исходные данные'!$J$15)</f>
        <v>1511580.784</v>
      </c>
      <c r="AQ17" s="107">
        <f t="shared" ref="AQ17" si="9">SUM(AE17:AP17)</f>
        <v>12332287.127999999</v>
      </c>
      <c r="AR17" s="107">
        <f t="shared" ref="AR17" si="10">AQ17/12</f>
        <v>1027690.5939999999</v>
      </c>
      <c r="AS17" s="114">
        <f t="shared" ref="AS17" si="11">O17+AC17+AQ17</f>
        <v>31425869.836000003</v>
      </c>
      <c r="AT17" s="34"/>
      <c r="AU17" s="87"/>
    </row>
    <row r="18" spans="1:48" s="27" customFormat="1" ht="10.5" x14ac:dyDescent="0.35">
      <c r="A18" s="28" t="s">
        <v>3</v>
      </c>
      <c r="B18" s="29" t="str">
        <f>CHOOSE('Исходные данные'!$O$2,'Исходные данные'!$P$2,'Исходные данные'!$P$3,'Исходные данные'!$P$4,'Исходные данные'!$P$5)</f>
        <v>UAH</v>
      </c>
      <c r="C18" s="96">
        <f t="shared" ref="C18:AS18" si="12">SUM(C17:C17)</f>
        <v>290334.11399999994</v>
      </c>
      <c r="D18" s="96">
        <f t="shared" si="12"/>
        <v>368678.24</v>
      </c>
      <c r="E18" s="96">
        <f t="shared" si="12"/>
        <v>622144.53</v>
      </c>
      <c r="F18" s="96">
        <f t="shared" si="12"/>
        <v>395012.39999999997</v>
      </c>
      <c r="G18" s="96">
        <f t="shared" si="12"/>
        <v>592518.6</v>
      </c>
      <c r="H18" s="96">
        <f t="shared" si="12"/>
        <v>776857.72</v>
      </c>
      <c r="I18" s="96">
        <f t="shared" si="12"/>
        <v>770274.17999999993</v>
      </c>
      <c r="J18" s="96">
        <f t="shared" si="12"/>
        <v>875610.82000000007</v>
      </c>
      <c r="K18" s="96">
        <f t="shared" si="12"/>
        <v>948029.76</v>
      </c>
      <c r="L18" s="96">
        <f t="shared" si="12"/>
        <v>849276.66</v>
      </c>
      <c r="M18" s="96">
        <f t="shared" si="12"/>
        <v>954613.29999999993</v>
      </c>
      <c r="N18" s="96">
        <f t="shared" si="12"/>
        <v>1079700.5599999998</v>
      </c>
      <c r="O18" s="96">
        <f t="shared" si="12"/>
        <v>8523050.8839999996</v>
      </c>
      <c r="P18" s="96">
        <f t="shared" si="12"/>
        <v>710254.24033333326</v>
      </c>
      <c r="Q18" s="96">
        <f t="shared" si="12"/>
        <v>497715.62400000001</v>
      </c>
      <c r="R18" s="96">
        <f t="shared" si="12"/>
        <v>553017.36</v>
      </c>
      <c r="S18" s="96">
        <f t="shared" si="12"/>
        <v>829526.04</v>
      </c>
      <c r="T18" s="96">
        <f t="shared" si="12"/>
        <v>474014.88</v>
      </c>
      <c r="U18" s="96">
        <f t="shared" si="12"/>
        <v>711022.32000000007</v>
      </c>
      <c r="V18" s="96">
        <f t="shared" si="12"/>
        <v>932229.26399999997</v>
      </c>
      <c r="W18" s="96">
        <f t="shared" si="12"/>
        <v>924329.01599999995</v>
      </c>
      <c r="X18" s="96">
        <f t="shared" si="12"/>
        <v>1050732.9840000002</v>
      </c>
      <c r="Y18" s="96">
        <f t="shared" si="12"/>
        <v>1137635.7120000001</v>
      </c>
      <c r="Z18" s="96">
        <f t="shared" si="12"/>
        <v>1019131.9920000001</v>
      </c>
      <c r="AA18" s="96">
        <f t="shared" si="12"/>
        <v>1145535.96</v>
      </c>
      <c r="AB18" s="96">
        <f t="shared" si="12"/>
        <v>1295640.6719999998</v>
      </c>
      <c r="AC18" s="96">
        <f t="shared" si="12"/>
        <v>10570531.824000003</v>
      </c>
      <c r="AD18" s="96">
        <f t="shared" si="12"/>
        <v>880877.65200000023</v>
      </c>
      <c r="AE18" s="96">
        <f t="shared" si="12"/>
        <v>580668.22799999989</v>
      </c>
      <c r="AF18" s="96">
        <f t="shared" si="12"/>
        <v>645186.91999999993</v>
      </c>
      <c r="AG18" s="96">
        <f t="shared" si="12"/>
        <v>967780.38</v>
      </c>
      <c r="AH18" s="96">
        <f t="shared" si="12"/>
        <v>553017.36</v>
      </c>
      <c r="AI18" s="96">
        <f t="shared" si="12"/>
        <v>829526.04</v>
      </c>
      <c r="AJ18" s="96">
        <f t="shared" si="12"/>
        <v>1087600.808</v>
      </c>
      <c r="AK18" s="96">
        <f t="shared" si="12"/>
        <v>1078383.852</v>
      </c>
      <c r="AL18" s="96">
        <f t="shared" si="12"/>
        <v>1225855.1479999998</v>
      </c>
      <c r="AM18" s="96">
        <f t="shared" si="12"/>
        <v>1327241.6640000001</v>
      </c>
      <c r="AN18" s="96">
        <f t="shared" si="12"/>
        <v>1188987.3239999998</v>
      </c>
      <c r="AO18" s="96">
        <f t="shared" si="12"/>
        <v>1336458.6199999999</v>
      </c>
      <c r="AP18" s="96">
        <f t="shared" si="12"/>
        <v>1511580.784</v>
      </c>
      <c r="AQ18" s="96">
        <f t="shared" si="12"/>
        <v>12332287.127999999</v>
      </c>
      <c r="AR18" s="96">
        <f t="shared" si="12"/>
        <v>1027690.5939999999</v>
      </c>
      <c r="AS18" s="96">
        <f t="shared" si="12"/>
        <v>31425869.836000003</v>
      </c>
      <c r="AT18" s="26"/>
      <c r="AV18" s="35"/>
    </row>
    <row r="19" spans="1:48" s="20" customFormat="1" ht="10.8" thickBot="1" x14ac:dyDescent="0.45">
      <c r="A19" s="30"/>
      <c r="B19" s="31"/>
      <c r="C19" s="32"/>
      <c r="D19" s="30"/>
      <c r="E19" s="30"/>
      <c r="F19" s="30"/>
      <c r="G19" s="30"/>
      <c r="H19" s="30"/>
      <c r="I19" s="30"/>
      <c r="J19" s="30"/>
      <c r="O19" s="55"/>
      <c r="P19" s="55"/>
      <c r="Q19" s="32"/>
      <c r="R19" s="30"/>
      <c r="S19" s="30"/>
      <c r="T19" s="30"/>
      <c r="U19" s="30"/>
      <c r="V19" s="30"/>
      <c r="W19" s="30"/>
      <c r="X19" s="30"/>
      <c r="AC19" s="55"/>
      <c r="AD19" s="55"/>
      <c r="AE19" s="32"/>
      <c r="AF19" s="30"/>
      <c r="AG19" s="30"/>
      <c r="AH19" s="30"/>
      <c r="AI19" s="30"/>
      <c r="AJ19" s="30"/>
      <c r="AK19" s="30"/>
      <c r="AL19" s="30"/>
      <c r="AQ19" s="55"/>
      <c r="AR19" s="55"/>
    </row>
    <row r="20" spans="1:48" s="20" customFormat="1" ht="21.6" thickTop="1" thickBot="1" x14ac:dyDescent="0.4">
      <c r="A20" s="18" t="s">
        <v>118</v>
      </c>
      <c r="B20" s="19"/>
      <c r="C20" s="92" t="str">
        <f t="shared" ref="C20:N20" si="13">C$6</f>
        <v>январь</v>
      </c>
      <c r="D20" s="92" t="str">
        <f t="shared" si="13"/>
        <v>февраль</v>
      </c>
      <c r="E20" s="92" t="str">
        <f t="shared" si="13"/>
        <v>март</v>
      </c>
      <c r="F20" s="92" t="str">
        <f t="shared" si="13"/>
        <v>апрель</v>
      </c>
      <c r="G20" s="92" t="str">
        <f t="shared" si="13"/>
        <v>май</v>
      </c>
      <c r="H20" s="92" t="str">
        <f t="shared" si="13"/>
        <v>июнь</v>
      </c>
      <c r="I20" s="92" t="str">
        <f t="shared" si="13"/>
        <v>июль</v>
      </c>
      <c r="J20" s="92" t="str">
        <f t="shared" si="13"/>
        <v>август</v>
      </c>
      <c r="K20" s="92" t="str">
        <f t="shared" si="13"/>
        <v>сентябрь</v>
      </c>
      <c r="L20" s="92" t="str">
        <f t="shared" si="13"/>
        <v>октябрь</v>
      </c>
      <c r="M20" s="92" t="str">
        <f t="shared" si="13"/>
        <v>ноябрь</v>
      </c>
      <c r="N20" s="92" t="str">
        <f t="shared" si="13"/>
        <v>декабрь</v>
      </c>
      <c r="O20" s="198" t="s">
        <v>36</v>
      </c>
      <c r="P20" s="198" t="s">
        <v>37</v>
      </c>
      <c r="Q20" s="92" t="str">
        <f t="shared" ref="Q20:AB20" si="14">Q$6</f>
        <v>январь</v>
      </c>
      <c r="R20" s="92" t="str">
        <f t="shared" si="14"/>
        <v>февраль</v>
      </c>
      <c r="S20" s="92" t="str">
        <f t="shared" si="14"/>
        <v>март</v>
      </c>
      <c r="T20" s="92" t="str">
        <f t="shared" si="14"/>
        <v>апрель</v>
      </c>
      <c r="U20" s="92" t="str">
        <f t="shared" si="14"/>
        <v>май</v>
      </c>
      <c r="V20" s="92" t="str">
        <f t="shared" si="14"/>
        <v>июнь</v>
      </c>
      <c r="W20" s="92" t="str">
        <f t="shared" si="14"/>
        <v>июль</v>
      </c>
      <c r="X20" s="92" t="str">
        <f t="shared" si="14"/>
        <v>август</v>
      </c>
      <c r="Y20" s="92" t="str">
        <f t="shared" si="14"/>
        <v>сентябрь</v>
      </c>
      <c r="Z20" s="92" t="str">
        <f t="shared" si="14"/>
        <v>октябрь</v>
      </c>
      <c r="AA20" s="92" t="str">
        <f t="shared" si="14"/>
        <v>ноябрь</v>
      </c>
      <c r="AB20" s="92" t="str">
        <f t="shared" si="14"/>
        <v>декабрь</v>
      </c>
      <c r="AC20" s="198" t="s">
        <v>39</v>
      </c>
      <c r="AD20" s="198" t="s">
        <v>38</v>
      </c>
      <c r="AE20" s="92" t="str">
        <f t="shared" ref="AE20:AP20" si="15">AE$6</f>
        <v>январь</v>
      </c>
      <c r="AF20" s="92" t="str">
        <f t="shared" si="15"/>
        <v>февраль</v>
      </c>
      <c r="AG20" s="92" t="str">
        <f t="shared" si="15"/>
        <v>март</v>
      </c>
      <c r="AH20" s="92" t="str">
        <f t="shared" si="15"/>
        <v>апрель</v>
      </c>
      <c r="AI20" s="92" t="str">
        <f t="shared" si="15"/>
        <v>май</v>
      </c>
      <c r="AJ20" s="92" t="str">
        <f t="shared" si="15"/>
        <v>июнь</v>
      </c>
      <c r="AK20" s="92" t="str">
        <f t="shared" si="15"/>
        <v>июль</v>
      </c>
      <c r="AL20" s="92" t="str">
        <f t="shared" si="15"/>
        <v>август</v>
      </c>
      <c r="AM20" s="92" t="str">
        <f t="shared" si="15"/>
        <v>сентябрь</v>
      </c>
      <c r="AN20" s="92" t="str">
        <f t="shared" si="15"/>
        <v>октябрь</v>
      </c>
      <c r="AO20" s="92" t="str">
        <f t="shared" si="15"/>
        <v>ноябрь</v>
      </c>
      <c r="AP20" s="92" t="str">
        <f t="shared" si="15"/>
        <v>декабрь</v>
      </c>
      <c r="AQ20" s="198" t="s">
        <v>40</v>
      </c>
      <c r="AR20" s="198" t="s">
        <v>41</v>
      </c>
      <c r="AU20" s="87"/>
    </row>
    <row r="21" spans="1:48" s="35" customFormat="1" ht="10.8" thickTop="1" x14ac:dyDescent="0.35">
      <c r="A21" s="60" t="str">
        <f>'Исходные данные'!B86</f>
        <v>Материалы для проведения процедур</v>
      </c>
      <c r="B21" s="21" t="str">
        <f>CHOOSE('Исходные данные'!$O$2,'Исходные данные'!$P$2,'Исходные данные'!$P$3,'Исходные данные'!$P$4,'Исходные данные'!$P$5)</f>
        <v>UAH</v>
      </c>
      <c r="C21" s="33">
        <f>C18*CHOOSE('Обобщенный расчет'!$N$1,'Исходные данные'!$D$86,'Исходные данные'!$F$86,'Исходные данные'!$I$86)</f>
        <v>14516.705699999999</v>
      </c>
      <c r="D21" s="33">
        <f>D18*CHOOSE('Обобщенный расчет'!$N$1,'Исходные данные'!$D$86,'Исходные данные'!$F$86,'Исходные данные'!$I$86)</f>
        <v>18433.912</v>
      </c>
      <c r="E21" s="33">
        <f>E18*CHOOSE('Обобщенный расчет'!$N$1,'Исходные данные'!$D$86,'Исходные данные'!$F$86,'Исходные данные'!$I$86)</f>
        <v>31107.226500000004</v>
      </c>
      <c r="F21" s="33">
        <f>F18*CHOOSE('Обобщенный расчет'!$N$1,'Исходные данные'!$D$86,'Исходные данные'!$F$86,'Исходные данные'!$I$86)</f>
        <v>19750.62</v>
      </c>
      <c r="G21" s="33">
        <f>G18*CHOOSE('Обобщенный расчет'!$N$1,'Исходные данные'!$D$86,'Исходные данные'!$F$86,'Исходные данные'!$I$86)</f>
        <v>29625.93</v>
      </c>
      <c r="H21" s="33">
        <f>H18*CHOOSE('Обобщенный расчет'!$N$1,'Исходные данные'!$D$86,'Исходные данные'!$F$86,'Исходные данные'!$I$86)</f>
        <v>38842.885999999999</v>
      </c>
      <c r="I21" s="33">
        <f>I18*CHOOSE('Обобщенный расчет'!$N$1,'Исходные данные'!$D$86,'Исходные данные'!$F$86,'Исходные данные'!$I$86)</f>
        <v>38513.708999999995</v>
      </c>
      <c r="J21" s="33">
        <f>J18*CHOOSE('Обобщенный расчет'!$N$1,'Исходные данные'!$D$86,'Исходные данные'!$F$86,'Исходные данные'!$I$86)</f>
        <v>43780.541000000005</v>
      </c>
      <c r="K21" s="33">
        <f>K18*CHOOSE('Обобщенный расчет'!$N$1,'Исходные данные'!$D$86,'Исходные данные'!$F$86,'Исходные данные'!$I$86)</f>
        <v>47401.488000000005</v>
      </c>
      <c r="L21" s="33">
        <f>L18*CHOOSE('Обобщенный расчет'!$N$1,'Исходные данные'!$D$86,'Исходные данные'!$F$86,'Исходные данные'!$I$86)</f>
        <v>42463.833000000006</v>
      </c>
      <c r="M21" s="33">
        <f>M18*CHOOSE('Обобщенный расчет'!$N$1,'Исходные данные'!$D$86,'Исходные данные'!$F$86,'Исходные данные'!$I$86)</f>
        <v>47730.665000000001</v>
      </c>
      <c r="N21" s="33">
        <f>N18*CHOOSE('Обобщенный расчет'!$N$1,'Исходные данные'!$D$86,'Исходные данные'!$F$86,'Исходные данные'!$I$86)</f>
        <v>53985.027999999991</v>
      </c>
      <c r="O21" s="107">
        <f t="shared" ref="O21" si="16">SUM(C21:N21)</f>
        <v>426152.54419999995</v>
      </c>
      <c r="P21" s="107">
        <f t="shared" ref="P21" si="17">O21/12</f>
        <v>35512.712016666665</v>
      </c>
      <c r="Q21" s="33">
        <f>Q18*CHOOSE('Обобщенный расчет'!$N$1,'Исходные данные'!$D$86,'Исходные данные'!$F$86,'Исходные данные'!$I$86)</f>
        <v>24885.781200000001</v>
      </c>
      <c r="R21" s="33">
        <f>R18*CHOOSE('Обобщенный расчет'!$N$1,'Исходные данные'!$D$86,'Исходные данные'!$F$86,'Исходные данные'!$I$86)</f>
        <v>27650.868000000002</v>
      </c>
      <c r="S21" s="33">
        <f>S18*CHOOSE('Обобщенный расчет'!$N$1,'Исходные данные'!$D$86,'Исходные данные'!$F$86,'Исходные данные'!$I$86)</f>
        <v>41476.302000000003</v>
      </c>
      <c r="T21" s="33">
        <f>T18*CHOOSE('Обобщенный расчет'!$N$1,'Исходные данные'!$D$86,'Исходные данные'!$F$86,'Исходные данные'!$I$86)</f>
        <v>23700.744000000002</v>
      </c>
      <c r="U21" s="33">
        <f>U18*CHOOSE('Обобщенный расчет'!$N$1,'Исходные данные'!$D$86,'Исходные данные'!$F$86,'Исходные данные'!$I$86)</f>
        <v>35551.116000000002</v>
      </c>
      <c r="V21" s="33">
        <f>V18*CHOOSE('Обобщенный расчет'!$N$1,'Исходные данные'!$D$86,'Исходные данные'!$F$86,'Исходные данные'!$I$86)</f>
        <v>46611.463199999998</v>
      </c>
      <c r="W21" s="33">
        <f>W18*CHOOSE('Обобщенный расчет'!$N$1,'Исходные данные'!$D$86,'Исходные данные'!$F$86,'Исходные данные'!$I$86)</f>
        <v>46216.450799999999</v>
      </c>
      <c r="X21" s="33">
        <f>X18*CHOOSE('Обобщенный расчет'!$N$1,'Исходные данные'!$D$86,'Исходные данные'!$F$86,'Исходные данные'!$I$86)</f>
        <v>52536.649200000014</v>
      </c>
      <c r="Y21" s="33">
        <f>Y18*CHOOSE('Обобщенный расчет'!$N$1,'Исходные данные'!$D$86,'Исходные данные'!$F$86,'Исходные данные'!$I$86)</f>
        <v>56881.785600000003</v>
      </c>
      <c r="Z21" s="33">
        <f>Z18*CHOOSE('Обобщенный расчет'!$N$1,'Исходные данные'!$D$86,'Исходные данные'!$F$86,'Исходные данные'!$I$86)</f>
        <v>50956.599600000009</v>
      </c>
      <c r="AA21" s="33">
        <f>AA18*CHOOSE('Обобщенный расчет'!$N$1,'Исходные данные'!$D$86,'Исходные данные'!$F$86,'Исходные данные'!$I$86)</f>
        <v>57276.798000000003</v>
      </c>
      <c r="AB21" s="33">
        <f>AB18*CHOOSE('Обобщенный расчет'!$N$1,'Исходные данные'!$D$86,'Исходные данные'!$F$86,'Исходные данные'!$I$86)</f>
        <v>64782.033599999995</v>
      </c>
      <c r="AC21" s="107">
        <f t="shared" ref="AC21" si="18">SUM(Q21:AB21)</f>
        <v>528526.59120000002</v>
      </c>
      <c r="AD21" s="107">
        <f t="shared" ref="AD21" si="19">AC21/12</f>
        <v>44043.882600000004</v>
      </c>
      <c r="AE21" s="33">
        <f>AE18*CHOOSE('Обобщенный расчет'!$N$1,'Исходные данные'!$D$86,'Исходные данные'!$F$86,'Исходные данные'!$I$86)</f>
        <v>29033.411399999997</v>
      </c>
      <c r="AF21" s="33">
        <f>AF18*CHOOSE('Обобщенный расчет'!$N$1,'Исходные данные'!$D$86,'Исходные данные'!$F$86,'Исходные данные'!$I$86)</f>
        <v>32259.345999999998</v>
      </c>
      <c r="AG21" s="33">
        <f>AG18*CHOOSE('Обобщенный расчет'!$N$1,'Исходные данные'!$D$86,'Исходные данные'!$F$86,'Исходные данные'!$I$86)</f>
        <v>48389.019</v>
      </c>
      <c r="AH21" s="33">
        <f>AH18*CHOOSE('Обобщенный расчет'!$N$1,'Исходные данные'!$D$86,'Исходные данные'!$F$86,'Исходные данные'!$I$86)</f>
        <v>27650.868000000002</v>
      </c>
      <c r="AI21" s="33">
        <f>AI18*CHOOSE('Обобщенный расчет'!$N$1,'Исходные данные'!$D$86,'Исходные данные'!$F$86,'Исходные данные'!$I$86)</f>
        <v>41476.302000000003</v>
      </c>
      <c r="AJ21" s="33">
        <f>AJ18*CHOOSE('Обобщенный расчет'!$N$1,'Исходные данные'!$D$86,'Исходные данные'!$F$86,'Исходные данные'!$I$86)</f>
        <v>54380.040399999998</v>
      </c>
      <c r="AK21" s="33">
        <f>AK18*CHOOSE('Обобщенный расчет'!$N$1,'Исходные данные'!$D$86,'Исходные данные'!$F$86,'Исходные данные'!$I$86)</f>
        <v>53919.192600000002</v>
      </c>
      <c r="AL21" s="33">
        <f>AL18*CHOOSE('Обобщенный расчет'!$N$1,'Исходные данные'!$D$86,'Исходные данные'!$F$86,'Исходные данные'!$I$86)</f>
        <v>61292.757399999995</v>
      </c>
      <c r="AM21" s="33">
        <f>AM18*CHOOSE('Обобщенный расчет'!$N$1,'Исходные данные'!$D$86,'Исходные данные'!$F$86,'Исходные данные'!$I$86)</f>
        <v>66362.083200000008</v>
      </c>
      <c r="AN21" s="33">
        <f>AN18*CHOOSE('Обобщенный расчет'!$N$1,'Исходные данные'!$D$86,'Исходные данные'!$F$86,'Исходные данные'!$I$86)</f>
        <v>59449.366199999989</v>
      </c>
      <c r="AO21" s="33">
        <f>AO18*CHOOSE('Обобщенный расчет'!$N$1,'Исходные данные'!$D$86,'Исходные данные'!$F$86,'Исходные данные'!$I$86)</f>
        <v>66822.930999999997</v>
      </c>
      <c r="AP21" s="33">
        <f>AP18*CHOOSE('Обобщенный расчет'!$N$1,'Исходные данные'!$D$86,'Исходные данные'!$F$86,'Исходные данные'!$I$86)</f>
        <v>75579.039199999999</v>
      </c>
      <c r="AQ21" s="107">
        <f t="shared" ref="AQ21" si="20">SUM(AE21:AP21)</f>
        <v>616614.35639999993</v>
      </c>
      <c r="AR21" s="107">
        <f t="shared" ref="AR21" si="21">AQ21/12</f>
        <v>51384.529699999992</v>
      </c>
      <c r="AS21" s="114">
        <f t="shared" ref="AS21" si="22">O21+AC21+AQ21</f>
        <v>1571293.4918</v>
      </c>
      <c r="AT21" s="34"/>
      <c r="AU21" s="87"/>
    </row>
    <row r="22" spans="1:48" s="27" customFormat="1" ht="10.5" x14ac:dyDescent="0.35">
      <c r="A22" s="28" t="s">
        <v>3</v>
      </c>
      <c r="B22" s="29" t="str">
        <f>CHOOSE('Исходные данные'!$O$2,'Исходные данные'!$P$2,'Исходные данные'!$P$3,'Исходные данные'!$P$4,'Исходные данные'!$P$5)</f>
        <v>UAH</v>
      </c>
      <c r="C22" s="96">
        <f t="shared" ref="C22:AS22" si="23">SUM(C21:C21)</f>
        <v>14516.705699999999</v>
      </c>
      <c r="D22" s="96">
        <f t="shared" si="23"/>
        <v>18433.912</v>
      </c>
      <c r="E22" s="96">
        <f t="shared" si="23"/>
        <v>31107.226500000004</v>
      </c>
      <c r="F22" s="96">
        <f t="shared" si="23"/>
        <v>19750.62</v>
      </c>
      <c r="G22" s="96">
        <f t="shared" si="23"/>
        <v>29625.93</v>
      </c>
      <c r="H22" s="96">
        <f t="shared" si="23"/>
        <v>38842.885999999999</v>
      </c>
      <c r="I22" s="96">
        <f t="shared" si="23"/>
        <v>38513.708999999995</v>
      </c>
      <c r="J22" s="96">
        <f t="shared" si="23"/>
        <v>43780.541000000005</v>
      </c>
      <c r="K22" s="96">
        <f t="shared" si="23"/>
        <v>47401.488000000005</v>
      </c>
      <c r="L22" s="96">
        <f t="shared" si="23"/>
        <v>42463.833000000006</v>
      </c>
      <c r="M22" s="96">
        <f t="shared" si="23"/>
        <v>47730.665000000001</v>
      </c>
      <c r="N22" s="96">
        <f t="shared" si="23"/>
        <v>53985.027999999991</v>
      </c>
      <c r="O22" s="96">
        <f t="shared" si="23"/>
        <v>426152.54419999995</v>
      </c>
      <c r="P22" s="96">
        <f t="shared" si="23"/>
        <v>35512.712016666665</v>
      </c>
      <c r="Q22" s="96">
        <f t="shared" si="23"/>
        <v>24885.781200000001</v>
      </c>
      <c r="R22" s="96">
        <f t="shared" si="23"/>
        <v>27650.868000000002</v>
      </c>
      <c r="S22" s="96">
        <f t="shared" si="23"/>
        <v>41476.302000000003</v>
      </c>
      <c r="T22" s="96">
        <f t="shared" si="23"/>
        <v>23700.744000000002</v>
      </c>
      <c r="U22" s="96">
        <f t="shared" si="23"/>
        <v>35551.116000000002</v>
      </c>
      <c r="V22" s="96">
        <f t="shared" si="23"/>
        <v>46611.463199999998</v>
      </c>
      <c r="W22" s="96">
        <f t="shared" si="23"/>
        <v>46216.450799999999</v>
      </c>
      <c r="X22" s="96">
        <f t="shared" si="23"/>
        <v>52536.649200000014</v>
      </c>
      <c r="Y22" s="96">
        <f t="shared" si="23"/>
        <v>56881.785600000003</v>
      </c>
      <c r="Z22" s="96">
        <f t="shared" si="23"/>
        <v>50956.599600000009</v>
      </c>
      <c r="AA22" s="96">
        <f t="shared" si="23"/>
        <v>57276.798000000003</v>
      </c>
      <c r="AB22" s="96">
        <f t="shared" si="23"/>
        <v>64782.033599999995</v>
      </c>
      <c r="AC22" s="96">
        <f t="shared" si="23"/>
        <v>528526.59120000002</v>
      </c>
      <c r="AD22" s="96">
        <f t="shared" si="23"/>
        <v>44043.882600000004</v>
      </c>
      <c r="AE22" s="96">
        <f t="shared" si="23"/>
        <v>29033.411399999997</v>
      </c>
      <c r="AF22" s="96">
        <f t="shared" si="23"/>
        <v>32259.345999999998</v>
      </c>
      <c r="AG22" s="96">
        <f t="shared" si="23"/>
        <v>48389.019</v>
      </c>
      <c r="AH22" s="96">
        <f t="shared" si="23"/>
        <v>27650.868000000002</v>
      </c>
      <c r="AI22" s="96">
        <f t="shared" si="23"/>
        <v>41476.302000000003</v>
      </c>
      <c r="AJ22" s="96">
        <f t="shared" si="23"/>
        <v>54380.040399999998</v>
      </c>
      <c r="AK22" s="96">
        <f t="shared" si="23"/>
        <v>53919.192600000002</v>
      </c>
      <c r="AL22" s="96">
        <f t="shared" si="23"/>
        <v>61292.757399999995</v>
      </c>
      <c r="AM22" s="96">
        <f t="shared" si="23"/>
        <v>66362.083200000008</v>
      </c>
      <c r="AN22" s="96">
        <f t="shared" si="23"/>
        <v>59449.366199999989</v>
      </c>
      <c r="AO22" s="96">
        <f t="shared" si="23"/>
        <v>66822.930999999997</v>
      </c>
      <c r="AP22" s="96">
        <f t="shared" si="23"/>
        <v>75579.039199999999</v>
      </c>
      <c r="AQ22" s="96">
        <f t="shared" si="23"/>
        <v>616614.35639999993</v>
      </c>
      <c r="AR22" s="96">
        <f t="shared" si="23"/>
        <v>51384.529699999992</v>
      </c>
      <c r="AS22" s="96">
        <f t="shared" si="23"/>
        <v>1571293.4918</v>
      </c>
      <c r="AT22" s="26"/>
      <c r="AV22" s="35"/>
    </row>
    <row r="23" spans="1:48" s="20" customFormat="1" ht="10.8" thickBot="1" x14ac:dyDescent="0.45">
      <c r="A23" s="30"/>
      <c r="B23" s="31"/>
      <c r="C23" s="32"/>
      <c r="D23" s="30"/>
      <c r="E23" s="30"/>
      <c r="F23" s="30"/>
      <c r="G23" s="30"/>
      <c r="H23" s="30"/>
      <c r="I23" s="30"/>
      <c r="J23" s="30"/>
      <c r="O23" s="55"/>
      <c r="P23" s="55"/>
      <c r="Q23" s="32"/>
      <c r="R23" s="30"/>
      <c r="S23" s="30"/>
      <c r="T23" s="30"/>
      <c r="U23" s="30"/>
      <c r="V23" s="30"/>
      <c r="W23" s="30"/>
      <c r="X23" s="30"/>
      <c r="AC23" s="55"/>
      <c r="AD23" s="55"/>
      <c r="AE23" s="32"/>
      <c r="AF23" s="30"/>
      <c r="AG23" s="30"/>
      <c r="AH23" s="30"/>
      <c r="AI23" s="30"/>
      <c r="AJ23" s="30"/>
      <c r="AK23" s="30"/>
      <c r="AL23" s="30"/>
      <c r="AQ23" s="55"/>
      <c r="AR23" s="55"/>
    </row>
    <row r="24" spans="1:48" s="13" customFormat="1" ht="21.6" thickTop="1" thickBot="1" x14ac:dyDescent="0.4">
      <c r="A24" s="14" t="s">
        <v>86</v>
      </c>
      <c r="B24" s="15"/>
      <c r="C24" s="19" t="str">
        <f t="shared" ref="C24:N24" si="24">C$6</f>
        <v>январь</v>
      </c>
      <c r="D24" s="19" t="str">
        <f t="shared" si="24"/>
        <v>февраль</v>
      </c>
      <c r="E24" s="19" t="str">
        <f t="shared" si="24"/>
        <v>март</v>
      </c>
      <c r="F24" s="19" t="str">
        <f t="shared" si="24"/>
        <v>апрель</v>
      </c>
      <c r="G24" s="19" t="str">
        <f t="shared" si="24"/>
        <v>май</v>
      </c>
      <c r="H24" s="19" t="str">
        <f t="shared" si="24"/>
        <v>июнь</v>
      </c>
      <c r="I24" s="19" t="str">
        <f t="shared" si="24"/>
        <v>июль</v>
      </c>
      <c r="J24" s="19" t="str">
        <f t="shared" si="24"/>
        <v>август</v>
      </c>
      <c r="K24" s="19" t="str">
        <f t="shared" si="24"/>
        <v>сентябрь</v>
      </c>
      <c r="L24" s="19" t="str">
        <f t="shared" si="24"/>
        <v>октябрь</v>
      </c>
      <c r="M24" s="19" t="str">
        <f t="shared" si="24"/>
        <v>ноябрь</v>
      </c>
      <c r="N24" s="19" t="str">
        <f t="shared" si="24"/>
        <v>декабрь</v>
      </c>
      <c r="O24" s="108" t="str">
        <f>$O$16</f>
        <v>Итого за 1-й год</v>
      </c>
      <c r="P24" s="108" t="str">
        <f>$P$16</f>
        <v>Среднемесячно за 1-й год</v>
      </c>
      <c r="Q24" s="19" t="str">
        <f t="shared" ref="Q24:AB24" si="25">Q$6</f>
        <v>январь</v>
      </c>
      <c r="R24" s="19" t="str">
        <f t="shared" si="25"/>
        <v>февраль</v>
      </c>
      <c r="S24" s="19" t="str">
        <f t="shared" si="25"/>
        <v>март</v>
      </c>
      <c r="T24" s="19" t="str">
        <f t="shared" si="25"/>
        <v>апрель</v>
      </c>
      <c r="U24" s="19" t="str">
        <f t="shared" si="25"/>
        <v>май</v>
      </c>
      <c r="V24" s="19" t="str">
        <f t="shared" si="25"/>
        <v>июнь</v>
      </c>
      <c r="W24" s="19" t="str">
        <f t="shared" si="25"/>
        <v>июль</v>
      </c>
      <c r="X24" s="19" t="str">
        <f t="shared" si="25"/>
        <v>август</v>
      </c>
      <c r="Y24" s="19" t="str">
        <f t="shared" si="25"/>
        <v>сентябрь</v>
      </c>
      <c r="Z24" s="19" t="str">
        <f t="shared" si="25"/>
        <v>октябрь</v>
      </c>
      <c r="AA24" s="19" t="str">
        <f t="shared" si="25"/>
        <v>ноябрь</v>
      </c>
      <c r="AB24" s="19" t="str">
        <f t="shared" si="25"/>
        <v>декабрь</v>
      </c>
      <c r="AC24" s="108" t="str">
        <f>$AC$16</f>
        <v>Итого за 2-й год</v>
      </c>
      <c r="AD24" s="108" t="str">
        <f>$AD$16</f>
        <v>Среднемесячно за 2-й год</v>
      </c>
      <c r="AE24" s="19" t="str">
        <f t="shared" ref="AE24:AP24" si="26">AE$6</f>
        <v>январь</v>
      </c>
      <c r="AF24" s="19" t="str">
        <f t="shared" si="26"/>
        <v>февраль</v>
      </c>
      <c r="AG24" s="19" t="str">
        <f t="shared" si="26"/>
        <v>март</v>
      </c>
      <c r="AH24" s="19" t="str">
        <f t="shared" si="26"/>
        <v>апрель</v>
      </c>
      <c r="AI24" s="19" t="str">
        <f t="shared" si="26"/>
        <v>май</v>
      </c>
      <c r="AJ24" s="19" t="str">
        <f t="shared" si="26"/>
        <v>июнь</v>
      </c>
      <c r="AK24" s="19" t="str">
        <f t="shared" si="26"/>
        <v>июль</v>
      </c>
      <c r="AL24" s="19" t="str">
        <f t="shared" si="26"/>
        <v>август</v>
      </c>
      <c r="AM24" s="19" t="str">
        <f t="shared" si="26"/>
        <v>сентябрь</v>
      </c>
      <c r="AN24" s="19" t="str">
        <f t="shared" si="26"/>
        <v>октябрь</v>
      </c>
      <c r="AO24" s="19" t="str">
        <f t="shared" si="26"/>
        <v>ноябрь</v>
      </c>
      <c r="AP24" s="19" t="str">
        <f t="shared" si="26"/>
        <v>декабрь</v>
      </c>
      <c r="AQ24" s="108" t="str">
        <f>AQ16</f>
        <v>Итого за 3-й год</v>
      </c>
      <c r="AR24" s="108" t="str">
        <f>AR16</f>
        <v>Среднемесячно за 3-й год</v>
      </c>
      <c r="AS24" s="116" t="str">
        <f>AS15</f>
        <v>Итого за три года</v>
      </c>
    </row>
    <row r="25" spans="1:48" s="38" customFormat="1" ht="10.8" thickTop="1" x14ac:dyDescent="0.35">
      <c r="A25" s="61" t="str">
        <f>'Обобщенный расчет'!B11</f>
        <v>Ремонт помещения</v>
      </c>
      <c r="B25" s="24" t="str">
        <f>CHOOSE('Исходные данные'!$O$2,'Исходные данные'!$P$2,'Исходные данные'!$P$3,'Исходные данные'!$P$4,'Исходные данные'!$P$5)</f>
        <v>UAH</v>
      </c>
      <c r="C25" s="36">
        <f>'Обобщенный расчет'!D11</f>
        <v>750000</v>
      </c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52">
        <f t="shared" ref="O25:O32" si="27">SUM(C25:N25)</f>
        <v>750000</v>
      </c>
      <c r="P25" s="52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52">
        <f t="shared" ref="AC25:AC32" si="28">SUM(Q25:AB25)</f>
        <v>0</v>
      </c>
      <c r="AD25" s="52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52">
        <f t="shared" ref="AQ25:AQ32" si="29">SUM(AE25:AP25)</f>
        <v>0</v>
      </c>
      <c r="AR25" s="52"/>
      <c r="AS25" s="114">
        <f t="shared" ref="AS25:AS33" si="30">O25+AC25+AQ25</f>
        <v>750000</v>
      </c>
      <c r="AT25" s="37"/>
    </row>
    <row r="26" spans="1:48" s="35" customFormat="1" ht="10.5" x14ac:dyDescent="0.35">
      <c r="A26" s="60" t="str">
        <f>'Обобщенный расчет'!B12</f>
        <v>Мебель</v>
      </c>
      <c r="B26" s="21" t="str">
        <f>CHOOSE('Исходные данные'!$O$2,'Исходные данные'!$P$2,'Исходные данные'!$P$3,'Исходные данные'!$P$4,'Исходные данные'!$P$5)</f>
        <v>UAH</v>
      </c>
      <c r="C26" s="33">
        <f>'Обобщенный расчет'!D12</f>
        <v>300000</v>
      </c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107">
        <f t="shared" ref="O26" si="31">SUM(C26:N26)</f>
        <v>300000</v>
      </c>
      <c r="P26" s="107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107">
        <f t="shared" ref="AC26" si="32">SUM(Q26:AB26)</f>
        <v>0</v>
      </c>
      <c r="AD26" s="107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107">
        <f t="shared" ref="AQ26" si="33">SUM(AE26:AP26)</f>
        <v>0</v>
      </c>
      <c r="AR26" s="107"/>
      <c r="AS26" s="114">
        <f t="shared" ref="AS26" si="34">O26+AC26+AQ26</f>
        <v>300000</v>
      </c>
      <c r="AT26" s="34"/>
    </row>
    <row r="27" spans="1:48" s="38" customFormat="1" ht="10.5" x14ac:dyDescent="0.35">
      <c r="A27" s="61" t="str">
        <f>'Обобщенный расчет'!B13</f>
        <v>Оборудование</v>
      </c>
      <c r="B27" s="24" t="str">
        <f>CHOOSE('Исходные данные'!$O$2,'Исходные данные'!$P$2,'Исходные данные'!$P$3,'Исходные данные'!$P$4,'Исходные данные'!$P$5)</f>
        <v>UAH</v>
      </c>
      <c r="C27" s="36">
        <f>'Обобщенный расчет'!D13</f>
        <v>497000</v>
      </c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52">
        <f t="shared" si="27"/>
        <v>497000</v>
      </c>
      <c r="P27" s="52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52">
        <f t="shared" si="28"/>
        <v>0</v>
      </c>
      <c r="AD27" s="52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52">
        <f t="shared" si="29"/>
        <v>0</v>
      </c>
      <c r="AR27" s="52"/>
      <c r="AS27" s="114">
        <f t="shared" si="30"/>
        <v>497000</v>
      </c>
      <c r="AT27" s="37"/>
    </row>
    <row r="28" spans="1:48" s="35" customFormat="1" ht="10.5" x14ac:dyDescent="0.35">
      <c r="A28" s="60" t="str">
        <f>'Обобщенный расчет'!B14</f>
        <v>Видеонаблюдение</v>
      </c>
      <c r="B28" s="21" t="str">
        <f>CHOOSE('Исходные данные'!$O$2,'Исходные данные'!$P$2,'Исходные данные'!$P$3,'Исходные данные'!$P$4,'Исходные данные'!$P$5)</f>
        <v>UAH</v>
      </c>
      <c r="C28" s="33">
        <f>'Обобщенный расчет'!D14</f>
        <v>25000</v>
      </c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107">
        <f t="shared" si="27"/>
        <v>25000</v>
      </c>
      <c r="P28" s="107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107">
        <f t="shared" si="28"/>
        <v>0</v>
      </c>
      <c r="AD28" s="107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107">
        <f t="shared" si="29"/>
        <v>0</v>
      </c>
      <c r="AR28" s="107"/>
      <c r="AS28" s="114">
        <f t="shared" si="30"/>
        <v>25000</v>
      </c>
      <c r="AT28" s="34"/>
    </row>
    <row r="29" spans="1:48" s="38" customFormat="1" ht="10.5" x14ac:dyDescent="0.35">
      <c r="A29" s="61" t="str">
        <f>'Обобщенный расчет'!B15</f>
        <v>Сигнализация (охранная и пожарная)</v>
      </c>
      <c r="B29" s="24" t="str">
        <f>CHOOSE('Исходные данные'!$O$2,'Исходные данные'!$P$2,'Исходные данные'!$P$3,'Исходные данные'!$P$4,'Исходные данные'!$P$5)</f>
        <v>UAH</v>
      </c>
      <c r="C29" s="36">
        <f>'Обобщенный расчет'!D15</f>
        <v>25000</v>
      </c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52">
        <f t="shared" si="27"/>
        <v>25000</v>
      </c>
      <c r="P29" s="52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52">
        <f t="shared" si="28"/>
        <v>0</v>
      </c>
      <c r="AD29" s="52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52">
        <f t="shared" si="29"/>
        <v>0</v>
      </c>
      <c r="AR29" s="52"/>
      <c r="AS29" s="114">
        <f t="shared" si="30"/>
        <v>25000</v>
      </c>
      <c r="AT29" s="37"/>
    </row>
    <row r="30" spans="1:48" s="35" customFormat="1" ht="10.5" x14ac:dyDescent="0.35">
      <c r="A30" s="60" t="str">
        <f>'Обобщенный расчет'!B16</f>
        <v>Рекламная кампания</v>
      </c>
      <c r="B30" s="21" t="str">
        <f>CHOOSE('Исходные данные'!$O$2,'Исходные данные'!$P$2,'Исходные данные'!$P$3,'Исходные данные'!$P$4,'Исходные данные'!$P$5)</f>
        <v>UAH</v>
      </c>
      <c r="C30" s="33">
        <f>'Обобщенный расчет'!D16</f>
        <v>60000</v>
      </c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107">
        <f t="shared" si="27"/>
        <v>60000</v>
      </c>
      <c r="P30" s="107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107">
        <f t="shared" si="28"/>
        <v>0</v>
      </c>
      <c r="AD30" s="107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107">
        <f t="shared" si="29"/>
        <v>0</v>
      </c>
      <c r="AR30" s="107"/>
      <c r="AS30" s="114">
        <f t="shared" si="30"/>
        <v>60000</v>
      </c>
      <c r="AT30" s="34"/>
    </row>
    <row r="31" spans="1:48" s="38" customFormat="1" ht="10.5" x14ac:dyDescent="0.35">
      <c r="A31" s="61" t="str">
        <f>'Обобщенный расчет'!B17</f>
        <v>Паушальный взнос</v>
      </c>
      <c r="B31" s="24" t="str">
        <f>CHOOSE('Исходные данные'!$O$2,'Исходные данные'!$P$2,'Исходные данные'!$P$3,'Исходные данные'!$P$4,'Исходные данные'!$P$5)</f>
        <v>UAH</v>
      </c>
      <c r="C31" s="36">
        <f>'Обобщенный расчет'!D17</f>
        <v>400000</v>
      </c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52">
        <f t="shared" si="27"/>
        <v>400000</v>
      </c>
      <c r="P31" s="52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52">
        <f t="shared" si="28"/>
        <v>0</v>
      </c>
      <c r="AD31" s="52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52">
        <f t="shared" si="29"/>
        <v>0</v>
      </c>
      <c r="AR31" s="52"/>
      <c r="AS31" s="114">
        <f t="shared" si="30"/>
        <v>400000</v>
      </c>
      <c r="AT31" s="37"/>
    </row>
    <row r="32" spans="1:48" s="35" customFormat="1" ht="10.5" x14ac:dyDescent="0.35">
      <c r="A32" s="60" t="str">
        <f>'Обобщенный расчет'!B18</f>
        <v>Прочее</v>
      </c>
      <c r="B32" s="21" t="str">
        <f>CHOOSE('Исходные данные'!$O$2,'Исходные данные'!$P$2,'Исходные данные'!$P$3,'Исходные данные'!$P$4,'Исходные данные'!$P$5)</f>
        <v>UAH</v>
      </c>
      <c r="C32" s="33">
        <f>'Обобщенный расчет'!D18</f>
        <v>40000</v>
      </c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107">
        <f t="shared" si="27"/>
        <v>40000</v>
      </c>
      <c r="P32" s="107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107">
        <f t="shared" si="28"/>
        <v>0</v>
      </c>
      <c r="AD32" s="107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107">
        <f t="shared" si="29"/>
        <v>0</v>
      </c>
      <c r="AR32" s="107"/>
      <c r="AS32" s="114">
        <f t="shared" si="30"/>
        <v>40000</v>
      </c>
      <c r="AT32" s="34"/>
    </row>
    <row r="33" spans="1:46" s="27" customFormat="1" ht="10.5" x14ac:dyDescent="0.35">
      <c r="A33" s="28" t="s">
        <v>9</v>
      </c>
      <c r="B33" s="29" t="str">
        <f>CHOOSE('Исходные данные'!$O$2,'Исходные данные'!$P$2,'Исходные данные'!$P$3,'Исходные данные'!$P$4,'Исходные данные'!$P$5)</f>
        <v>UAH</v>
      </c>
      <c r="C33" s="96">
        <f t="shared" ref="C33:O33" si="35">SUM(C25:C32)</f>
        <v>2097000</v>
      </c>
      <c r="D33" s="96">
        <f t="shared" si="35"/>
        <v>0</v>
      </c>
      <c r="E33" s="96">
        <f t="shared" si="35"/>
        <v>0</v>
      </c>
      <c r="F33" s="96">
        <f t="shared" si="35"/>
        <v>0</v>
      </c>
      <c r="G33" s="96">
        <f t="shared" si="35"/>
        <v>0</v>
      </c>
      <c r="H33" s="96">
        <f t="shared" si="35"/>
        <v>0</v>
      </c>
      <c r="I33" s="96">
        <f t="shared" si="35"/>
        <v>0</v>
      </c>
      <c r="J33" s="96">
        <f t="shared" si="35"/>
        <v>0</v>
      </c>
      <c r="K33" s="96">
        <f t="shared" si="35"/>
        <v>0</v>
      </c>
      <c r="L33" s="96">
        <f t="shared" si="35"/>
        <v>0</v>
      </c>
      <c r="M33" s="96">
        <f t="shared" si="35"/>
        <v>0</v>
      </c>
      <c r="N33" s="96">
        <f t="shared" si="35"/>
        <v>0</v>
      </c>
      <c r="O33" s="96">
        <f t="shared" si="35"/>
        <v>2097000</v>
      </c>
      <c r="P33" s="96"/>
      <c r="Q33" s="96">
        <f t="shared" ref="Q33:AC33" si="36">SUM(Q25:Q32)</f>
        <v>0</v>
      </c>
      <c r="R33" s="96">
        <f t="shared" si="36"/>
        <v>0</v>
      </c>
      <c r="S33" s="96">
        <f t="shared" si="36"/>
        <v>0</v>
      </c>
      <c r="T33" s="96">
        <f t="shared" si="36"/>
        <v>0</v>
      </c>
      <c r="U33" s="96">
        <f t="shared" si="36"/>
        <v>0</v>
      </c>
      <c r="V33" s="96">
        <f t="shared" si="36"/>
        <v>0</v>
      </c>
      <c r="W33" s="96">
        <f t="shared" si="36"/>
        <v>0</v>
      </c>
      <c r="X33" s="96">
        <f t="shared" si="36"/>
        <v>0</v>
      </c>
      <c r="Y33" s="96">
        <f t="shared" si="36"/>
        <v>0</v>
      </c>
      <c r="Z33" s="96">
        <f t="shared" si="36"/>
        <v>0</v>
      </c>
      <c r="AA33" s="96">
        <f t="shared" si="36"/>
        <v>0</v>
      </c>
      <c r="AB33" s="96">
        <f t="shared" si="36"/>
        <v>0</v>
      </c>
      <c r="AC33" s="96">
        <f t="shared" si="36"/>
        <v>0</v>
      </c>
      <c r="AD33" s="96"/>
      <c r="AE33" s="96">
        <f t="shared" ref="AE33:AQ33" si="37">SUM(AE25:AE32)</f>
        <v>0</v>
      </c>
      <c r="AF33" s="96">
        <f t="shared" si="37"/>
        <v>0</v>
      </c>
      <c r="AG33" s="96">
        <f t="shared" si="37"/>
        <v>0</v>
      </c>
      <c r="AH33" s="96">
        <f t="shared" si="37"/>
        <v>0</v>
      </c>
      <c r="AI33" s="96">
        <f t="shared" si="37"/>
        <v>0</v>
      </c>
      <c r="AJ33" s="96">
        <f t="shared" si="37"/>
        <v>0</v>
      </c>
      <c r="AK33" s="96">
        <f t="shared" si="37"/>
        <v>0</v>
      </c>
      <c r="AL33" s="96">
        <f t="shared" si="37"/>
        <v>0</v>
      </c>
      <c r="AM33" s="96">
        <f t="shared" si="37"/>
        <v>0</v>
      </c>
      <c r="AN33" s="96">
        <f t="shared" si="37"/>
        <v>0</v>
      </c>
      <c r="AO33" s="96">
        <f t="shared" si="37"/>
        <v>0</v>
      </c>
      <c r="AP33" s="96">
        <f t="shared" si="37"/>
        <v>0</v>
      </c>
      <c r="AQ33" s="96">
        <f t="shared" si="37"/>
        <v>0</v>
      </c>
      <c r="AR33" s="96"/>
      <c r="AS33" s="115">
        <f t="shared" si="30"/>
        <v>2097000</v>
      </c>
      <c r="AT33" s="26"/>
    </row>
    <row r="34" spans="1:46" s="145" customFormat="1" ht="10.8" thickBot="1" x14ac:dyDescent="0.4">
      <c r="A34" s="141"/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  <c r="Y34" s="143"/>
      <c r="Z34" s="143"/>
      <c r="AA34" s="143"/>
      <c r="AB34" s="143"/>
      <c r="AC34" s="143"/>
      <c r="AD34" s="143"/>
      <c r="AE34" s="143"/>
      <c r="AF34" s="143"/>
      <c r="AG34" s="143"/>
      <c r="AH34" s="143"/>
      <c r="AI34" s="143"/>
      <c r="AJ34" s="143"/>
      <c r="AK34" s="143"/>
      <c r="AL34" s="143"/>
      <c r="AM34" s="143"/>
      <c r="AN34" s="143"/>
      <c r="AO34" s="143"/>
      <c r="AP34" s="143"/>
      <c r="AQ34" s="143"/>
      <c r="AR34" s="143"/>
      <c r="AS34" s="144"/>
    </row>
    <row r="35" spans="1:46" s="13" customFormat="1" ht="21.6" thickTop="1" thickBot="1" x14ac:dyDescent="0.4">
      <c r="A35" s="14" t="s">
        <v>8</v>
      </c>
      <c r="B35" s="15"/>
      <c r="C35" s="19" t="str">
        <f t="shared" ref="C35:N35" si="38">C$6</f>
        <v>январь</v>
      </c>
      <c r="D35" s="19" t="str">
        <f t="shared" si="38"/>
        <v>февраль</v>
      </c>
      <c r="E35" s="19" t="str">
        <f t="shared" si="38"/>
        <v>март</v>
      </c>
      <c r="F35" s="19" t="str">
        <f t="shared" si="38"/>
        <v>апрель</v>
      </c>
      <c r="G35" s="19" t="str">
        <f t="shared" si="38"/>
        <v>май</v>
      </c>
      <c r="H35" s="19" t="str">
        <f t="shared" si="38"/>
        <v>июнь</v>
      </c>
      <c r="I35" s="19" t="str">
        <f t="shared" si="38"/>
        <v>июль</v>
      </c>
      <c r="J35" s="19" t="str">
        <f t="shared" si="38"/>
        <v>август</v>
      </c>
      <c r="K35" s="19" t="str">
        <f t="shared" si="38"/>
        <v>сентябрь</v>
      </c>
      <c r="L35" s="19" t="str">
        <f t="shared" si="38"/>
        <v>октябрь</v>
      </c>
      <c r="M35" s="19" t="str">
        <f t="shared" si="38"/>
        <v>ноябрь</v>
      </c>
      <c r="N35" s="19" t="str">
        <f t="shared" si="38"/>
        <v>декабрь</v>
      </c>
      <c r="O35" s="108" t="str">
        <f>$O$16</f>
        <v>Итого за 1-й год</v>
      </c>
      <c r="P35" s="108" t="str">
        <f>$P$16</f>
        <v>Среднемесячно за 1-й год</v>
      </c>
      <c r="Q35" s="19" t="str">
        <f t="shared" ref="Q35:AB35" si="39">Q$6</f>
        <v>январь</v>
      </c>
      <c r="R35" s="19" t="str">
        <f t="shared" si="39"/>
        <v>февраль</v>
      </c>
      <c r="S35" s="19" t="str">
        <f t="shared" si="39"/>
        <v>март</v>
      </c>
      <c r="T35" s="19" t="str">
        <f t="shared" si="39"/>
        <v>апрель</v>
      </c>
      <c r="U35" s="19" t="str">
        <f t="shared" si="39"/>
        <v>май</v>
      </c>
      <c r="V35" s="19" t="str">
        <f t="shared" si="39"/>
        <v>июнь</v>
      </c>
      <c r="W35" s="19" t="str">
        <f t="shared" si="39"/>
        <v>июль</v>
      </c>
      <c r="X35" s="19" t="str">
        <f t="shared" si="39"/>
        <v>август</v>
      </c>
      <c r="Y35" s="19" t="str">
        <f t="shared" si="39"/>
        <v>сентябрь</v>
      </c>
      <c r="Z35" s="19" t="str">
        <f t="shared" si="39"/>
        <v>октябрь</v>
      </c>
      <c r="AA35" s="19" t="str">
        <f t="shared" si="39"/>
        <v>ноябрь</v>
      </c>
      <c r="AB35" s="19" t="str">
        <f t="shared" si="39"/>
        <v>декабрь</v>
      </c>
      <c r="AC35" s="108" t="str">
        <f>AC24</f>
        <v>Итого за 2-й год</v>
      </c>
      <c r="AD35" s="108" t="str">
        <f>AD24</f>
        <v>Среднемесячно за 2-й год</v>
      </c>
      <c r="AE35" s="19" t="str">
        <f t="shared" ref="AE35:AP35" si="40">AE$6</f>
        <v>январь</v>
      </c>
      <c r="AF35" s="19" t="str">
        <f t="shared" si="40"/>
        <v>февраль</v>
      </c>
      <c r="AG35" s="19" t="str">
        <f t="shared" si="40"/>
        <v>март</v>
      </c>
      <c r="AH35" s="19" t="str">
        <f t="shared" si="40"/>
        <v>апрель</v>
      </c>
      <c r="AI35" s="19" t="str">
        <f t="shared" si="40"/>
        <v>май</v>
      </c>
      <c r="AJ35" s="19" t="str">
        <f t="shared" si="40"/>
        <v>июнь</v>
      </c>
      <c r="AK35" s="19" t="str">
        <f t="shared" si="40"/>
        <v>июль</v>
      </c>
      <c r="AL35" s="19" t="str">
        <f t="shared" si="40"/>
        <v>август</v>
      </c>
      <c r="AM35" s="19" t="str">
        <f t="shared" si="40"/>
        <v>сентябрь</v>
      </c>
      <c r="AN35" s="19" t="str">
        <f t="shared" si="40"/>
        <v>октябрь</v>
      </c>
      <c r="AO35" s="19" t="str">
        <f t="shared" si="40"/>
        <v>ноябрь</v>
      </c>
      <c r="AP35" s="19" t="str">
        <f t="shared" si="40"/>
        <v>декабрь</v>
      </c>
      <c r="AQ35" s="108" t="str">
        <f>AQ24</f>
        <v>Итого за 3-й год</v>
      </c>
      <c r="AR35" s="108" t="str">
        <f>AR24</f>
        <v>Среднемесячно за 3-й год</v>
      </c>
      <c r="AS35" s="116" t="str">
        <f>AS24</f>
        <v>Итого за три года</v>
      </c>
    </row>
    <row r="36" spans="1:46" s="153" customFormat="1" ht="10.5" hidden="1" thickTop="1" x14ac:dyDescent="0.35">
      <c r="A36" s="154" t="s">
        <v>34</v>
      </c>
      <c r="B36" s="151"/>
      <c r="C36" s="155" t="e">
        <f>C18-#REF!-C60</f>
        <v>#REF!</v>
      </c>
      <c r="D36" s="155" t="e">
        <f>D18-#REF!-D60</f>
        <v>#REF!</v>
      </c>
      <c r="E36" s="155" t="e">
        <f>E18-#REF!-E60</f>
        <v>#REF!</v>
      </c>
      <c r="F36" s="155" t="e">
        <f>F18-#REF!-F60</f>
        <v>#REF!</v>
      </c>
      <c r="G36" s="155" t="e">
        <f>G18-#REF!-G60</f>
        <v>#REF!</v>
      </c>
      <c r="H36" s="155" t="e">
        <f>H18-#REF!-H60</f>
        <v>#REF!</v>
      </c>
      <c r="I36" s="155" t="e">
        <f>I18-#REF!-I60</f>
        <v>#REF!</v>
      </c>
      <c r="J36" s="155" t="e">
        <f>J18-#REF!-J60</f>
        <v>#REF!</v>
      </c>
      <c r="K36" s="155" t="e">
        <f>K18-#REF!-K60</f>
        <v>#REF!</v>
      </c>
      <c r="L36" s="155" t="e">
        <f>L18-#REF!-L60</f>
        <v>#REF!</v>
      </c>
      <c r="M36" s="155" t="e">
        <f>M18-#REF!-M60</f>
        <v>#REF!</v>
      </c>
      <c r="N36" s="155" t="e">
        <f>N18-#REF!-N60</f>
        <v>#REF!</v>
      </c>
      <c r="O36" s="152"/>
      <c r="P36" s="152"/>
      <c r="Q36" s="155" t="e">
        <f>Q18-#REF!-Q60</f>
        <v>#REF!</v>
      </c>
      <c r="R36" s="155" t="e">
        <f>R18-#REF!-R60</f>
        <v>#REF!</v>
      </c>
      <c r="S36" s="155" t="e">
        <f>S18-#REF!-S60</f>
        <v>#REF!</v>
      </c>
      <c r="T36" s="155" t="e">
        <f>T18-#REF!-T60</f>
        <v>#REF!</v>
      </c>
      <c r="U36" s="155" t="e">
        <f>U18-#REF!-U60</f>
        <v>#REF!</v>
      </c>
      <c r="V36" s="155" t="e">
        <f>V18-#REF!-V60</f>
        <v>#REF!</v>
      </c>
      <c r="W36" s="155" t="e">
        <f>W18-#REF!-W60</f>
        <v>#REF!</v>
      </c>
      <c r="X36" s="155" t="e">
        <f>X18-#REF!-X60</f>
        <v>#REF!</v>
      </c>
      <c r="Y36" s="155" t="e">
        <f>Y18-#REF!-Y60</f>
        <v>#REF!</v>
      </c>
      <c r="Z36" s="155" t="e">
        <f>Z18-#REF!-Z60</f>
        <v>#REF!</v>
      </c>
      <c r="AA36" s="155" t="e">
        <f>AA18-#REF!-AA60</f>
        <v>#REF!</v>
      </c>
      <c r="AB36" s="155" t="e">
        <f>AB18-#REF!-AB60</f>
        <v>#REF!</v>
      </c>
      <c r="AC36" s="152"/>
      <c r="AD36" s="152"/>
      <c r="AE36" s="155" t="e">
        <f>AE18-#REF!-AE60</f>
        <v>#REF!</v>
      </c>
      <c r="AF36" s="155" t="e">
        <f>AF18-#REF!-AF60</f>
        <v>#REF!</v>
      </c>
      <c r="AG36" s="155" t="e">
        <f>AG18-#REF!-AG60</f>
        <v>#REF!</v>
      </c>
      <c r="AH36" s="155" t="e">
        <f>AH18-#REF!-AH60</f>
        <v>#REF!</v>
      </c>
      <c r="AI36" s="155" t="e">
        <f>AI18-#REF!-AI60</f>
        <v>#REF!</v>
      </c>
      <c r="AJ36" s="155" t="e">
        <f>AJ18-#REF!-AJ60</f>
        <v>#REF!</v>
      </c>
      <c r="AK36" s="155" t="e">
        <f>AK18-#REF!-AK60</f>
        <v>#REF!</v>
      </c>
      <c r="AL36" s="155" t="e">
        <f>AL18-#REF!-AL60</f>
        <v>#REF!</v>
      </c>
      <c r="AM36" s="155" t="e">
        <f>AM18-#REF!-AM60</f>
        <v>#REF!</v>
      </c>
      <c r="AN36" s="155" t="e">
        <f>AN18-#REF!-AN60</f>
        <v>#REF!</v>
      </c>
      <c r="AO36" s="155" t="e">
        <f>AO18-#REF!-AO60</f>
        <v>#REF!</v>
      </c>
      <c r="AP36" s="155" t="e">
        <f>AP18-#REF!-AP60</f>
        <v>#REF!</v>
      </c>
      <c r="AQ36" s="152"/>
      <c r="AR36" s="152"/>
      <c r="AS36" s="152"/>
    </row>
    <row r="37" spans="1:46" s="153" customFormat="1" ht="10.199999999999999" hidden="1" x14ac:dyDescent="0.35">
      <c r="A37" s="154" t="s">
        <v>72</v>
      </c>
      <c r="B37" s="151"/>
      <c r="C37" s="155" t="e">
        <f>C36+B37</f>
        <v>#REF!</v>
      </c>
      <c r="D37" s="155" t="e">
        <f t="shared" ref="D37:N37" si="41">D36+C37</f>
        <v>#REF!</v>
      </c>
      <c r="E37" s="155" t="e">
        <f t="shared" si="41"/>
        <v>#REF!</v>
      </c>
      <c r="F37" s="155" t="e">
        <f t="shared" si="41"/>
        <v>#REF!</v>
      </c>
      <c r="G37" s="155" t="e">
        <f t="shared" si="41"/>
        <v>#REF!</v>
      </c>
      <c r="H37" s="155" t="e">
        <f t="shared" si="41"/>
        <v>#REF!</v>
      </c>
      <c r="I37" s="155" t="e">
        <f t="shared" si="41"/>
        <v>#REF!</v>
      </c>
      <c r="J37" s="155" t="e">
        <f t="shared" si="41"/>
        <v>#REF!</v>
      </c>
      <c r="K37" s="155" t="e">
        <f t="shared" si="41"/>
        <v>#REF!</v>
      </c>
      <c r="L37" s="155" t="e">
        <f t="shared" si="41"/>
        <v>#REF!</v>
      </c>
      <c r="M37" s="155" t="e">
        <f t="shared" si="41"/>
        <v>#REF!</v>
      </c>
      <c r="N37" s="155" t="e">
        <f t="shared" si="41"/>
        <v>#REF!</v>
      </c>
      <c r="O37" s="152"/>
      <c r="P37" s="152"/>
      <c r="Q37" s="155" t="e">
        <f>Q36+N37</f>
        <v>#REF!</v>
      </c>
      <c r="R37" s="155" t="e">
        <f t="shared" ref="R37:AB37" si="42">R36+Q37</f>
        <v>#REF!</v>
      </c>
      <c r="S37" s="155" t="e">
        <f t="shared" si="42"/>
        <v>#REF!</v>
      </c>
      <c r="T37" s="155" t="e">
        <f t="shared" si="42"/>
        <v>#REF!</v>
      </c>
      <c r="U37" s="155" t="e">
        <f t="shared" si="42"/>
        <v>#REF!</v>
      </c>
      <c r="V37" s="155" t="e">
        <f t="shared" si="42"/>
        <v>#REF!</v>
      </c>
      <c r="W37" s="155" t="e">
        <f t="shared" si="42"/>
        <v>#REF!</v>
      </c>
      <c r="X37" s="155" t="e">
        <f t="shared" si="42"/>
        <v>#REF!</v>
      </c>
      <c r="Y37" s="155" t="e">
        <f t="shared" si="42"/>
        <v>#REF!</v>
      </c>
      <c r="Z37" s="155" t="e">
        <f t="shared" si="42"/>
        <v>#REF!</v>
      </c>
      <c r="AA37" s="155" t="e">
        <f t="shared" si="42"/>
        <v>#REF!</v>
      </c>
      <c r="AB37" s="155" t="e">
        <f t="shared" si="42"/>
        <v>#REF!</v>
      </c>
      <c r="AC37" s="152"/>
      <c r="AD37" s="152"/>
      <c r="AE37" s="155" t="e">
        <f>AE36+AB37</f>
        <v>#REF!</v>
      </c>
      <c r="AF37" s="155" t="e">
        <f t="shared" ref="AF37:AP37" si="43">AF36+AE37</f>
        <v>#REF!</v>
      </c>
      <c r="AG37" s="155" t="e">
        <f t="shared" si="43"/>
        <v>#REF!</v>
      </c>
      <c r="AH37" s="155" t="e">
        <f t="shared" si="43"/>
        <v>#REF!</v>
      </c>
      <c r="AI37" s="155" t="e">
        <f t="shared" si="43"/>
        <v>#REF!</v>
      </c>
      <c r="AJ37" s="155" t="e">
        <f t="shared" si="43"/>
        <v>#REF!</v>
      </c>
      <c r="AK37" s="155" t="e">
        <f t="shared" si="43"/>
        <v>#REF!</v>
      </c>
      <c r="AL37" s="155" t="e">
        <f t="shared" si="43"/>
        <v>#REF!</v>
      </c>
      <c r="AM37" s="155" t="e">
        <f t="shared" si="43"/>
        <v>#REF!</v>
      </c>
      <c r="AN37" s="155" t="e">
        <f t="shared" si="43"/>
        <v>#REF!</v>
      </c>
      <c r="AO37" s="155" t="e">
        <f t="shared" si="43"/>
        <v>#REF!</v>
      </c>
      <c r="AP37" s="155" t="e">
        <f t="shared" si="43"/>
        <v>#REF!</v>
      </c>
      <c r="AQ37" s="152"/>
      <c r="AR37" s="152"/>
      <c r="AS37" s="152"/>
    </row>
    <row r="38" spans="1:46" s="153" customFormat="1" ht="10.199999999999999" hidden="1" x14ac:dyDescent="0.35">
      <c r="A38" s="154" t="s">
        <v>84</v>
      </c>
      <c r="B38" s="151"/>
      <c r="C38" s="155" t="e">
        <f>IF(C32&gt;0,-C37-C32,C36)</f>
        <v>#REF!</v>
      </c>
      <c r="D38" s="155" t="e">
        <f t="shared" ref="D38:N38" si="44">IF(D32&gt;0,C38+(-D36-D32),C38+D36)</f>
        <v>#REF!</v>
      </c>
      <c r="E38" s="155" t="e">
        <f t="shared" si="44"/>
        <v>#REF!</v>
      </c>
      <c r="F38" s="155" t="e">
        <f t="shared" si="44"/>
        <v>#REF!</v>
      </c>
      <c r="G38" s="155" t="e">
        <f t="shared" si="44"/>
        <v>#REF!</v>
      </c>
      <c r="H38" s="155" t="e">
        <f t="shared" si="44"/>
        <v>#REF!</v>
      </c>
      <c r="I38" s="155" t="e">
        <f t="shared" si="44"/>
        <v>#REF!</v>
      </c>
      <c r="J38" s="155" t="e">
        <f t="shared" si="44"/>
        <v>#REF!</v>
      </c>
      <c r="K38" s="155" t="e">
        <f t="shared" si="44"/>
        <v>#REF!</v>
      </c>
      <c r="L38" s="155" t="e">
        <f t="shared" si="44"/>
        <v>#REF!</v>
      </c>
      <c r="M38" s="155" t="e">
        <f t="shared" si="44"/>
        <v>#REF!</v>
      </c>
      <c r="N38" s="155" t="e">
        <f t="shared" si="44"/>
        <v>#REF!</v>
      </c>
      <c r="O38" s="152"/>
      <c r="P38" s="152"/>
      <c r="Q38" s="155" t="e">
        <f>IF(Q32&gt;0,N38+(-Q36-Q32),N38+Q36)</f>
        <v>#REF!</v>
      </c>
      <c r="R38" s="155" t="e">
        <f t="shared" ref="R38:AB38" si="45">IF(R32&gt;0,Q38+(-R36-R32),Q38+R36)</f>
        <v>#REF!</v>
      </c>
      <c r="S38" s="155" t="e">
        <f t="shared" si="45"/>
        <v>#REF!</v>
      </c>
      <c r="T38" s="155" t="e">
        <f t="shared" si="45"/>
        <v>#REF!</v>
      </c>
      <c r="U38" s="155" t="e">
        <f t="shared" si="45"/>
        <v>#REF!</v>
      </c>
      <c r="V38" s="155" t="e">
        <f t="shared" si="45"/>
        <v>#REF!</v>
      </c>
      <c r="W38" s="155" t="e">
        <f t="shared" si="45"/>
        <v>#REF!</v>
      </c>
      <c r="X38" s="155" t="e">
        <f t="shared" si="45"/>
        <v>#REF!</v>
      </c>
      <c r="Y38" s="155" t="e">
        <f t="shared" si="45"/>
        <v>#REF!</v>
      </c>
      <c r="Z38" s="155" t="e">
        <f t="shared" si="45"/>
        <v>#REF!</v>
      </c>
      <c r="AA38" s="155" t="e">
        <f t="shared" si="45"/>
        <v>#REF!</v>
      </c>
      <c r="AB38" s="155" t="e">
        <f t="shared" si="45"/>
        <v>#REF!</v>
      </c>
      <c r="AC38" s="152"/>
      <c r="AD38" s="152"/>
      <c r="AE38" s="155" t="e">
        <f>IF(AE32&gt;0,AB38+(-AE36-AE32),AB38+AE36)</f>
        <v>#REF!</v>
      </c>
      <c r="AF38" s="155" t="e">
        <f t="shared" ref="AF38:AP38" si="46">IF(AF32&gt;0,AE38+(-AF36-AF32),AE38+AF36)</f>
        <v>#REF!</v>
      </c>
      <c r="AG38" s="155" t="e">
        <f t="shared" si="46"/>
        <v>#REF!</v>
      </c>
      <c r="AH38" s="155" t="e">
        <f t="shared" si="46"/>
        <v>#REF!</v>
      </c>
      <c r="AI38" s="155" t="e">
        <f t="shared" si="46"/>
        <v>#REF!</v>
      </c>
      <c r="AJ38" s="155" t="e">
        <f t="shared" si="46"/>
        <v>#REF!</v>
      </c>
      <c r="AK38" s="155" t="e">
        <f t="shared" si="46"/>
        <v>#REF!</v>
      </c>
      <c r="AL38" s="155" t="e">
        <f t="shared" si="46"/>
        <v>#REF!</v>
      </c>
      <c r="AM38" s="155" t="e">
        <f t="shared" si="46"/>
        <v>#REF!</v>
      </c>
      <c r="AN38" s="155" t="e">
        <f t="shared" si="46"/>
        <v>#REF!</v>
      </c>
      <c r="AO38" s="155" t="e">
        <f t="shared" si="46"/>
        <v>#REF!</v>
      </c>
      <c r="AP38" s="155" t="e">
        <f t="shared" si="46"/>
        <v>#REF!</v>
      </c>
      <c r="AQ38" s="152"/>
      <c r="AR38" s="152"/>
      <c r="AS38" s="152"/>
    </row>
    <row r="39" spans="1:46" s="153" customFormat="1" ht="10.199999999999999" hidden="1" x14ac:dyDescent="0.35">
      <c r="A39" s="154"/>
      <c r="B39" s="151"/>
      <c r="C39" s="155"/>
      <c r="D39" s="155"/>
      <c r="E39" s="155"/>
      <c r="F39" s="155"/>
      <c r="G39" s="155"/>
      <c r="H39" s="155"/>
      <c r="I39" s="155"/>
      <c r="J39" s="155"/>
      <c r="K39" s="155"/>
      <c r="L39" s="155"/>
      <c r="M39" s="155"/>
      <c r="N39" s="155"/>
      <c r="O39" s="152"/>
      <c r="P39" s="152"/>
      <c r="Q39" s="155"/>
      <c r="R39" s="155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52"/>
      <c r="AD39" s="152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2"/>
      <c r="AR39" s="152"/>
      <c r="AS39" s="152"/>
    </row>
    <row r="40" spans="1:46" s="38" customFormat="1" ht="10.8" thickTop="1" x14ac:dyDescent="0.35">
      <c r="A40" s="61" t="str">
        <f>'Обобщенный расчет'!B32</f>
        <v>Зарплата персонала</v>
      </c>
      <c r="B40" s="24" t="str">
        <f>CHOOSE('Исходные данные'!$O$2,'Исходные данные'!$P$2,'Исходные данные'!$P$3,'Исходные данные'!$P$4,'Исходные данные'!$P$5)</f>
        <v>UAH</v>
      </c>
      <c r="C40" s="36">
        <f>C9*('Обобщенный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расчет'!$I$27)*C18</f>
        <v>134576.96331999998</v>
      </c>
      <c r="D40" s="36">
        <f>D9*('Обобщенный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расчет'!$I$27)*D18</f>
        <v>164347.73120000001</v>
      </c>
      <c r="E40" s="36">
        <f>E9*('Обобщенный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расчет'!$I$27)*E18</f>
        <v>260664.92140000002</v>
      </c>
      <c r="F40" s="36">
        <f>F9*('Обобщенный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расчет'!$I$27)*F18</f>
        <v>174354.712</v>
      </c>
      <c r="G40" s="36">
        <f>G9*('Обобщенный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расчет'!$I$27)*G18</f>
        <v>249407.068</v>
      </c>
      <c r="H40" s="36">
        <f>H9*('Обобщенный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расчет'!$I$27)*H18</f>
        <v>319455.93359999999</v>
      </c>
      <c r="I40" s="36">
        <f>I9*('Обобщенный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расчет'!$I$27)*I18</f>
        <v>316954.18839999998</v>
      </c>
      <c r="J40" s="36">
        <f>J9*('Обобщенный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расчет'!$I$27)*J18</f>
        <v>356982.1116</v>
      </c>
      <c r="K40" s="36">
        <f>K9*('Обобщенный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расчет'!$I$27)*K18</f>
        <v>384501.3088</v>
      </c>
      <c r="L40" s="36">
        <f>L9*('Обобщенный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расчет'!$I$27)*L18</f>
        <v>346975.13080000004</v>
      </c>
      <c r="M40" s="36">
        <f>M9*('Обобщенный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расчет'!$I$27)*M18</f>
        <v>387003.054</v>
      </c>
      <c r="N40" s="36">
        <f>N9*('Обобщенный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расчет'!$I$27)*N18</f>
        <v>434536.21279999992</v>
      </c>
      <c r="O40" s="52">
        <f t="shared" ref="O40:O47" si="47">SUM(C40:N40)</f>
        <v>3529759.3359199995</v>
      </c>
      <c r="P40" s="52">
        <f t="shared" ref="P40:P45" si="48">O40/12</f>
        <v>294146.61132666661</v>
      </c>
      <c r="Q40" s="36">
        <f>Q9*('Обобщенный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расчет'!$I$27)*Q18</f>
        <v>215806.93712000002</v>
      </c>
      <c r="R40" s="36">
        <f>R9*('Обобщенный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расчет'!$I$27)*R18</f>
        <v>236821.5968</v>
      </c>
      <c r="S40" s="36">
        <f>S9*('Обобщенный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расчет'!$I$27)*S18</f>
        <v>341894.89520000003</v>
      </c>
      <c r="T40" s="36">
        <f>T9*('Обобщенный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расчет'!$I$27)*T18</f>
        <v>206800.6544</v>
      </c>
      <c r="U40" s="36">
        <f>U9*('Обобщенный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расчет'!$I$27)*U18</f>
        <v>296863.4816</v>
      </c>
      <c r="V40" s="36">
        <f>V9*('Обобщенный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расчет'!$I$27)*V18</f>
        <v>380922.12031999999</v>
      </c>
      <c r="W40" s="36">
        <f>W9*('Обобщенный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расчет'!$I$27)*W18</f>
        <v>377920.02607999998</v>
      </c>
      <c r="X40" s="36">
        <f>X9*('Обобщенный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расчет'!$I$27)*X18</f>
        <v>425953.53392000007</v>
      </c>
      <c r="Y40" s="36">
        <f>Y9*('Обобщенный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расчет'!$I$27)*Y18</f>
        <v>458976.57056000002</v>
      </c>
      <c r="Z40" s="36">
        <f>Z9*('Обобщенный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расчет'!$I$27)*Z18</f>
        <v>413945.15696000005</v>
      </c>
      <c r="AA40" s="36">
        <f>AA9*('Обобщенный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расчет'!$I$27)*AA18</f>
        <v>461978.66479999997</v>
      </c>
      <c r="AB40" s="36">
        <f>AB9*('Обобщенный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расчет'!$I$27)*AB18</f>
        <v>519018.45535999991</v>
      </c>
      <c r="AC40" s="52">
        <f t="shared" ref="AC40:AC45" si="49">SUM(Q40:AB40)</f>
        <v>4336902.0931199994</v>
      </c>
      <c r="AD40" s="52">
        <f t="shared" ref="AD40:AD45" si="50">AC40/12</f>
        <v>361408.50775999995</v>
      </c>
      <c r="AE40" s="36">
        <f>AE9*('Обобщенный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расчет'!$I$27)*AE18</f>
        <v>249753.92663999996</v>
      </c>
      <c r="AF40" s="36">
        <f>AF9*('Обобщенный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расчет'!$I$27)*AF18</f>
        <v>274271.02960000001</v>
      </c>
      <c r="AG40" s="36">
        <f>AG9*('Обобщенный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расчет'!$I$27)*AG18</f>
        <v>396856.54440000001</v>
      </c>
      <c r="AH40" s="36">
        <f>AH9*('Обобщенный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расчет'!$I$27)*AH18</f>
        <v>239246.5968</v>
      </c>
      <c r="AI40" s="36">
        <f>AI9*('Обобщенный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расчет'!$I$27)*AI18</f>
        <v>344319.89520000003</v>
      </c>
      <c r="AJ40" s="36">
        <f>AJ9*('Обобщенный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расчет'!$I$27)*AJ18</f>
        <v>442388.30703999999</v>
      </c>
      <c r="AK40" s="36">
        <f>AK9*('Обобщенный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расчет'!$I$27)*AK18</f>
        <v>438885.86375999998</v>
      </c>
      <c r="AL40" s="36">
        <f>AL9*('Обобщенный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расчет'!$I$27)*AL18</f>
        <v>494924.95623999991</v>
      </c>
      <c r="AM40" s="36">
        <f>AM9*('Обобщенный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расчет'!$I$27)*AM18</f>
        <v>533451.83232000005</v>
      </c>
      <c r="AN40" s="36">
        <f>AN9*('Обобщенный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расчет'!$I$27)*AN18</f>
        <v>480915.18311999994</v>
      </c>
      <c r="AO40" s="36">
        <f>AO9*('Обобщенный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расчет'!$I$27)*AO18</f>
        <v>536954.27559999994</v>
      </c>
      <c r="AP40" s="36">
        <f>AP9*('Обобщенный расчет'!$D$23*'Обобщенный расчет'!$E$23*'Обобщенный расчет'!$G$23+'Обобщенный расчет'!$D$24*'Обобщенный расчет'!$E$24*'Обобщенный расчет'!$G$24+'Обобщенный расчет'!$D$25*'Обобщенный расчет'!$E$25*'Обобщенный расчет'!$G$25+'Обобщенный расчет'!$D$26*'Обобщенный расчет'!$E$26*'Обобщенный расчет'!$G$26+'Обобщенный расчет'!$D$27*'Обобщенный расчет'!$E$27*'Обобщенный расчет'!$G$27)+('Обобщенный расчет'!$I$23+'Обобщенный расчет'!$I$24+'Обобщенный расчет'!$I$25+'Обобщенный расчет'!$I$26+'Обобщенный расчет'!$I$27)*AP18</f>
        <v>603500.69791999995</v>
      </c>
      <c r="AQ40" s="52">
        <f t="shared" ref="AQ40:AQ45" si="51">SUM(AE40:AP40)</f>
        <v>5035469.1086400002</v>
      </c>
      <c r="AR40" s="52">
        <f t="shared" ref="AR40:AR45" si="52">AQ40/12</f>
        <v>419622.42572</v>
      </c>
      <c r="AS40" s="114">
        <f t="shared" ref="AS40:AS45" si="53">O40+AC40+AQ40</f>
        <v>12902130.53768</v>
      </c>
      <c r="AT40" s="37"/>
    </row>
    <row r="41" spans="1:46" s="35" customFormat="1" ht="10.5" x14ac:dyDescent="0.35">
      <c r="A41" s="60" t="str">
        <f>'Обобщенный расчет'!B33</f>
        <v>Роялти</v>
      </c>
      <c r="B41" s="21" t="str">
        <f>CHOOSE('Исходные данные'!$O$2,'Исходные данные'!$P$2,'Исходные данные'!$P$3,'Исходные данные'!$P$4,'Исходные данные'!$P$5)</f>
        <v>UAH</v>
      </c>
      <c r="C41" s="33">
        <f>C18*CHOOSE('Обобщенный расчет'!$N$1,'Исходные данные'!$D82,'Исходные данные'!$F82,'Исходные данные'!$I82)</f>
        <v>5806.6822799999991</v>
      </c>
      <c r="D41" s="33">
        <f>D18*CHOOSE('Обобщенный расчет'!$N$1,'Исходные данные'!$D82,'Исходные данные'!$F82,'Исходные данные'!$I82)</f>
        <v>7373.5648000000001</v>
      </c>
      <c r="E41" s="33">
        <f>E18*CHOOSE('Обобщенный расчет'!$N$1,'Исходные данные'!$D82,'Исходные данные'!$F82,'Исходные данные'!$I82)</f>
        <v>12442.890600000001</v>
      </c>
      <c r="F41" s="33">
        <f>F18*CHOOSE('Обобщенный расчет'!$N$1,'Исходные данные'!$D82,'Исходные данные'!$F82,'Исходные данные'!$I82)</f>
        <v>7900.2479999999996</v>
      </c>
      <c r="G41" s="33">
        <f>G18*CHOOSE('Обобщенный расчет'!$N$1,'Исходные данные'!$D82,'Исходные данные'!$F82,'Исходные данные'!$I82)</f>
        <v>11850.371999999999</v>
      </c>
      <c r="H41" s="33">
        <f>H18*CHOOSE('Обобщенный расчет'!$N$1,'Исходные данные'!$D82,'Исходные данные'!$F82,'Исходные данные'!$I82)</f>
        <v>15537.154399999999</v>
      </c>
      <c r="I41" s="33">
        <f>I18*CHOOSE('Обобщенный расчет'!$N$1,'Исходные данные'!$D82,'Исходные данные'!$F82,'Исходные данные'!$I82)</f>
        <v>15405.4836</v>
      </c>
      <c r="J41" s="33">
        <f>J18*CHOOSE('Обобщенный расчет'!$N$1,'Исходные данные'!$D82,'Исходные данные'!$F82,'Исходные данные'!$I82)</f>
        <v>17512.216400000001</v>
      </c>
      <c r="K41" s="33">
        <f>K18*CHOOSE('Обобщенный расчет'!$N$1,'Исходные данные'!$D82,'Исходные данные'!$F82,'Исходные данные'!$I82)</f>
        <v>18960.5952</v>
      </c>
      <c r="L41" s="33">
        <f>L18*CHOOSE('Обобщенный расчет'!$N$1,'Исходные данные'!$D82,'Исходные данные'!$F82,'Исходные данные'!$I82)</f>
        <v>16985.533200000002</v>
      </c>
      <c r="M41" s="33">
        <f>M18*CHOOSE('Обобщенный расчет'!$N$1,'Исходные данные'!$D82,'Исходные данные'!$F82,'Исходные данные'!$I82)</f>
        <v>19092.266</v>
      </c>
      <c r="N41" s="33">
        <f>N18*CHOOSE('Обобщенный расчет'!$N$1,'Исходные данные'!$D82,'Исходные данные'!$F82,'Исходные данные'!$I82)</f>
        <v>21594.011199999997</v>
      </c>
      <c r="O41" s="107">
        <f>SUM(C41:N41)</f>
        <v>170461.01767999999</v>
      </c>
      <c r="P41" s="107">
        <f>O41/12</f>
        <v>14205.084806666666</v>
      </c>
      <c r="Q41" s="33">
        <f>Q18*CHOOSE('Обобщенный расчет'!$N$1,'Исходные данные'!$D82,'Исходные данные'!$F82,'Исходные данные'!$I82)</f>
        <v>9954.3124800000005</v>
      </c>
      <c r="R41" s="33">
        <f>R18*CHOOSE('Обобщенный расчет'!$N$1,'Исходные данные'!$D82,'Исходные данные'!$F82,'Исходные данные'!$I82)</f>
        <v>11060.3472</v>
      </c>
      <c r="S41" s="33">
        <f>S18*CHOOSE('Обобщенный расчет'!$N$1,'Исходные данные'!$D82,'Исходные данные'!$F82,'Исходные данные'!$I82)</f>
        <v>16590.520800000002</v>
      </c>
      <c r="T41" s="33">
        <f>T18*CHOOSE('Обобщенный расчет'!$N$1,'Исходные данные'!$D82,'Исходные данные'!$F82,'Исходные данные'!$I82)</f>
        <v>9480.2975999999999</v>
      </c>
      <c r="U41" s="33">
        <f>U18*CHOOSE('Обобщенный расчет'!$N$1,'Исходные данные'!$D82,'Исходные данные'!$F82,'Исходные данные'!$I82)</f>
        <v>14220.446400000001</v>
      </c>
      <c r="V41" s="33">
        <f>V18*CHOOSE('Обобщенный расчет'!$N$1,'Исходные данные'!$D82,'Исходные данные'!$F82,'Исходные данные'!$I82)</f>
        <v>18644.585279999999</v>
      </c>
      <c r="W41" s="33">
        <f>W18*CHOOSE('Обобщенный расчет'!$N$1,'Исходные данные'!$D82,'Исходные данные'!$F82,'Исходные данные'!$I82)</f>
        <v>18486.580320000001</v>
      </c>
      <c r="X41" s="33">
        <f>X18*CHOOSE('Обобщенный расчет'!$N$1,'Исходные данные'!$D82,'Исходные данные'!$F82,'Исходные данные'!$I82)</f>
        <v>21014.659680000004</v>
      </c>
      <c r="Y41" s="33">
        <f>Y18*CHOOSE('Обобщенный расчет'!$N$1,'Исходные данные'!$D82,'Исходные данные'!$F82,'Исходные данные'!$I82)</f>
        <v>22752.714240000001</v>
      </c>
      <c r="Z41" s="33">
        <f>Z18*CHOOSE('Обобщенный расчет'!$N$1,'Исходные данные'!$D82,'Исходные данные'!$F82,'Исходные данные'!$I82)</f>
        <v>20382.639840000003</v>
      </c>
      <c r="AA41" s="33">
        <f>AA18*CHOOSE('Обобщенный расчет'!$N$1,'Исходные данные'!$D82,'Исходные данные'!$F82,'Исходные данные'!$I82)</f>
        <v>22910.7192</v>
      </c>
      <c r="AB41" s="33">
        <f>AB18*CHOOSE('Обобщенный расчет'!$N$1,'Исходные данные'!$D82,'Исходные данные'!$F82,'Исходные данные'!$I82)</f>
        <v>25912.813439999998</v>
      </c>
      <c r="AC41" s="107">
        <f>SUM(Q41:AB41)</f>
        <v>211410.63647999999</v>
      </c>
      <c r="AD41" s="107">
        <f>AC41/12</f>
        <v>17617.553039999999</v>
      </c>
      <c r="AE41" s="33">
        <f>AE18*CHOOSE('Обобщенный расчет'!$N$1,'Исходные данные'!$D82,'Исходные данные'!$F82,'Исходные данные'!$I82)</f>
        <v>11613.364559999998</v>
      </c>
      <c r="AF41" s="33">
        <f>AF18*CHOOSE('Обобщенный расчет'!$N$1,'Исходные данные'!$D82,'Исходные данные'!$F82,'Исходные данные'!$I82)</f>
        <v>12903.738399999998</v>
      </c>
      <c r="AG41" s="33">
        <f>AG18*CHOOSE('Обобщенный расчет'!$N$1,'Исходные данные'!$D82,'Исходные данные'!$F82,'Исходные данные'!$I82)</f>
        <v>19355.607599999999</v>
      </c>
      <c r="AH41" s="33">
        <f>AH18*CHOOSE('Обобщенный расчет'!$N$1,'Исходные данные'!$D82,'Исходные данные'!$F82,'Исходные данные'!$I82)</f>
        <v>11060.3472</v>
      </c>
      <c r="AI41" s="33">
        <f>AI18*CHOOSE('Обобщенный расчет'!$N$1,'Исходные данные'!$D82,'Исходные данные'!$F82,'Исходные данные'!$I82)</f>
        <v>16590.520800000002</v>
      </c>
      <c r="AJ41" s="33">
        <f>AJ18*CHOOSE('Обобщенный расчет'!$N$1,'Исходные данные'!$D82,'Исходные данные'!$F82,'Исходные данные'!$I82)</f>
        <v>21752.016159999999</v>
      </c>
      <c r="AK41" s="33">
        <f>AK18*CHOOSE('Обобщенный расчет'!$N$1,'Исходные данные'!$D82,'Исходные данные'!$F82,'Исходные данные'!$I82)</f>
        <v>21567.677039999999</v>
      </c>
      <c r="AL41" s="33">
        <f>AL18*CHOOSE('Обобщенный расчет'!$N$1,'Исходные данные'!$D82,'Исходные данные'!$F82,'Исходные данные'!$I82)</f>
        <v>24517.102959999997</v>
      </c>
      <c r="AM41" s="33">
        <f>AM18*CHOOSE('Обобщенный расчет'!$N$1,'Исходные данные'!$D82,'Исходные данные'!$F82,'Исходные данные'!$I82)</f>
        <v>26544.833280000003</v>
      </c>
      <c r="AN41" s="33">
        <f>AN18*CHOOSE('Обобщенный расчет'!$N$1,'Исходные данные'!$D82,'Исходные данные'!$F82,'Исходные данные'!$I82)</f>
        <v>23779.746479999998</v>
      </c>
      <c r="AO41" s="33">
        <f>AO18*CHOOSE('Обобщенный расчет'!$N$1,'Исходные данные'!$D82,'Исходные данные'!$F82,'Исходные данные'!$I82)</f>
        <v>26729.172399999999</v>
      </c>
      <c r="AP41" s="33">
        <f>AP18*CHOOSE('Обобщенный расчет'!$N$1,'Исходные данные'!$D82,'Исходные данные'!$F82,'Исходные данные'!$I82)</f>
        <v>30231.615679999999</v>
      </c>
      <c r="AQ41" s="107">
        <f>SUM(AE41:AP41)</f>
        <v>246645.74255999998</v>
      </c>
      <c r="AR41" s="107">
        <f>AQ41/12</f>
        <v>20553.811879999997</v>
      </c>
      <c r="AS41" s="114">
        <f>O41+AC41+AQ41</f>
        <v>628517.39671999996</v>
      </c>
      <c r="AT41" s="34"/>
    </row>
    <row r="42" spans="1:46" s="38" customFormat="1" ht="10.5" x14ac:dyDescent="0.35">
      <c r="A42" s="61" t="str">
        <f>'Обобщенный расчет'!B34</f>
        <v>Маркетинговые отчисления</v>
      </c>
      <c r="B42" s="24" t="str">
        <f>CHOOSE('Исходные данные'!$O$2,'Исходные данные'!$P$2,'Исходные данные'!$P$3,'Исходные данные'!$P$4,'Исходные данные'!$P$5)</f>
        <v>UAH</v>
      </c>
      <c r="C42" s="36">
        <f>C18*CHOOSE('Обобщенный расчет'!$N$1,'Исходные данные'!$D83,'Исходные данные'!$F83,'Исходные данные'!$I83)</f>
        <v>14516.705699999999</v>
      </c>
      <c r="D42" s="36">
        <f>D18*CHOOSE('Обобщенный расчет'!$N$1,'Исходные данные'!$D83,'Исходные данные'!$F83,'Исходные данные'!$I83)</f>
        <v>18433.912</v>
      </c>
      <c r="E42" s="36">
        <f>E18*CHOOSE('Обобщенный расчет'!$N$1,'Исходные данные'!$D83,'Исходные данные'!$F83,'Исходные данные'!$I83)</f>
        <v>31107.226500000004</v>
      </c>
      <c r="F42" s="36">
        <f>F18*CHOOSE('Обобщенный расчет'!$N$1,'Исходные данные'!$D83,'Исходные данные'!$F83,'Исходные данные'!$I83)</f>
        <v>19750.62</v>
      </c>
      <c r="G42" s="36">
        <f>G18*CHOOSE('Обобщенный расчет'!$N$1,'Исходные данные'!$D83,'Исходные данные'!$F83,'Исходные данные'!$I83)</f>
        <v>29625.93</v>
      </c>
      <c r="H42" s="36">
        <f>H18*CHOOSE('Обобщенный расчет'!$N$1,'Исходные данные'!$D83,'Исходные данные'!$F83,'Исходные данные'!$I83)</f>
        <v>38842.885999999999</v>
      </c>
      <c r="I42" s="36">
        <f>I18*CHOOSE('Обобщенный расчет'!$N$1,'Исходные данные'!$D83,'Исходные данные'!$F83,'Исходные данные'!$I83)</f>
        <v>38513.708999999995</v>
      </c>
      <c r="J42" s="36">
        <f>J18*CHOOSE('Обобщенный расчет'!$N$1,'Исходные данные'!$D83,'Исходные данные'!$F83,'Исходные данные'!$I83)</f>
        <v>43780.541000000005</v>
      </c>
      <c r="K42" s="36">
        <f>K18*CHOOSE('Обобщенный расчет'!$N$1,'Исходные данные'!$D83,'Исходные данные'!$F83,'Исходные данные'!$I83)</f>
        <v>47401.488000000005</v>
      </c>
      <c r="L42" s="36">
        <f>L18*CHOOSE('Обобщенный расчет'!$N$1,'Исходные данные'!$D83,'Исходные данные'!$F83,'Исходные данные'!$I83)</f>
        <v>42463.833000000006</v>
      </c>
      <c r="M42" s="36">
        <f>M18*CHOOSE('Обобщенный расчет'!$N$1,'Исходные данные'!$D83,'Исходные данные'!$F83,'Исходные данные'!$I83)</f>
        <v>47730.665000000001</v>
      </c>
      <c r="N42" s="36">
        <f>N18*CHOOSE('Обобщенный расчет'!$N$1,'Исходные данные'!$D83,'Исходные данные'!$F83,'Исходные данные'!$I83)</f>
        <v>53985.027999999991</v>
      </c>
      <c r="O42" s="52">
        <f t="shared" si="47"/>
        <v>426152.54419999995</v>
      </c>
      <c r="P42" s="52">
        <f t="shared" si="48"/>
        <v>35512.712016666665</v>
      </c>
      <c r="Q42" s="36">
        <f>Q18*CHOOSE('Обобщенный расчет'!$N$1,'Исходные данные'!$D83,'Исходные данные'!$F83,'Исходные данные'!$I83)</f>
        <v>24885.781200000001</v>
      </c>
      <c r="R42" s="36">
        <f>R18*CHOOSE('Обобщенный расчет'!$N$1,'Исходные данные'!$D83,'Исходные данные'!$F83,'Исходные данные'!$I83)</f>
        <v>27650.868000000002</v>
      </c>
      <c r="S42" s="36">
        <f>S18*CHOOSE('Обобщенный расчет'!$N$1,'Исходные данные'!$D83,'Исходные данные'!$F83,'Исходные данные'!$I83)</f>
        <v>41476.302000000003</v>
      </c>
      <c r="T42" s="36">
        <f>T18*CHOOSE('Обобщенный расчет'!$N$1,'Исходные данные'!$D83,'Исходные данные'!$F83,'Исходные данные'!$I83)</f>
        <v>23700.744000000002</v>
      </c>
      <c r="U42" s="36">
        <f>U18*CHOOSE('Обобщенный расчет'!$N$1,'Исходные данные'!$D83,'Исходные данные'!$F83,'Исходные данные'!$I83)</f>
        <v>35551.116000000002</v>
      </c>
      <c r="V42" s="36">
        <f>V18*CHOOSE('Обобщенный расчет'!$N$1,'Исходные данные'!$D83,'Исходные данные'!$F83,'Исходные данные'!$I83)</f>
        <v>46611.463199999998</v>
      </c>
      <c r="W42" s="36">
        <f>W18*CHOOSE('Обобщенный расчет'!$N$1,'Исходные данные'!$D83,'Исходные данные'!$F83,'Исходные данные'!$I83)</f>
        <v>46216.450799999999</v>
      </c>
      <c r="X42" s="36">
        <f>X18*CHOOSE('Обобщенный расчет'!$N$1,'Исходные данные'!$D83,'Исходные данные'!$F83,'Исходные данные'!$I83)</f>
        <v>52536.649200000014</v>
      </c>
      <c r="Y42" s="36">
        <f>Y18*CHOOSE('Обобщенный расчет'!$N$1,'Исходные данные'!$D83,'Исходные данные'!$F83,'Исходные данные'!$I83)</f>
        <v>56881.785600000003</v>
      </c>
      <c r="Z42" s="36">
        <f>Z18*CHOOSE('Обобщенный расчет'!$N$1,'Исходные данные'!$D83,'Исходные данные'!$F83,'Исходные данные'!$I83)</f>
        <v>50956.599600000009</v>
      </c>
      <c r="AA42" s="36">
        <f>AA18*CHOOSE('Обобщенный расчет'!$N$1,'Исходные данные'!$D83,'Исходные данные'!$F83,'Исходные данные'!$I83)</f>
        <v>57276.798000000003</v>
      </c>
      <c r="AB42" s="36">
        <f>AB18*CHOOSE('Обобщенный расчет'!$N$1,'Исходные данные'!$D83,'Исходные данные'!$F83,'Исходные данные'!$I83)</f>
        <v>64782.033599999995</v>
      </c>
      <c r="AC42" s="52">
        <f t="shared" si="49"/>
        <v>528526.59120000002</v>
      </c>
      <c r="AD42" s="52">
        <f t="shared" si="50"/>
        <v>44043.882600000004</v>
      </c>
      <c r="AE42" s="36">
        <f>AE18*CHOOSE('Обобщенный расчет'!$N$1,'Исходные данные'!$D83,'Исходные данные'!$F83,'Исходные данные'!$I83)</f>
        <v>29033.411399999997</v>
      </c>
      <c r="AF42" s="36">
        <f>AF18*CHOOSE('Обобщенный расчет'!$N$1,'Исходные данные'!$D83,'Исходные данные'!$F83,'Исходные данные'!$I83)</f>
        <v>32259.345999999998</v>
      </c>
      <c r="AG42" s="36">
        <f>AG18*CHOOSE('Обобщенный расчет'!$N$1,'Исходные данные'!$D83,'Исходные данные'!$F83,'Исходные данные'!$I83)</f>
        <v>48389.019</v>
      </c>
      <c r="AH42" s="36">
        <f>AH18*CHOOSE('Обобщенный расчет'!$N$1,'Исходные данные'!$D83,'Исходные данные'!$F83,'Исходные данные'!$I83)</f>
        <v>27650.868000000002</v>
      </c>
      <c r="AI42" s="36">
        <f>AI18*CHOOSE('Обобщенный расчет'!$N$1,'Исходные данные'!$D83,'Исходные данные'!$F83,'Исходные данные'!$I83)</f>
        <v>41476.302000000003</v>
      </c>
      <c r="AJ42" s="36">
        <f>AJ18*CHOOSE('Обобщенный расчет'!$N$1,'Исходные данные'!$D83,'Исходные данные'!$F83,'Исходные данные'!$I83)</f>
        <v>54380.040399999998</v>
      </c>
      <c r="AK42" s="36">
        <f>AK18*CHOOSE('Обобщенный расчет'!$N$1,'Исходные данные'!$D83,'Исходные данные'!$F83,'Исходные данные'!$I83)</f>
        <v>53919.192600000002</v>
      </c>
      <c r="AL42" s="36">
        <f>AL18*CHOOSE('Обобщенный расчет'!$N$1,'Исходные данные'!$D83,'Исходные данные'!$F83,'Исходные данные'!$I83)</f>
        <v>61292.757399999995</v>
      </c>
      <c r="AM42" s="36">
        <f>AM18*CHOOSE('Обобщенный расчет'!$N$1,'Исходные данные'!$D83,'Исходные данные'!$F83,'Исходные данные'!$I83)</f>
        <v>66362.083200000008</v>
      </c>
      <c r="AN42" s="36">
        <f>AN18*CHOOSE('Обобщенный расчет'!$N$1,'Исходные данные'!$D83,'Исходные данные'!$F83,'Исходные данные'!$I83)</f>
        <v>59449.366199999989</v>
      </c>
      <c r="AO42" s="36">
        <f>AO18*CHOOSE('Обобщенный расчет'!$N$1,'Исходные данные'!$D83,'Исходные данные'!$F83,'Исходные данные'!$I83)</f>
        <v>66822.930999999997</v>
      </c>
      <c r="AP42" s="36">
        <f>AP18*CHOOSE('Обобщенный расчет'!$N$1,'Исходные данные'!$D83,'Исходные данные'!$F83,'Исходные данные'!$I83)</f>
        <v>75579.039199999999</v>
      </c>
      <c r="AQ42" s="52">
        <f t="shared" si="51"/>
        <v>616614.35639999993</v>
      </c>
      <c r="AR42" s="52">
        <f t="shared" si="52"/>
        <v>51384.529699999992</v>
      </c>
      <c r="AS42" s="114">
        <f t="shared" si="53"/>
        <v>1571293.4918</v>
      </c>
      <c r="AT42" s="37"/>
    </row>
    <row r="43" spans="1:46" s="35" customFormat="1" ht="10.5" x14ac:dyDescent="0.35">
      <c r="A43" s="60" t="str">
        <f>'Обобщенный расчет'!B35</f>
        <v>Аренда</v>
      </c>
      <c r="B43" s="21" t="str">
        <f>CHOOSE('Исходные данные'!$O$2,'Исходные данные'!$P$2,'Исходные данные'!$P$3,'Исходные данные'!$P$4,'Исходные данные'!$P$5)</f>
        <v>UAH</v>
      </c>
      <c r="C43" s="33">
        <f>C10*CHOOSE('Обобщенный расчет'!$N$1,'Исходные данные'!$E84,'Исходные данные'!$G84,'Исходные данные'!$J84)</f>
        <v>75000</v>
      </c>
      <c r="D43" s="33">
        <f>D10*CHOOSE('Обобщенный расчет'!$N$1,'Исходные данные'!$E84,'Исходные данные'!$G84,'Исходные данные'!$J84)</f>
        <v>75000</v>
      </c>
      <c r="E43" s="33">
        <f>E10*CHOOSE('Обобщенный расчет'!$N$1,'Исходные данные'!$E84,'Исходные данные'!$G84,'Исходные данные'!$J84)</f>
        <v>75000</v>
      </c>
      <c r="F43" s="33">
        <f>F10*CHOOSE('Обобщенный расчет'!$N$1,'Исходные данные'!$E84,'Исходные данные'!$G84,'Исходные данные'!$J84)</f>
        <v>75000</v>
      </c>
      <c r="G43" s="33">
        <f>G10*CHOOSE('Обобщенный расчет'!$N$1,'Исходные данные'!$E84,'Исходные данные'!$G84,'Исходные данные'!$J84)</f>
        <v>75000</v>
      </c>
      <c r="H43" s="33">
        <f>H10*CHOOSE('Обобщенный расчет'!$N$1,'Исходные данные'!$E84,'Исходные данные'!$G84,'Исходные данные'!$J84)</f>
        <v>75000</v>
      </c>
      <c r="I43" s="33">
        <f>I10*CHOOSE('Обобщенный расчет'!$N$1,'Исходные данные'!$E84,'Исходные данные'!$G84,'Исходные данные'!$J84)</f>
        <v>75000</v>
      </c>
      <c r="J43" s="33">
        <f>J10*CHOOSE('Обобщенный расчет'!$N$1,'Исходные данные'!$E84,'Исходные данные'!$G84,'Исходные данные'!$J84)</f>
        <v>75000</v>
      </c>
      <c r="K43" s="33">
        <f>K10*CHOOSE('Обобщенный расчет'!$N$1,'Исходные данные'!$E84,'Исходные данные'!$G84,'Исходные данные'!$J84)</f>
        <v>75000</v>
      </c>
      <c r="L43" s="33">
        <f>L10*CHOOSE('Обобщенный расчет'!$N$1,'Исходные данные'!$E84,'Исходные данные'!$G84,'Исходные данные'!$J84)</f>
        <v>75000</v>
      </c>
      <c r="M43" s="33">
        <f>M10*CHOOSE('Обобщенный расчет'!$N$1,'Исходные данные'!$E84,'Исходные данные'!$G84,'Исходные данные'!$J84)</f>
        <v>75000</v>
      </c>
      <c r="N43" s="33">
        <f>N10*CHOOSE('Обобщенный расчет'!$N$1,'Исходные данные'!$E84,'Исходные данные'!$G84,'Исходные данные'!$J84)</f>
        <v>75000</v>
      </c>
      <c r="O43" s="107">
        <f>SUM(C43:N43)</f>
        <v>900000</v>
      </c>
      <c r="P43" s="107">
        <f>O43/12</f>
        <v>75000</v>
      </c>
      <c r="Q43" s="33">
        <f>Q10*CHOOSE('Обобщенный расчет'!$N$1,'Исходные данные'!$E84,'Исходные данные'!$G84,'Исходные данные'!$J84)</f>
        <v>78750</v>
      </c>
      <c r="R43" s="33">
        <f>R10*CHOOSE('Обобщенный расчет'!$N$1,'Исходные данные'!$E84,'Исходные данные'!$G84,'Исходные данные'!$J84)</f>
        <v>78750</v>
      </c>
      <c r="S43" s="33">
        <f>S10*CHOOSE('Обобщенный расчет'!$N$1,'Исходные данные'!$E84,'Исходные данные'!$G84,'Исходные данные'!$J84)</f>
        <v>78750</v>
      </c>
      <c r="T43" s="33">
        <f>T10*CHOOSE('Обобщенный расчет'!$N$1,'Исходные данные'!$E84,'Исходные данные'!$G84,'Исходные данные'!$J84)</f>
        <v>78750</v>
      </c>
      <c r="U43" s="33">
        <f>U10*CHOOSE('Обобщенный расчет'!$N$1,'Исходные данные'!$E84,'Исходные данные'!$G84,'Исходные данные'!$J84)</f>
        <v>78750</v>
      </c>
      <c r="V43" s="33">
        <f>V10*CHOOSE('Обобщенный расчет'!$N$1,'Исходные данные'!$E84,'Исходные данные'!$G84,'Исходные данные'!$J84)</f>
        <v>78750</v>
      </c>
      <c r="W43" s="33">
        <f>W10*CHOOSE('Обобщенный расчет'!$N$1,'Исходные данные'!$E84,'Исходные данные'!$G84,'Исходные данные'!$J84)</f>
        <v>78750</v>
      </c>
      <c r="X43" s="33">
        <f>X10*CHOOSE('Обобщенный расчет'!$N$1,'Исходные данные'!$E84,'Исходные данные'!$G84,'Исходные данные'!$J84)</f>
        <v>78750</v>
      </c>
      <c r="Y43" s="33">
        <f>Y10*CHOOSE('Обобщенный расчет'!$N$1,'Исходные данные'!$E84,'Исходные данные'!$G84,'Исходные данные'!$J84)</f>
        <v>78750</v>
      </c>
      <c r="Z43" s="33">
        <f>Z10*CHOOSE('Обобщенный расчет'!$N$1,'Исходные данные'!$E84,'Исходные данные'!$G84,'Исходные данные'!$J84)</f>
        <v>78750</v>
      </c>
      <c r="AA43" s="33">
        <f>AA10*CHOOSE('Обобщенный расчет'!$N$1,'Исходные данные'!$E84,'Исходные данные'!$G84,'Исходные данные'!$J84)</f>
        <v>78750</v>
      </c>
      <c r="AB43" s="33">
        <f>AB10*CHOOSE('Обобщенный расчет'!$N$1,'Исходные данные'!$E84,'Исходные данные'!$G84,'Исходные данные'!$J84)</f>
        <v>78750</v>
      </c>
      <c r="AC43" s="107">
        <f>SUM(Q43:AB43)</f>
        <v>945000</v>
      </c>
      <c r="AD43" s="107">
        <f>AC43/12</f>
        <v>78750</v>
      </c>
      <c r="AE43" s="33">
        <f>AE10*CHOOSE('Обобщенный расчет'!$N$1,'Исходные данные'!$E84,'Исходные данные'!$G84,'Исходные данные'!$J84)</f>
        <v>82500</v>
      </c>
      <c r="AF43" s="33">
        <f>AF10*CHOOSE('Обобщенный расчет'!$N$1,'Исходные данные'!$E84,'Исходные данные'!$G84,'Исходные данные'!$J84)</f>
        <v>82500</v>
      </c>
      <c r="AG43" s="33">
        <f>AG10*CHOOSE('Обобщенный расчет'!$N$1,'Исходные данные'!$E84,'Исходные данные'!$G84,'Исходные данные'!$J84)</f>
        <v>82500</v>
      </c>
      <c r="AH43" s="33">
        <f>AH10*CHOOSE('Обобщенный расчет'!$N$1,'Исходные данные'!$E84,'Исходные данные'!$G84,'Исходные данные'!$J84)</f>
        <v>82500</v>
      </c>
      <c r="AI43" s="33">
        <f>AI10*CHOOSE('Обобщенный расчет'!$N$1,'Исходные данные'!$E84,'Исходные данные'!$G84,'Исходные данные'!$J84)</f>
        <v>82500</v>
      </c>
      <c r="AJ43" s="33">
        <f>AJ10*CHOOSE('Обобщенный расчет'!$N$1,'Исходные данные'!$E84,'Исходные данные'!$G84,'Исходные данные'!$J84)</f>
        <v>82500</v>
      </c>
      <c r="AK43" s="33">
        <f>AK10*CHOOSE('Обобщенный расчет'!$N$1,'Исходные данные'!$E84,'Исходные данные'!$G84,'Исходные данные'!$J84)</f>
        <v>82500</v>
      </c>
      <c r="AL43" s="33">
        <f>AL10*CHOOSE('Обобщенный расчет'!$N$1,'Исходные данные'!$E84,'Исходные данные'!$G84,'Исходные данные'!$J84)</f>
        <v>82500</v>
      </c>
      <c r="AM43" s="33">
        <f>AM10*CHOOSE('Обобщенный расчет'!$N$1,'Исходные данные'!$E84,'Исходные данные'!$G84,'Исходные данные'!$J84)</f>
        <v>82500</v>
      </c>
      <c r="AN43" s="33">
        <f>AN10*CHOOSE('Обобщенный расчет'!$N$1,'Исходные данные'!$E84,'Исходные данные'!$G84,'Исходные данные'!$J84)</f>
        <v>82500</v>
      </c>
      <c r="AO43" s="33">
        <f>AO10*CHOOSE('Обобщенный расчет'!$N$1,'Исходные данные'!$E84,'Исходные данные'!$G84,'Исходные данные'!$J84)</f>
        <v>82500</v>
      </c>
      <c r="AP43" s="33">
        <f>AP10*CHOOSE('Обобщенный расчет'!$N$1,'Исходные данные'!$E84,'Исходные данные'!$G84,'Исходные данные'!$J84)</f>
        <v>82500</v>
      </c>
      <c r="AQ43" s="107">
        <f>SUM(AE43:AP43)</f>
        <v>990000</v>
      </c>
      <c r="AR43" s="107">
        <f>AQ43/12</f>
        <v>82500</v>
      </c>
      <c r="AS43" s="114">
        <f>O43+AC43+AQ43</f>
        <v>2835000</v>
      </c>
      <c r="AT43" s="34"/>
    </row>
    <row r="44" spans="1:46" s="38" customFormat="1" ht="10.5" x14ac:dyDescent="0.35">
      <c r="A44" s="61" t="str">
        <f>'Обобщенный расчет'!B36</f>
        <v>Коммунальные платежи</v>
      </c>
      <c r="B44" s="24" t="str">
        <f>CHOOSE('Исходные данные'!$O$2,'Исходные данные'!$P$2,'Исходные данные'!$P$3,'Исходные данные'!$P$4,'Исходные данные'!$P$5)</f>
        <v>UAH</v>
      </c>
      <c r="C44" s="36">
        <f>C11*CHOOSE('Обобщенный расчет'!$N$1,'Исходные данные'!$E85,'Исходные данные'!$G85,'Исходные данные'!$J85)</f>
        <v>15000</v>
      </c>
      <c r="D44" s="36">
        <f>D11*CHOOSE('Обобщенный расчет'!$N$1,'Исходные данные'!$E85,'Исходные данные'!$G85,'Исходные данные'!$J85)</f>
        <v>15000</v>
      </c>
      <c r="E44" s="36">
        <f>E11*CHOOSE('Обобщенный расчет'!$N$1,'Исходные данные'!$E85,'Исходные данные'!$G85,'Исходные данные'!$J85)</f>
        <v>15000</v>
      </c>
      <c r="F44" s="36">
        <f>F11*CHOOSE('Обобщенный расчет'!$N$1,'Исходные данные'!$E85,'Исходные данные'!$G85,'Исходные данные'!$J85)</f>
        <v>15000</v>
      </c>
      <c r="G44" s="36">
        <f>G11*CHOOSE('Обобщенный расчет'!$N$1,'Исходные данные'!$E85,'Исходные данные'!$G85,'Исходные данные'!$J85)</f>
        <v>15000</v>
      </c>
      <c r="H44" s="36">
        <f>H11*CHOOSE('Обобщенный расчет'!$N$1,'Исходные данные'!$E85,'Исходные данные'!$G85,'Исходные данные'!$J85)</f>
        <v>15000</v>
      </c>
      <c r="I44" s="36">
        <f>I11*CHOOSE('Обобщенный расчет'!$N$1,'Исходные данные'!$E85,'Исходные данные'!$G85,'Исходные данные'!$J85)</f>
        <v>15000</v>
      </c>
      <c r="J44" s="36">
        <f>J11*CHOOSE('Обобщенный расчет'!$N$1,'Исходные данные'!$E85,'Исходные данные'!$G85,'Исходные данные'!$J85)</f>
        <v>15000</v>
      </c>
      <c r="K44" s="36">
        <f>K11*CHOOSE('Обобщенный расчет'!$N$1,'Исходные данные'!$E85,'Исходные данные'!$G85,'Исходные данные'!$J85)</f>
        <v>15000</v>
      </c>
      <c r="L44" s="36">
        <f>L11*CHOOSE('Обобщенный расчет'!$N$1,'Исходные данные'!$E85,'Исходные данные'!$G85,'Исходные данные'!$J85)</f>
        <v>15000</v>
      </c>
      <c r="M44" s="36">
        <f>M11*CHOOSE('Обобщенный расчет'!$N$1,'Исходные данные'!$E85,'Исходные данные'!$G85,'Исходные данные'!$J85)</f>
        <v>15000</v>
      </c>
      <c r="N44" s="36">
        <f>N11*CHOOSE('Обобщенный расчет'!$N$1,'Исходные данные'!$E85,'Исходные данные'!$G85,'Исходные данные'!$J85)</f>
        <v>15000</v>
      </c>
      <c r="O44" s="52">
        <f t="shared" si="47"/>
        <v>180000</v>
      </c>
      <c r="P44" s="52">
        <f t="shared" si="48"/>
        <v>15000</v>
      </c>
      <c r="Q44" s="36">
        <f>Q11*CHOOSE('Обобщенный расчет'!$N$1,'Исходные данные'!$E85,'Исходные данные'!$G85,'Исходные данные'!$J85)</f>
        <v>15000</v>
      </c>
      <c r="R44" s="36">
        <f>R11*CHOOSE('Обобщенный расчет'!$N$1,'Исходные данные'!$E85,'Исходные данные'!$G85,'Исходные данные'!$J85)</f>
        <v>15000</v>
      </c>
      <c r="S44" s="36">
        <f>S11*CHOOSE('Обобщенный расчет'!$N$1,'Исходные данные'!$E85,'Исходные данные'!$G85,'Исходные данные'!$J85)</f>
        <v>15000</v>
      </c>
      <c r="T44" s="36">
        <f>T11*CHOOSE('Обобщенный расчет'!$N$1,'Исходные данные'!$E85,'Исходные данные'!$G85,'Исходные данные'!$J85)</f>
        <v>15000</v>
      </c>
      <c r="U44" s="36">
        <f>U11*CHOOSE('Обобщенный расчет'!$N$1,'Исходные данные'!$E85,'Исходные данные'!$G85,'Исходные данные'!$J85)</f>
        <v>15000</v>
      </c>
      <c r="V44" s="36">
        <f>V11*CHOOSE('Обобщенный расчет'!$N$1,'Исходные данные'!$E85,'Исходные данные'!$G85,'Исходные данные'!$J85)</f>
        <v>15000</v>
      </c>
      <c r="W44" s="36">
        <f>W11*CHOOSE('Обобщенный расчет'!$N$1,'Исходные данные'!$E85,'Исходные данные'!$G85,'Исходные данные'!$J85)</f>
        <v>15000</v>
      </c>
      <c r="X44" s="36">
        <f>X11*CHOOSE('Обобщенный расчет'!$N$1,'Исходные данные'!$E85,'Исходные данные'!$G85,'Исходные данные'!$J85)</f>
        <v>15000</v>
      </c>
      <c r="Y44" s="36">
        <f>Y11*CHOOSE('Обобщенный расчет'!$N$1,'Исходные данные'!$E85,'Исходные данные'!$G85,'Исходные данные'!$J85)</f>
        <v>15000</v>
      </c>
      <c r="Z44" s="36">
        <f>Z11*CHOOSE('Обобщенный расчет'!$N$1,'Исходные данные'!$E85,'Исходные данные'!$G85,'Исходные данные'!$J85)</f>
        <v>15000</v>
      </c>
      <c r="AA44" s="36">
        <f>AA11*CHOOSE('Обобщенный расчет'!$N$1,'Исходные данные'!$E85,'Исходные данные'!$G85,'Исходные данные'!$J85)</f>
        <v>15000</v>
      </c>
      <c r="AB44" s="36">
        <f>AB11*CHOOSE('Обобщенный расчет'!$N$1,'Исходные данные'!$E85,'Исходные данные'!$G85,'Исходные данные'!$J85)</f>
        <v>15000</v>
      </c>
      <c r="AC44" s="52">
        <f t="shared" si="49"/>
        <v>180000</v>
      </c>
      <c r="AD44" s="52">
        <f t="shared" si="50"/>
        <v>15000</v>
      </c>
      <c r="AE44" s="36">
        <f>AE11*CHOOSE('Обобщенный расчет'!$N$1,'Исходные данные'!$E85,'Исходные данные'!$G85,'Исходные данные'!$J85)</f>
        <v>15000</v>
      </c>
      <c r="AF44" s="36">
        <f>AF11*CHOOSE('Обобщенный расчет'!$N$1,'Исходные данные'!$E85,'Исходные данные'!$G85,'Исходные данные'!$J85)</f>
        <v>15000</v>
      </c>
      <c r="AG44" s="36">
        <f>AG11*CHOOSE('Обобщенный расчет'!$N$1,'Исходные данные'!$E85,'Исходные данные'!$G85,'Исходные данные'!$J85)</f>
        <v>15000</v>
      </c>
      <c r="AH44" s="36">
        <f>AH11*CHOOSE('Обобщенный расчет'!$N$1,'Исходные данные'!$E85,'Исходные данные'!$G85,'Исходные данные'!$J85)</f>
        <v>15000</v>
      </c>
      <c r="AI44" s="36">
        <f>AI11*CHOOSE('Обобщенный расчет'!$N$1,'Исходные данные'!$E85,'Исходные данные'!$G85,'Исходные данные'!$J85)</f>
        <v>15000</v>
      </c>
      <c r="AJ44" s="36">
        <f>AJ11*CHOOSE('Обобщенный расчет'!$N$1,'Исходные данные'!$E85,'Исходные данные'!$G85,'Исходные данные'!$J85)</f>
        <v>15000</v>
      </c>
      <c r="AK44" s="36">
        <f>AK11*CHOOSE('Обобщенный расчет'!$N$1,'Исходные данные'!$E85,'Исходные данные'!$G85,'Исходные данные'!$J85)</f>
        <v>15000</v>
      </c>
      <c r="AL44" s="36">
        <f>AL11*CHOOSE('Обобщенный расчет'!$N$1,'Исходные данные'!$E85,'Исходные данные'!$G85,'Исходные данные'!$J85)</f>
        <v>15000</v>
      </c>
      <c r="AM44" s="36">
        <f>AM11*CHOOSE('Обобщенный расчет'!$N$1,'Исходные данные'!$E85,'Исходные данные'!$G85,'Исходные данные'!$J85)</f>
        <v>15000</v>
      </c>
      <c r="AN44" s="36">
        <f>AN11*CHOOSE('Обобщенный расчет'!$N$1,'Исходные данные'!$E85,'Исходные данные'!$G85,'Исходные данные'!$J85)</f>
        <v>15000</v>
      </c>
      <c r="AO44" s="36">
        <f>AO11*CHOOSE('Обобщенный расчет'!$N$1,'Исходные данные'!$E85,'Исходные данные'!$G85,'Исходные данные'!$J85)</f>
        <v>15000</v>
      </c>
      <c r="AP44" s="36">
        <f>AP11*CHOOSE('Обобщенный расчет'!$N$1,'Исходные данные'!$E85,'Исходные данные'!$G85,'Исходные данные'!$J85)</f>
        <v>15000</v>
      </c>
      <c r="AQ44" s="52">
        <f t="shared" si="51"/>
        <v>180000</v>
      </c>
      <c r="AR44" s="52">
        <f t="shared" si="52"/>
        <v>15000</v>
      </c>
      <c r="AS44" s="114">
        <f t="shared" si="53"/>
        <v>540000</v>
      </c>
      <c r="AT44" s="37"/>
    </row>
    <row r="45" spans="1:46" s="35" customFormat="1" ht="10.5" x14ac:dyDescent="0.35">
      <c r="A45" s="60" t="str">
        <f>'Обобщенный расчет'!B37</f>
        <v>Хозяйственные нужды</v>
      </c>
      <c r="B45" s="21" t="str">
        <f>CHOOSE('Исходные данные'!$O$2,'Исходные данные'!$P$2,'Исходные данные'!$P$3,'Исходные данные'!$P$4,'Исходные данные'!$P$5)</f>
        <v>UAH</v>
      </c>
      <c r="C45" s="33">
        <f>CHOOSE('Обобщенный расчет'!$N$1,'Исходные данные'!$E87,'Исходные данные'!$G87,'Исходные данные'!$J87)</f>
        <v>40000</v>
      </c>
      <c r="D45" s="33">
        <f>CHOOSE('Обобщенный расчет'!$N$1,'Исходные данные'!$E87,'Исходные данные'!$G87,'Исходные данные'!$J87)</f>
        <v>40000</v>
      </c>
      <c r="E45" s="33">
        <f>CHOOSE('Обобщенный расчет'!$N$1,'Исходные данные'!$E87,'Исходные данные'!$G87,'Исходные данные'!$J87)</f>
        <v>40000</v>
      </c>
      <c r="F45" s="33">
        <f>CHOOSE('Обобщенный расчет'!$N$1,'Исходные данные'!$E87,'Исходные данные'!$G87,'Исходные данные'!$J87)</f>
        <v>40000</v>
      </c>
      <c r="G45" s="33">
        <f>CHOOSE('Обобщенный расчет'!$N$1,'Исходные данные'!$E87,'Исходные данные'!$G87,'Исходные данные'!$J87)</f>
        <v>40000</v>
      </c>
      <c r="H45" s="33">
        <f>CHOOSE('Обобщенный расчет'!$N$1,'Исходные данные'!$E87,'Исходные данные'!$G87,'Исходные данные'!$J87)</f>
        <v>40000</v>
      </c>
      <c r="I45" s="33">
        <f>CHOOSE('Обобщенный расчет'!$N$1,'Исходные данные'!$E87,'Исходные данные'!$G87,'Исходные данные'!$J87)</f>
        <v>40000</v>
      </c>
      <c r="J45" s="33">
        <f>CHOOSE('Обобщенный расчет'!$N$1,'Исходные данные'!$E87,'Исходные данные'!$G87,'Исходные данные'!$J87)</f>
        <v>40000</v>
      </c>
      <c r="K45" s="33">
        <f>CHOOSE('Обобщенный расчет'!$N$1,'Исходные данные'!$E87,'Исходные данные'!$G87,'Исходные данные'!$J87)</f>
        <v>40000</v>
      </c>
      <c r="L45" s="33">
        <f>CHOOSE('Обобщенный расчет'!$N$1,'Исходные данные'!$E87,'Исходные данные'!$G87,'Исходные данные'!$J87)</f>
        <v>40000</v>
      </c>
      <c r="M45" s="33">
        <f>CHOOSE('Обобщенный расчет'!$N$1,'Исходные данные'!$E87,'Исходные данные'!$G87,'Исходные данные'!$J87)</f>
        <v>40000</v>
      </c>
      <c r="N45" s="33">
        <f>CHOOSE('Обобщенный расчет'!$N$1,'Исходные данные'!$E87,'Исходные данные'!$G87,'Исходные данные'!$J87)</f>
        <v>40000</v>
      </c>
      <c r="O45" s="107">
        <f t="shared" si="47"/>
        <v>480000</v>
      </c>
      <c r="P45" s="107">
        <f t="shared" si="48"/>
        <v>40000</v>
      </c>
      <c r="Q45" s="33">
        <f>CHOOSE('Обобщенный расчет'!$N$1,'Исходные данные'!$E87,'Исходные данные'!$G87,'Исходные данные'!$J87)</f>
        <v>40000</v>
      </c>
      <c r="R45" s="33">
        <f>CHOOSE('Обобщенный расчет'!$N$1,'Исходные данные'!$E87,'Исходные данные'!$G87,'Исходные данные'!$J87)</f>
        <v>40000</v>
      </c>
      <c r="S45" s="33">
        <f>CHOOSE('Обобщенный расчет'!$N$1,'Исходные данные'!$E87,'Исходные данные'!$G87,'Исходные данные'!$J87)</f>
        <v>40000</v>
      </c>
      <c r="T45" s="33">
        <f>CHOOSE('Обобщенный расчет'!$N$1,'Исходные данные'!$E87,'Исходные данные'!$G87,'Исходные данные'!$J87)</f>
        <v>40000</v>
      </c>
      <c r="U45" s="33">
        <f>CHOOSE('Обобщенный расчет'!$N$1,'Исходные данные'!$E87,'Исходные данные'!$G87,'Исходные данные'!$J87)</f>
        <v>40000</v>
      </c>
      <c r="V45" s="33">
        <f>CHOOSE('Обобщенный расчет'!$N$1,'Исходные данные'!$E87,'Исходные данные'!$G87,'Исходные данные'!$J87)</f>
        <v>40000</v>
      </c>
      <c r="W45" s="33">
        <f>CHOOSE('Обобщенный расчет'!$N$1,'Исходные данные'!$E87,'Исходные данные'!$G87,'Исходные данные'!$J87)</f>
        <v>40000</v>
      </c>
      <c r="X45" s="33">
        <f>CHOOSE('Обобщенный расчет'!$N$1,'Исходные данные'!$E87,'Исходные данные'!$G87,'Исходные данные'!$J87)</f>
        <v>40000</v>
      </c>
      <c r="Y45" s="33">
        <f>CHOOSE('Обобщенный расчет'!$N$1,'Исходные данные'!$E87,'Исходные данные'!$G87,'Исходные данные'!$J87)</f>
        <v>40000</v>
      </c>
      <c r="Z45" s="33">
        <f>CHOOSE('Обобщенный расчет'!$N$1,'Исходные данные'!$E87,'Исходные данные'!$G87,'Исходные данные'!$J87)</f>
        <v>40000</v>
      </c>
      <c r="AA45" s="33">
        <f>CHOOSE('Обобщенный расчет'!$N$1,'Исходные данные'!$E87,'Исходные данные'!$G87,'Исходные данные'!$J87)</f>
        <v>40000</v>
      </c>
      <c r="AB45" s="33">
        <f>CHOOSE('Обобщенный расчет'!$N$1,'Исходные данные'!$E87,'Исходные данные'!$G87,'Исходные данные'!$J87)</f>
        <v>40000</v>
      </c>
      <c r="AC45" s="107">
        <f t="shared" si="49"/>
        <v>480000</v>
      </c>
      <c r="AD45" s="107">
        <f t="shared" si="50"/>
        <v>40000</v>
      </c>
      <c r="AE45" s="33">
        <f>CHOOSE('Обобщенный расчет'!$N$1,'Исходные данные'!$E87,'Исходные данные'!$G87,'Исходные данные'!$J87)</f>
        <v>40000</v>
      </c>
      <c r="AF45" s="33">
        <f>CHOOSE('Обобщенный расчет'!$N$1,'Исходные данные'!$E87,'Исходные данные'!$G87,'Исходные данные'!$J87)</f>
        <v>40000</v>
      </c>
      <c r="AG45" s="33">
        <f>CHOOSE('Обобщенный расчет'!$N$1,'Исходные данные'!$E87,'Исходные данные'!$G87,'Исходные данные'!$J87)</f>
        <v>40000</v>
      </c>
      <c r="AH45" s="33">
        <f>CHOOSE('Обобщенный расчет'!$N$1,'Исходные данные'!$E87,'Исходные данные'!$G87,'Исходные данные'!$J87)</f>
        <v>40000</v>
      </c>
      <c r="AI45" s="33">
        <f>CHOOSE('Обобщенный расчет'!$N$1,'Исходные данные'!$E87,'Исходные данные'!$G87,'Исходные данные'!$J87)</f>
        <v>40000</v>
      </c>
      <c r="AJ45" s="33">
        <f>CHOOSE('Обобщенный расчет'!$N$1,'Исходные данные'!$E87,'Исходные данные'!$G87,'Исходные данные'!$J87)</f>
        <v>40000</v>
      </c>
      <c r="AK45" s="33">
        <f>CHOOSE('Обобщенный расчет'!$N$1,'Исходные данные'!$E87,'Исходные данные'!$G87,'Исходные данные'!$J87)</f>
        <v>40000</v>
      </c>
      <c r="AL45" s="33">
        <f>CHOOSE('Обобщенный расчет'!$N$1,'Исходные данные'!$E87,'Исходные данные'!$G87,'Исходные данные'!$J87)</f>
        <v>40000</v>
      </c>
      <c r="AM45" s="33">
        <f>CHOOSE('Обобщенный расчет'!$N$1,'Исходные данные'!$E87,'Исходные данные'!$G87,'Исходные данные'!$J87)</f>
        <v>40000</v>
      </c>
      <c r="AN45" s="33">
        <f>CHOOSE('Обобщенный расчет'!$N$1,'Исходные данные'!$E87,'Исходные данные'!$G87,'Исходные данные'!$J87)</f>
        <v>40000</v>
      </c>
      <c r="AO45" s="33">
        <f>CHOOSE('Обобщенный расчет'!$N$1,'Исходные данные'!$E87,'Исходные данные'!$G87,'Исходные данные'!$J87)</f>
        <v>40000</v>
      </c>
      <c r="AP45" s="33">
        <f>CHOOSE('Обобщенный расчет'!$N$1,'Исходные данные'!$E87,'Исходные данные'!$G87,'Исходные данные'!$J87)</f>
        <v>40000</v>
      </c>
      <c r="AQ45" s="107">
        <f t="shared" si="51"/>
        <v>480000</v>
      </c>
      <c r="AR45" s="107">
        <f t="shared" si="52"/>
        <v>40000</v>
      </c>
      <c r="AS45" s="114">
        <f t="shared" si="53"/>
        <v>1440000</v>
      </c>
      <c r="AT45" s="34"/>
    </row>
    <row r="46" spans="1:46" s="38" customFormat="1" ht="10.5" x14ac:dyDescent="0.35">
      <c r="A46" s="61" t="str">
        <f>'Обобщенный расчет'!B38</f>
        <v>Охрана</v>
      </c>
      <c r="B46" s="24" t="str">
        <f>CHOOSE('Исходные данные'!$O$2,'Исходные данные'!$P$2,'Исходные данные'!$P$3,'Исходные данные'!$P$4,'Исходные данные'!$P$5)</f>
        <v>UAH</v>
      </c>
      <c r="C46" s="36">
        <f>CHOOSE('Обобщенный расчет'!$N$1,'Исходные данные'!$E88,'Исходные данные'!$G88,'Исходные данные'!$J88)</f>
        <v>1200</v>
      </c>
      <c r="D46" s="36">
        <f>CHOOSE('Обобщенный расчет'!$N$1,'Исходные данные'!$E88,'Исходные данные'!$G88,'Исходные данные'!$J88)</f>
        <v>1200</v>
      </c>
      <c r="E46" s="36">
        <f>CHOOSE('Обобщенный расчет'!$N$1,'Исходные данные'!$E88,'Исходные данные'!$G88,'Исходные данные'!$J88)</f>
        <v>1200</v>
      </c>
      <c r="F46" s="36">
        <f>CHOOSE('Обобщенный расчет'!$N$1,'Исходные данные'!$E88,'Исходные данные'!$G88,'Исходные данные'!$J88)</f>
        <v>1200</v>
      </c>
      <c r="G46" s="36">
        <f>CHOOSE('Обобщенный расчет'!$N$1,'Исходные данные'!$E88,'Исходные данные'!$G88,'Исходные данные'!$J88)</f>
        <v>1200</v>
      </c>
      <c r="H46" s="36">
        <f>CHOOSE('Обобщенный расчет'!$N$1,'Исходные данные'!$E88,'Исходные данные'!$G88,'Исходные данные'!$J88)</f>
        <v>1200</v>
      </c>
      <c r="I46" s="36">
        <f>CHOOSE('Обобщенный расчет'!$N$1,'Исходные данные'!$E88,'Исходные данные'!$G88,'Исходные данные'!$J88)</f>
        <v>1200</v>
      </c>
      <c r="J46" s="36">
        <f>CHOOSE('Обобщенный расчет'!$N$1,'Исходные данные'!$E88,'Исходные данные'!$G88,'Исходные данные'!$J88)</f>
        <v>1200</v>
      </c>
      <c r="K46" s="36">
        <f>CHOOSE('Обобщенный расчет'!$N$1,'Исходные данные'!$E88,'Исходные данные'!$G88,'Исходные данные'!$J88)</f>
        <v>1200</v>
      </c>
      <c r="L46" s="36">
        <f>CHOOSE('Обобщенный расчет'!$N$1,'Исходные данные'!$E88,'Исходные данные'!$G88,'Исходные данные'!$J88)</f>
        <v>1200</v>
      </c>
      <c r="M46" s="36">
        <f>CHOOSE('Обобщенный расчет'!$N$1,'Исходные данные'!$E88,'Исходные данные'!$G88,'Исходные данные'!$J88)</f>
        <v>1200</v>
      </c>
      <c r="N46" s="36">
        <f>CHOOSE('Обобщенный расчет'!$N$1,'Исходные данные'!$E88,'Исходные данные'!$G88,'Исходные данные'!$J88)</f>
        <v>1200</v>
      </c>
      <c r="O46" s="52">
        <f t="shared" si="47"/>
        <v>14400</v>
      </c>
      <c r="P46" s="52">
        <f t="shared" ref="P46" si="54">O46/12</f>
        <v>1200</v>
      </c>
      <c r="Q46" s="36">
        <f>CHOOSE('Обобщенный расчет'!$N$1,'Исходные данные'!$E88,'Исходные данные'!$G88,'Исходные данные'!$J88)</f>
        <v>1200</v>
      </c>
      <c r="R46" s="36">
        <f>CHOOSE('Обобщенный расчет'!$N$1,'Исходные данные'!$E88,'Исходные данные'!$G88,'Исходные данные'!$J88)</f>
        <v>1200</v>
      </c>
      <c r="S46" s="36">
        <f>CHOOSE('Обобщенный расчет'!$N$1,'Исходные данные'!$E88,'Исходные данные'!$G88,'Исходные данные'!$J88)</f>
        <v>1200</v>
      </c>
      <c r="T46" s="36">
        <f>CHOOSE('Обобщенный расчет'!$N$1,'Исходные данные'!$E88,'Исходные данные'!$G88,'Исходные данные'!$J88)</f>
        <v>1200</v>
      </c>
      <c r="U46" s="36">
        <f>CHOOSE('Обобщенный расчет'!$N$1,'Исходные данные'!$E88,'Исходные данные'!$G88,'Исходные данные'!$J88)</f>
        <v>1200</v>
      </c>
      <c r="V46" s="36">
        <f>CHOOSE('Обобщенный расчет'!$N$1,'Исходные данные'!$E88,'Исходные данные'!$G88,'Исходные данные'!$J88)</f>
        <v>1200</v>
      </c>
      <c r="W46" s="36">
        <f>CHOOSE('Обобщенный расчет'!$N$1,'Исходные данные'!$E88,'Исходные данные'!$G88,'Исходные данные'!$J88)</f>
        <v>1200</v>
      </c>
      <c r="X46" s="36">
        <f>CHOOSE('Обобщенный расчет'!$N$1,'Исходные данные'!$E88,'Исходные данные'!$G88,'Исходные данные'!$J88)</f>
        <v>1200</v>
      </c>
      <c r="Y46" s="36">
        <f>CHOOSE('Обобщенный расчет'!$N$1,'Исходные данные'!$E88,'Исходные данные'!$G88,'Исходные данные'!$J88)</f>
        <v>1200</v>
      </c>
      <c r="Z46" s="36">
        <f>CHOOSE('Обобщенный расчет'!$N$1,'Исходные данные'!$E88,'Исходные данные'!$G88,'Исходные данные'!$J88)</f>
        <v>1200</v>
      </c>
      <c r="AA46" s="36">
        <f>CHOOSE('Обобщенный расчет'!$N$1,'Исходные данные'!$E88,'Исходные данные'!$G88,'Исходные данные'!$J88)</f>
        <v>1200</v>
      </c>
      <c r="AB46" s="36">
        <f>CHOOSE('Обобщенный расчет'!$N$1,'Исходные данные'!$E88,'Исходные данные'!$G88,'Исходные данные'!$J88)</f>
        <v>1200</v>
      </c>
      <c r="AC46" s="52">
        <f t="shared" ref="AC46" si="55">SUM(Q46:AB46)</f>
        <v>14400</v>
      </c>
      <c r="AD46" s="52">
        <f t="shared" ref="AD46" si="56">AC46/12</f>
        <v>1200</v>
      </c>
      <c r="AE46" s="36">
        <f>CHOOSE('Обобщенный расчет'!$N$1,'Исходные данные'!$E88,'Исходные данные'!$G88,'Исходные данные'!$J88)</f>
        <v>1200</v>
      </c>
      <c r="AF46" s="36">
        <f>CHOOSE('Обобщенный расчет'!$N$1,'Исходные данные'!$E88,'Исходные данные'!$G88,'Исходные данные'!$J88)</f>
        <v>1200</v>
      </c>
      <c r="AG46" s="36">
        <f>CHOOSE('Обобщенный расчет'!$N$1,'Исходные данные'!$E88,'Исходные данные'!$G88,'Исходные данные'!$J88)</f>
        <v>1200</v>
      </c>
      <c r="AH46" s="36">
        <f>CHOOSE('Обобщенный расчет'!$N$1,'Исходные данные'!$E88,'Исходные данные'!$G88,'Исходные данные'!$J88)</f>
        <v>1200</v>
      </c>
      <c r="AI46" s="36">
        <f>CHOOSE('Обобщенный расчет'!$N$1,'Исходные данные'!$E88,'Исходные данные'!$G88,'Исходные данные'!$J88)</f>
        <v>1200</v>
      </c>
      <c r="AJ46" s="36">
        <f>CHOOSE('Обобщенный расчет'!$N$1,'Исходные данные'!$E88,'Исходные данные'!$G88,'Исходные данные'!$J88)</f>
        <v>1200</v>
      </c>
      <c r="AK46" s="36">
        <f>CHOOSE('Обобщенный расчет'!$N$1,'Исходные данные'!$E88,'Исходные данные'!$G88,'Исходные данные'!$J88)</f>
        <v>1200</v>
      </c>
      <c r="AL46" s="36">
        <f>CHOOSE('Обобщенный расчет'!$N$1,'Исходные данные'!$E88,'Исходные данные'!$G88,'Исходные данные'!$J88)</f>
        <v>1200</v>
      </c>
      <c r="AM46" s="36">
        <f>CHOOSE('Обобщенный расчет'!$N$1,'Исходные данные'!$E88,'Исходные данные'!$G88,'Исходные данные'!$J88)</f>
        <v>1200</v>
      </c>
      <c r="AN46" s="36">
        <f>CHOOSE('Обобщенный расчет'!$N$1,'Исходные данные'!$E88,'Исходные данные'!$G88,'Исходные данные'!$J88)</f>
        <v>1200</v>
      </c>
      <c r="AO46" s="36">
        <f>CHOOSE('Обобщенный расчет'!$N$1,'Исходные данные'!$E88,'Исходные данные'!$G88,'Исходные данные'!$J88)</f>
        <v>1200</v>
      </c>
      <c r="AP46" s="36">
        <f>CHOOSE('Обобщенный расчет'!$N$1,'Исходные данные'!$E88,'Исходные данные'!$G88,'Исходные данные'!$J88)</f>
        <v>1200</v>
      </c>
      <c r="AQ46" s="52">
        <f t="shared" ref="AQ46" si="57">SUM(AE46:AP46)</f>
        <v>14400</v>
      </c>
      <c r="AR46" s="52">
        <f t="shared" ref="AR46" si="58">AQ46/12</f>
        <v>1200</v>
      </c>
      <c r="AS46" s="114">
        <f t="shared" ref="AS46" si="59">O46+AC46+AQ46</f>
        <v>43200</v>
      </c>
      <c r="AT46" s="37"/>
    </row>
    <row r="47" spans="1:46" s="35" customFormat="1" ht="10.5" x14ac:dyDescent="0.35">
      <c r="A47" s="60" t="str">
        <f>'Обобщенный расчет'!B39</f>
        <v>Услуги связи и интернет</v>
      </c>
      <c r="B47" s="21" t="str">
        <f>CHOOSE('Исходные данные'!$O$2,'Исходные данные'!$P$2,'Исходные данные'!$P$3,'Исходные данные'!$P$4,'Исходные данные'!$P$5)</f>
        <v>UAH</v>
      </c>
      <c r="C47" s="33">
        <f>C12*CHOOSE('Обобщенный расчет'!$N$1,'Исходные данные'!$E89,'Исходные данные'!$G89,'Исходные данные'!$J89)</f>
        <v>1500</v>
      </c>
      <c r="D47" s="33">
        <f>D12*CHOOSE('Обобщенный расчет'!$N$1,'Исходные данные'!$E89,'Исходные данные'!$G89,'Исходные данные'!$J89)</f>
        <v>1500</v>
      </c>
      <c r="E47" s="33">
        <f>E12*CHOOSE('Обобщенный расчет'!$N$1,'Исходные данные'!$E89,'Исходные данные'!$G89,'Исходные данные'!$J89)</f>
        <v>1500</v>
      </c>
      <c r="F47" s="33">
        <f>F12*CHOOSE('Обобщенный расчет'!$N$1,'Исходные данные'!$E89,'Исходные данные'!$G89,'Исходные данные'!$J89)</f>
        <v>1500</v>
      </c>
      <c r="G47" s="33">
        <f>G12*CHOOSE('Обобщенный расчет'!$N$1,'Исходные данные'!$E89,'Исходные данные'!$G89,'Исходные данные'!$J89)</f>
        <v>1500</v>
      </c>
      <c r="H47" s="33">
        <f>H12*CHOOSE('Обобщенный расчет'!$N$1,'Исходные данные'!$E89,'Исходные данные'!$G89,'Исходные данные'!$J89)</f>
        <v>1500</v>
      </c>
      <c r="I47" s="33">
        <f>I12*CHOOSE('Обобщенный расчет'!$N$1,'Исходные данные'!$E89,'Исходные данные'!$G89,'Исходные данные'!$J89)</f>
        <v>1500</v>
      </c>
      <c r="J47" s="33">
        <f>J12*CHOOSE('Обобщенный расчет'!$N$1,'Исходные данные'!$E89,'Исходные данные'!$G89,'Исходные данные'!$J89)</f>
        <v>1500</v>
      </c>
      <c r="K47" s="33">
        <f>K12*CHOOSE('Обобщенный расчет'!$N$1,'Исходные данные'!$E89,'Исходные данные'!$G89,'Исходные данные'!$J89)</f>
        <v>1500</v>
      </c>
      <c r="L47" s="33">
        <f>L12*CHOOSE('Обобщенный расчет'!$N$1,'Исходные данные'!$E89,'Исходные данные'!$G89,'Исходные данные'!$J89)</f>
        <v>1500</v>
      </c>
      <c r="M47" s="33">
        <f>M12*CHOOSE('Обобщенный расчет'!$N$1,'Исходные данные'!$E89,'Исходные данные'!$G89,'Исходные данные'!$J89)</f>
        <v>1500</v>
      </c>
      <c r="N47" s="33">
        <f>N12*CHOOSE('Обобщенный расчет'!$N$1,'Исходные данные'!$E89,'Исходные данные'!$G89,'Исходные данные'!$J89)</f>
        <v>1500</v>
      </c>
      <c r="O47" s="107">
        <f t="shared" si="47"/>
        <v>18000</v>
      </c>
      <c r="P47" s="107">
        <f t="shared" ref="P47:P57" si="60">O47/12</f>
        <v>1500</v>
      </c>
      <c r="Q47" s="33">
        <f>Q12*CHOOSE('Обобщенный расчет'!$N$1,'Исходные данные'!$E89,'Исходные данные'!$G89,'Исходные данные'!$J89)</f>
        <v>1500</v>
      </c>
      <c r="R47" s="33">
        <f>R12*CHOOSE('Обобщенный расчет'!$N$1,'Исходные данные'!$E89,'Исходные данные'!$G89,'Исходные данные'!$J89)</f>
        <v>1500</v>
      </c>
      <c r="S47" s="33">
        <f>S12*CHOOSE('Обобщенный расчет'!$N$1,'Исходные данные'!$E89,'Исходные данные'!$G89,'Исходные данные'!$J89)</f>
        <v>1500</v>
      </c>
      <c r="T47" s="33">
        <f>T12*CHOOSE('Обобщенный расчет'!$N$1,'Исходные данные'!$E89,'Исходные данные'!$G89,'Исходные данные'!$J89)</f>
        <v>1500</v>
      </c>
      <c r="U47" s="33">
        <f>U12*CHOOSE('Обобщенный расчет'!$N$1,'Исходные данные'!$E89,'Исходные данные'!$G89,'Исходные данные'!$J89)</f>
        <v>1500</v>
      </c>
      <c r="V47" s="33">
        <f>V12*CHOOSE('Обобщенный расчет'!$N$1,'Исходные данные'!$E89,'Исходные данные'!$G89,'Исходные данные'!$J89)</f>
        <v>1500</v>
      </c>
      <c r="W47" s="33">
        <f>W12*CHOOSE('Обобщенный расчет'!$N$1,'Исходные данные'!$E89,'Исходные данные'!$G89,'Исходные данные'!$J89)</f>
        <v>1500</v>
      </c>
      <c r="X47" s="33">
        <f>X12*CHOOSE('Обобщенный расчет'!$N$1,'Исходные данные'!$E89,'Исходные данные'!$G89,'Исходные данные'!$J89)</f>
        <v>1500</v>
      </c>
      <c r="Y47" s="33">
        <f>Y12*CHOOSE('Обобщенный расчет'!$N$1,'Исходные данные'!$E89,'Исходные данные'!$G89,'Исходные данные'!$J89)</f>
        <v>1500</v>
      </c>
      <c r="Z47" s="33">
        <f>Z12*CHOOSE('Обобщенный расчет'!$N$1,'Исходные данные'!$E89,'Исходные данные'!$G89,'Исходные данные'!$J89)</f>
        <v>1500</v>
      </c>
      <c r="AA47" s="33">
        <f>AA12*CHOOSE('Обобщенный расчет'!$N$1,'Исходные данные'!$E89,'Исходные данные'!$G89,'Исходные данные'!$J89)</f>
        <v>1500</v>
      </c>
      <c r="AB47" s="33">
        <f>AB12*CHOOSE('Обобщенный расчет'!$N$1,'Исходные данные'!$E89,'Исходные данные'!$G89,'Исходные данные'!$J89)</f>
        <v>1500</v>
      </c>
      <c r="AC47" s="107">
        <f t="shared" ref="AC47:AC57" si="61">SUM(Q47:AB47)</f>
        <v>18000</v>
      </c>
      <c r="AD47" s="107">
        <f t="shared" ref="AD47:AD57" si="62">AC47/12</f>
        <v>1500</v>
      </c>
      <c r="AE47" s="33">
        <f>AE12*CHOOSE('Обобщенный расчет'!$N$1,'Исходные данные'!$E89,'Исходные данные'!$G89,'Исходные данные'!$J89)</f>
        <v>1500</v>
      </c>
      <c r="AF47" s="33">
        <f>AF12*CHOOSE('Обобщенный расчет'!$N$1,'Исходные данные'!$E89,'Исходные данные'!$G89,'Исходные данные'!$J89)</f>
        <v>1500</v>
      </c>
      <c r="AG47" s="33">
        <f>AG12*CHOOSE('Обобщенный расчет'!$N$1,'Исходные данные'!$E89,'Исходные данные'!$G89,'Исходные данные'!$J89)</f>
        <v>1500</v>
      </c>
      <c r="AH47" s="33">
        <f>AH12*CHOOSE('Обобщенный расчет'!$N$1,'Исходные данные'!$E89,'Исходные данные'!$G89,'Исходные данные'!$J89)</f>
        <v>1500</v>
      </c>
      <c r="AI47" s="33">
        <f>AI12*CHOOSE('Обобщенный расчет'!$N$1,'Исходные данные'!$E89,'Исходные данные'!$G89,'Исходные данные'!$J89)</f>
        <v>1500</v>
      </c>
      <c r="AJ47" s="33">
        <f>AJ12*CHOOSE('Обобщенный расчет'!$N$1,'Исходные данные'!$E89,'Исходные данные'!$G89,'Исходные данные'!$J89)</f>
        <v>1500</v>
      </c>
      <c r="AK47" s="33">
        <f>AK12*CHOOSE('Обобщенный расчет'!$N$1,'Исходные данные'!$E89,'Исходные данные'!$G89,'Исходные данные'!$J89)</f>
        <v>1500</v>
      </c>
      <c r="AL47" s="33">
        <f>AL12*CHOOSE('Обобщенный расчет'!$N$1,'Исходные данные'!$E89,'Исходные данные'!$G89,'Исходные данные'!$J89)</f>
        <v>1500</v>
      </c>
      <c r="AM47" s="33">
        <f>AM12*CHOOSE('Обобщенный расчет'!$N$1,'Исходные данные'!$E89,'Исходные данные'!$G89,'Исходные данные'!$J89)</f>
        <v>1500</v>
      </c>
      <c r="AN47" s="33">
        <f>AN12*CHOOSE('Обобщенный расчет'!$N$1,'Исходные данные'!$E89,'Исходные данные'!$G89,'Исходные данные'!$J89)</f>
        <v>1500</v>
      </c>
      <c r="AO47" s="33">
        <f>AO12*CHOOSE('Обобщенный расчет'!$N$1,'Исходные данные'!$E89,'Исходные данные'!$G89,'Исходные данные'!$J89)</f>
        <v>1500</v>
      </c>
      <c r="AP47" s="33">
        <f>AP12*CHOOSE('Обобщенный расчет'!$N$1,'Исходные данные'!$E89,'Исходные данные'!$G89,'Исходные данные'!$J89)</f>
        <v>1500</v>
      </c>
      <c r="AQ47" s="107">
        <f t="shared" ref="AQ47:AQ57" si="63">SUM(AE47:AP47)</f>
        <v>18000</v>
      </c>
      <c r="AR47" s="107">
        <f t="shared" ref="AR47:AR57" si="64">AQ47/12</f>
        <v>1500</v>
      </c>
      <c r="AS47" s="114">
        <f t="shared" ref="AS47:AS57" si="65">O47+AC47+AQ47</f>
        <v>54000</v>
      </c>
      <c r="AT47" s="34"/>
    </row>
    <row r="48" spans="1:46" s="38" customFormat="1" ht="10.5" x14ac:dyDescent="0.35">
      <c r="A48" s="61" t="str">
        <f>'Обобщенный расчет'!B40</f>
        <v>Уборка помещения</v>
      </c>
      <c r="B48" s="24" t="str">
        <f>CHOOSE('Исходные данные'!$O$2,'Исходные данные'!$P$2,'Исходные данные'!$P$3,'Исходные данные'!$P$4,'Исходные данные'!$P$5)</f>
        <v>UAH</v>
      </c>
      <c r="C48" s="36">
        <f>CHOOSE('Обобщенный расчет'!$N$1,'Исходные данные'!$E90,'Исходные данные'!$G90,'Исходные данные'!$J90)</f>
        <v>6000</v>
      </c>
      <c r="D48" s="36">
        <f>CHOOSE('Обобщенный расчет'!$N$1,'Исходные данные'!$E90,'Исходные данные'!$G90,'Исходные данные'!$J90)</f>
        <v>6000</v>
      </c>
      <c r="E48" s="36">
        <f>CHOOSE('Обобщенный расчет'!$N$1,'Исходные данные'!$E90,'Исходные данные'!$G90,'Исходные данные'!$J90)</f>
        <v>6000</v>
      </c>
      <c r="F48" s="36">
        <f>CHOOSE('Обобщенный расчет'!$N$1,'Исходные данные'!$E90,'Исходные данные'!$G90,'Исходные данные'!$J90)</f>
        <v>6000</v>
      </c>
      <c r="G48" s="36">
        <f>CHOOSE('Обобщенный расчет'!$N$1,'Исходные данные'!$E90,'Исходные данные'!$G90,'Исходные данные'!$J90)</f>
        <v>6000</v>
      </c>
      <c r="H48" s="36">
        <f>CHOOSE('Обобщенный расчет'!$N$1,'Исходные данные'!$E90,'Исходные данные'!$G90,'Исходные данные'!$J90)</f>
        <v>6000</v>
      </c>
      <c r="I48" s="36">
        <f>CHOOSE('Обобщенный расчет'!$N$1,'Исходные данные'!$E90,'Исходные данные'!$G90,'Исходные данные'!$J90)</f>
        <v>6000</v>
      </c>
      <c r="J48" s="36">
        <f>CHOOSE('Обобщенный расчет'!$N$1,'Исходные данные'!$E90,'Исходные данные'!$G90,'Исходные данные'!$J90)</f>
        <v>6000</v>
      </c>
      <c r="K48" s="36">
        <f>CHOOSE('Обобщенный расчет'!$N$1,'Исходные данные'!$E90,'Исходные данные'!$G90,'Исходные данные'!$J90)</f>
        <v>6000</v>
      </c>
      <c r="L48" s="36">
        <f>CHOOSE('Обобщенный расчет'!$N$1,'Исходные данные'!$E90,'Исходные данные'!$G90,'Исходные данные'!$J90)</f>
        <v>6000</v>
      </c>
      <c r="M48" s="36">
        <f>CHOOSE('Обобщенный расчет'!$N$1,'Исходные данные'!$E90,'Исходные данные'!$G90,'Исходные данные'!$J90)</f>
        <v>6000</v>
      </c>
      <c r="N48" s="36">
        <f>CHOOSE('Обобщенный расчет'!$N$1,'Исходные данные'!$E90,'Исходные данные'!$G90,'Исходные данные'!$J90)</f>
        <v>6000</v>
      </c>
      <c r="O48" s="52">
        <f>SUM(C48:N48)</f>
        <v>72000</v>
      </c>
      <c r="P48" s="52">
        <f>O48/12</f>
        <v>6000</v>
      </c>
      <c r="Q48" s="36">
        <f>CHOOSE('Обобщенный расчет'!$N$1,'Исходные данные'!$E90,'Исходные данные'!$G90,'Исходные данные'!$J90)</f>
        <v>6000</v>
      </c>
      <c r="R48" s="36">
        <f>CHOOSE('Обобщенный расчет'!$N$1,'Исходные данные'!$E90,'Исходные данные'!$G90,'Исходные данные'!$J90)</f>
        <v>6000</v>
      </c>
      <c r="S48" s="36">
        <f>CHOOSE('Обобщенный расчет'!$N$1,'Исходные данные'!$E90,'Исходные данные'!$G90,'Исходные данные'!$J90)</f>
        <v>6000</v>
      </c>
      <c r="T48" s="36">
        <f>CHOOSE('Обобщенный расчет'!$N$1,'Исходные данные'!$E90,'Исходные данные'!$G90,'Исходные данные'!$J90)</f>
        <v>6000</v>
      </c>
      <c r="U48" s="36">
        <f>CHOOSE('Обобщенный расчет'!$N$1,'Исходные данные'!$E90,'Исходные данные'!$G90,'Исходные данные'!$J90)</f>
        <v>6000</v>
      </c>
      <c r="V48" s="36">
        <f>CHOOSE('Обобщенный расчет'!$N$1,'Исходные данные'!$E90,'Исходные данные'!$G90,'Исходные данные'!$J90)</f>
        <v>6000</v>
      </c>
      <c r="W48" s="36">
        <f>CHOOSE('Обобщенный расчет'!$N$1,'Исходные данные'!$E90,'Исходные данные'!$G90,'Исходные данные'!$J90)</f>
        <v>6000</v>
      </c>
      <c r="X48" s="36">
        <f>CHOOSE('Обобщенный расчет'!$N$1,'Исходные данные'!$E90,'Исходные данные'!$G90,'Исходные данные'!$J90)</f>
        <v>6000</v>
      </c>
      <c r="Y48" s="36">
        <f>CHOOSE('Обобщенный расчет'!$N$1,'Исходные данные'!$E90,'Исходные данные'!$G90,'Исходные данные'!$J90)</f>
        <v>6000</v>
      </c>
      <c r="Z48" s="36">
        <f>CHOOSE('Обобщенный расчет'!$N$1,'Исходные данные'!$E90,'Исходные данные'!$G90,'Исходные данные'!$J90)</f>
        <v>6000</v>
      </c>
      <c r="AA48" s="36">
        <f>CHOOSE('Обобщенный расчет'!$N$1,'Исходные данные'!$E90,'Исходные данные'!$G90,'Исходные данные'!$J90)</f>
        <v>6000</v>
      </c>
      <c r="AB48" s="36">
        <f>CHOOSE('Обобщенный расчет'!$N$1,'Исходные данные'!$E90,'Исходные данные'!$G90,'Исходные данные'!$J90)</f>
        <v>6000</v>
      </c>
      <c r="AC48" s="52">
        <f>SUM(Q48:AB48)</f>
        <v>72000</v>
      </c>
      <c r="AD48" s="52">
        <f>AC48/12</f>
        <v>6000</v>
      </c>
      <c r="AE48" s="36">
        <f>CHOOSE('Обобщенный расчет'!$N$1,'Исходные данные'!$E90,'Исходные данные'!$G90,'Исходные данные'!$J90)</f>
        <v>6000</v>
      </c>
      <c r="AF48" s="36">
        <f>CHOOSE('Обобщенный расчет'!$N$1,'Исходные данные'!$E90,'Исходные данные'!$G90,'Исходные данные'!$J90)</f>
        <v>6000</v>
      </c>
      <c r="AG48" s="36">
        <f>CHOOSE('Обобщенный расчет'!$N$1,'Исходные данные'!$E90,'Исходные данные'!$G90,'Исходные данные'!$J90)</f>
        <v>6000</v>
      </c>
      <c r="AH48" s="36">
        <f>CHOOSE('Обобщенный расчет'!$N$1,'Исходные данные'!$E90,'Исходные данные'!$G90,'Исходные данные'!$J90)</f>
        <v>6000</v>
      </c>
      <c r="AI48" s="36">
        <f>CHOOSE('Обобщенный расчет'!$N$1,'Исходные данные'!$E90,'Исходные данные'!$G90,'Исходные данные'!$J90)</f>
        <v>6000</v>
      </c>
      <c r="AJ48" s="36">
        <f>CHOOSE('Обобщенный расчет'!$N$1,'Исходные данные'!$E90,'Исходные данные'!$G90,'Исходные данные'!$J90)</f>
        <v>6000</v>
      </c>
      <c r="AK48" s="36">
        <f>CHOOSE('Обобщенный расчет'!$N$1,'Исходные данные'!$E90,'Исходные данные'!$G90,'Исходные данные'!$J90)</f>
        <v>6000</v>
      </c>
      <c r="AL48" s="36">
        <f>CHOOSE('Обобщенный расчет'!$N$1,'Исходные данные'!$E90,'Исходные данные'!$G90,'Исходные данные'!$J90)</f>
        <v>6000</v>
      </c>
      <c r="AM48" s="36">
        <f>CHOOSE('Обобщенный расчет'!$N$1,'Исходные данные'!$E90,'Исходные данные'!$G90,'Исходные данные'!$J90)</f>
        <v>6000</v>
      </c>
      <c r="AN48" s="36">
        <f>CHOOSE('Обобщенный расчет'!$N$1,'Исходные данные'!$E90,'Исходные данные'!$G90,'Исходные данные'!$J90)</f>
        <v>6000</v>
      </c>
      <c r="AO48" s="36">
        <f>CHOOSE('Обобщенный расчет'!$N$1,'Исходные данные'!$E90,'Исходные данные'!$G90,'Исходные данные'!$J90)</f>
        <v>6000</v>
      </c>
      <c r="AP48" s="36">
        <f>CHOOSE('Обобщенный расчет'!$N$1,'Исходные данные'!$E90,'Исходные данные'!$G90,'Исходные данные'!$J90)</f>
        <v>6000</v>
      </c>
      <c r="AQ48" s="52">
        <f>SUM(AE48:AP48)</f>
        <v>72000</v>
      </c>
      <c r="AR48" s="52">
        <f>AQ48/12</f>
        <v>6000</v>
      </c>
      <c r="AS48" s="114">
        <f>O48+AC48+AQ48</f>
        <v>216000</v>
      </c>
      <c r="AT48" s="37"/>
    </row>
    <row r="49" spans="1:46" s="35" customFormat="1" ht="10.5" x14ac:dyDescent="0.35">
      <c r="A49" s="60" t="str">
        <f>'Обобщенный расчет'!B41</f>
        <v>Стирка белья</v>
      </c>
      <c r="B49" s="21" t="str">
        <f>CHOOSE('Исходные данные'!$O$2,'Исходные данные'!$P$2,'Исходные данные'!$P$3,'Исходные данные'!$P$4,'Исходные данные'!$P$5)</f>
        <v>UAH</v>
      </c>
      <c r="C49" s="33">
        <f>CHOOSE('Обобщенный расчет'!$N$1,'Исходные данные'!$E91,'Исходные данные'!$G91,'Исходные данные'!$J91)</f>
        <v>15000</v>
      </c>
      <c r="D49" s="33">
        <f>CHOOSE('Обобщенный расчет'!$N$1,'Исходные данные'!$E91,'Исходные данные'!$G91,'Исходные данные'!$J91)</f>
        <v>15000</v>
      </c>
      <c r="E49" s="33">
        <f>CHOOSE('Обобщенный расчет'!$N$1,'Исходные данные'!$E91,'Исходные данные'!$G91,'Исходные данные'!$J91)</f>
        <v>15000</v>
      </c>
      <c r="F49" s="33">
        <f>CHOOSE('Обобщенный расчет'!$N$1,'Исходные данные'!$E91,'Исходные данные'!$G91,'Исходные данные'!$J91)</f>
        <v>15000</v>
      </c>
      <c r="G49" s="33">
        <f>CHOOSE('Обобщенный расчет'!$N$1,'Исходные данные'!$E91,'Исходные данные'!$G91,'Исходные данные'!$J91)</f>
        <v>15000</v>
      </c>
      <c r="H49" s="33">
        <f>CHOOSE('Обобщенный расчет'!$N$1,'Исходные данные'!$E91,'Исходные данные'!$G91,'Исходные данные'!$J91)</f>
        <v>15000</v>
      </c>
      <c r="I49" s="33">
        <f>CHOOSE('Обобщенный расчет'!$N$1,'Исходные данные'!$E91,'Исходные данные'!$G91,'Исходные данные'!$J91)</f>
        <v>15000</v>
      </c>
      <c r="J49" s="33">
        <f>CHOOSE('Обобщенный расчет'!$N$1,'Исходные данные'!$E91,'Исходные данные'!$G91,'Исходные данные'!$J91)</f>
        <v>15000</v>
      </c>
      <c r="K49" s="33">
        <f>CHOOSE('Обобщенный расчет'!$N$1,'Исходные данные'!$E91,'Исходные данные'!$G91,'Исходные данные'!$J91)</f>
        <v>15000</v>
      </c>
      <c r="L49" s="33">
        <f>CHOOSE('Обобщенный расчет'!$N$1,'Исходные данные'!$E91,'Исходные данные'!$G91,'Исходные данные'!$J91)</f>
        <v>15000</v>
      </c>
      <c r="M49" s="33">
        <f>CHOOSE('Обобщенный расчет'!$N$1,'Исходные данные'!$E91,'Исходные данные'!$G91,'Исходные данные'!$J91)</f>
        <v>15000</v>
      </c>
      <c r="N49" s="33">
        <f>CHOOSE('Обобщенный расчет'!$N$1,'Исходные данные'!$E91,'Исходные данные'!$G91,'Исходные данные'!$J91)</f>
        <v>15000</v>
      </c>
      <c r="O49" s="107">
        <f>SUM(C49:N49)</f>
        <v>180000</v>
      </c>
      <c r="P49" s="107">
        <f>O49/12</f>
        <v>15000</v>
      </c>
      <c r="Q49" s="33">
        <f>CHOOSE('Обобщенный расчет'!$N$1,'Исходные данные'!$E91,'Исходные данные'!$G91,'Исходные данные'!$J91)</f>
        <v>15000</v>
      </c>
      <c r="R49" s="33">
        <f>CHOOSE('Обобщенный расчет'!$N$1,'Исходные данные'!$E91,'Исходные данные'!$G91,'Исходные данные'!$J91)</f>
        <v>15000</v>
      </c>
      <c r="S49" s="33">
        <f>CHOOSE('Обобщенный расчет'!$N$1,'Исходные данные'!$E91,'Исходные данные'!$G91,'Исходные данные'!$J91)</f>
        <v>15000</v>
      </c>
      <c r="T49" s="33">
        <f>CHOOSE('Обобщенный расчет'!$N$1,'Исходные данные'!$E91,'Исходные данные'!$G91,'Исходные данные'!$J91)</f>
        <v>15000</v>
      </c>
      <c r="U49" s="33">
        <f>CHOOSE('Обобщенный расчет'!$N$1,'Исходные данные'!$E91,'Исходные данные'!$G91,'Исходные данные'!$J91)</f>
        <v>15000</v>
      </c>
      <c r="V49" s="33">
        <f>CHOOSE('Обобщенный расчет'!$N$1,'Исходные данные'!$E91,'Исходные данные'!$G91,'Исходные данные'!$J91)</f>
        <v>15000</v>
      </c>
      <c r="W49" s="33">
        <f>CHOOSE('Обобщенный расчет'!$N$1,'Исходные данные'!$E91,'Исходные данные'!$G91,'Исходные данные'!$J91)</f>
        <v>15000</v>
      </c>
      <c r="X49" s="33">
        <f>CHOOSE('Обобщенный расчет'!$N$1,'Исходные данные'!$E91,'Исходные данные'!$G91,'Исходные данные'!$J91)</f>
        <v>15000</v>
      </c>
      <c r="Y49" s="33">
        <f>CHOOSE('Обобщенный расчет'!$N$1,'Исходные данные'!$E91,'Исходные данные'!$G91,'Исходные данные'!$J91)</f>
        <v>15000</v>
      </c>
      <c r="Z49" s="33">
        <f>CHOOSE('Обобщенный расчет'!$N$1,'Исходные данные'!$E91,'Исходные данные'!$G91,'Исходные данные'!$J91)</f>
        <v>15000</v>
      </c>
      <c r="AA49" s="33">
        <f>CHOOSE('Обобщенный расчет'!$N$1,'Исходные данные'!$E91,'Исходные данные'!$G91,'Исходные данные'!$J91)</f>
        <v>15000</v>
      </c>
      <c r="AB49" s="33">
        <f>CHOOSE('Обобщенный расчет'!$N$1,'Исходные данные'!$E91,'Исходные данные'!$G91,'Исходные данные'!$J91)</f>
        <v>15000</v>
      </c>
      <c r="AC49" s="107">
        <f>SUM(Q49:AB49)</f>
        <v>180000</v>
      </c>
      <c r="AD49" s="107">
        <f>AC49/12</f>
        <v>15000</v>
      </c>
      <c r="AE49" s="33">
        <f>CHOOSE('Обобщенный расчет'!$N$1,'Исходные данные'!$E91,'Исходные данные'!$G91,'Исходные данные'!$J91)</f>
        <v>15000</v>
      </c>
      <c r="AF49" s="33">
        <f>CHOOSE('Обобщенный расчет'!$N$1,'Исходные данные'!$E91,'Исходные данные'!$G91,'Исходные данные'!$J91)</f>
        <v>15000</v>
      </c>
      <c r="AG49" s="33">
        <f>CHOOSE('Обобщенный расчет'!$N$1,'Исходные данные'!$E91,'Исходные данные'!$G91,'Исходные данные'!$J91)</f>
        <v>15000</v>
      </c>
      <c r="AH49" s="33">
        <f>CHOOSE('Обобщенный расчет'!$N$1,'Исходные данные'!$E91,'Исходные данные'!$G91,'Исходные данные'!$J91)</f>
        <v>15000</v>
      </c>
      <c r="AI49" s="33">
        <f>CHOOSE('Обобщенный расчет'!$N$1,'Исходные данные'!$E91,'Исходные данные'!$G91,'Исходные данные'!$J91)</f>
        <v>15000</v>
      </c>
      <c r="AJ49" s="33">
        <f>CHOOSE('Обобщенный расчет'!$N$1,'Исходные данные'!$E91,'Исходные данные'!$G91,'Исходные данные'!$J91)</f>
        <v>15000</v>
      </c>
      <c r="AK49" s="33">
        <f>CHOOSE('Обобщенный расчет'!$N$1,'Исходные данные'!$E91,'Исходные данные'!$G91,'Исходные данные'!$J91)</f>
        <v>15000</v>
      </c>
      <c r="AL49" s="33">
        <f>CHOOSE('Обобщенный расчет'!$N$1,'Исходные данные'!$E91,'Исходные данные'!$G91,'Исходные данные'!$J91)</f>
        <v>15000</v>
      </c>
      <c r="AM49" s="33">
        <f>CHOOSE('Обобщенный расчет'!$N$1,'Исходные данные'!$E91,'Исходные данные'!$G91,'Исходные данные'!$J91)</f>
        <v>15000</v>
      </c>
      <c r="AN49" s="33">
        <f>CHOOSE('Обобщенный расчет'!$N$1,'Исходные данные'!$E91,'Исходные данные'!$G91,'Исходные данные'!$J91)</f>
        <v>15000</v>
      </c>
      <c r="AO49" s="33">
        <f>CHOOSE('Обобщенный расчет'!$N$1,'Исходные данные'!$E91,'Исходные данные'!$G91,'Исходные данные'!$J91)</f>
        <v>15000</v>
      </c>
      <c r="AP49" s="33">
        <f>CHOOSE('Обобщенный расчет'!$N$1,'Исходные данные'!$E91,'Исходные данные'!$G91,'Исходные данные'!$J91)</f>
        <v>15000</v>
      </c>
      <c r="AQ49" s="107">
        <f>SUM(AE49:AP49)</f>
        <v>180000</v>
      </c>
      <c r="AR49" s="107">
        <f>AQ49/12</f>
        <v>15000</v>
      </c>
      <c r="AS49" s="114">
        <f>O49+AC49+AQ49</f>
        <v>540000</v>
      </c>
      <c r="AT49" s="34"/>
    </row>
    <row r="50" spans="1:46" s="38" customFormat="1" ht="10.5" x14ac:dyDescent="0.35">
      <c r="A50" s="61" t="str">
        <f>'Обобщенный расчет'!B42</f>
        <v>Ведение бухгалтерского учета</v>
      </c>
      <c r="B50" s="24" t="str">
        <f>CHOOSE('Исходные данные'!$O$2,'Исходные данные'!$P$2,'Исходные данные'!$P$3,'Исходные данные'!$P$4,'Исходные данные'!$P$5)</f>
        <v>UAH</v>
      </c>
      <c r="C50" s="36">
        <f>CHOOSE('Обобщенный расчет'!$N$1,'Исходные данные'!$E92,'Исходные данные'!$G92,'Исходные данные'!$J92)</f>
        <v>2000</v>
      </c>
      <c r="D50" s="36">
        <f>CHOOSE('Обобщенный расчет'!$N$1,'Исходные данные'!$E92,'Исходные данные'!$G92,'Исходные данные'!$J92)</f>
        <v>2000</v>
      </c>
      <c r="E50" s="36">
        <f>CHOOSE('Обобщенный расчет'!$N$1,'Исходные данные'!$E92,'Исходные данные'!$G92,'Исходные данные'!$J92)</f>
        <v>2000</v>
      </c>
      <c r="F50" s="36">
        <f>CHOOSE('Обобщенный расчет'!$N$1,'Исходные данные'!$E92,'Исходные данные'!$G92,'Исходные данные'!$J92)</f>
        <v>2000</v>
      </c>
      <c r="G50" s="36">
        <f>CHOOSE('Обобщенный расчет'!$N$1,'Исходные данные'!$E92,'Исходные данные'!$G92,'Исходные данные'!$J92)</f>
        <v>2000</v>
      </c>
      <c r="H50" s="36">
        <f>CHOOSE('Обобщенный расчет'!$N$1,'Исходные данные'!$E92,'Исходные данные'!$G92,'Исходные данные'!$J92)</f>
        <v>2000</v>
      </c>
      <c r="I50" s="36">
        <f>CHOOSE('Обобщенный расчет'!$N$1,'Исходные данные'!$E92,'Исходные данные'!$G92,'Исходные данные'!$J92)</f>
        <v>2000</v>
      </c>
      <c r="J50" s="36">
        <f>CHOOSE('Обобщенный расчет'!$N$1,'Исходные данные'!$E92,'Исходные данные'!$G92,'Исходные данные'!$J92)</f>
        <v>2000</v>
      </c>
      <c r="K50" s="36">
        <f>CHOOSE('Обобщенный расчет'!$N$1,'Исходные данные'!$E92,'Исходные данные'!$G92,'Исходные данные'!$J92)</f>
        <v>2000</v>
      </c>
      <c r="L50" s="36">
        <f>CHOOSE('Обобщенный расчет'!$N$1,'Исходные данные'!$E92,'Исходные данные'!$G92,'Исходные данные'!$J92)</f>
        <v>2000</v>
      </c>
      <c r="M50" s="36">
        <f>CHOOSE('Обобщенный расчет'!$N$1,'Исходные данные'!$E92,'Исходные данные'!$G92,'Исходные данные'!$J92)</f>
        <v>2000</v>
      </c>
      <c r="N50" s="36">
        <f>CHOOSE('Обобщенный расчет'!$N$1,'Исходные данные'!$E92,'Исходные данные'!$G92,'Исходные данные'!$J92)</f>
        <v>2000</v>
      </c>
      <c r="O50" s="52">
        <f t="shared" ref="O50:O57" si="66">SUM(C50:N50)</f>
        <v>24000</v>
      </c>
      <c r="P50" s="52">
        <f t="shared" si="60"/>
        <v>2000</v>
      </c>
      <c r="Q50" s="36">
        <f>CHOOSE('Обобщенный расчет'!$N$1,'Исходные данные'!$E92,'Исходные данные'!$G92,'Исходные данные'!$J92)</f>
        <v>2000</v>
      </c>
      <c r="R50" s="36">
        <f>CHOOSE('Обобщенный расчет'!$N$1,'Исходные данные'!$E92,'Исходные данные'!$G92,'Исходные данные'!$J92)</f>
        <v>2000</v>
      </c>
      <c r="S50" s="36">
        <f>CHOOSE('Обобщенный расчет'!$N$1,'Исходные данные'!$E92,'Исходные данные'!$G92,'Исходные данные'!$J92)</f>
        <v>2000</v>
      </c>
      <c r="T50" s="36">
        <f>CHOOSE('Обобщенный расчет'!$N$1,'Исходные данные'!$E92,'Исходные данные'!$G92,'Исходные данные'!$J92)</f>
        <v>2000</v>
      </c>
      <c r="U50" s="36">
        <f>CHOOSE('Обобщенный расчет'!$N$1,'Исходные данные'!$E92,'Исходные данные'!$G92,'Исходные данные'!$J92)</f>
        <v>2000</v>
      </c>
      <c r="V50" s="36">
        <f>CHOOSE('Обобщенный расчет'!$N$1,'Исходные данные'!$E92,'Исходные данные'!$G92,'Исходные данные'!$J92)</f>
        <v>2000</v>
      </c>
      <c r="W50" s="36">
        <f>CHOOSE('Обобщенный расчет'!$N$1,'Исходные данные'!$E92,'Исходные данные'!$G92,'Исходные данные'!$J92)</f>
        <v>2000</v>
      </c>
      <c r="X50" s="36">
        <f>CHOOSE('Обобщенный расчет'!$N$1,'Исходные данные'!$E92,'Исходные данные'!$G92,'Исходные данные'!$J92)</f>
        <v>2000</v>
      </c>
      <c r="Y50" s="36">
        <f>CHOOSE('Обобщенный расчет'!$N$1,'Исходные данные'!$E92,'Исходные данные'!$G92,'Исходные данные'!$J92)</f>
        <v>2000</v>
      </c>
      <c r="Z50" s="36">
        <f>CHOOSE('Обобщенный расчет'!$N$1,'Исходные данные'!$E92,'Исходные данные'!$G92,'Исходные данные'!$J92)</f>
        <v>2000</v>
      </c>
      <c r="AA50" s="36">
        <f>CHOOSE('Обобщенный расчет'!$N$1,'Исходные данные'!$E92,'Исходные данные'!$G92,'Исходные данные'!$J92)</f>
        <v>2000</v>
      </c>
      <c r="AB50" s="36">
        <f>CHOOSE('Обобщенный расчет'!$N$1,'Исходные данные'!$E92,'Исходные данные'!$G92,'Исходные данные'!$J92)</f>
        <v>2000</v>
      </c>
      <c r="AC50" s="52">
        <f t="shared" si="61"/>
        <v>24000</v>
      </c>
      <c r="AD50" s="52">
        <f t="shared" si="62"/>
        <v>2000</v>
      </c>
      <c r="AE50" s="36">
        <f>CHOOSE('Обобщенный расчет'!$N$1,'Исходные данные'!$E92,'Исходные данные'!$G92,'Исходные данные'!$J92)</f>
        <v>2000</v>
      </c>
      <c r="AF50" s="36">
        <f>CHOOSE('Обобщенный расчет'!$N$1,'Исходные данные'!$E92,'Исходные данные'!$G92,'Исходные данные'!$J92)</f>
        <v>2000</v>
      </c>
      <c r="AG50" s="36">
        <f>CHOOSE('Обобщенный расчет'!$N$1,'Исходные данные'!$E92,'Исходные данные'!$G92,'Исходные данные'!$J92)</f>
        <v>2000</v>
      </c>
      <c r="AH50" s="36">
        <f>CHOOSE('Обобщенный расчет'!$N$1,'Исходные данные'!$E92,'Исходные данные'!$G92,'Исходные данные'!$J92)</f>
        <v>2000</v>
      </c>
      <c r="AI50" s="36">
        <f>CHOOSE('Обобщенный расчет'!$N$1,'Исходные данные'!$E92,'Исходные данные'!$G92,'Исходные данные'!$J92)</f>
        <v>2000</v>
      </c>
      <c r="AJ50" s="36">
        <f>CHOOSE('Обобщенный расчет'!$N$1,'Исходные данные'!$E92,'Исходные данные'!$G92,'Исходные данные'!$J92)</f>
        <v>2000</v>
      </c>
      <c r="AK50" s="36">
        <f>CHOOSE('Обобщенный расчет'!$N$1,'Исходные данные'!$E92,'Исходные данные'!$G92,'Исходные данные'!$J92)</f>
        <v>2000</v>
      </c>
      <c r="AL50" s="36">
        <f>CHOOSE('Обобщенный расчет'!$N$1,'Исходные данные'!$E92,'Исходные данные'!$G92,'Исходные данные'!$J92)</f>
        <v>2000</v>
      </c>
      <c r="AM50" s="36">
        <f>CHOOSE('Обобщенный расчет'!$N$1,'Исходные данные'!$E92,'Исходные данные'!$G92,'Исходные данные'!$J92)</f>
        <v>2000</v>
      </c>
      <c r="AN50" s="36">
        <f>CHOOSE('Обобщенный расчет'!$N$1,'Исходные данные'!$E92,'Исходные данные'!$G92,'Исходные данные'!$J92)</f>
        <v>2000</v>
      </c>
      <c r="AO50" s="36">
        <f>CHOOSE('Обобщенный расчет'!$N$1,'Исходные данные'!$E92,'Исходные данные'!$G92,'Исходные данные'!$J92)</f>
        <v>2000</v>
      </c>
      <c r="AP50" s="36">
        <f>CHOOSE('Обобщенный расчет'!$N$1,'Исходные данные'!$E92,'Исходные данные'!$G92,'Исходные данные'!$J92)</f>
        <v>2000</v>
      </c>
      <c r="AQ50" s="52">
        <f t="shared" si="63"/>
        <v>24000</v>
      </c>
      <c r="AR50" s="52">
        <f t="shared" si="64"/>
        <v>2000</v>
      </c>
      <c r="AS50" s="114">
        <f t="shared" si="65"/>
        <v>72000</v>
      </c>
      <c r="AT50" s="37"/>
    </row>
    <row r="51" spans="1:46" s="35" customFormat="1" ht="10.5" x14ac:dyDescent="0.35">
      <c r="A51" s="60" t="str">
        <f>'Обобщенный расчет'!B43</f>
        <v>Транспортные расходы, в т.ч. курьер, если нет в штате</v>
      </c>
      <c r="B51" s="21" t="str">
        <f>CHOOSE('Исходные данные'!$O$2,'Исходные данные'!$P$2,'Исходные данные'!$P$3,'Исходные данные'!$P$4,'Исходные данные'!$P$5)</f>
        <v>UAH</v>
      </c>
      <c r="C51" s="33">
        <f>CHOOSE('Обобщенный расчет'!$N$1,'Исходные данные'!$E93,'Исходные данные'!$G93,'Исходные данные'!$J93)</f>
        <v>2000</v>
      </c>
      <c r="D51" s="33">
        <f>CHOOSE('Обобщенный расчет'!$N$1,'Исходные данные'!$E93,'Исходные данные'!$G93,'Исходные данные'!$J93)</f>
        <v>2000</v>
      </c>
      <c r="E51" s="33">
        <f>CHOOSE('Обобщенный расчет'!$N$1,'Исходные данные'!$E93,'Исходные данные'!$G93,'Исходные данные'!$J93)</f>
        <v>2000</v>
      </c>
      <c r="F51" s="33">
        <f>CHOOSE('Обобщенный расчет'!$N$1,'Исходные данные'!$E93,'Исходные данные'!$G93,'Исходные данные'!$J93)</f>
        <v>2000</v>
      </c>
      <c r="G51" s="33">
        <f>CHOOSE('Обобщенный расчет'!$N$1,'Исходные данные'!$E93,'Исходные данные'!$G93,'Исходные данные'!$J93)</f>
        <v>2000</v>
      </c>
      <c r="H51" s="33">
        <f>CHOOSE('Обобщенный расчет'!$N$1,'Исходные данные'!$E93,'Исходные данные'!$G93,'Исходные данные'!$J93)</f>
        <v>2000</v>
      </c>
      <c r="I51" s="33">
        <f>CHOOSE('Обобщенный расчет'!$N$1,'Исходные данные'!$E93,'Исходные данные'!$G93,'Исходные данные'!$J93)</f>
        <v>2000</v>
      </c>
      <c r="J51" s="33">
        <f>CHOOSE('Обобщенный расчет'!$N$1,'Исходные данные'!$E93,'Исходные данные'!$G93,'Исходные данные'!$J93)</f>
        <v>2000</v>
      </c>
      <c r="K51" s="33">
        <f>CHOOSE('Обобщенный расчет'!$N$1,'Исходные данные'!$E93,'Исходные данные'!$G93,'Исходные данные'!$J93)</f>
        <v>2000</v>
      </c>
      <c r="L51" s="33">
        <f>CHOOSE('Обобщенный расчет'!$N$1,'Исходные данные'!$E93,'Исходные данные'!$G93,'Исходные данные'!$J93)</f>
        <v>2000</v>
      </c>
      <c r="M51" s="33">
        <f>CHOOSE('Обобщенный расчет'!$N$1,'Исходные данные'!$E93,'Исходные данные'!$G93,'Исходные данные'!$J93)</f>
        <v>2000</v>
      </c>
      <c r="N51" s="33">
        <f>CHOOSE('Обобщенный расчет'!$N$1,'Исходные данные'!$E93,'Исходные данные'!$G93,'Исходные данные'!$J93)</f>
        <v>2000</v>
      </c>
      <c r="O51" s="107">
        <f t="shared" si="66"/>
        <v>24000</v>
      </c>
      <c r="P51" s="107">
        <f t="shared" si="60"/>
        <v>2000</v>
      </c>
      <c r="Q51" s="33">
        <f>CHOOSE('Обобщенный расчет'!$N$1,'Исходные данные'!$E93,'Исходные данные'!$G93,'Исходные данные'!$J93)</f>
        <v>2000</v>
      </c>
      <c r="R51" s="33">
        <f>CHOOSE('Обобщенный расчет'!$N$1,'Исходные данные'!$E93,'Исходные данные'!$G93,'Исходные данные'!$J93)</f>
        <v>2000</v>
      </c>
      <c r="S51" s="33">
        <f>CHOOSE('Обобщенный расчет'!$N$1,'Исходные данные'!$E93,'Исходные данные'!$G93,'Исходные данные'!$J93)</f>
        <v>2000</v>
      </c>
      <c r="T51" s="33">
        <f>CHOOSE('Обобщенный расчет'!$N$1,'Исходные данные'!$E93,'Исходные данные'!$G93,'Исходные данные'!$J93)</f>
        <v>2000</v>
      </c>
      <c r="U51" s="33">
        <f>CHOOSE('Обобщенный расчет'!$N$1,'Исходные данные'!$E93,'Исходные данные'!$G93,'Исходные данные'!$J93)</f>
        <v>2000</v>
      </c>
      <c r="V51" s="33">
        <f>CHOOSE('Обобщенный расчет'!$N$1,'Исходные данные'!$E93,'Исходные данные'!$G93,'Исходные данные'!$J93)</f>
        <v>2000</v>
      </c>
      <c r="W51" s="33">
        <f>CHOOSE('Обобщенный расчет'!$N$1,'Исходные данные'!$E93,'Исходные данные'!$G93,'Исходные данные'!$J93)</f>
        <v>2000</v>
      </c>
      <c r="X51" s="33">
        <f>CHOOSE('Обобщенный расчет'!$N$1,'Исходные данные'!$E93,'Исходные данные'!$G93,'Исходные данные'!$J93)</f>
        <v>2000</v>
      </c>
      <c r="Y51" s="33">
        <f>CHOOSE('Обобщенный расчет'!$N$1,'Исходные данные'!$E93,'Исходные данные'!$G93,'Исходные данные'!$J93)</f>
        <v>2000</v>
      </c>
      <c r="Z51" s="33">
        <f>CHOOSE('Обобщенный расчет'!$N$1,'Исходные данные'!$E93,'Исходные данные'!$G93,'Исходные данные'!$J93)</f>
        <v>2000</v>
      </c>
      <c r="AA51" s="33">
        <f>CHOOSE('Обобщенный расчет'!$N$1,'Исходные данные'!$E93,'Исходные данные'!$G93,'Исходные данные'!$J93)</f>
        <v>2000</v>
      </c>
      <c r="AB51" s="33">
        <f>CHOOSE('Обобщенный расчет'!$N$1,'Исходные данные'!$E93,'Исходные данные'!$G93,'Исходные данные'!$J93)</f>
        <v>2000</v>
      </c>
      <c r="AC51" s="107">
        <f t="shared" si="61"/>
        <v>24000</v>
      </c>
      <c r="AD51" s="107">
        <f t="shared" si="62"/>
        <v>2000</v>
      </c>
      <c r="AE51" s="33">
        <f>CHOOSE('Обобщенный расчет'!$N$1,'Исходные данные'!$E93,'Исходные данные'!$G93,'Исходные данные'!$J93)</f>
        <v>2000</v>
      </c>
      <c r="AF51" s="33">
        <f>CHOOSE('Обобщенный расчет'!$N$1,'Исходные данные'!$E93,'Исходные данные'!$G93,'Исходные данные'!$J93)</f>
        <v>2000</v>
      </c>
      <c r="AG51" s="33">
        <f>CHOOSE('Обобщенный расчет'!$N$1,'Исходные данные'!$E93,'Исходные данные'!$G93,'Исходные данные'!$J93)</f>
        <v>2000</v>
      </c>
      <c r="AH51" s="33">
        <f>CHOOSE('Обобщенный расчет'!$N$1,'Исходные данные'!$E93,'Исходные данные'!$G93,'Исходные данные'!$J93)</f>
        <v>2000</v>
      </c>
      <c r="AI51" s="33">
        <f>CHOOSE('Обобщенный расчет'!$N$1,'Исходные данные'!$E93,'Исходные данные'!$G93,'Исходные данные'!$J93)</f>
        <v>2000</v>
      </c>
      <c r="AJ51" s="33">
        <f>CHOOSE('Обобщенный расчет'!$N$1,'Исходные данные'!$E93,'Исходные данные'!$G93,'Исходные данные'!$J93)</f>
        <v>2000</v>
      </c>
      <c r="AK51" s="33">
        <f>CHOOSE('Обобщенный расчет'!$N$1,'Исходные данные'!$E93,'Исходные данные'!$G93,'Исходные данные'!$J93)</f>
        <v>2000</v>
      </c>
      <c r="AL51" s="33">
        <f>CHOOSE('Обобщенный расчет'!$N$1,'Исходные данные'!$E93,'Исходные данные'!$G93,'Исходные данные'!$J93)</f>
        <v>2000</v>
      </c>
      <c r="AM51" s="33">
        <f>CHOOSE('Обобщенный расчет'!$N$1,'Исходные данные'!$E93,'Исходные данные'!$G93,'Исходные данные'!$J93)</f>
        <v>2000</v>
      </c>
      <c r="AN51" s="33">
        <f>CHOOSE('Обобщенный расчет'!$N$1,'Исходные данные'!$E93,'Исходные данные'!$G93,'Исходные данные'!$J93)</f>
        <v>2000</v>
      </c>
      <c r="AO51" s="33">
        <f>CHOOSE('Обобщенный расчет'!$N$1,'Исходные данные'!$E93,'Исходные данные'!$G93,'Исходные данные'!$J93)</f>
        <v>2000</v>
      </c>
      <c r="AP51" s="33">
        <f>CHOOSE('Обобщенный расчет'!$N$1,'Исходные данные'!$E93,'Исходные данные'!$G93,'Исходные данные'!$J93)</f>
        <v>2000</v>
      </c>
      <c r="AQ51" s="107">
        <f t="shared" si="63"/>
        <v>24000</v>
      </c>
      <c r="AR51" s="107">
        <f t="shared" si="64"/>
        <v>2000</v>
      </c>
      <c r="AS51" s="114">
        <f t="shared" si="65"/>
        <v>72000</v>
      </c>
      <c r="AT51" s="34"/>
    </row>
    <row r="52" spans="1:46" s="38" customFormat="1" ht="10.5" x14ac:dyDescent="0.35">
      <c r="A52" s="61" t="str">
        <f>'Обобщенный расчет'!B44</f>
        <v>Текущий ремонт</v>
      </c>
      <c r="B52" s="24" t="str">
        <f>CHOOSE('Исходные данные'!$O$2,'Исходные данные'!$P$2,'Исходные данные'!$P$3,'Исходные данные'!$P$4,'Исходные данные'!$P$5)</f>
        <v>UAH</v>
      </c>
      <c r="C52" s="36">
        <f>CHOOSE('Обобщенный расчет'!$N$1,'Исходные данные'!$E94,'Исходные данные'!$G94,'Исходные данные'!$J94)</f>
        <v>2000</v>
      </c>
      <c r="D52" s="36">
        <f>CHOOSE('Обобщенный расчет'!$N$1,'Исходные данные'!$E94,'Исходные данные'!$G94,'Исходные данные'!$J94)</f>
        <v>2000</v>
      </c>
      <c r="E52" s="36">
        <f>CHOOSE('Обобщенный расчет'!$N$1,'Исходные данные'!$E94,'Исходные данные'!$G94,'Исходные данные'!$J94)</f>
        <v>2000</v>
      </c>
      <c r="F52" s="36">
        <f>CHOOSE('Обобщенный расчет'!$N$1,'Исходные данные'!$E94,'Исходные данные'!$G94,'Исходные данные'!$J94)</f>
        <v>2000</v>
      </c>
      <c r="G52" s="36">
        <f>CHOOSE('Обобщенный расчет'!$N$1,'Исходные данные'!$E94,'Исходные данные'!$G94,'Исходные данные'!$J94)</f>
        <v>2000</v>
      </c>
      <c r="H52" s="36">
        <f>CHOOSE('Обобщенный расчет'!$N$1,'Исходные данные'!$E94,'Исходные данные'!$G94,'Исходные данные'!$J94)</f>
        <v>2000</v>
      </c>
      <c r="I52" s="36">
        <f>CHOOSE('Обобщенный расчет'!$N$1,'Исходные данные'!$E94,'Исходные данные'!$G94,'Исходные данные'!$J94)</f>
        <v>2000</v>
      </c>
      <c r="J52" s="36">
        <f>CHOOSE('Обобщенный расчет'!$N$1,'Исходные данные'!$E94,'Исходные данные'!$G94,'Исходные данные'!$J94)</f>
        <v>2000</v>
      </c>
      <c r="K52" s="36">
        <f>CHOOSE('Обобщенный расчет'!$N$1,'Исходные данные'!$E94,'Исходные данные'!$G94,'Исходные данные'!$J94)</f>
        <v>2000</v>
      </c>
      <c r="L52" s="36">
        <f>CHOOSE('Обобщенный расчет'!$N$1,'Исходные данные'!$E94,'Исходные данные'!$G94,'Исходные данные'!$J94)</f>
        <v>2000</v>
      </c>
      <c r="M52" s="36">
        <f>CHOOSE('Обобщенный расчет'!$N$1,'Исходные данные'!$E94,'Исходные данные'!$G94,'Исходные данные'!$J94)</f>
        <v>2000</v>
      </c>
      <c r="N52" s="36">
        <f>CHOOSE('Обобщенный расчет'!$N$1,'Исходные данные'!$E94,'Исходные данные'!$G94,'Исходные данные'!$J94)</f>
        <v>2000</v>
      </c>
      <c r="O52" s="52">
        <f>SUM(C52:N52)</f>
        <v>24000</v>
      </c>
      <c r="P52" s="52">
        <f t="shared" ref="P52:P53" si="67">O52/12</f>
        <v>2000</v>
      </c>
      <c r="Q52" s="36">
        <f>CHOOSE('Обобщенный расчет'!$N$1,'Исходные данные'!$E94,'Исходные данные'!$G94,'Исходные данные'!$J94)</f>
        <v>2000</v>
      </c>
      <c r="R52" s="36">
        <f>CHOOSE('Обобщенный расчет'!$N$1,'Исходные данные'!$E94,'Исходные данные'!$G94,'Исходные данные'!$J94)</f>
        <v>2000</v>
      </c>
      <c r="S52" s="36">
        <f>CHOOSE('Обобщенный расчет'!$N$1,'Исходные данные'!$E94,'Исходные данные'!$G94,'Исходные данные'!$J94)</f>
        <v>2000</v>
      </c>
      <c r="T52" s="36">
        <f>CHOOSE('Обобщенный расчет'!$N$1,'Исходные данные'!$E94,'Исходные данные'!$G94,'Исходные данные'!$J94)</f>
        <v>2000</v>
      </c>
      <c r="U52" s="36">
        <f>CHOOSE('Обобщенный расчет'!$N$1,'Исходные данные'!$E94,'Исходные данные'!$G94,'Исходные данные'!$J94)</f>
        <v>2000</v>
      </c>
      <c r="V52" s="36">
        <f>CHOOSE('Обобщенный расчет'!$N$1,'Исходные данные'!$E94,'Исходные данные'!$G94,'Исходные данные'!$J94)</f>
        <v>2000</v>
      </c>
      <c r="W52" s="36">
        <f>CHOOSE('Обобщенный расчет'!$N$1,'Исходные данные'!$E94,'Исходные данные'!$G94,'Исходные данные'!$J94)</f>
        <v>2000</v>
      </c>
      <c r="X52" s="36">
        <f>CHOOSE('Обобщенный расчет'!$N$1,'Исходные данные'!$E94,'Исходные данные'!$G94,'Исходные данные'!$J94)</f>
        <v>2000</v>
      </c>
      <c r="Y52" s="36">
        <f>CHOOSE('Обобщенный расчет'!$N$1,'Исходные данные'!$E94,'Исходные данные'!$G94,'Исходные данные'!$J94)</f>
        <v>2000</v>
      </c>
      <c r="Z52" s="36">
        <f>CHOOSE('Обобщенный расчет'!$N$1,'Исходные данные'!$E94,'Исходные данные'!$G94,'Исходные данные'!$J94)</f>
        <v>2000</v>
      </c>
      <c r="AA52" s="36">
        <f>CHOOSE('Обобщенный расчет'!$N$1,'Исходные данные'!$E94,'Исходные данные'!$G94,'Исходные данные'!$J94)</f>
        <v>2000</v>
      </c>
      <c r="AB52" s="36">
        <f>CHOOSE('Обобщенный расчет'!$N$1,'Исходные данные'!$E94,'Исходные данные'!$G94,'Исходные данные'!$J94)</f>
        <v>2000</v>
      </c>
      <c r="AC52" s="52">
        <f t="shared" ref="AC52:AC53" si="68">SUM(Q52:AB52)</f>
        <v>24000</v>
      </c>
      <c r="AD52" s="52">
        <f t="shared" ref="AD52:AD53" si="69">AC52/12</f>
        <v>2000</v>
      </c>
      <c r="AE52" s="36">
        <f>CHOOSE('Обобщенный расчет'!$N$1,'Исходные данные'!$E94,'Исходные данные'!$G94,'Исходные данные'!$J94)</f>
        <v>2000</v>
      </c>
      <c r="AF52" s="36">
        <f>CHOOSE('Обобщенный расчет'!$N$1,'Исходные данные'!$E94,'Исходные данные'!$G94,'Исходные данные'!$J94)</f>
        <v>2000</v>
      </c>
      <c r="AG52" s="36">
        <f>CHOOSE('Обобщенный расчет'!$N$1,'Исходные данные'!$E94,'Исходные данные'!$G94,'Исходные данные'!$J94)</f>
        <v>2000</v>
      </c>
      <c r="AH52" s="36">
        <f>CHOOSE('Обобщенный расчет'!$N$1,'Исходные данные'!$E94,'Исходные данные'!$G94,'Исходные данные'!$J94)</f>
        <v>2000</v>
      </c>
      <c r="AI52" s="36">
        <f>CHOOSE('Обобщенный расчет'!$N$1,'Исходные данные'!$E94,'Исходные данные'!$G94,'Исходные данные'!$J94)</f>
        <v>2000</v>
      </c>
      <c r="AJ52" s="36">
        <f>CHOOSE('Обобщенный расчет'!$N$1,'Исходные данные'!$E94,'Исходные данные'!$G94,'Исходные данные'!$J94)</f>
        <v>2000</v>
      </c>
      <c r="AK52" s="36">
        <f>CHOOSE('Обобщенный расчет'!$N$1,'Исходные данные'!$E94,'Исходные данные'!$G94,'Исходные данные'!$J94)</f>
        <v>2000</v>
      </c>
      <c r="AL52" s="36">
        <f>CHOOSE('Обобщенный расчет'!$N$1,'Исходные данные'!$E94,'Исходные данные'!$G94,'Исходные данные'!$J94)</f>
        <v>2000</v>
      </c>
      <c r="AM52" s="36">
        <f>CHOOSE('Обобщенный расчет'!$N$1,'Исходные данные'!$E94,'Исходные данные'!$G94,'Исходные данные'!$J94)</f>
        <v>2000</v>
      </c>
      <c r="AN52" s="36">
        <f>CHOOSE('Обобщенный расчет'!$N$1,'Исходные данные'!$E94,'Исходные данные'!$G94,'Исходные данные'!$J94)</f>
        <v>2000</v>
      </c>
      <c r="AO52" s="36">
        <f>CHOOSE('Обобщенный расчет'!$N$1,'Исходные данные'!$E94,'Исходные данные'!$G94,'Исходные данные'!$J94)</f>
        <v>2000</v>
      </c>
      <c r="AP52" s="36">
        <f>CHOOSE('Обобщенный расчет'!$N$1,'Исходные данные'!$E94,'Исходные данные'!$G94,'Исходные данные'!$J94)</f>
        <v>2000</v>
      </c>
      <c r="AQ52" s="52">
        <f t="shared" ref="AQ52:AQ53" si="70">SUM(AE52:AP52)</f>
        <v>24000</v>
      </c>
      <c r="AR52" s="52">
        <f t="shared" ref="AR52:AR53" si="71">AQ52/12</f>
        <v>2000</v>
      </c>
      <c r="AS52" s="114">
        <f t="shared" ref="AS52:AS53" si="72">O52+AC52+AQ52</f>
        <v>72000</v>
      </c>
      <c r="AT52" s="37"/>
    </row>
    <row r="53" spans="1:46" s="35" customFormat="1" ht="10.5" x14ac:dyDescent="0.35">
      <c r="A53" s="60" t="str">
        <f>'Обобщенный расчет'!B45</f>
        <v>Обучение персонала</v>
      </c>
      <c r="B53" s="21" t="str">
        <f>CHOOSE('Исходные данные'!$O$2,'Исходные данные'!$P$2,'Исходные данные'!$P$3,'Исходные данные'!$P$4,'Исходные данные'!$P$5)</f>
        <v>UAH</v>
      </c>
      <c r="C53" s="33">
        <f>CHOOSE('Обобщенный расчет'!$N$1,'Исходные данные'!$E95,'Исходные данные'!$G95,'Исходные данные'!$J95)</f>
        <v>1000</v>
      </c>
      <c r="D53" s="33">
        <f>CHOOSE('Обобщенный расчет'!$N$1,'Исходные данные'!$E95,'Исходные данные'!$G95,'Исходные данные'!$J95)</f>
        <v>1000</v>
      </c>
      <c r="E53" s="33">
        <f>CHOOSE('Обобщенный расчет'!$N$1,'Исходные данные'!$E95,'Исходные данные'!$G95,'Исходные данные'!$J95)</f>
        <v>1000</v>
      </c>
      <c r="F53" s="33">
        <f>CHOOSE('Обобщенный расчет'!$N$1,'Исходные данные'!$E95,'Исходные данные'!$G95,'Исходные данные'!$J95)</f>
        <v>1000</v>
      </c>
      <c r="G53" s="33">
        <f>CHOOSE('Обобщенный расчет'!$N$1,'Исходные данные'!$E95,'Исходные данные'!$G95,'Исходные данные'!$J95)</f>
        <v>1000</v>
      </c>
      <c r="H53" s="33">
        <f>CHOOSE('Обобщенный расчет'!$N$1,'Исходные данные'!$E95,'Исходные данные'!$G95,'Исходные данные'!$J95)</f>
        <v>1000</v>
      </c>
      <c r="I53" s="33">
        <f>CHOOSE('Обобщенный расчет'!$N$1,'Исходные данные'!$E95,'Исходные данные'!$G95,'Исходные данные'!$J95)</f>
        <v>1000</v>
      </c>
      <c r="J53" s="33">
        <f>CHOOSE('Обобщенный расчет'!$N$1,'Исходные данные'!$E95,'Исходные данные'!$G95,'Исходные данные'!$J95)</f>
        <v>1000</v>
      </c>
      <c r="K53" s="33">
        <f>CHOOSE('Обобщенный расчет'!$N$1,'Исходные данные'!$E95,'Исходные данные'!$G95,'Исходные данные'!$J95)</f>
        <v>1000</v>
      </c>
      <c r="L53" s="33">
        <f>CHOOSE('Обобщенный расчет'!$N$1,'Исходные данные'!$E95,'Исходные данные'!$G95,'Исходные данные'!$J95)</f>
        <v>1000</v>
      </c>
      <c r="M53" s="33">
        <f>CHOOSE('Обобщенный расчет'!$N$1,'Исходные данные'!$E95,'Исходные данные'!$G95,'Исходные данные'!$J95)</f>
        <v>1000</v>
      </c>
      <c r="N53" s="33">
        <f>CHOOSE('Обобщенный расчет'!$N$1,'Исходные данные'!$E95,'Исходные данные'!$G95,'Исходные данные'!$J95)</f>
        <v>1000</v>
      </c>
      <c r="O53" s="107">
        <f t="shared" ref="O53" si="73">SUM(C53:N53)</f>
        <v>12000</v>
      </c>
      <c r="P53" s="107">
        <f t="shared" si="67"/>
        <v>1000</v>
      </c>
      <c r="Q53" s="33">
        <f>CHOOSE('Обобщенный расчет'!$N$1,'Исходные данные'!$E95,'Исходные данные'!$G95,'Исходные данные'!$J95)</f>
        <v>1000</v>
      </c>
      <c r="R53" s="33">
        <f>CHOOSE('Обобщенный расчет'!$N$1,'Исходные данные'!$E95,'Исходные данные'!$G95,'Исходные данные'!$J95)</f>
        <v>1000</v>
      </c>
      <c r="S53" s="33">
        <f>CHOOSE('Обобщенный расчет'!$N$1,'Исходные данные'!$E95,'Исходные данные'!$G95,'Исходные данные'!$J95)</f>
        <v>1000</v>
      </c>
      <c r="T53" s="33">
        <f>CHOOSE('Обобщенный расчет'!$N$1,'Исходные данные'!$E95,'Исходные данные'!$G95,'Исходные данные'!$J95)</f>
        <v>1000</v>
      </c>
      <c r="U53" s="33">
        <f>CHOOSE('Обобщенный расчет'!$N$1,'Исходные данные'!$E95,'Исходные данные'!$G95,'Исходные данные'!$J95)</f>
        <v>1000</v>
      </c>
      <c r="V53" s="33">
        <f>CHOOSE('Обобщенный расчет'!$N$1,'Исходные данные'!$E95,'Исходные данные'!$G95,'Исходные данные'!$J95)</f>
        <v>1000</v>
      </c>
      <c r="W53" s="33">
        <f>CHOOSE('Обобщенный расчет'!$N$1,'Исходные данные'!$E95,'Исходные данные'!$G95,'Исходные данные'!$J95)</f>
        <v>1000</v>
      </c>
      <c r="X53" s="33">
        <f>CHOOSE('Обобщенный расчет'!$N$1,'Исходные данные'!$E95,'Исходные данные'!$G95,'Исходные данные'!$J95)</f>
        <v>1000</v>
      </c>
      <c r="Y53" s="33">
        <f>CHOOSE('Обобщенный расчет'!$N$1,'Исходные данные'!$E95,'Исходные данные'!$G95,'Исходные данные'!$J95)</f>
        <v>1000</v>
      </c>
      <c r="Z53" s="33">
        <f>CHOOSE('Обобщенный расчет'!$N$1,'Исходные данные'!$E95,'Исходные данные'!$G95,'Исходные данные'!$J95)</f>
        <v>1000</v>
      </c>
      <c r="AA53" s="33">
        <f>CHOOSE('Обобщенный расчет'!$N$1,'Исходные данные'!$E95,'Исходные данные'!$G95,'Исходные данные'!$J95)</f>
        <v>1000</v>
      </c>
      <c r="AB53" s="33">
        <f>CHOOSE('Обобщенный расчет'!$N$1,'Исходные данные'!$E95,'Исходные данные'!$G95,'Исходные данные'!$J95)</f>
        <v>1000</v>
      </c>
      <c r="AC53" s="107">
        <f t="shared" si="68"/>
        <v>12000</v>
      </c>
      <c r="AD53" s="107">
        <f t="shared" si="69"/>
        <v>1000</v>
      </c>
      <c r="AE53" s="33">
        <f>CHOOSE('Обобщенный расчет'!$N$1,'Исходные данные'!$E95,'Исходные данные'!$G95,'Исходные данные'!$J95)</f>
        <v>1000</v>
      </c>
      <c r="AF53" s="33">
        <f>CHOOSE('Обобщенный расчет'!$N$1,'Исходные данные'!$E95,'Исходные данные'!$G95,'Исходные данные'!$J95)</f>
        <v>1000</v>
      </c>
      <c r="AG53" s="33">
        <f>CHOOSE('Обобщенный расчет'!$N$1,'Исходные данные'!$E95,'Исходные данные'!$G95,'Исходные данные'!$J95)</f>
        <v>1000</v>
      </c>
      <c r="AH53" s="33">
        <f>CHOOSE('Обобщенный расчет'!$N$1,'Исходные данные'!$E95,'Исходные данные'!$G95,'Исходные данные'!$J95)</f>
        <v>1000</v>
      </c>
      <c r="AI53" s="33">
        <f>CHOOSE('Обобщенный расчет'!$N$1,'Исходные данные'!$E95,'Исходные данные'!$G95,'Исходные данные'!$J95)</f>
        <v>1000</v>
      </c>
      <c r="AJ53" s="33">
        <f>CHOOSE('Обобщенный расчет'!$N$1,'Исходные данные'!$E95,'Исходные данные'!$G95,'Исходные данные'!$J95)</f>
        <v>1000</v>
      </c>
      <c r="AK53" s="33">
        <f>CHOOSE('Обобщенный расчет'!$N$1,'Исходные данные'!$E95,'Исходные данные'!$G95,'Исходные данные'!$J95)</f>
        <v>1000</v>
      </c>
      <c r="AL53" s="33">
        <f>CHOOSE('Обобщенный расчет'!$N$1,'Исходные данные'!$E95,'Исходные данные'!$G95,'Исходные данные'!$J95)</f>
        <v>1000</v>
      </c>
      <c r="AM53" s="33">
        <f>CHOOSE('Обобщенный расчет'!$N$1,'Исходные данные'!$E95,'Исходные данные'!$G95,'Исходные данные'!$J95)</f>
        <v>1000</v>
      </c>
      <c r="AN53" s="33">
        <f>CHOOSE('Обобщенный расчет'!$N$1,'Исходные данные'!$E95,'Исходные данные'!$G95,'Исходные данные'!$J95)</f>
        <v>1000</v>
      </c>
      <c r="AO53" s="33">
        <f>CHOOSE('Обобщенный расчет'!$N$1,'Исходные данные'!$E95,'Исходные данные'!$G95,'Исходные данные'!$J95)</f>
        <v>1000</v>
      </c>
      <c r="AP53" s="33">
        <f>CHOOSE('Обобщенный расчет'!$N$1,'Исходные данные'!$E95,'Исходные данные'!$G95,'Исходные данные'!$J95)</f>
        <v>1000</v>
      </c>
      <c r="AQ53" s="107">
        <f t="shared" si="70"/>
        <v>12000</v>
      </c>
      <c r="AR53" s="107">
        <f t="shared" si="71"/>
        <v>1000</v>
      </c>
      <c r="AS53" s="114">
        <f t="shared" si="72"/>
        <v>36000</v>
      </c>
      <c r="AT53" s="34"/>
    </row>
    <row r="54" spans="1:46" s="38" customFormat="1" ht="10.5" x14ac:dyDescent="0.35">
      <c r="A54" s="61" t="str">
        <f>'Обобщенный расчет'!B46</f>
        <v>Униформа персонала</v>
      </c>
      <c r="B54" s="24" t="str">
        <f>CHOOSE('Исходные данные'!$O$2,'Исходные данные'!$P$2,'Исходные данные'!$P$3,'Исходные данные'!$P$4,'Исходные данные'!$P$5)</f>
        <v>UAH</v>
      </c>
      <c r="C54" s="36">
        <f>CHOOSE('Обобщенный расчет'!$N$1,'Исходные данные'!$E96,'Исходные данные'!$G96,'Исходные данные'!$J96)</f>
        <v>24000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f>CHOOSE('Обобщенный расчет'!$N$1,'Исходные данные'!$E96,'Исходные данные'!$G96,'Исходные данные'!$J96)</f>
        <v>24000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52">
        <f>SUM(C54:N54)</f>
        <v>48000</v>
      </c>
      <c r="P54" s="52">
        <f>O54/12</f>
        <v>4000</v>
      </c>
      <c r="Q54" s="36">
        <f>CHOOSE('Обобщенный расчет'!$N$1,'Исходные данные'!$E96,'Исходные данные'!$G96,'Исходные данные'!$J96)</f>
        <v>24000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f>CHOOSE('Обобщенный расчет'!$N$1,'Исходные данные'!$E96,'Исходные данные'!$G96,'Исходные данные'!$J96)</f>
        <v>24000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52">
        <f>SUM(Q54:AB54)</f>
        <v>48000</v>
      </c>
      <c r="AD54" s="52">
        <f>AC54/12</f>
        <v>4000</v>
      </c>
      <c r="AE54" s="36">
        <f>CHOOSE('Обобщенный расчет'!$N$1,'Исходные данные'!$E96,'Исходные данные'!$G96,'Исходные данные'!$J96)</f>
        <v>24000</v>
      </c>
      <c r="AF54" s="36">
        <v>0</v>
      </c>
      <c r="AG54" s="36">
        <v>0</v>
      </c>
      <c r="AH54" s="36">
        <v>0</v>
      </c>
      <c r="AI54" s="36">
        <v>0</v>
      </c>
      <c r="AJ54" s="36">
        <v>0</v>
      </c>
      <c r="AK54" s="36">
        <f>CHOOSE('Обобщенный расчет'!$N$1,'Исходные данные'!$E96,'Исходные данные'!$G96,'Исходные данные'!$J96)</f>
        <v>24000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52">
        <f>SUM(AE54:AP54)</f>
        <v>48000</v>
      </c>
      <c r="AR54" s="52">
        <f>AQ54/12</f>
        <v>4000</v>
      </c>
      <c r="AS54" s="114">
        <f>O54+AC54+AQ54</f>
        <v>144000</v>
      </c>
      <c r="AT54" s="37"/>
    </row>
    <row r="55" spans="1:46" s="35" customFormat="1" ht="10.5" x14ac:dyDescent="0.35">
      <c r="A55" s="60" t="str">
        <f>'Обобщенный расчет'!B47</f>
        <v>Сервисное обслуживание техники и оборудования</v>
      </c>
      <c r="B55" s="21" t="str">
        <f>CHOOSE('Исходные данные'!$O$2,'Исходные данные'!$P$2,'Исходные данные'!$P$3,'Исходные данные'!$P$4,'Исходные данные'!$P$5)</f>
        <v>UAH</v>
      </c>
      <c r="C55" s="33">
        <f>CHOOSE('Обобщенный расчет'!$N$1,'Исходные данные'!$E97,'Исходные данные'!$G97,'Исходные данные'!$J97)</f>
        <v>2000</v>
      </c>
      <c r="D55" s="33">
        <v>0</v>
      </c>
      <c r="E55" s="33">
        <v>0</v>
      </c>
      <c r="F55" s="33">
        <v>0</v>
      </c>
      <c r="G55" s="33">
        <v>0</v>
      </c>
      <c r="H55" s="33">
        <v>0</v>
      </c>
      <c r="I55" s="33">
        <f>CHOOSE('Обобщенный расчет'!$N$1,'Исходные данные'!$E97,'Исходные данные'!$G97,'Исходные данные'!$J97)</f>
        <v>2000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107">
        <f>SUM(C55:N55)</f>
        <v>4000</v>
      </c>
      <c r="P55" s="107">
        <f>O55/12</f>
        <v>333.33333333333331</v>
      </c>
      <c r="Q55" s="33">
        <f>CHOOSE('Обобщенный расчет'!$N$1,'Исходные данные'!$E97,'Исходные данные'!$G97,'Исходные данные'!$J97)</f>
        <v>2000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f>CHOOSE('Обобщенный расчет'!$N$1,'Исходные данные'!$E97,'Исходные данные'!$G97,'Исходные данные'!$J97)</f>
        <v>2000</v>
      </c>
      <c r="X55" s="33">
        <v>0</v>
      </c>
      <c r="Y55" s="33">
        <v>0</v>
      </c>
      <c r="Z55" s="33">
        <v>0</v>
      </c>
      <c r="AA55" s="33">
        <v>0</v>
      </c>
      <c r="AB55" s="33">
        <v>0</v>
      </c>
      <c r="AC55" s="107">
        <f>SUM(Q55:AB55)</f>
        <v>4000</v>
      </c>
      <c r="AD55" s="107">
        <f>AC55/12</f>
        <v>333.33333333333331</v>
      </c>
      <c r="AE55" s="33">
        <f>CHOOSE('Обобщенный расчет'!$N$1,'Исходные данные'!$E97,'Исходные данные'!$G97,'Исходные данные'!$J97)</f>
        <v>2000</v>
      </c>
      <c r="AF55" s="33">
        <v>0</v>
      </c>
      <c r="AG55" s="33">
        <v>0</v>
      </c>
      <c r="AH55" s="33">
        <v>0</v>
      </c>
      <c r="AI55" s="33">
        <v>0</v>
      </c>
      <c r="AJ55" s="33">
        <v>0</v>
      </c>
      <c r="AK55" s="33">
        <f>CHOOSE('Обобщенный расчет'!$N$1,'Исходные данные'!$E97,'Исходные данные'!$G97,'Исходные данные'!$J97)</f>
        <v>2000</v>
      </c>
      <c r="AL55" s="33">
        <v>0</v>
      </c>
      <c r="AM55" s="33">
        <v>0</v>
      </c>
      <c r="AN55" s="33">
        <v>0</v>
      </c>
      <c r="AO55" s="33">
        <v>0</v>
      </c>
      <c r="AP55" s="33">
        <v>0</v>
      </c>
      <c r="AQ55" s="107">
        <f>SUM(AE55:AP55)</f>
        <v>4000</v>
      </c>
      <c r="AR55" s="107">
        <f>AQ55/12</f>
        <v>333.33333333333331</v>
      </c>
      <c r="AS55" s="114">
        <f>O55+AC55+AQ55</f>
        <v>12000</v>
      </c>
      <c r="AT55" s="34"/>
    </row>
    <row r="56" spans="1:46" s="38" customFormat="1" ht="10.5" x14ac:dyDescent="0.35">
      <c r="A56" s="61" t="str">
        <f>'Обобщенный расчет'!B48</f>
        <v>Местная реклама (буклеты, печатная продукция и т.д.)</v>
      </c>
      <c r="B56" s="24" t="str">
        <f>CHOOSE('Исходные данные'!$O$2,'Исходные данные'!$P$2,'Исходные данные'!$P$3,'Исходные данные'!$P$4,'Исходные данные'!$P$5)</f>
        <v>UAH</v>
      </c>
      <c r="C56" s="36">
        <f>CHOOSE('Обобщенный расчет'!$N$1,'Исходные данные'!$E98,'Исходные данные'!$G98,'Исходные данные'!$J98)</f>
        <v>12000</v>
      </c>
      <c r="D56" s="36">
        <f>CHOOSE('Обобщенный расчет'!$N$1,'Исходные данные'!$E98,'Исходные данные'!$G98,'Исходные данные'!$J98)</f>
        <v>12000</v>
      </c>
      <c r="E56" s="36">
        <f>CHOOSE('Обобщенный расчет'!$N$1,'Исходные данные'!$E98,'Исходные данные'!$G98,'Исходные данные'!$J98)</f>
        <v>12000</v>
      </c>
      <c r="F56" s="36">
        <f>CHOOSE('Обобщенный расчет'!$N$1,'Исходные данные'!$E98,'Исходные данные'!$G98,'Исходные данные'!$J98)</f>
        <v>12000</v>
      </c>
      <c r="G56" s="36">
        <f>CHOOSE('Обобщенный расчет'!$N$1,'Исходные данные'!$E98,'Исходные данные'!$G98,'Исходные данные'!$J98)</f>
        <v>12000</v>
      </c>
      <c r="H56" s="36">
        <f>CHOOSE('Обобщенный расчет'!$N$1,'Исходные данные'!$E98,'Исходные данные'!$G98,'Исходные данные'!$J98)</f>
        <v>12000</v>
      </c>
      <c r="I56" s="36">
        <f>CHOOSE('Обобщенный расчет'!$N$1,'Исходные данные'!$E98,'Исходные данные'!$G98,'Исходные данные'!$J98)</f>
        <v>12000</v>
      </c>
      <c r="J56" s="36">
        <f>CHOOSE('Обобщенный расчет'!$N$1,'Исходные данные'!$E98,'Исходные данные'!$G98,'Исходные данные'!$J98)</f>
        <v>12000</v>
      </c>
      <c r="K56" s="36">
        <f>CHOOSE('Обобщенный расчет'!$N$1,'Исходные данные'!$E98,'Исходные данные'!$G98,'Исходные данные'!$J98)</f>
        <v>12000</v>
      </c>
      <c r="L56" s="36">
        <f>CHOOSE('Обобщенный расчет'!$N$1,'Исходные данные'!$E98,'Исходные данные'!$G98,'Исходные данные'!$J98)</f>
        <v>12000</v>
      </c>
      <c r="M56" s="36">
        <f>CHOOSE('Обобщенный расчет'!$N$1,'Исходные данные'!$E98,'Исходные данные'!$G98,'Исходные данные'!$J98)</f>
        <v>12000</v>
      </c>
      <c r="N56" s="36">
        <f>CHOOSE('Обобщенный расчет'!$N$1,'Исходные данные'!$E98,'Исходные данные'!$G98,'Исходные данные'!$J98)</f>
        <v>12000</v>
      </c>
      <c r="O56" s="52">
        <f>SUM(C56:N56)</f>
        <v>144000</v>
      </c>
      <c r="P56" s="52">
        <f t="shared" si="60"/>
        <v>12000</v>
      </c>
      <c r="Q56" s="36">
        <f>CHOOSE('Обобщенный расчет'!$N$1,'Исходные данные'!$E98,'Исходные данные'!$G98,'Исходные данные'!$J98)</f>
        <v>12000</v>
      </c>
      <c r="R56" s="36">
        <f>CHOOSE('Обобщенный расчет'!$N$1,'Исходные данные'!$E98,'Исходные данные'!$G98,'Исходные данные'!$J98)</f>
        <v>12000</v>
      </c>
      <c r="S56" s="36">
        <f>CHOOSE('Обобщенный расчет'!$N$1,'Исходные данные'!$E98,'Исходные данные'!$G98,'Исходные данные'!$J98)</f>
        <v>12000</v>
      </c>
      <c r="T56" s="36">
        <f>CHOOSE('Обобщенный расчет'!$N$1,'Исходные данные'!$E98,'Исходные данные'!$G98,'Исходные данные'!$J98)</f>
        <v>12000</v>
      </c>
      <c r="U56" s="36">
        <f>CHOOSE('Обобщенный расчет'!$N$1,'Исходные данные'!$E98,'Исходные данные'!$G98,'Исходные данные'!$J98)</f>
        <v>12000</v>
      </c>
      <c r="V56" s="36">
        <f>CHOOSE('Обобщенный расчет'!$N$1,'Исходные данные'!$E98,'Исходные данные'!$G98,'Исходные данные'!$J98)</f>
        <v>12000</v>
      </c>
      <c r="W56" s="36">
        <f>CHOOSE('Обобщенный расчет'!$N$1,'Исходные данные'!$E98,'Исходные данные'!$G98,'Исходные данные'!$J98)</f>
        <v>12000</v>
      </c>
      <c r="X56" s="36">
        <f>CHOOSE('Обобщенный расчет'!$N$1,'Исходные данные'!$E98,'Исходные данные'!$G98,'Исходные данные'!$J98)</f>
        <v>12000</v>
      </c>
      <c r="Y56" s="36">
        <f>CHOOSE('Обобщенный расчет'!$N$1,'Исходные данные'!$E98,'Исходные данные'!$G98,'Исходные данные'!$J98)</f>
        <v>12000</v>
      </c>
      <c r="Z56" s="36">
        <f>CHOOSE('Обобщенный расчет'!$N$1,'Исходные данные'!$E98,'Исходные данные'!$G98,'Исходные данные'!$J98)</f>
        <v>12000</v>
      </c>
      <c r="AA56" s="36">
        <f>CHOOSE('Обобщенный расчет'!$N$1,'Исходные данные'!$E98,'Исходные данные'!$G98,'Исходные данные'!$J98)</f>
        <v>12000</v>
      </c>
      <c r="AB56" s="36">
        <f>CHOOSE('Обобщенный расчет'!$N$1,'Исходные данные'!$E98,'Исходные данные'!$G98,'Исходные данные'!$J98)</f>
        <v>12000</v>
      </c>
      <c r="AC56" s="52">
        <f t="shared" si="61"/>
        <v>144000</v>
      </c>
      <c r="AD56" s="52">
        <f t="shared" si="62"/>
        <v>12000</v>
      </c>
      <c r="AE56" s="36">
        <f>CHOOSE('Обобщенный расчет'!$N$1,'Исходные данные'!$E98,'Исходные данные'!$G98,'Исходные данные'!$J98)</f>
        <v>12000</v>
      </c>
      <c r="AF56" s="36">
        <f>CHOOSE('Обобщенный расчет'!$N$1,'Исходные данные'!$E98,'Исходные данные'!$G98,'Исходные данные'!$J98)</f>
        <v>12000</v>
      </c>
      <c r="AG56" s="36">
        <f>CHOOSE('Обобщенный расчет'!$N$1,'Исходные данные'!$E98,'Исходные данные'!$G98,'Исходные данные'!$J98)</f>
        <v>12000</v>
      </c>
      <c r="AH56" s="36">
        <f>CHOOSE('Обобщенный расчет'!$N$1,'Исходные данные'!$E98,'Исходные данные'!$G98,'Исходные данные'!$J98)</f>
        <v>12000</v>
      </c>
      <c r="AI56" s="36">
        <f>CHOOSE('Обобщенный расчет'!$N$1,'Исходные данные'!$E98,'Исходные данные'!$G98,'Исходные данные'!$J98)</f>
        <v>12000</v>
      </c>
      <c r="AJ56" s="36">
        <f>CHOOSE('Обобщенный расчет'!$N$1,'Исходные данные'!$E98,'Исходные данные'!$G98,'Исходные данные'!$J98)</f>
        <v>12000</v>
      </c>
      <c r="AK56" s="36">
        <f>CHOOSE('Обобщенный расчет'!$N$1,'Исходные данные'!$E98,'Исходные данные'!$G98,'Исходные данные'!$J98)</f>
        <v>12000</v>
      </c>
      <c r="AL56" s="36">
        <f>CHOOSE('Обобщенный расчет'!$N$1,'Исходные данные'!$E98,'Исходные данные'!$G98,'Исходные данные'!$J98)</f>
        <v>12000</v>
      </c>
      <c r="AM56" s="36">
        <f>CHOOSE('Обобщенный расчет'!$N$1,'Исходные данные'!$E98,'Исходные данные'!$G98,'Исходные данные'!$J98)</f>
        <v>12000</v>
      </c>
      <c r="AN56" s="36">
        <f>CHOOSE('Обобщенный расчет'!$N$1,'Исходные данные'!$E98,'Исходные данные'!$G98,'Исходные данные'!$J98)</f>
        <v>12000</v>
      </c>
      <c r="AO56" s="36">
        <f>CHOOSE('Обобщенный расчет'!$N$1,'Исходные данные'!$E98,'Исходные данные'!$G98,'Исходные данные'!$J98)</f>
        <v>12000</v>
      </c>
      <c r="AP56" s="36">
        <f>CHOOSE('Обобщенный расчет'!$N$1,'Исходные данные'!$E98,'Исходные данные'!$G98,'Исходные данные'!$J98)</f>
        <v>12000</v>
      </c>
      <c r="AQ56" s="52">
        <f t="shared" si="63"/>
        <v>144000</v>
      </c>
      <c r="AR56" s="52">
        <f t="shared" si="64"/>
        <v>12000</v>
      </c>
      <c r="AS56" s="114">
        <f t="shared" si="65"/>
        <v>432000</v>
      </c>
      <c r="AT56" s="37"/>
    </row>
    <row r="57" spans="1:46" s="35" customFormat="1" ht="10.5" x14ac:dyDescent="0.35">
      <c r="A57" s="60" t="str">
        <f>'Обобщенный расчет'!B49</f>
        <v>Банковское обслуживание</v>
      </c>
      <c r="B57" s="21" t="str">
        <f>CHOOSE('Исходные данные'!$O$2,'Исходные данные'!$P$2,'Исходные данные'!$P$3,'Исходные данные'!$P$4,'Исходные данные'!$P$5)</f>
        <v>UAH</v>
      </c>
      <c r="C57" s="33">
        <f>C18*CHOOSE('Обобщенный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2613.0070259999998</v>
      </c>
      <c r="D57" s="33">
        <f>D18*CHOOSE('Обобщенный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3318.1041600000003</v>
      </c>
      <c r="E57" s="33">
        <f>E18*CHOOSE('Обобщенный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5599.3007700000007</v>
      </c>
      <c r="F57" s="33">
        <f>F18*CHOOSE('Обобщенный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3555.1116000000002</v>
      </c>
      <c r="G57" s="33">
        <f>G18*CHOOSE('Обобщенный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5332.6674000000003</v>
      </c>
      <c r="H57" s="33">
        <f>H18*CHOOSE('Обобщенный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6991.7194800000007</v>
      </c>
      <c r="I57" s="33">
        <f>I18*CHOOSE('Обобщенный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6932.4676200000004</v>
      </c>
      <c r="J57" s="33">
        <f>J18*CHOOSE('Обобщенный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7880.4973800000016</v>
      </c>
      <c r="K57" s="33">
        <f>K18*CHOOSE('Обобщенный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8532.2678400000004</v>
      </c>
      <c r="L57" s="33">
        <f>L18*CHOOSE('Обобщенный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7643.4899400000013</v>
      </c>
      <c r="M57" s="33">
        <f>M18*CHOOSE('Обобщенный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8591.5197000000007</v>
      </c>
      <c r="N57" s="33">
        <f>N18*CHOOSE('Обобщенный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9717.3050399999993</v>
      </c>
      <c r="O57" s="107">
        <f t="shared" si="66"/>
        <v>76707.457955999998</v>
      </c>
      <c r="P57" s="107">
        <f t="shared" si="60"/>
        <v>6392.2881630000002</v>
      </c>
      <c r="Q57" s="33">
        <f>Q18*CHOOSE('Обобщенный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4479.4406160000008</v>
      </c>
      <c r="R57" s="33">
        <f>R18*CHOOSE('Обобщенный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4977.1562400000003</v>
      </c>
      <c r="S57" s="33">
        <f>S18*CHOOSE('Обобщенный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7465.7343600000013</v>
      </c>
      <c r="T57" s="33">
        <f>T18*CHOOSE('Обобщенный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4266.1339200000002</v>
      </c>
      <c r="U57" s="33">
        <f>U18*CHOOSE('Обобщенный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6399.2008800000012</v>
      </c>
      <c r="V57" s="33">
        <f>V18*CHOOSE('Обобщенный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8390.0633760000001</v>
      </c>
      <c r="W57" s="33">
        <f>W18*CHOOSE('Обобщенный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8318.9611440000008</v>
      </c>
      <c r="X57" s="33">
        <f>X18*CHOOSE('Обобщенный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9456.5968560000019</v>
      </c>
      <c r="Y57" s="33">
        <f>Y18*CHOOSE('Обобщенный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10238.721408000001</v>
      </c>
      <c r="Z57" s="33">
        <f>Z18*CHOOSE('Обобщенный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9172.1879280000012</v>
      </c>
      <c r="AA57" s="33">
        <f>AA18*CHOOSE('Обобщенный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10309.823640000001</v>
      </c>
      <c r="AB57" s="33">
        <f>AB18*CHOOSE('Обобщенный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11660.766048</v>
      </c>
      <c r="AC57" s="107">
        <f t="shared" si="61"/>
        <v>95134.786416000017</v>
      </c>
      <c r="AD57" s="107">
        <f t="shared" si="62"/>
        <v>7927.8988680000011</v>
      </c>
      <c r="AE57" s="33">
        <f>AE18*CHOOSE('Обобщенный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5226.0140519999995</v>
      </c>
      <c r="AF57" s="33">
        <f>AF18*CHOOSE('Обобщенный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5806.68228</v>
      </c>
      <c r="AG57" s="33">
        <f>AG18*CHOOSE('Обобщенный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8710.0234200000014</v>
      </c>
      <c r="AH57" s="33">
        <f>AH18*CHOOSE('Обобщенный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4977.1562400000003</v>
      </c>
      <c r="AI57" s="33">
        <f>AI18*CHOOSE('Обобщенный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7465.7343600000013</v>
      </c>
      <c r="AJ57" s="33">
        <f>AJ18*CHOOSE('Обобщенный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9788.4072720000004</v>
      </c>
      <c r="AK57" s="33">
        <f>AK18*CHOOSE('Обобщенный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9705.4546680000003</v>
      </c>
      <c r="AL57" s="33">
        <f>AL18*CHOOSE('Обобщенный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11032.696332</v>
      </c>
      <c r="AM57" s="33">
        <f>AM18*CHOOSE('Обобщенный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11945.174976000002</v>
      </c>
      <c r="AN57" s="33">
        <f>AN18*CHOOSE('Обобщенный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10700.885915999999</v>
      </c>
      <c r="AO57" s="33">
        <f>AO18*CHOOSE('Обобщенный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12028.12758</v>
      </c>
      <c r="AP57" s="33">
        <f>AP18*CHOOSE('Обобщенный расчет'!$N$1,'Исходные данные'!$D$99*'Исходные данные'!$D$100,'Исходные данные'!$F$99*'Исходные данные'!$F$100,'Исходные данные'!$I$99*'Исходные данные'!$I$100)</f>
        <v>13604.227056000002</v>
      </c>
      <c r="AQ57" s="107">
        <f t="shared" si="63"/>
        <v>110990.584152</v>
      </c>
      <c r="AR57" s="107">
        <f t="shared" si="64"/>
        <v>9249.215345999999</v>
      </c>
      <c r="AS57" s="114">
        <f t="shared" si="65"/>
        <v>282832.82852400001</v>
      </c>
      <c r="AT57" s="34"/>
    </row>
    <row r="58" spans="1:46" s="38" customFormat="1" ht="10.5" x14ac:dyDescent="0.35">
      <c r="A58" s="61" t="str">
        <f>'Обобщенный расчет'!B50</f>
        <v>Налоги</v>
      </c>
      <c r="B58" s="24" t="str">
        <f>CHOOSE('Исходные данные'!$O$2,'Исходные данные'!$P$2,'Исходные данные'!$P$3,'Исходные данные'!$P$4,'Исходные данные'!$P$5)</f>
        <v>UAH</v>
      </c>
      <c r="C58" s="36">
        <f>C13*C18*IF('Обобщенный расчет'!$P$1=1,CHOOSE('Обобщенный расчет'!$N$1,'Исходные данные'!$D$101,'Исходные данные'!$F$101,'Исходные данные'!$I$101),0)+C13*IF('Обобщенный расчет'!$P$1=2,CHOOSE('Обобщенный расчет'!$N$1,'Исходные данные'!$E$103,'Исходные данные'!$G$103,'Исходные данные'!$J$103),0)</f>
        <v>5806.6822799999991</v>
      </c>
      <c r="D58" s="36">
        <f>D13*D18*IF('Обобщенный расчет'!$P$1=1,CHOOSE('Обобщенный расчет'!$N$1,'Исходные данные'!$D$101,'Исходные данные'!$F$101,'Исходные данные'!$I$101),0)+D13*IF('Обобщенный расчет'!$P$1=2,CHOOSE('Обобщенный расчет'!$N$1,'Исходные данные'!$E$103,'Исходные данные'!$G$103,'Исходные данные'!$J$103),0)</f>
        <v>7373.5648000000001</v>
      </c>
      <c r="E58" s="36">
        <f>E13*E18*IF('Обобщенный расчет'!$P$1=1,CHOOSE('Обобщенный расчет'!$N$1,'Исходные данные'!$D$101,'Исходные данные'!$F$101,'Исходные данные'!$I$101),0)+E13*IF('Обобщенный расчет'!$P$1=2,CHOOSE('Обобщенный расчет'!$N$1,'Исходные данные'!$E$103,'Исходные данные'!$G$103,'Исходные данные'!$J$103),0)</f>
        <v>12442.890600000001</v>
      </c>
      <c r="F58" s="36">
        <f>F13*F18*IF('Обобщенный расчет'!$P$1=1,CHOOSE('Обобщенный расчет'!$N$1,'Исходные данные'!$D$101,'Исходные данные'!$F$101,'Исходные данные'!$I$101),0)+F13*IF('Обобщенный расчет'!$P$1=2,CHOOSE('Обобщенный расчет'!$N$1,'Исходные данные'!$E$103,'Исходные данные'!$G$103,'Исходные данные'!$J$103),0)</f>
        <v>7900.2479999999996</v>
      </c>
      <c r="G58" s="36">
        <f>G13*G18*IF('Обобщенный расчет'!$P$1=1,CHOOSE('Обобщенный расчет'!$N$1,'Исходные данные'!$D$101,'Исходные данные'!$F$101,'Исходные данные'!$I$101),0)+G13*IF('Обобщенный расчет'!$P$1=2,CHOOSE('Обобщенный расчет'!$N$1,'Исходные данные'!$E$103,'Исходные данные'!$G$103,'Исходные данные'!$J$103),0)</f>
        <v>11850.371999999999</v>
      </c>
      <c r="H58" s="36">
        <f>H13*H18*IF('Обобщенный расчет'!$P$1=1,CHOOSE('Обобщенный расчет'!$N$1,'Исходные данные'!$D$101,'Исходные данные'!$F$101,'Исходные данные'!$I$101),0)+H13*IF('Обобщенный расчет'!$P$1=2,CHOOSE('Обобщенный расчет'!$N$1,'Исходные данные'!$E$103,'Исходные данные'!$G$103,'Исходные данные'!$J$103),0)</f>
        <v>15537.154399999999</v>
      </c>
      <c r="I58" s="36">
        <f>I13*I18*IF('Обобщенный расчет'!$P$1=1,CHOOSE('Обобщенный расчет'!$N$1,'Исходные данные'!$D$101,'Исходные данные'!$F$101,'Исходные данные'!$I$101),0)+I13*IF('Обобщенный расчет'!$P$1=2,CHOOSE('Обобщенный расчет'!$N$1,'Исходные данные'!$E$103,'Исходные данные'!$G$103,'Исходные данные'!$J$103),0)</f>
        <v>15405.4836</v>
      </c>
      <c r="J58" s="36">
        <f>J13*J18*IF('Обобщенный расчет'!$P$1=1,CHOOSE('Обобщенный расчет'!$N$1,'Исходные данные'!$D$101,'Исходные данные'!$F$101,'Исходные данные'!$I$101),0)+J13*IF('Обобщенный расчет'!$P$1=2,CHOOSE('Обобщенный расчет'!$N$1,'Исходные данные'!$E$103,'Исходные данные'!$G$103,'Исходные данные'!$J$103),0)</f>
        <v>17512.216400000001</v>
      </c>
      <c r="K58" s="36">
        <f>K13*K18*IF('Обобщенный расчет'!$P$1=1,CHOOSE('Обобщенный расчет'!$N$1,'Исходные данные'!$D$101,'Исходные данные'!$F$101,'Исходные данные'!$I$101),0)+K13*IF('Обобщенный расчет'!$P$1=2,CHOOSE('Обобщенный расчет'!$N$1,'Исходные данные'!$E$103,'Исходные данные'!$G$103,'Исходные данные'!$J$103),0)</f>
        <v>18960.5952</v>
      </c>
      <c r="L58" s="36">
        <f>L13*L18*IF('Обобщенный расчет'!$P$1=1,CHOOSE('Обобщенный расчет'!$N$1,'Исходные данные'!$D$101,'Исходные данные'!$F$101,'Исходные данные'!$I$101),0)+L13*IF('Обобщенный расчет'!$P$1=2,CHOOSE('Обобщенный расчет'!$N$1,'Исходные данные'!$E$103,'Исходные данные'!$G$103,'Исходные данные'!$J$103),0)</f>
        <v>16985.533200000002</v>
      </c>
      <c r="M58" s="36">
        <f>M13*M18*IF('Обобщенный расчет'!$P$1=1,CHOOSE('Обобщенный расчет'!$N$1,'Исходные данные'!$D$101,'Исходные данные'!$F$101,'Исходные данные'!$I$101),0)+M13*IF('Обобщенный расчет'!$P$1=2,CHOOSE('Обобщенный расчет'!$N$1,'Исходные данные'!$E$103,'Исходные данные'!$G$103,'Исходные данные'!$J$103),0)</f>
        <v>19092.266</v>
      </c>
      <c r="N58" s="36">
        <f>N13*N18*IF('Обобщенный расчет'!$P$1=1,CHOOSE('Обобщенный расчет'!$N$1,'Исходные данные'!$D$101,'Исходные данные'!$F$101,'Исходные данные'!$I$101),0)+N13*IF('Обобщенный расчет'!$P$1=2,CHOOSE('Обобщенный расчет'!$N$1,'Исходные данные'!$E$103,'Исходные данные'!$G$103,'Исходные данные'!$J$103),0)</f>
        <v>21594.011199999997</v>
      </c>
      <c r="O58" s="52">
        <f>SUM(C58:N58)</f>
        <v>170461.01767999999</v>
      </c>
      <c r="P58" s="52">
        <f>O58/12</f>
        <v>14205.084806666666</v>
      </c>
      <c r="Q58" s="36">
        <f>Q13*Q18*IF('Обобщенный расчет'!$P$1=1,CHOOSE('Обобщенный расчет'!$N$1,'Исходные данные'!$D$101,'Исходные данные'!$F$101,'Исходные данные'!$I$101),0)+Q13*IF('Обобщенный расчет'!$P$1=2,CHOOSE('Обобщенный расчет'!$N$1,'Исходные данные'!$E$103,'Исходные данные'!$G$103,'Исходные данные'!$J$103),0)</f>
        <v>9954.3124800000005</v>
      </c>
      <c r="R58" s="36">
        <f>R13*R18*IF('Обобщенный расчет'!$P$1=1,CHOOSE('Обобщенный расчет'!$N$1,'Исходные данные'!$D$101,'Исходные данные'!$F$101,'Исходные данные'!$I$101),0)+R13*IF('Обобщенный расчет'!$P$1=2,CHOOSE('Обобщенный расчет'!$N$1,'Исходные данные'!$E$103,'Исходные данные'!$G$103,'Исходные данные'!$J$103),0)</f>
        <v>11060.3472</v>
      </c>
      <c r="S58" s="36">
        <f>S13*S18*IF('Обобщенный расчет'!$P$1=1,CHOOSE('Обобщенный расчет'!$N$1,'Исходные данные'!$D$101,'Исходные данные'!$F$101,'Исходные данные'!$I$101),0)+S13*IF('Обобщенный расчет'!$P$1=2,CHOOSE('Обобщенный расчет'!$N$1,'Исходные данные'!$E$103,'Исходные данные'!$G$103,'Исходные данные'!$J$103),0)</f>
        <v>16590.520800000002</v>
      </c>
      <c r="T58" s="36">
        <f>T13*T18*IF('Обобщенный расчет'!$P$1=1,CHOOSE('Обобщенный расчет'!$N$1,'Исходные данные'!$D$101,'Исходные данные'!$F$101,'Исходные данные'!$I$101),0)+T13*IF('Обобщенный расчет'!$P$1=2,CHOOSE('Обобщенный расчет'!$N$1,'Исходные данные'!$E$103,'Исходные данные'!$G$103,'Исходные данные'!$J$103),0)</f>
        <v>9480.2975999999999</v>
      </c>
      <c r="U58" s="36">
        <f>U13*U18*IF('Обобщенный расчет'!$P$1=1,CHOOSE('Обобщенный расчет'!$N$1,'Исходные данные'!$D$101,'Исходные данные'!$F$101,'Исходные данные'!$I$101),0)+U13*IF('Обобщенный расчет'!$P$1=2,CHOOSE('Обобщенный расчет'!$N$1,'Исходные данные'!$E$103,'Исходные данные'!$G$103,'Исходные данные'!$J$103),0)</f>
        <v>14220.446400000001</v>
      </c>
      <c r="V58" s="36">
        <f>V13*V18*IF('Обобщенный расчет'!$P$1=1,CHOOSE('Обобщенный расчет'!$N$1,'Исходные данные'!$D$101,'Исходные данные'!$F$101,'Исходные данные'!$I$101),0)+V13*IF('Обобщенный расчет'!$P$1=2,CHOOSE('Обобщенный расчет'!$N$1,'Исходные данные'!$E$103,'Исходные данные'!$G$103,'Исходные данные'!$J$103),0)</f>
        <v>18644.585279999999</v>
      </c>
      <c r="W58" s="36">
        <f>W13*W18*IF('Обобщенный расчет'!$P$1=1,CHOOSE('Обобщенный расчет'!$N$1,'Исходные данные'!$D$101,'Исходные данные'!$F$101,'Исходные данные'!$I$101),0)+W13*IF('Обобщенный расчет'!$P$1=2,CHOOSE('Обобщенный расчет'!$N$1,'Исходные данные'!$E$103,'Исходные данные'!$G$103,'Исходные данные'!$J$103),0)</f>
        <v>18486.580320000001</v>
      </c>
      <c r="X58" s="36">
        <f>X13*X18*IF('Обобщенный расчет'!$P$1=1,CHOOSE('Обобщенный расчет'!$N$1,'Исходные данные'!$D$101,'Исходные данные'!$F$101,'Исходные данные'!$I$101),0)+X13*IF('Обобщенный расчет'!$P$1=2,CHOOSE('Обобщенный расчет'!$N$1,'Исходные данные'!$E$103,'Исходные данные'!$G$103,'Исходные данные'!$J$103),0)</f>
        <v>21014.659680000004</v>
      </c>
      <c r="Y58" s="36">
        <f>Y13*Y18*IF('Обобщенный расчет'!$P$1=1,CHOOSE('Обобщенный расчет'!$N$1,'Исходные данные'!$D$101,'Исходные данные'!$F$101,'Исходные данные'!$I$101),0)+Y13*IF('Обобщенный расчет'!$P$1=2,CHOOSE('Обобщенный расчет'!$N$1,'Исходные данные'!$E$103,'Исходные данные'!$G$103,'Исходные данные'!$J$103),0)</f>
        <v>22752.714240000001</v>
      </c>
      <c r="Z58" s="36">
        <f>Z13*Z18*IF('Обобщенный расчет'!$P$1=1,CHOOSE('Обобщенный расчет'!$N$1,'Исходные данные'!$D$101,'Исходные данные'!$F$101,'Исходные данные'!$I$101),0)+Z13*IF('Обобщенный расчет'!$P$1=2,CHOOSE('Обобщенный расчет'!$N$1,'Исходные данные'!$E$103,'Исходные данные'!$G$103,'Исходные данные'!$J$103),0)</f>
        <v>20382.639840000003</v>
      </c>
      <c r="AA58" s="36">
        <f>AA13*AA18*IF('Обобщенный расчет'!$P$1=1,CHOOSE('Обобщенный расчет'!$N$1,'Исходные данные'!$D$101,'Исходные данные'!$F$101,'Исходные данные'!$I$101),0)+AA13*IF('Обобщенный расчет'!$P$1=2,CHOOSE('Обобщенный расчет'!$N$1,'Исходные данные'!$E$103,'Исходные данные'!$G$103,'Исходные данные'!$J$103),0)</f>
        <v>22910.7192</v>
      </c>
      <c r="AB58" s="36">
        <f>AB13*AB18*IF('Обобщенный расчет'!$P$1=1,CHOOSE('Обобщенный расчет'!$N$1,'Исходные данные'!$D$101,'Исходные данные'!$F$101,'Исходные данные'!$I$101),0)+AB13*IF('Обобщенный расчет'!$P$1=2,CHOOSE('Обобщенный расчет'!$N$1,'Исходные данные'!$E$103,'Исходные данные'!$G$103,'Исходные данные'!$J$103),0)</f>
        <v>25912.813439999998</v>
      </c>
      <c r="AC58" s="52">
        <f>SUM(Q58:AB58)</f>
        <v>211410.63647999999</v>
      </c>
      <c r="AD58" s="52">
        <f>AC58/12</f>
        <v>17617.553039999999</v>
      </c>
      <c r="AE58" s="36">
        <f>AE13*AE18*IF('Обобщенный расчет'!$P$1=1,CHOOSE('Обобщенный расчет'!$N$1,'Исходные данные'!$D$101,'Исходные данные'!$F$101,'Исходные данные'!$I$101),0)+AE13*IF('Обобщенный расчет'!$P$1=2,CHOOSE('Обобщенный расчет'!$N$1,'Исходные данные'!$E$103,'Исходные данные'!$G$103,'Исходные данные'!$J$103),0)</f>
        <v>11613.364559999998</v>
      </c>
      <c r="AF58" s="36">
        <f>AF13*AF18*IF('Обобщенный расчет'!$P$1=1,CHOOSE('Обобщенный расчет'!$N$1,'Исходные данные'!$D$101,'Исходные данные'!$F$101,'Исходные данные'!$I$101),0)+AF13*IF('Обобщенный расчет'!$P$1=2,CHOOSE('Обобщенный расчет'!$N$1,'Исходные данные'!$E$103,'Исходные данные'!$G$103,'Исходные данные'!$J$103),0)</f>
        <v>12903.738399999998</v>
      </c>
      <c r="AG58" s="36">
        <f>AG13*AG18*IF('Обобщенный расчет'!$P$1=1,CHOOSE('Обобщенный расчет'!$N$1,'Исходные данные'!$D$101,'Исходные данные'!$F$101,'Исходные данные'!$I$101),0)+AG13*IF('Обобщенный расчет'!$P$1=2,CHOOSE('Обобщенный расчет'!$N$1,'Исходные данные'!$E$103,'Исходные данные'!$G$103,'Исходные данные'!$J$103),0)</f>
        <v>19355.607599999999</v>
      </c>
      <c r="AH58" s="36">
        <f>AH13*AH18*IF('Обобщенный расчет'!$P$1=1,CHOOSE('Обобщенный расчет'!$N$1,'Исходные данные'!$D$101,'Исходные данные'!$F$101,'Исходные данные'!$I$101),0)+AH13*IF('Обобщенный расчет'!$P$1=2,CHOOSE('Обобщенный расчет'!$N$1,'Исходные данные'!$E$103,'Исходные данные'!$G$103,'Исходные данные'!$J$103),0)</f>
        <v>11060.3472</v>
      </c>
      <c r="AI58" s="36">
        <f>AI13*AI18*IF('Обобщенный расчет'!$P$1=1,CHOOSE('Обобщенный расчет'!$N$1,'Исходные данные'!$D$101,'Исходные данные'!$F$101,'Исходные данные'!$I$101),0)+AI13*IF('Обобщенный расчет'!$P$1=2,CHOOSE('Обобщенный расчет'!$N$1,'Исходные данные'!$E$103,'Исходные данные'!$G$103,'Исходные данные'!$J$103),0)</f>
        <v>16590.520800000002</v>
      </c>
      <c r="AJ58" s="36">
        <f>AJ13*AJ18*IF('Обобщенный расчет'!$P$1=1,CHOOSE('Обобщенный расчет'!$N$1,'Исходные данные'!$D$101,'Исходные данные'!$F$101,'Исходные данные'!$I$101),0)+AJ13*IF('Обобщенный расчет'!$P$1=2,CHOOSE('Обобщенный расчет'!$N$1,'Исходные данные'!$E$103,'Исходные данные'!$G$103,'Исходные данные'!$J$103),0)</f>
        <v>21752.016159999999</v>
      </c>
      <c r="AK58" s="36">
        <f>AK13*AK18*IF('Обобщенный расчет'!$P$1=1,CHOOSE('Обобщенный расчет'!$N$1,'Исходные данные'!$D$101,'Исходные данные'!$F$101,'Исходные данные'!$I$101),0)+AK13*IF('Обобщенный расчет'!$P$1=2,CHOOSE('Обобщенный расчет'!$N$1,'Исходные данные'!$E$103,'Исходные данные'!$G$103,'Исходные данные'!$J$103),0)</f>
        <v>21567.677039999999</v>
      </c>
      <c r="AL58" s="36">
        <f>AL13*AL18*IF('Обобщенный расчет'!$P$1=1,CHOOSE('Обобщенный расчет'!$N$1,'Исходные данные'!$D$101,'Исходные данные'!$F$101,'Исходные данные'!$I$101),0)+AL13*IF('Обобщенный расчет'!$P$1=2,CHOOSE('Обобщенный расчет'!$N$1,'Исходные данные'!$E$103,'Исходные данные'!$G$103,'Исходные данные'!$J$103),0)</f>
        <v>24517.102959999997</v>
      </c>
      <c r="AM58" s="36">
        <f>AM13*AM18*IF('Обобщенный расчет'!$P$1=1,CHOOSE('Обобщенный расчет'!$N$1,'Исходные данные'!$D$101,'Исходные данные'!$F$101,'Исходные данные'!$I$101),0)+AM13*IF('Обобщенный расчет'!$P$1=2,CHOOSE('Обобщенный расчет'!$N$1,'Исходные данные'!$E$103,'Исходные данные'!$G$103,'Исходные данные'!$J$103),0)</f>
        <v>26544.833280000003</v>
      </c>
      <c r="AN58" s="36">
        <f>AN13*AN18*IF('Обобщенный расчет'!$P$1=1,CHOOSE('Обобщенный расчет'!$N$1,'Исходные данные'!$D$101,'Исходные данные'!$F$101,'Исходные данные'!$I$101),0)+AN13*IF('Обобщенный расчет'!$P$1=2,CHOOSE('Обобщенный расчет'!$N$1,'Исходные данные'!$E$103,'Исходные данные'!$G$103,'Исходные данные'!$J$103),0)</f>
        <v>23779.746479999998</v>
      </c>
      <c r="AO58" s="36">
        <f>AO13*AO18*IF('Обобщенный расчет'!$P$1=1,CHOOSE('Обобщенный расчет'!$N$1,'Исходные данные'!$D$101,'Исходные данные'!$F$101,'Исходные данные'!$I$101),0)+AO13*IF('Обобщенный расчет'!$P$1=2,CHOOSE('Обобщенный расчет'!$N$1,'Исходные данные'!$E$103,'Исходные данные'!$G$103,'Исходные данные'!$J$103),0)</f>
        <v>26729.172399999999</v>
      </c>
      <c r="AP58" s="36">
        <f>AP13*AP18*IF('Обобщенный расчет'!$P$1=1,CHOOSE('Обобщенный расчет'!$N$1,'Исходные данные'!$D$101,'Исходные данные'!$F$101,'Исходные данные'!$I$101),0)+AP13*IF('Обобщенный расчет'!$P$1=2,CHOOSE('Обобщенный расчет'!$N$1,'Исходные данные'!$E$103,'Исходные данные'!$G$103,'Исходные данные'!$J$103),0)</f>
        <v>30231.615679999999</v>
      </c>
      <c r="AQ58" s="52">
        <f>SUM(AE58:AP58)</f>
        <v>246645.74255999998</v>
      </c>
      <c r="AR58" s="52">
        <f>AQ58/12</f>
        <v>20553.811879999997</v>
      </c>
      <c r="AS58" s="114">
        <f>O58+AC58+AQ58</f>
        <v>628517.39671999996</v>
      </c>
      <c r="AT58" s="37"/>
    </row>
    <row r="59" spans="1:46" s="35" customFormat="1" ht="10.5" x14ac:dyDescent="0.35">
      <c r="A59" s="60" t="str">
        <f>'Обобщенный расчет'!B51</f>
        <v>Прочее</v>
      </c>
      <c r="B59" s="21" t="str">
        <f>CHOOSE('Исходные данные'!$O$2,'Исходные данные'!$P$2,'Исходные данные'!$P$3,'Исходные данные'!$P$4,'Исходные данные'!$P$5)</f>
        <v>UAH</v>
      </c>
      <c r="C59" s="33">
        <f>CHOOSE('Обобщенный расчет'!$N$1,'Исходные данные'!$E104,'Исходные данные'!$G104,'Исходные данные'!$J104)</f>
        <v>0</v>
      </c>
      <c r="D59" s="33">
        <f>CHOOSE('Обобщенный расчет'!$N$1,'Исходные данные'!$E104,'Исходные данные'!$G104,'Исходные данные'!$J104)</f>
        <v>0</v>
      </c>
      <c r="E59" s="33">
        <f>CHOOSE('Обобщенный расчет'!$N$1,'Исходные данные'!$E104,'Исходные данные'!$G104,'Исходные данные'!$J104)</f>
        <v>0</v>
      </c>
      <c r="F59" s="33">
        <f>CHOOSE('Обобщенный расчет'!$N$1,'Исходные данные'!$E104,'Исходные данные'!$G104,'Исходные данные'!$J104)</f>
        <v>0</v>
      </c>
      <c r="G59" s="33">
        <f>CHOOSE('Обобщенный расчет'!$N$1,'Исходные данные'!$E104,'Исходные данные'!$G104,'Исходные данные'!$J104)</f>
        <v>0</v>
      </c>
      <c r="H59" s="33">
        <f>CHOOSE('Обобщенный расчет'!$N$1,'Исходные данные'!$E104,'Исходные данные'!$G104,'Исходные данные'!$J104)</f>
        <v>0</v>
      </c>
      <c r="I59" s="33">
        <f>CHOOSE('Обобщенный расчет'!$N$1,'Исходные данные'!$E104,'Исходные данные'!$G104,'Исходные данные'!$J104)</f>
        <v>0</v>
      </c>
      <c r="J59" s="33">
        <f>CHOOSE('Обобщенный расчет'!$N$1,'Исходные данные'!$E104,'Исходные данные'!$G104,'Исходные данные'!$J104)</f>
        <v>0</v>
      </c>
      <c r="K59" s="33">
        <f>CHOOSE('Обобщенный расчет'!$N$1,'Исходные данные'!$E104,'Исходные данные'!$G104,'Исходные данные'!$J104)</f>
        <v>0</v>
      </c>
      <c r="L59" s="33">
        <f>CHOOSE('Обобщенный расчет'!$N$1,'Исходные данные'!$E104,'Исходные данные'!$G104,'Исходные данные'!$J104)</f>
        <v>0</v>
      </c>
      <c r="M59" s="33">
        <f>CHOOSE('Обобщенный расчет'!$N$1,'Исходные данные'!$E104,'Исходные данные'!$G104,'Исходные данные'!$J104)</f>
        <v>0</v>
      </c>
      <c r="N59" s="33">
        <f>CHOOSE('Обобщенный расчет'!$N$1,'Исходные данные'!$E104,'Исходные данные'!$G104,'Исходные данные'!$J104)</f>
        <v>0</v>
      </c>
      <c r="O59" s="107">
        <f>SUM(C59:N59)</f>
        <v>0</v>
      </c>
      <c r="P59" s="107">
        <f>O59/12</f>
        <v>0</v>
      </c>
      <c r="Q59" s="33">
        <f>CHOOSE('Обобщенный расчет'!$N$1,'Исходные данные'!$E104,'Исходные данные'!$G104,'Исходные данные'!$J104)</f>
        <v>0</v>
      </c>
      <c r="R59" s="33">
        <f>CHOOSE('Обобщенный расчет'!$N$1,'Исходные данные'!$E104,'Исходные данные'!$G104,'Исходные данные'!$J104)</f>
        <v>0</v>
      </c>
      <c r="S59" s="33">
        <f>CHOOSE('Обобщенный расчет'!$N$1,'Исходные данные'!$E104,'Исходные данные'!$G104,'Исходные данные'!$J104)</f>
        <v>0</v>
      </c>
      <c r="T59" s="33">
        <f>CHOOSE('Обобщенный расчет'!$N$1,'Исходные данные'!$E104,'Исходные данные'!$G104,'Исходные данные'!$J104)</f>
        <v>0</v>
      </c>
      <c r="U59" s="33">
        <f>CHOOSE('Обобщенный расчет'!$N$1,'Исходные данные'!$E104,'Исходные данные'!$G104,'Исходные данные'!$J104)</f>
        <v>0</v>
      </c>
      <c r="V59" s="33">
        <f>CHOOSE('Обобщенный расчет'!$N$1,'Исходные данные'!$E104,'Исходные данные'!$G104,'Исходные данные'!$J104)</f>
        <v>0</v>
      </c>
      <c r="W59" s="33">
        <f>CHOOSE('Обобщенный расчет'!$N$1,'Исходные данные'!$E104,'Исходные данные'!$G104,'Исходные данные'!$J104)</f>
        <v>0</v>
      </c>
      <c r="X59" s="33">
        <f>CHOOSE('Обобщенный расчет'!$N$1,'Исходные данные'!$E104,'Исходные данные'!$G104,'Исходные данные'!$J104)</f>
        <v>0</v>
      </c>
      <c r="Y59" s="33">
        <f>CHOOSE('Обобщенный расчет'!$N$1,'Исходные данные'!$E104,'Исходные данные'!$G104,'Исходные данные'!$J104)</f>
        <v>0</v>
      </c>
      <c r="Z59" s="33">
        <f>CHOOSE('Обобщенный расчет'!$N$1,'Исходные данные'!$E104,'Исходные данные'!$G104,'Исходные данные'!$J104)</f>
        <v>0</v>
      </c>
      <c r="AA59" s="33">
        <f>CHOOSE('Обобщенный расчет'!$N$1,'Исходные данные'!$E104,'Исходные данные'!$G104,'Исходные данные'!$J104)</f>
        <v>0</v>
      </c>
      <c r="AB59" s="33">
        <f>CHOOSE('Обобщенный расчет'!$N$1,'Исходные данные'!$E104,'Исходные данные'!$G104,'Исходные данные'!$J104)</f>
        <v>0</v>
      </c>
      <c r="AC59" s="107">
        <f>SUM(Q59:AB59)</f>
        <v>0</v>
      </c>
      <c r="AD59" s="107">
        <f>AC59/12</f>
        <v>0</v>
      </c>
      <c r="AE59" s="33">
        <f>CHOOSE('Обобщенный расчет'!$N$1,'Исходные данные'!$E104,'Исходные данные'!$G104,'Исходные данные'!$J104)</f>
        <v>0</v>
      </c>
      <c r="AF59" s="33">
        <f>CHOOSE('Обобщенный расчет'!$N$1,'Исходные данные'!$E104,'Исходные данные'!$G104,'Исходные данные'!$J104)</f>
        <v>0</v>
      </c>
      <c r="AG59" s="33">
        <f>CHOOSE('Обобщенный расчет'!$N$1,'Исходные данные'!$E104,'Исходные данные'!$G104,'Исходные данные'!$J104)</f>
        <v>0</v>
      </c>
      <c r="AH59" s="33">
        <f>CHOOSE('Обобщенный расчет'!$N$1,'Исходные данные'!$E104,'Исходные данные'!$G104,'Исходные данные'!$J104)</f>
        <v>0</v>
      </c>
      <c r="AI59" s="33">
        <f>CHOOSE('Обобщенный расчет'!$N$1,'Исходные данные'!$E104,'Исходные данные'!$G104,'Исходные данные'!$J104)</f>
        <v>0</v>
      </c>
      <c r="AJ59" s="33">
        <f>CHOOSE('Обобщенный расчет'!$N$1,'Исходные данные'!$E104,'Исходные данные'!$G104,'Исходные данные'!$J104)</f>
        <v>0</v>
      </c>
      <c r="AK59" s="33">
        <f>CHOOSE('Обобщенный расчет'!$N$1,'Исходные данные'!$E104,'Исходные данные'!$G104,'Исходные данные'!$J104)</f>
        <v>0</v>
      </c>
      <c r="AL59" s="33">
        <f>CHOOSE('Обобщенный расчет'!$N$1,'Исходные данные'!$E104,'Исходные данные'!$G104,'Исходные данные'!$J104)</f>
        <v>0</v>
      </c>
      <c r="AM59" s="33">
        <f>CHOOSE('Обобщенный расчет'!$N$1,'Исходные данные'!$E104,'Исходные данные'!$G104,'Исходные данные'!$J104)</f>
        <v>0</v>
      </c>
      <c r="AN59" s="33">
        <f>CHOOSE('Обобщенный расчет'!$N$1,'Исходные данные'!$E104,'Исходные данные'!$G104,'Исходные данные'!$J104)</f>
        <v>0</v>
      </c>
      <c r="AO59" s="33">
        <f>CHOOSE('Обобщенный расчет'!$N$1,'Исходные данные'!$E104,'Исходные данные'!$G104,'Исходные данные'!$J104)</f>
        <v>0</v>
      </c>
      <c r="AP59" s="33">
        <f>CHOOSE('Обобщенный расчет'!$N$1,'Исходные данные'!$E104,'Исходные данные'!$G104,'Исходные данные'!$J104)</f>
        <v>0</v>
      </c>
      <c r="AQ59" s="107">
        <f>SUM(AE59:AP59)</f>
        <v>0</v>
      </c>
      <c r="AR59" s="107">
        <f>AQ59/12</f>
        <v>0</v>
      </c>
      <c r="AS59" s="114">
        <f>O59+AC59+AQ59</f>
        <v>0</v>
      </c>
      <c r="AT59" s="34"/>
    </row>
    <row r="60" spans="1:46" s="63" customFormat="1" ht="10.5" x14ac:dyDescent="0.35">
      <c r="A60" s="135" t="s">
        <v>9</v>
      </c>
      <c r="B60" s="136" t="str">
        <f>CHOOSE('Исходные данные'!$O$2,'Исходные данные'!$P$2,'Исходные данные'!$P$3,'Исходные данные'!$P$4,'Исходные данные'!$P$5)</f>
        <v>UAH</v>
      </c>
      <c r="C60" s="137">
        <f t="shared" ref="C60:AS60" si="74">SUM(C40:C59)</f>
        <v>362020.040606</v>
      </c>
      <c r="D60" s="137">
        <f t="shared" si="74"/>
        <v>373546.87695999997</v>
      </c>
      <c r="E60" s="137">
        <f t="shared" si="74"/>
        <v>494957.22986999998</v>
      </c>
      <c r="F60" s="137">
        <f t="shared" si="74"/>
        <v>386160.93959999998</v>
      </c>
      <c r="G60" s="137">
        <f t="shared" si="74"/>
        <v>480766.40939999995</v>
      </c>
      <c r="H60" s="137">
        <f t="shared" si="74"/>
        <v>569064.8478799999</v>
      </c>
      <c r="I60" s="137">
        <f t="shared" si="74"/>
        <v>591911.33221999998</v>
      </c>
      <c r="J60" s="137">
        <f t="shared" si="74"/>
        <v>616367.58277999994</v>
      </c>
      <c r="K60" s="137">
        <f t="shared" si="74"/>
        <v>651056.25503999996</v>
      </c>
      <c r="L60" s="137">
        <f t="shared" si="74"/>
        <v>603753.52013999992</v>
      </c>
      <c r="M60" s="137">
        <f t="shared" si="74"/>
        <v>654209.77069999988</v>
      </c>
      <c r="N60" s="137">
        <f t="shared" si="74"/>
        <v>714126.56823999982</v>
      </c>
      <c r="O60" s="137">
        <f t="shared" si="74"/>
        <v>6497941.3734359993</v>
      </c>
      <c r="P60" s="137">
        <f t="shared" si="74"/>
        <v>541495.1144529999</v>
      </c>
      <c r="Q60" s="137">
        <f t="shared" si="74"/>
        <v>467530.78389600001</v>
      </c>
      <c r="R60" s="137">
        <f t="shared" si="74"/>
        <v>468020.31543999998</v>
      </c>
      <c r="S60" s="137">
        <f t="shared" si="74"/>
        <v>600467.97316000017</v>
      </c>
      <c r="T60" s="137">
        <f t="shared" si="74"/>
        <v>430178.12751999998</v>
      </c>
      <c r="U60" s="137">
        <f t="shared" si="74"/>
        <v>543704.69128000003</v>
      </c>
      <c r="V60" s="137">
        <f t="shared" si="74"/>
        <v>649662.81745600002</v>
      </c>
      <c r="W60" s="137">
        <f t="shared" si="74"/>
        <v>671878.59866399993</v>
      </c>
      <c r="X60" s="137">
        <f t="shared" si="74"/>
        <v>706426.09933600016</v>
      </c>
      <c r="Y60" s="137">
        <f t="shared" si="74"/>
        <v>748052.50604800007</v>
      </c>
      <c r="Z60" s="137">
        <f t="shared" si="74"/>
        <v>691289.22416800004</v>
      </c>
      <c r="AA60" s="137">
        <f t="shared" si="74"/>
        <v>751836.72483999992</v>
      </c>
      <c r="AB60" s="137">
        <f t="shared" si="74"/>
        <v>823736.88188799983</v>
      </c>
      <c r="AC60" s="137">
        <f t="shared" si="74"/>
        <v>7552784.7436959986</v>
      </c>
      <c r="AD60" s="137">
        <f t="shared" si="74"/>
        <v>629398.72864133341</v>
      </c>
      <c r="AE60" s="137">
        <f t="shared" si="74"/>
        <v>513440.08121199999</v>
      </c>
      <c r="AF60" s="137">
        <f t="shared" si="74"/>
        <v>518344.53467999998</v>
      </c>
      <c r="AG60" s="137">
        <f t="shared" si="74"/>
        <v>672866.80201999994</v>
      </c>
      <c r="AH60" s="137">
        <f t="shared" si="74"/>
        <v>474195.31543999998</v>
      </c>
      <c r="AI60" s="137">
        <f t="shared" si="74"/>
        <v>606642.97316000017</v>
      </c>
      <c r="AJ60" s="137">
        <f t="shared" si="74"/>
        <v>730260.78703200002</v>
      </c>
      <c r="AK60" s="137">
        <f t="shared" si="74"/>
        <v>751845.865108</v>
      </c>
      <c r="AL60" s="137">
        <f t="shared" si="74"/>
        <v>796484.61589199991</v>
      </c>
      <c r="AM60" s="137">
        <f t="shared" si="74"/>
        <v>845048.75705600006</v>
      </c>
      <c r="AN60" s="137">
        <f t="shared" si="74"/>
        <v>778824.92819599994</v>
      </c>
      <c r="AO60" s="137">
        <f t="shared" si="74"/>
        <v>849463.67897999997</v>
      </c>
      <c r="AP60" s="137">
        <f t="shared" si="74"/>
        <v>933347.19553600007</v>
      </c>
      <c r="AQ60" s="137">
        <f t="shared" si="74"/>
        <v>8470765.5343120005</v>
      </c>
      <c r="AR60" s="137">
        <f t="shared" si="74"/>
        <v>705897.12785933341</v>
      </c>
      <c r="AS60" s="137">
        <f t="shared" si="74"/>
        <v>22521491.651443999</v>
      </c>
    </row>
    <row r="61" spans="1:46" s="13" customFormat="1" ht="10.8" thickBot="1" x14ac:dyDescent="0.4">
      <c r="A61" s="40"/>
      <c r="B61" s="39"/>
      <c r="C61" s="42"/>
      <c r="D61" s="42"/>
      <c r="E61" s="42"/>
      <c r="F61" s="42"/>
      <c r="G61" s="42"/>
      <c r="H61" s="42"/>
      <c r="I61" s="40"/>
      <c r="J61" s="40"/>
      <c r="K61" s="40"/>
      <c r="L61" s="40"/>
      <c r="M61" s="40"/>
      <c r="N61" s="40"/>
      <c r="O61" s="110"/>
      <c r="P61" s="110"/>
      <c r="Q61" s="42"/>
      <c r="R61" s="42"/>
      <c r="S61" s="42"/>
      <c r="T61" s="42"/>
      <c r="U61" s="42"/>
      <c r="V61" s="42"/>
      <c r="W61" s="40"/>
      <c r="X61" s="40"/>
      <c r="Y61" s="40"/>
      <c r="Z61" s="40"/>
      <c r="AA61" s="40"/>
      <c r="AB61" s="40"/>
      <c r="AC61" s="110"/>
      <c r="AD61" s="110"/>
      <c r="AE61" s="42"/>
      <c r="AF61" s="42"/>
      <c r="AG61" s="42"/>
      <c r="AH61" s="42"/>
      <c r="AI61" s="42"/>
      <c r="AJ61" s="42"/>
      <c r="AK61" s="40"/>
      <c r="AL61" s="40"/>
      <c r="AM61" s="40"/>
      <c r="AN61" s="40"/>
      <c r="AO61" s="40"/>
      <c r="AP61" s="40"/>
      <c r="AQ61" s="110"/>
      <c r="AR61" s="110"/>
      <c r="AS61" s="40"/>
    </row>
    <row r="62" spans="1:46" s="20" customFormat="1" ht="21.6" thickTop="1" thickBot="1" x14ac:dyDescent="0.4">
      <c r="A62" s="18" t="s">
        <v>10</v>
      </c>
      <c r="B62" s="19"/>
      <c r="C62" s="19" t="str">
        <f t="shared" ref="C62:N62" si="75">C$6</f>
        <v>январь</v>
      </c>
      <c r="D62" s="19" t="str">
        <f t="shared" si="75"/>
        <v>февраль</v>
      </c>
      <c r="E62" s="19" t="str">
        <f t="shared" si="75"/>
        <v>март</v>
      </c>
      <c r="F62" s="19" t="str">
        <f t="shared" si="75"/>
        <v>апрель</v>
      </c>
      <c r="G62" s="19" t="str">
        <f t="shared" si="75"/>
        <v>май</v>
      </c>
      <c r="H62" s="19" t="str">
        <f t="shared" si="75"/>
        <v>июнь</v>
      </c>
      <c r="I62" s="19" t="str">
        <f t="shared" si="75"/>
        <v>июль</v>
      </c>
      <c r="J62" s="19" t="str">
        <f t="shared" si="75"/>
        <v>август</v>
      </c>
      <c r="K62" s="19" t="str">
        <f t="shared" si="75"/>
        <v>сентябрь</v>
      </c>
      <c r="L62" s="19" t="str">
        <f t="shared" si="75"/>
        <v>октябрь</v>
      </c>
      <c r="M62" s="19" t="str">
        <f t="shared" si="75"/>
        <v>ноябрь</v>
      </c>
      <c r="N62" s="19" t="str">
        <f t="shared" si="75"/>
        <v>декабрь</v>
      </c>
      <c r="O62" s="108" t="str">
        <f>$O$16</f>
        <v>Итого за 1-й год</v>
      </c>
      <c r="P62" s="108" t="str">
        <f>$P$16</f>
        <v>Среднемесячно за 1-й год</v>
      </c>
      <c r="Q62" s="19" t="str">
        <f t="shared" ref="Q62:AB62" si="76">Q$6</f>
        <v>январь</v>
      </c>
      <c r="R62" s="19" t="str">
        <f t="shared" si="76"/>
        <v>февраль</v>
      </c>
      <c r="S62" s="19" t="str">
        <f t="shared" si="76"/>
        <v>март</v>
      </c>
      <c r="T62" s="19" t="str">
        <f t="shared" si="76"/>
        <v>апрель</v>
      </c>
      <c r="U62" s="19" t="str">
        <f t="shared" si="76"/>
        <v>май</v>
      </c>
      <c r="V62" s="19" t="str">
        <f t="shared" si="76"/>
        <v>июнь</v>
      </c>
      <c r="W62" s="19" t="str">
        <f t="shared" si="76"/>
        <v>июль</v>
      </c>
      <c r="X62" s="19" t="str">
        <f t="shared" si="76"/>
        <v>август</v>
      </c>
      <c r="Y62" s="19" t="str">
        <f t="shared" si="76"/>
        <v>сентябрь</v>
      </c>
      <c r="Z62" s="19" t="str">
        <f t="shared" si="76"/>
        <v>октябрь</v>
      </c>
      <c r="AA62" s="19" t="str">
        <f t="shared" si="76"/>
        <v>ноябрь</v>
      </c>
      <c r="AB62" s="19" t="str">
        <f t="shared" si="76"/>
        <v>декабрь</v>
      </c>
      <c r="AC62" s="108" t="str">
        <f>AC35</f>
        <v>Итого за 2-й год</v>
      </c>
      <c r="AD62" s="108" t="str">
        <f>AD35</f>
        <v>Среднемесячно за 2-й год</v>
      </c>
      <c r="AE62" s="19" t="str">
        <f t="shared" ref="AE62:AP62" si="77">AE$6</f>
        <v>январь</v>
      </c>
      <c r="AF62" s="19" t="str">
        <f t="shared" si="77"/>
        <v>февраль</v>
      </c>
      <c r="AG62" s="19" t="str">
        <f t="shared" si="77"/>
        <v>март</v>
      </c>
      <c r="AH62" s="19" t="str">
        <f t="shared" si="77"/>
        <v>апрель</v>
      </c>
      <c r="AI62" s="19" t="str">
        <f t="shared" si="77"/>
        <v>май</v>
      </c>
      <c r="AJ62" s="19" t="str">
        <f t="shared" si="77"/>
        <v>июнь</v>
      </c>
      <c r="AK62" s="19" t="str">
        <f t="shared" si="77"/>
        <v>июль</v>
      </c>
      <c r="AL62" s="19" t="str">
        <f t="shared" si="77"/>
        <v>август</v>
      </c>
      <c r="AM62" s="19" t="str">
        <f t="shared" si="77"/>
        <v>сентябрь</v>
      </c>
      <c r="AN62" s="19" t="str">
        <f t="shared" si="77"/>
        <v>октябрь</v>
      </c>
      <c r="AO62" s="19" t="str">
        <f t="shared" si="77"/>
        <v>ноябрь</v>
      </c>
      <c r="AP62" s="19" t="str">
        <f t="shared" si="77"/>
        <v>декабрь</v>
      </c>
      <c r="AQ62" s="108" t="str">
        <f>AQ35</f>
        <v>Итого за 3-й год</v>
      </c>
      <c r="AR62" s="108" t="str">
        <f>AR35</f>
        <v>Среднемесячно за 3-й год</v>
      </c>
      <c r="AS62" s="117" t="str">
        <f>AS35</f>
        <v>Итого за три года</v>
      </c>
    </row>
    <row r="63" spans="1:46" s="20" customFormat="1" ht="10.8" thickTop="1" x14ac:dyDescent="0.35">
      <c r="A63" s="43" t="s">
        <v>11</v>
      </c>
      <c r="B63" s="24" t="str">
        <f>CHOOSE('Исходные данные'!$O$2,'Исходные данные'!$P$2,'Исходные данные'!$P$3,'Исходные данные'!$P$4,'Исходные данные'!$P$5)</f>
        <v>UAH</v>
      </c>
      <c r="C63" s="129">
        <f t="shared" ref="C63:N63" si="78">C18</f>
        <v>290334.11399999994</v>
      </c>
      <c r="D63" s="129">
        <f t="shared" si="78"/>
        <v>368678.24</v>
      </c>
      <c r="E63" s="129">
        <f t="shared" si="78"/>
        <v>622144.53</v>
      </c>
      <c r="F63" s="129">
        <f t="shared" si="78"/>
        <v>395012.39999999997</v>
      </c>
      <c r="G63" s="129">
        <f t="shared" si="78"/>
        <v>592518.6</v>
      </c>
      <c r="H63" s="129">
        <f t="shared" si="78"/>
        <v>776857.72</v>
      </c>
      <c r="I63" s="129">
        <f t="shared" si="78"/>
        <v>770274.17999999993</v>
      </c>
      <c r="J63" s="129">
        <f t="shared" si="78"/>
        <v>875610.82000000007</v>
      </c>
      <c r="K63" s="129">
        <f t="shared" si="78"/>
        <v>948029.76</v>
      </c>
      <c r="L63" s="129">
        <f t="shared" si="78"/>
        <v>849276.66</v>
      </c>
      <c r="M63" s="129">
        <f t="shared" si="78"/>
        <v>954613.29999999993</v>
      </c>
      <c r="N63" s="129">
        <f t="shared" si="78"/>
        <v>1079700.5599999998</v>
      </c>
      <c r="O63" s="130">
        <f t="shared" ref="O63:O69" si="79">SUM(C63:N63)</f>
        <v>8523050.8839999996</v>
      </c>
      <c r="P63" s="130">
        <f t="shared" ref="P63:P69" si="80">O63/12</f>
        <v>710254.24033333326</v>
      </c>
      <c r="Q63" s="129">
        <f t="shared" ref="Q63:AB63" si="81">Q18</f>
        <v>497715.62400000001</v>
      </c>
      <c r="R63" s="129">
        <f t="shared" si="81"/>
        <v>553017.36</v>
      </c>
      <c r="S63" s="129">
        <f t="shared" si="81"/>
        <v>829526.04</v>
      </c>
      <c r="T63" s="129">
        <f t="shared" si="81"/>
        <v>474014.88</v>
      </c>
      <c r="U63" s="129">
        <f t="shared" si="81"/>
        <v>711022.32000000007</v>
      </c>
      <c r="V63" s="129">
        <f t="shared" si="81"/>
        <v>932229.26399999997</v>
      </c>
      <c r="W63" s="129">
        <f t="shared" si="81"/>
        <v>924329.01599999995</v>
      </c>
      <c r="X63" s="129">
        <f t="shared" si="81"/>
        <v>1050732.9840000002</v>
      </c>
      <c r="Y63" s="129">
        <f t="shared" si="81"/>
        <v>1137635.7120000001</v>
      </c>
      <c r="Z63" s="129">
        <f t="shared" si="81"/>
        <v>1019131.9920000001</v>
      </c>
      <c r="AA63" s="129">
        <f t="shared" si="81"/>
        <v>1145535.96</v>
      </c>
      <c r="AB63" s="129">
        <f t="shared" si="81"/>
        <v>1295640.6719999998</v>
      </c>
      <c r="AC63" s="130">
        <f t="shared" ref="AC63:AC69" si="82">SUM(Q63:AB63)</f>
        <v>10570531.824000003</v>
      </c>
      <c r="AD63" s="130">
        <f t="shared" ref="AD63:AD69" si="83">AC63/12</f>
        <v>880877.65200000023</v>
      </c>
      <c r="AE63" s="129">
        <f t="shared" ref="AE63:AP63" si="84">AE18</f>
        <v>580668.22799999989</v>
      </c>
      <c r="AF63" s="129">
        <f t="shared" si="84"/>
        <v>645186.91999999993</v>
      </c>
      <c r="AG63" s="129">
        <f t="shared" si="84"/>
        <v>967780.38</v>
      </c>
      <c r="AH63" s="129">
        <f t="shared" si="84"/>
        <v>553017.36</v>
      </c>
      <c r="AI63" s="129">
        <f t="shared" si="84"/>
        <v>829526.04</v>
      </c>
      <c r="AJ63" s="129">
        <f t="shared" si="84"/>
        <v>1087600.808</v>
      </c>
      <c r="AK63" s="129">
        <f t="shared" si="84"/>
        <v>1078383.852</v>
      </c>
      <c r="AL63" s="129">
        <f t="shared" si="84"/>
        <v>1225855.1479999998</v>
      </c>
      <c r="AM63" s="129">
        <f t="shared" si="84"/>
        <v>1327241.6640000001</v>
      </c>
      <c r="AN63" s="129">
        <f t="shared" si="84"/>
        <v>1188987.3239999998</v>
      </c>
      <c r="AO63" s="129">
        <f t="shared" si="84"/>
        <v>1336458.6199999999</v>
      </c>
      <c r="AP63" s="129">
        <f t="shared" si="84"/>
        <v>1511580.784</v>
      </c>
      <c r="AQ63" s="130">
        <f t="shared" ref="AQ63:AQ69" si="85">SUM(AE63:AP63)</f>
        <v>12332287.127999999</v>
      </c>
      <c r="AR63" s="130">
        <f t="shared" ref="AR63:AR69" si="86">AQ63/12</f>
        <v>1027690.5939999999</v>
      </c>
      <c r="AS63" s="131">
        <f t="shared" ref="AS63:AS68" si="87">O63+AC63+AQ63</f>
        <v>31425869.836000003</v>
      </c>
    </row>
    <row r="64" spans="1:46" s="20" customFormat="1" ht="10.5" x14ac:dyDescent="0.35">
      <c r="A64" s="23" t="str">
        <f>"- Себестоимость"</f>
        <v>- Себестоимость</v>
      </c>
      <c r="B64" s="24" t="str">
        <f>CHOOSE('Исходные данные'!$O$2,'Исходные данные'!$P$2,'Исходные данные'!$P$3,'Исходные данные'!$P$4,'Исходные данные'!$P$5)</f>
        <v>UAH</v>
      </c>
      <c r="C64" s="129">
        <f t="shared" ref="C64:N64" si="88">C22</f>
        <v>14516.705699999999</v>
      </c>
      <c r="D64" s="129">
        <f t="shared" si="88"/>
        <v>18433.912</v>
      </c>
      <c r="E64" s="129">
        <f t="shared" si="88"/>
        <v>31107.226500000004</v>
      </c>
      <c r="F64" s="129">
        <f t="shared" si="88"/>
        <v>19750.62</v>
      </c>
      <c r="G64" s="129">
        <f t="shared" si="88"/>
        <v>29625.93</v>
      </c>
      <c r="H64" s="129">
        <f t="shared" si="88"/>
        <v>38842.885999999999</v>
      </c>
      <c r="I64" s="129">
        <f t="shared" si="88"/>
        <v>38513.708999999995</v>
      </c>
      <c r="J64" s="129">
        <f t="shared" si="88"/>
        <v>43780.541000000005</v>
      </c>
      <c r="K64" s="129">
        <f t="shared" si="88"/>
        <v>47401.488000000005</v>
      </c>
      <c r="L64" s="129">
        <f t="shared" si="88"/>
        <v>42463.833000000006</v>
      </c>
      <c r="M64" s="129">
        <f t="shared" si="88"/>
        <v>47730.665000000001</v>
      </c>
      <c r="N64" s="129">
        <f t="shared" si="88"/>
        <v>53985.027999999991</v>
      </c>
      <c r="O64" s="130">
        <f t="shared" si="79"/>
        <v>426152.54419999995</v>
      </c>
      <c r="P64" s="130">
        <f t="shared" si="80"/>
        <v>35512.712016666665</v>
      </c>
      <c r="Q64" s="129">
        <f t="shared" ref="Q64:AB64" si="89">Q22</f>
        <v>24885.781200000001</v>
      </c>
      <c r="R64" s="129">
        <f t="shared" si="89"/>
        <v>27650.868000000002</v>
      </c>
      <c r="S64" s="129">
        <f t="shared" si="89"/>
        <v>41476.302000000003</v>
      </c>
      <c r="T64" s="129">
        <f t="shared" si="89"/>
        <v>23700.744000000002</v>
      </c>
      <c r="U64" s="129">
        <f t="shared" si="89"/>
        <v>35551.116000000002</v>
      </c>
      <c r="V64" s="129">
        <f t="shared" si="89"/>
        <v>46611.463199999998</v>
      </c>
      <c r="W64" s="129">
        <f t="shared" si="89"/>
        <v>46216.450799999999</v>
      </c>
      <c r="X64" s="129">
        <f t="shared" si="89"/>
        <v>52536.649200000014</v>
      </c>
      <c r="Y64" s="129">
        <f t="shared" si="89"/>
        <v>56881.785600000003</v>
      </c>
      <c r="Z64" s="129">
        <f t="shared" si="89"/>
        <v>50956.599600000009</v>
      </c>
      <c r="AA64" s="129">
        <f t="shared" si="89"/>
        <v>57276.798000000003</v>
      </c>
      <c r="AB64" s="129">
        <f t="shared" si="89"/>
        <v>64782.033599999995</v>
      </c>
      <c r="AC64" s="130">
        <f t="shared" si="82"/>
        <v>528526.59120000002</v>
      </c>
      <c r="AD64" s="130">
        <f t="shared" si="83"/>
        <v>44043.882600000004</v>
      </c>
      <c r="AE64" s="129">
        <f t="shared" ref="AE64:AP64" si="90">AE22</f>
        <v>29033.411399999997</v>
      </c>
      <c r="AF64" s="129">
        <f t="shared" si="90"/>
        <v>32259.345999999998</v>
      </c>
      <c r="AG64" s="129">
        <f t="shared" si="90"/>
        <v>48389.019</v>
      </c>
      <c r="AH64" s="129">
        <f t="shared" si="90"/>
        <v>27650.868000000002</v>
      </c>
      <c r="AI64" s="129">
        <f t="shared" si="90"/>
        <v>41476.302000000003</v>
      </c>
      <c r="AJ64" s="129">
        <f t="shared" si="90"/>
        <v>54380.040399999998</v>
      </c>
      <c r="AK64" s="129">
        <f t="shared" si="90"/>
        <v>53919.192600000002</v>
      </c>
      <c r="AL64" s="129">
        <f t="shared" si="90"/>
        <v>61292.757399999995</v>
      </c>
      <c r="AM64" s="129">
        <f t="shared" si="90"/>
        <v>66362.083200000008</v>
      </c>
      <c r="AN64" s="129">
        <f t="shared" si="90"/>
        <v>59449.366199999989</v>
      </c>
      <c r="AO64" s="129">
        <f t="shared" si="90"/>
        <v>66822.930999999997</v>
      </c>
      <c r="AP64" s="129">
        <f t="shared" si="90"/>
        <v>75579.039199999999</v>
      </c>
      <c r="AQ64" s="130">
        <f t="shared" si="85"/>
        <v>616614.35639999993</v>
      </c>
      <c r="AR64" s="130">
        <f t="shared" si="86"/>
        <v>51384.529699999992</v>
      </c>
      <c r="AS64" s="131">
        <f t="shared" si="87"/>
        <v>1571293.4918</v>
      </c>
    </row>
    <row r="65" spans="1:45" s="20" customFormat="1" ht="10.5" x14ac:dyDescent="0.35">
      <c r="A65" s="43" t="s">
        <v>12</v>
      </c>
      <c r="B65" s="24" t="str">
        <f>CHOOSE('Исходные данные'!$O$2,'Исходные данные'!$P$2,'Исходные данные'!$P$3,'Исходные данные'!$P$4,'Исходные данные'!$P$5)</f>
        <v>UAH</v>
      </c>
      <c r="C65" s="129">
        <f>C63-C64</f>
        <v>275817.40829999995</v>
      </c>
      <c r="D65" s="129">
        <f t="shared" ref="D65:N65" si="91">D63-D64</f>
        <v>350244.32799999998</v>
      </c>
      <c r="E65" s="129">
        <f t="shared" si="91"/>
        <v>591037.30350000004</v>
      </c>
      <c r="F65" s="129">
        <f t="shared" si="91"/>
        <v>375261.77999999997</v>
      </c>
      <c r="G65" s="129">
        <f t="shared" si="91"/>
        <v>562892.66999999993</v>
      </c>
      <c r="H65" s="129">
        <f t="shared" si="91"/>
        <v>738014.83400000003</v>
      </c>
      <c r="I65" s="129">
        <f t="shared" si="91"/>
        <v>731760.4709999999</v>
      </c>
      <c r="J65" s="129">
        <f t="shared" si="91"/>
        <v>831830.2790000001</v>
      </c>
      <c r="K65" s="129">
        <f t="shared" si="91"/>
        <v>900628.272</v>
      </c>
      <c r="L65" s="129">
        <f t="shared" si="91"/>
        <v>806812.82700000005</v>
      </c>
      <c r="M65" s="129">
        <f t="shared" si="91"/>
        <v>906882.63499999989</v>
      </c>
      <c r="N65" s="129">
        <f t="shared" si="91"/>
        <v>1025715.5319999999</v>
      </c>
      <c r="O65" s="130">
        <f t="shared" si="79"/>
        <v>8096898.3397999983</v>
      </c>
      <c r="P65" s="130">
        <f t="shared" si="80"/>
        <v>674741.52831666649</v>
      </c>
      <c r="Q65" s="129">
        <f>Q63-Q64</f>
        <v>472829.84279999998</v>
      </c>
      <c r="R65" s="129">
        <f t="shared" ref="R65:AB65" si="92">R63-R64</f>
        <v>525366.49199999997</v>
      </c>
      <c r="S65" s="129">
        <f t="shared" si="92"/>
        <v>788049.73800000001</v>
      </c>
      <c r="T65" s="129">
        <f t="shared" si="92"/>
        <v>450314.136</v>
      </c>
      <c r="U65" s="129">
        <f t="shared" si="92"/>
        <v>675471.20400000003</v>
      </c>
      <c r="V65" s="129">
        <f t="shared" si="92"/>
        <v>885617.80079999997</v>
      </c>
      <c r="W65" s="129">
        <f t="shared" si="92"/>
        <v>878112.56519999995</v>
      </c>
      <c r="X65" s="129">
        <f t="shared" si="92"/>
        <v>998196.33480000019</v>
      </c>
      <c r="Y65" s="129">
        <f t="shared" si="92"/>
        <v>1080753.9264</v>
      </c>
      <c r="Z65" s="129">
        <f t="shared" si="92"/>
        <v>968175.39240000013</v>
      </c>
      <c r="AA65" s="129">
        <f t="shared" si="92"/>
        <v>1088259.162</v>
      </c>
      <c r="AB65" s="129">
        <f t="shared" si="92"/>
        <v>1230858.6383999998</v>
      </c>
      <c r="AC65" s="130">
        <f t="shared" si="82"/>
        <v>10042005.232799999</v>
      </c>
      <c r="AD65" s="130">
        <f t="shared" si="83"/>
        <v>836833.76939999999</v>
      </c>
      <c r="AE65" s="129">
        <f>AE63-AE64</f>
        <v>551634.8165999999</v>
      </c>
      <c r="AF65" s="129">
        <f t="shared" ref="AF65:AP65" si="93">AF63-AF64</f>
        <v>612927.57399999991</v>
      </c>
      <c r="AG65" s="129">
        <f t="shared" si="93"/>
        <v>919391.36100000003</v>
      </c>
      <c r="AH65" s="129">
        <f t="shared" si="93"/>
        <v>525366.49199999997</v>
      </c>
      <c r="AI65" s="129">
        <f t="shared" si="93"/>
        <v>788049.73800000001</v>
      </c>
      <c r="AJ65" s="129">
        <f t="shared" si="93"/>
        <v>1033220.7675999999</v>
      </c>
      <c r="AK65" s="129">
        <f t="shared" si="93"/>
        <v>1024464.6594</v>
      </c>
      <c r="AL65" s="129">
        <f t="shared" si="93"/>
        <v>1164562.3905999998</v>
      </c>
      <c r="AM65" s="129">
        <f t="shared" si="93"/>
        <v>1260879.5808000001</v>
      </c>
      <c r="AN65" s="129">
        <f t="shared" si="93"/>
        <v>1129537.9577999997</v>
      </c>
      <c r="AO65" s="129">
        <f t="shared" si="93"/>
        <v>1269635.6889999998</v>
      </c>
      <c r="AP65" s="129">
        <f t="shared" si="93"/>
        <v>1436001.7448</v>
      </c>
      <c r="AQ65" s="130">
        <f t="shared" si="85"/>
        <v>11715672.771599997</v>
      </c>
      <c r="AR65" s="130">
        <f t="shared" si="86"/>
        <v>976306.06429999974</v>
      </c>
      <c r="AS65" s="131">
        <f t="shared" si="87"/>
        <v>29854576.344199996</v>
      </c>
    </row>
    <row r="66" spans="1:45" s="66" customFormat="1" ht="10.5" x14ac:dyDescent="0.35">
      <c r="A66" s="64" t="str">
        <f>"- Инвестиции"</f>
        <v>- Инвестиции</v>
      </c>
      <c r="B66" s="65" t="str">
        <f>CHOOSE('Исходные данные'!$O$2,'Исходные данные'!$P$2,'Исходные данные'!$P$3,'Исходные данные'!$P$4,'Исходные данные'!$P$5)</f>
        <v>UAH</v>
      </c>
      <c r="C66" s="132">
        <f t="shared" ref="C66:N66" si="94">C33</f>
        <v>2097000</v>
      </c>
      <c r="D66" s="132">
        <f t="shared" si="94"/>
        <v>0</v>
      </c>
      <c r="E66" s="132">
        <f t="shared" si="94"/>
        <v>0</v>
      </c>
      <c r="F66" s="132">
        <f t="shared" si="94"/>
        <v>0</v>
      </c>
      <c r="G66" s="132">
        <f t="shared" si="94"/>
        <v>0</v>
      </c>
      <c r="H66" s="132">
        <f t="shared" si="94"/>
        <v>0</v>
      </c>
      <c r="I66" s="132">
        <f t="shared" si="94"/>
        <v>0</v>
      </c>
      <c r="J66" s="132">
        <f t="shared" si="94"/>
        <v>0</v>
      </c>
      <c r="K66" s="132">
        <f t="shared" si="94"/>
        <v>0</v>
      </c>
      <c r="L66" s="132">
        <f t="shared" si="94"/>
        <v>0</v>
      </c>
      <c r="M66" s="132">
        <f t="shared" si="94"/>
        <v>0</v>
      </c>
      <c r="N66" s="132">
        <f t="shared" si="94"/>
        <v>0</v>
      </c>
      <c r="O66" s="130">
        <f t="shared" si="79"/>
        <v>2097000</v>
      </c>
      <c r="P66" s="130"/>
      <c r="Q66" s="132">
        <f t="shared" ref="Q66:AB66" si="95">Q33</f>
        <v>0</v>
      </c>
      <c r="R66" s="132">
        <f t="shared" si="95"/>
        <v>0</v>
      </c>
      <c r="S66" s="132">
        <f t="shared" si="95"/>
        <v>0</v>
      </c>
      <c r="T66" s="132">
        <f t="shared" si="95"/>
        <v>0</v>
      </c>
      <c r="U66" s="132">
        <f t="shared" si="95"/>
        <v>0</v>
      </c>
      <c r="V66" s="132">
        <f t="shared" si="95"/>
        <v>0</v>
      </c>
      <c r="W66" s="132">
        <f t="shared" si="95"/>
        <v>0</v>
      </c>
      <c r="X66" s="132">
        <f t="shared" si="95"/>
        <v>0</v>
      </c>
      <c r="Y66" s="132">
        <f t="shared" si="95"/>
        <v>0</v>
      </c>
      <c r="Z66" s="132">
        <f t="shared" si="95"/>
        <v>0</v>
      </c>
      <c r="AA66" s="132">
        <f t="shared" si="95"/>
        <v>0</v>
      </c>
      <c r="AB66" s="132">
        <f t="shared" si="95"/>
        <v>0</v>
      </c>
      <c r="AC66" s="130">
        <f t="shared" si="82"/>
        <v>0</v>
      </c>
      <c r="AD66" s="130"/>
      <c r="AE66" s="132">
        <f t="shared" ref="AE66:AP66" si="96">AE33</f>
        <v>0</v>
      </c>
      <c r="AF66" s="132">
        <f t="shared" si="96"/>
        <v>0</v>
      </c>
      <c r="AG66" s="132">
        <f t="shared" si="96"/>
        <v>0</v>
      </c>
      <c r="AH66" s="132">
        <f t="shared" si="96"/>
        <v>0</v>
      </c>
      <c r="AI66" s="132">
        <f t="shared" si="96"/>
        <v>0</v>
      </c>
      <c r="AJ66" s="132">
        <f t="shared" si="96"/>
        <v>0</v>
      </c>
      <c r="AK66" s="132">
        <f t="shared" si="96"/>
        <v>0</v>
      </c>
      <c r="AL66" s="132">
        <f t="shared" si="96"/>
        <v>0</v>
      </c>
      <c r="AM66" s="132">
        <f t="shared" si="96"/>
        <v>0</v>
      </c>
      <c r="AN66" s="132">
        <f t="shared" si="96"/>
        <v>0</v>
      </c>
      <c r="AO66" s="132">
        <f t="shared" si="96"/>
        <v>0</v>
      </c>
      <c r="AP66" s="132">
        <f t="shared" si="96"/>
        <v>0</v>
      </c>
      <c r="AQ66" s="130">
        <f t="shared" si="85"/>
        <v>0</v>
      </c>
      <c r="AR66" s="130"/>
      <c r="AS66" s="131">
        <f t="shared" si="87"/>
        <v>2097000</v>
      </c>
    </row>
    <row r="67" spans="1:45" s="20" customFormat="1" ht="10.5" x14ac:dyDescent="0.35">
      <c r="A67" s="23" t="str">
        <f>"- Текущие затраты"</f>
        <v>- Текущие затраты</v>
      </c>
      <c r="B67" s="24" t="str">
        <f>CHOOSE('Исходные данные'!$O$2,'Исходные данные'!$P$2,'Исходные данные'!$P$3,'Исходные данные'!$P$4,'Исходные данные'!$P$5)</f>
        <v>UAH</v>
      </c>
      <c r="C67" s="129">
        <f t="shared" ref="C67:N67" si="97">C60</f>
        <v>362020.040606</v>
      </c>
      <c r="D67" s="129">
        <f t="shared" si="97"/>
        <v>373546.87695999997</v>
      </c>
      <c r="E67" s="129">
        <f t="shared" si="97"/>
        <v>494957.22986999998</v>
      </c>
      <c r="F67" s="129">
        <f t="shared" si="97"/>
        <v>386160.93959999998</v>
      </c>
      <c r="G67" s="129">
        <f t="shared" si="97"/>
        <v>480766.40939999995</v>
      </c>
      <c r="H67" s="129">
        <f t="shared" si="97"/>
        <v>569064.8478799999</v>
      </c>
      <c r="I67" s="129">
        <f t="shared" si="97"/>
        <v>591911.33221999998</v>
      </c>
      <c r="J67" s="129">
        <f t="shared" si="97"/>
        <v>616367.58277999994</v>
      </c>
      <c r="K67" s="129">
        <f t="shared" si="97"/>
        <v>651056.25503999996</v>
      </c>
      <c r="L67" s="129">
        <f t="shared" si="97"/>
        <v>603753.52013999992</v>
      </c>
      <c r="M67" s="129">
        <f t="shared" si="97"/>
        <v>654209.77069999988</v>
      </c>
      <c r="N67" s="129">
        <f t="shared" si="97"/>
        <v>714126.56823999982</v>
      </c>
      <c r="O67" s="130">
        <f t="shared" si="79"/>
        <v>6497941.3734359993</v>
      </c>
      <c r="P67" s="130">
        <f t="shared" si="80"/>
        <v>541495.1144529999</v>
      </c>
      <c r="Q67" s="129">
        <f t="shared" ref="Q67:AB67" si="98">Q60</f>
        <v>467530.78389600001</v>
      </c>
      <c r="R67" s="129">
        <f t="shared" si="98"/>
        <v>468020.31543999998</v>
      </c>
      <c r="S67" s="129">
        <f t="shared" si="98"/>
        <v>600467.97316000017</v>
      </c>
      <c r="T67" s="129">
        <f t="shared" si="98"/>
        <v>430178.12751999998</v>
      </c>
      <c r="U67" s="129">
        <f t="shared" si="98"/>
        <v>543704.69128000003</v>
      </c>
      <c r="V67" s="129">
        <f t="shared" si="98"/>
        <v>649662.81745600002</v>
      </c>
      <c r="W67" s="129">
        <f t="shared" si="98"/>
        <v>671878.59866399993</v>
      </c>
      <c r="X67" s="129">
        <f t="shared" si="98"/>
        <v>706426.09933600016</v>
      </c>
      <c r="Y67" s="129">
        <f t="shared" si="98"/>
        <v>748052.50604800007</v>
      </c>
      <c r="Z67" s="129">
        <f t="shared" si="98"/>
        <v>691289.22416800004</v>
      </c>
      <c r="AA67" s="129">
        <f t="shared" si="98"/>
        <v>751836.72483999992</v>
      </c>
      <c r="AB67" s="129">
        <f t="shared" si="98"/>
        <v>823736.88188799983</v>
      </c>
      <c r="AC67" s="130">
        <f t="shared" si="82"/>
        <v>7552784.7436960004</v>
      </c>
      <c r="AD67" s="130">
        <f t="shared" si="83"/>
        <v>629398.72864133341</v>
      </c>
      <c r="AE67" s="129">
        <f t="shared" ref="AE67:AP67" si="99">AE60</f>
        <v>513440.08121199999</v>
      </c>
      <c r="AF67" s="129">
        <f t="shared" si="99"/>
        <v>518344.53467999998</v>
      </c>
      <c r="AG67" s="129">
        <f t="shared" si="99"/>
        <v>672866.80201999994</v>
      </c>
      <c r="AH67" s="129">
        <f t="shared" si="99"/>
        <v>474195.31543999998</v>
      </c>
      <c r="AI67" s="129">
        <f t="shared" si="99"/>
        <v>606642.97316000017</v>
      </c>
      <c r="AJ67" s="129">
        <f t="shared" si="99"/>
        <v>730260.78703200002</v>
      </c>
      <c r="AK67" s="129">
        <f t="shared" si="99"/>
        <v>751845.865108</v>
      </c>
      <c r="AL67" s="129">
        <f t="shared" si="99"/>
        <v>796484.61589199991</v>
      </c>
      <c r="AM67" s="129">
        <f t="shared" si="99"/>
        <v>845048.75705600006</v>
      </c>
      <c r="AN67" s="129">
        <f t="shared" si="99"/>
        <v>778824.92819599994</v>
      </c>
      <c r="AO67" s="129">
        <f t="shared" si="99"/>
        <v>849463.67897999997</v>
      </c>
      <c r="AP67" s="129">
        <f t="shared" si="99"/>
        <v>933347.19553600007</v>
      </c>
      <c r="AQ67" s="130">
        <f t="shared" si="85"/>
        <v>8470765.5343120005</v>
      </c>
      <c r="AR67" s="130">
        <f t="shared" si="86"/>
        <v>705897.12785933341</v>
      </c>
      <c r="AS67" s="131">
        <f t="shared" si="87"/>
        <v>22521491.651444003</v>
      </c>
    </row>
    <row r="68" spans="1:45" s="20" customFormat="1" ht="10.5" x14ac:dyDescent="0.35">
      <c r="A68" s="188" t="s">
        <v>101</v>
      </c>
      <c r="B68" s="24" t="str">
        <f>CHOOSE('Исходные данные'!$O$2,'Исходные данные'!$P$2,'Исходные данные'!$P$3,'Исходные данные'!$P$4,'Исходные данные'!$P$5)</f>
        <v>UAH</v>
      </c>
      <c r="C68" s="129">
        <f>C65-C66-C67</f>
        <v>-2183202.6323060002</v>
      </c>
      <c r="D68" s="129">
        <f>D65-D66-D67</f>
        <v>-23302.548959999986</v>
      </c>
      <c r="E68" s="129">
        <f t="shared" ref="E68:N68" si="100">E65-E66-E67</f>
        <v>96080.073630000057</v>
      </c>
      <c r="F68" s="129">
        <f t="shared" si="100"/>
        <v>-10899.159600000014</v>
      </c>
      <c r="G68" s="129">
        <f t="shared" si="100"/>
        <v>82126.26059999998</v>
      </c>
      <c r="H68" s="129">
        <f t="shared" si="100"/>
        <v>168949.98612000013</v>
      </c>
      <c r="I68" s="129">
        <f t="shared" si="100"/>
        <v>139849.13877999992</v>
      </c>
      <c r="J68" s="129">
        <f t="shared" si="100"/>
        <v>215462.69622000016</v>
      </c>
      <c r="K68" s="129">
        <f t="shared" si="100"/>
        <v>249572.01696000004</v>
      </c>
      <c r="L68" s="129">
        <f t="shared" si="100"/>
        <v>203059.30686000013</v>
      </c>
      <c r="M68" s="129">
        <f t="shared" si="100"/>
        <v>252672.86430000002</v>
      </c>
      <c r="N68" s="129">
        <f t="shared" si="100"/>
        <v>311588.96376000007</v>
      </c>
      <c r="O68" s="130">
        <f t="shared" si="79"/>
        <v>-498043.03363599943</v>
      </c>
      <c r="P68" s="130">
        <f t="shared" si="80"/>
        <v>-41503.586136333288</v>
      </c>
      <c r="Q68" s="129">
        <f>Q65-Q66-Q67</f>
        <v>5299.0589039999759</v>
      </c>
      <c r="R68" s="129">
        <f>R65-R66-R67</f>
        <v>57346.176559999993</v>
      </c>
      <c r="S68" s="129">
        <f t="shared" ref="S68:AB68" si="101">S65-S66-S67</f>
        <v>187581.76483999984</v>
      </c>
      <c r="T68" s="129">
        <f t="shared" si="101"/>
        <v>20136.008480000019</v>
      </c>
      <c r="U68" s="129">
        <f t="shared" si="101"/>
        <v>131766.51272</v>
      </c>
      <c r="V68" s="129">
        <f t="shared" si="101"/>
        <v>235954.98334399995</v>
      </c>
      <c r="W68" s="129">
        <f t="shared" si="101"/>
        <v>206233.96653600002</v>
      </c>
      <c r="X68" s="129">
        <f t="shared" si="101"/>
        <v>291770.23546400003</v>
      </c>
      <c r="Y68" s="129">
        <f t="shared" si="101"/>
        <v>332701.42035199993</v>
      </c>
      <c r="Z68" s="129">
        <f t="shared" si="101"/>
        <v>276886.16823200008</v>
      </c>
      <c r="AA68" s="129">
        <f t="shared" si="101"/>
        <v>336422.43716000009</v>
      </c>
      <c r="AB68" s="129">
        <f t="shared" si="101"/>
        <v>407121.75651199999</v>
      </c>
      <c r="AC68" s="130">
        <f t="shared" si="82"/>
        <v>2489220.4891039999</v>
      </c>
      <c r="AD68" s="130">
        <f t="shared" si="83"/>
        <v>207435.04075866667</v>
      </c>
      <c r="AE68" s="129">
        <f>AE65-AE66-AE67</f>
        <v>38194.735387999914</v>
      </c>
      <c r="AF68" s="129">
        <f>AF65-AF66-AF67</f>
        <v>94583.039319999923</v>
      </c>
      <c r="AG68" s="129">
        <f t="shared" ref="AG68:AP68" si="102">AG65-AG66-AG67</f>
        <v>246524.55898000009</v>
      </c>
      <c r="AH68" s="129">
        <f t="shared" si="102"/>
        <v>51171.176559999993</v>
      </c>
      <c r="AI68" s="129">
        <f t="shared" si="102"/>
        <v>181406.76483999984</v>
      </c>
      <c r="AJ68" s="129">
        <f t="shared" si="102"/>
        <v>302959.98056799988</v>
      </c>
      <c r="AK68" s="129">
        <f t="shared" si="102"/>
        <v>272618.79429200001</v>
      </c>
      <c r="AL68" s="129">
        <f t="shared" si="102"/>
        <v>368077.7747079999</v>
      </c>
      <c r="AM68" s="129">
        <f t="shared" si="102"/>
        <v>415830.82374400005</v>
      </c>
      <c r="AN68" s="129">
        <f t="shared" si="102"/>
        <v>350713.02960399981</v>
      </c>
      <c r="AO68" s="129">
        <f t="shared" si="102"/>
        <v>420172.01001999981</v>
      </c>
      <c r="AP68" s="129">
        <f t="shared" si="102"/>
        <v>502654.54926399991</v>
      </c>
      <c r="AQ68" s="130">
        <f t="shared" si="85"/>
        <v>3244907.2372879991</v>
      </c>
      <c r="AR68" s="130">
        <f t="shared" si="86"/>
        <v>270408.93644066661</v>
      </c>
      <c r="AS68" s="131">
        <f t="shared" si="87"/>
        <v>5236084.692755999</v>
      </c>
    </row>
    <row r="69" spans="1:45" s="20" customFormat="1" ht="10.5" x14ac:dyDescent="0.35">
      <c r="A69" s="189" t="s">
        <v>70</v>
      </c>
      <c r="B69" s="24" t="str">
        <f>CHOOSE('Исходные данные'!$O$2,'Исходные данные'!$P$2,'Исходные данные'!$P$3,'Исходные данные'!$P$4,'Исходные данные'!$P$5)</f>
        <v>UAH</v>
      </c>
      <c r="C69" s="129">
        <f t="shared" ref="C69:N69" si="103">C65-C67</f>
        <v>-86202.632306000043</v>
      </c>
      <c r="D69" s="129">
        <f t="shared" si="103"/>
        <v>-23302.548959999986</v>
      </c>
      <c r="E69" s="129">
        <f t="shared" si="103"/>
        <v>96080.073630000057</v>
      </c>
      <c r="F69" s="129">
        <f t="shared" si="103"/>
        <v>-10899.159600000014</v>
      </c>
      <c r="G69" s="129">
        <f t="shared" si="103"/>
        <v>82126.26059999998</v>
      </c>
      <c r="H69" s="129">
        <f t="shared" si="103"/>
        <v>168949.98612000013</v>
      </c>
      <c r="I69" s="129">
        <f t="shared" si="103"/>
        <v>139849.13877999992</v>
      </c>
      <c r="J69" s="129">
        <f t="shared" si="103"/>
        <v>215462.69622000016</v>
      </c>
      <c r="K69" s="129">
        <f t="shared" si="103"/>
        <v>249572.01696000004</v>
      </c>
      <c r="L69" s="129">
        <f t="shared" si="103"/>
        <v>203059.30686000013</v>
      </c>
      <c r="M69" s="129">
        <f t="shared" si="103"/>
        <v>252672.86430000002</v>
      </c>
      <c r="N69" s="129">
        <f t="shared" si="103"/>
        <v>311588.96376000007</v>
      </c>
      <c r="O69" s="130">
        <f t="shared" si="79"/>
        <v>1598956.9663640005</v>
      </c>
      <c r="P69" s="130">
        <f t="shared" si="80"/>
        <v>133246.4138636667</v>
      </c>
      <c r="Q69" s="129">
        <f t="shared" ref="Q69:AB69" si="104">Q65-Q67</f>
        <v>5299.0589039999759</v>
      </c>
      <c r="R69" s="129">
        <f t="shared" si="104"/>
        <v>57346.176559999993</v>
      </c>
      <c r="S69" s="129">
        <f t="shared" si="104"/>
        <v>187581.76483999984</v>
      </c>
      <c r="T69" s="129">
        <f t="shared" si="104"/>
        <v>20136.008480000019</v>
      </c>
      <c r="U69" s="129">
        <f t="shared" si="104"/>
        <v>131766.51272</v>
      </c>
      <c r="V69" s="129">
        <f t="shared" si="104"/>
        <v>235954.98334399995</v>
      </c>
      <c r="W69" s="129">
        <f t="shared" si="104"/>
        <v>206233.96653600002</v>
      </c>
      <c r="X69" s="129">
        <f t="shared" si="104"/>
        <v>291770.23546400003</v>
      </c>
      <c r="Y69" s="129">
        <f t="shared" si="104"/>
        <v>332701.42035199993</v>
      </c>
      <c r="Z69" s="129">
        <f t="shared" si="104"/>
        <v>276886.16823200008</v>
      </c>
      <c r="AA69" s="129">
        <f t="shared" si="104"/>
        <v>336422.43716000009</v>
      </c>
      <c r="AB69" s="129">
        <f t="shared" si="104"/>
        <v>407121.75651199999</v>
      </c>
      <c r="AC69" s="130">
        <f t="shared" si="82"/>
        <v>2489220.4891039999</v>
      </c>
      <c r="AD69" s="130">
        <f t="shared" si="83"/>
        <v>207435.04075866667</v>
      </c>
      <c r="AE69" s="129">
        <f t="shared" ref="AE69:AP69" si="105">AE65-AE67</f>
        <v>38194.735387999914</v>
      </c>
      <c r="AF69" s="129">
        <f t="shared" si="105"/>
        <v>94583.039319999923</v>
      </c>
      <c r="AG69" s="129">
        <f t="shared" si="105"/>
        <v>246524.55898000009</v>
      </c>
      <c r="AH69" s="129">
        <f t="shared" si="105"/>
        <v>51171.176559999993</v>
      </c>
      <c r="AI69" s="129">
        <f t="shared" si="105"/>
        <v>181406.76483999984</v>
      </c>
      <c r="AJ69" s="129">
        <f t="shared" si="105"/>
        <v>302959.98056799988</v>
      </c>
      <c r="AK69" s="129">
        <f t="shared" si="105"/>
        <v>272618.79429200001</v>
      </c>
      <c r="AL69" s="129">
        <f t="shared" si="105"/>
        <v>368077.7747079999</v>
      </c>
      <c r="AM69" s="129">
        <f t="shared" si="105"/>
        <v>415830.82374400005</v>
      </c>
      <c r="AN69" s="129">
        <f t="shared" si="105"/>
        <v>350713.02960399981</v>
      </c>
      <c r="AO69" s="129">
        <f t="shared" si="105"/>
        <v>420172.01001999981</v>
      </c>
      <c r="AP69" s="129">
        <f t="shared" si="105"/>
        <v>502654.54926399991</v>
      </c>
      <c r="AQ69" s="130">
        <f t="shared" si="85"/>
        <v>3244907.2372879991</v>
      </c>
      <c r="AR69" s="130">
        <f t="shared" si="86"/>
        <v>270408.93644066661</v>
      </c>
      <c r="AS69" s="133"/>
    </row>
    <row r="70" spans="1:45" s="20" customFormat="1" ht="10.5" x14ac:dyDescent="0.35">
      <c r="A70" s="184" t="str">
        <f>"- Прибыль (убытки) накопительным итогом"</f>
        <v>- Прибыль (убытки) накопительным итогом</v>
      </c>
      <c r="B70" s="24" t="str">
        <f>CHOOSE('Исходные данные'!$O$2,'Исходные данные'!$P$2,'Исходные данные'!$P$3,'Исходные данные'!$P$4,'Исходные данные'!$P$5)</f>
        <v>UAH</v>
      </c>
      <c r="C70" s="129">
        <f t="shared" ref="C70:N70" si="106">C68+IF(ISNUMBER(B70),B70,0)</f>
        <v>-2183202.6323060002</v>
      </c>
      <c r="D70" s="129">
        <f t="shared" si="106"/>
        <v>-2206505.181266</v>
      </c>
      <c r="E70" s="129">
        <f t="shared" si="106"/>
        <v>-2110425.107636</v>
      </c>
      <c r="F70" s="129">
        <f t="shared" si="106"/>
        <v>-2121324.2672359999</v>
      </c>
      <c r="G70" s="129">
        <f t="shared" si="106"/>
        <v>-2039198.006636</v>
      </c>
      <c r="H70" s="129">
        <f t="shared" si="106"/>
        <v>-1870248.0205159998</v>
      </c>
      <c r="I70" s="129">
        <f t="shared" si="106"/>
        <v>-1730398.8817359998</v>
      </c>
      <c r="J70" s="129">
        <f t="shared" si="106"/>
        <v>-1514936.1855159998</v>
      </c>
      <c r="K70" s="129">
        <f t="shared" si="106"/>
        <v>-1265364.1685559996</v>
      </c>
      <c r="L70" s="129">
        <f t="shared" si="106"/>
        <v>-1062304.8616959995</v>
      </c>
      <c r="M70" s="129">
        <f t="shared" si="106"/>
        <v>-809631.9973959995</v>
      </c>
      <c r="N70" s="129">
        <f t="shared" si="106"/>
        <v>-498043.03363599943</v>
      </c>
      <c r="O70" s="130">
        <f>N70</f>
        <v>-498043.03363599943</v>
      </c>
      <c r="P70" s="130"/>
      <c r="Q70" s="129">
        <f>Q68+IF(ISNUMBER(N70),N70,0)</f>
        <v>-492743.97473199945</v>
      </c>
      <c r="R70" s="129">
        <f t="shared" ref="R70:AB70" si="107">R68+IF(ISNUMBER(Q70),Q70,0)</f>
        <v>-435397.79817199946</v>
      </c>
      <c r="S70" s="129">
        <f t="shared" si="107"/>
        <v>-247816.03333199961</v>
      </c>
      <c r="T70" s="129">
        <f t="shared" si="107"/>
        <v>-227680.02485199959</v>
      </c>
      <c r="U70" s="129">
        <f t="shared" si="107"/>
        <v>-95913.512131999596</v>
      </c>
      <c r="V70" s="129">
        <f t="shared" si="107"/>
        <v>140041.47121200035</v>
      </c>
      <c r="W70" s="129">
        <f t="shared" si="107"/>
        <v>346275.43774800037</v>
      </c>
      <c r="X70" s="129">
        <f t="shared" si="107"/>
        <v>638045.6732120004</v>
      </c>
      <c r="Y70" s="129">
        <f t="shared" si="107"/>
        <v>970747.09356400033</v>
      </c>
      <c r="Z70" s="129">
        <f t="shared" si="107"/>
        <v>1247633.2617960004</v>
      </c>
      <c r="AA70" s="129">
        <f t="shared" si="107"/>
        <v>1584055.6989560006</v>
      </c>
      <c r="AB70" s="129">
        <f t="shared" si="107"/>
        <v>1991177.4554680006</v>
      </c>
      <c r="AC70" s="130">
        <f>AB70</f>
        <v>1991177.4554680006</v>
      </c>
      <c r="AD70" s="130"/>
      <c r="AE70" s="129">
        <f>AE68+IF(ISNUMBER(AB70),AB70,0)</f>
        <v>2029372.1908560004</v>
      </c>
      <c r="AF70" s="129">
        <f t="shared" ref="AF70:AP70" si="108">AF68+IF(ISNUMBER(AE70),AE70,0)</f>
        <v>2123955.2301760004</v>
      </c>
      <c r="AG70" s="129">
        <f t="shared" si="108"/>
        <v>2370479.7891560006</v>
      </c>
      <c r="AH70" s="129">
        <f t="shared" si="108"/>
        <v>2421650.9657160006</v>
      </c>
      <c r="AI70" s="129">
        <f t="shared" si="108"/>
        <v>2603057.7305560005</v>
      </c>
      <c r="AJ70" s="129">
        <f t="shared" si="108"/>
        <v>2906017.7111240001</v>
      </c>
      <c r="AK70" s="129">
        <f t="shared" si="108"/>
        <v>3178636.5054160003</v>
      </c>
      <c r="AL70" s="129">
        <f t="shared" si="108"/>
        <v>3546714.2801240003</v>
      </c>
      <c r="AM70" s="129">
        <f t="shared" si="108"/>
        <v>3962545.1038680002</v>
      </c>
      <c r="AN70" s="129">
        <f t="shared" si="108"/>
        <v>4313258.1334720002</v>
      </c>
      <c r="AO70" s="129">
        <f t="shared" si="108"/>
        <v>4733430.1434920002</v>
      </c>
      <c r="AP70" s="129">
        <f t="shared" si="108"/>
        <v>5236084.692756</v>
      </c>
      <c r="AQ70" s="130">
        <f>AP70</f>
        <v>5236084.692756</v>
      </c>
      <c r="AR70" s="130"/>
      <c r="AS70" s="133"/>
    </row>
    <row r="71" spans="1:45" s="20" customFormat="1" ht="10.8" thickBot="1" x14ac:dyDescent="0.45">
      <c r="O71" s="55"/>
      <c r="P71" s="55"/>
      <c r="AC71" s="55"/>
      <c r="AD71" s="55"/>
      <c r="AQ71" s="55"/>
      <c r="AR71" s="55"/>
    </row>
    <row r="72" spans="1:45" s="20" customFormat="1" ht="21.6" thickTop="1" thickBot="1" x14ac:dyDescent="0.4">
      <c r="A72" s="18" t="s">
        <v>13</v>
      </c>
      <c r="B72" s="19"/>
      <c r="C72" s="19" t="str">
        <f t="shared" ref="C72:N72" si="109">C$6</f>
        <v>январь</v>
      </c>
      <c r="D72" s="19" t="str">
        <f t="shared" si="109"/>
        <v>февраль</v>
      </c>
      <c r="E72" s="19" t="str">
        <f t="shared" si="109"/>
        <v>март</v>
      </c>
      <c r="F72" s="19" t="str">
        <f t="shared" si="109"/>
        <v>апрель</v>
      </c>
      <c r="G72" s="19" t="str">
        <f t="shared" si="109"/>
        <v>май</v>
      </c>
      <c r="H72" s="19" t="str">
        <f t="shared" si="109"/>
        <v>июнь</v>
      </c>
      <c r="I72" s="19" t="str">
        <f t="shared" si="109"/>
        <v>июль</v>
      </c>
      <c r="J72" s="19" t="str">
        <f t="shared" si="109"/>
        <v>август</v>
      </c>
      <c r="K72" s="19" t="str">
        <f t="shared" si="109"/>
        <v>сентябрь</v>
      </c>
      <c r="L72" s="19" t="str">
        <f t="shared" si="109"/>
        <v>октябрь</v>
      </c>
      <c r="M72" s="19" t="str">
        <f t="shared" si="109"/>
        <v>ноябрь</v>
      </c>
      <c r="N72" s="19" t="str">
        <f t="shared" si="109"/>
        <v>декабрь</v>
      </c>
      <c r="O72" s="108" t="str">
        <f>$O$16</f>
        <v>Итого за 1-й год</v>
      </c>
      <c r="P72" s="108" t="str">
        <f>$P$16</f>
        <v>Среднемесячно за 1-й год</v>
      </c>
      <c r="Q72" s="19" t="str">
        <f t="shared" ref="Q72:AB72" si="110">Q$6</f>
        <v>январь</v>
      </c>
      <c r="R72" s="19" t="str">
        <f t="shared" si="110"/>
        <v>февраль</v>
      </c>
      <c r="S72" s="19" t="str">
        <f t="shared" si="110"/>
        <v>март</v>
      </c>
      <c r="T72" s="19" t="str">
        <f t="shared" si="110"/>
        <v>апрель</v>
      </c>
      <c r="U72" s="19" t="str">
        <f t="shared" si="110"/>
        <v>май</v>
      </c>
      <c r="V72" s="19" t="str">
        <f t="shared" si="110"/>
        <v>июнь</v>
      </c>
      <c r="W72" s="19" t="str">
        <f t="shared" si="110"/>
        <v>июль</v>
      </c>
      <c r="X72" s="19" t="str">
        <f t="shared" si="110"/>
        <v>август</v>
      </c>
      <c r="Y72" s="19" t="str">
        <f t="shared" si="110"/>
        <v>сентябрь</v>
      </c>
      <c r="Z72" s="19" t="str">
        <f t="shared" si="110"/>
        <v>октябрь</v>
      </c>
      <c r="AA72" s="19" t="str">
        <f t="shared" si="110"/>
        <v>ноябрь</v>
      </c>
      <c r="AB72" s="19" t="str">
        <f t="shared" si="110"/>
        <v>декабрь</v>
      </c>
      <c r="AC72" s="108" t="str">
        <f>AC62</f>
        <v>Итого за 2-й год</v>
      </c>
      <c r="AD72" s="108" t="str">
        <f>AD62</f>
        <v>Среднемесячно за 2-й год</v>
      </c>
      <c r="AE72" s="19" t="str">
        <f t="shared" ref="AE72:AP72" si="111">AE$6</f>
        <v>январь</v>
      </c>
      <c r="AF72" s="19" t="str">
        <f t="shared" si="111"/>
        <v>февраль</v>
      </c>
      <c r="AG72" s="19" t="str">
        <f t="shared" si="111"/>
        <v>март</v>
      </c>
      <c r="AH72" s="19" t="str">
        <f t="shared" si="111"/>
        <v>апрель</v>
      </c>
      <c r="AI72" s="19" t="str">
        <f t="shared" si="111"/>
        <v>май</v>
      </c>
      <c r="AJ72" s="19" t="str">
        <f t="shared" si="111"/>
        <v>июнь</v>
      </c>
      <c r="AK72" s="19" t="str">
        <f t="shared" si="111"/>
        <v>июль</v>
      </c>
      <c r="AL72" s="19" t="str">
        <f t="shared" si="111"/>
        <v>август</v>
      </c>
      <c r="AM72" s="19" t="str">
        <f t="shared" si="111"/>
        <v>сентябрь</v>
      </c>
      <c r="AN72" s="19" t="str">
        <f t="shared" si="111"/>
        <v>октябрь</v>
      </c>
      <c r="AO72" s="19" t="str">
        <f t="shared" si="111"/>
        <v>ноябрь</v>
      </c>
      <c r="AP72" s="19" t="str">
        <f t="shared" si="111"/>
        <v>декабрь</v>
      </c>
      <c r="AQ72" s="108" t="str">
        <f>AQ62</f>
        <v>Итого за 3-й год</v>
      </c>
      <c r="AR72" s="108" t="str">
        <f>AR62</f>
        <v>Среднемесячно за 3-й год</v>
      </c>
      <c r="AS72" s="117" t="str">
        <f>AS62</f>
        <v>Итого за три года</v>
      </c>
    </row>
    <row r="73" spans="1:45" s="35" customFormat="1" ht="10.8" thickTop="1" x14ac:dyDescent="0.35">
      <c r="A73" s="187" t="s">
        <v>14</v>
      </c>
      <c r="B73" s="24" t="str">
        <f>CHOOSE('Исходные данные'!$O$2,'Исходные данные'!$P$2,'Исходные данные'!$P$3,'Исходные данные'!$P$4,'Исходные данные'!$P$5)</f>
        <v>UAH</v>
      </c>
      <c r="C73" s="36">
        <f t="shared" ref="C73:N73" si="112">C63</f>
        <v>290334.11399999994</v>
      </c>
      <c r="D73" s="36">
        <f t="shared" si="112"/>
        <v>368678.24</v>
      </c>
      <c r="E73" s="36">
        <f t="shared" si="112"/>
        <v>622144.53</v>
      </c>
      <c r="F73" s="36">
        <f t="shared" si="112"/>
        <v>395012.39999999997</v>
      </c>
      <c r="G73" s="36">
        <f t="shared" si="112"/>
        <v>592518.6</v>
      </c>
      <c r="H73" s="36">
        <f t="shared" si="112"/>
        <v>776857.72</v>
      </c>
      <c r="I73" s="36">
        <f t="shared" si="112"/>
        <v>770274.17999999993</v>
      </c>
      <c r="J73" s="36">
        <f t="shared" si="112"/>
        <v>875610.82000000007</v>
      </c>
      <c r="K73" s="36">
        <f t="shared" si="112"/>
        <v>948029.76</v>
      </c>
      <c r="L73" s="36">
        <f t="shared" si="112"/>
        <v>849276.66</v>
      </c>
      <c r="M73" s="36">
        <f t="shared" si="112"/>
        <v>954613.29999999993</v>
      </c>
      <c r="N73" s="36">
        <f t="shared" si="112"/>
        <v>1079700.5599999998</v>
      </c>
      <c r="O73" s="52">
        <f>SUM(C73:N73)</f>
        <v>8523050.8839999996</v>
      </c>
      <c r="P73" s="52">
        <f>O73/12</f>
        <v>710254.24033333326</v>
      </c>
      <c r="Q73" s="36">
        <f t="shared" ref="Q73:AB73" si="113">Q63</f>
        <v>497715.62400000001</v>
      </c>
      <c r="R73" s="36">
        <f t="shared" si="113"/>
        <v>553017.36</v>
      </c>
      <c r="S73" s="36">
        <f t="shared" si="113"/>
        <v>829526.04</v>
      </c>
      <c r="T73" s="36">
        <f t="shared" si="113"/>
        <v>474014.88</v>
      </c>
      <c r="U73" s="36">
        <f t="shared" si="113"/>
        <v>711022.32000000007</v>
      </c>
      <c r="V73" s="36">
        <f t="shared" si="113"/>
        <v>932229.26399999997</v>
      </c>
      <c r="W73" s="36">
        <f t="shared" si="113"/>
        <v>924329.01599999995</v>
      </c>
      <c r="X73" s="36">
        <f t="shared" si="113"/>
        <v>1050732.9840000002</v>
      </c>
      <c r="Y73" s="36">
        <f t="shared" si="113"/>
        <v>1137635.7120000001</v>
      </c>
      <c r="Z73" s="36">
        <f t="shared" si="113"/>
        <v>1019131.9920000001</v>
      </c>
      <c r="AA73" s="36">
        <f t="shared" si="113"/>
        <v>1145535.96</v>
      </c>
      <c r="AB73" s="36">
        <f t="shared" si="113"/>
        <v>1295640.6719999998</v>
      </c>
      <c r="AC73" s="52">
        <f>SUM(Q73:AB73)</f>
        <v>10570531.824000003</v>
      </c>
      <c r="AD73" s="52">
        <f>AC73/12</f>
        <v>880877.65200000023</v>
      </c>
      <c r="AE73" s="36">
        <f t="shared" ref="AE73:AP73" si="114">AE63</f>
        <v>580668.22799999989</v>
      </c>
      <c r="AF73" s="36">
        <f t="shared" si="114"/>
        <v>645186.91999999993</v>
      </c>
      <c r="AG73" s="36">
        <f t="shared" si="114"/>
        <v>967780.38</v>
      </c>
      <c r="AH73" s="36">
        <f t="shared" si="114"/>
        <v>553017.36</v>
      </c>
      <c r="AI73" s="36">
        <f t="shared" si="114"/>
        <v>829526.04</v>
      </c>
      <c r="AJ73" s="36">
        <f t="shared" si="114"/>
        <v>1087600.808</v>
      </c>
      <c r="AK73" s="36">
        <f t="shared" si="114"/>
        <v>1078383.852</v>
      </c>
      <c r="AL73" s="36">
        <f t="shared" si="114"/>
        <v>1225855.1479999998</v>
      </c>
      <c r="AM73" s="36">
        <f t="shared" si="114"/>
        <v>1327241.6640000001</v>
      </c>
      <c r="AN73" s="36">
        <f t="shared" si="114"/>
        <v>1188987.3239999998</v>
      </c>
      <c r="AO73" s="36">
        <f t="shared" si="114"/>
        <v>1336458.6199999999</v>
      </c>
      <c r="AP73" s="36">
        <f t="shared" si="114"/>
        <v>1511580.784</v>
      </c>
      <c r="AQ73" s="52">
        <f>SUM(AE73:AP73)</f>
        <v>12332287.127999999</v>
      </c>
      <c r="AR73" s="52">
        <f>AQ73/12</f>
        <v>1027690.5939999999</v>
      </c>
      <c r="AS73" s="124">
        <f>O73+AC73+AQ73</f>
        <v>31425869.836000003</v>
      </c>
    </row>
    <row r="74" spans="1:45" s="35" customFormat="1" ht="10.5" x14ac:dyDescent="0.35">
      <c r="A74" s="187" t="s">
        <v>1</v>
      </c>
      <c r="B74" s="24" t="str">
        <f>CHOOSE('Исходные данные'!$O$2,'Исходные данные'!$P$2,'Исходные данные'!$P$3,'Исходные данные'!$P$4,'Исходные данные'!$P$5)</f>
        <v>UAH</v>
      </c>
      <c r="C74" s="125">
        <f t="shared" ref="C74:N74" si="115">-(C60+C22)</f>
        <v>-376536.74630599999</v>
      </c>
      <c r="D74" s="125">
        <f t="shared" si="115"/>
        <v>-391980.78895999998</v>
      </c>
      <c r="E74" s="125">
        <f t="shared" si="115"/>
        <v>-526064.45637000003</v>
      </c>
      <c r="F74" s="125">
        <f t="shared" si="115"/>
        <v>-405911.55959999998</v>
      </c>
      <c r="G74" s="125">
        <f t="shared" si="115"/>
        <v>-510392.33939999994</v>
      </c>
      <c r="H74" s="125">
        <f t="shared" si="115"/>
        <v>-607907.73387999996</v>
      </c>
      <c r="I74" s="125">
        <f t="shared" si="115"/>
        <v>-630425.04122000001</v>
      </c>
      <c r="J74" s="125">
        <f t="shared" si="115"/>
        <v>-660148.12377999991</v>
      </c>
      <c r="K74" s="125">
        <f t="shared" si="115"/>
        <v>-698457.74303999997</v>
      </c>
      <c r="L74" s="125">
        <f t="shared" si="115"/>
        <v>-646217.3531399999</v>
      </c>
      <c r="M74" s="125">
        <f t="shared" si="115"/>
        <v>-701940.43569999991</v>
      </c>
      <c r="N74" s="125">
        <f t="shared" si="115"/>
        <v>-768111.59623999987</v>
      </c>
      <c r="O74" s="52">
        <f>SUM(C74:N74)</f>
        <v>-6924093.9176360006</v>
      </c>
      <c r="P74" s="52">
        <f>O74/12</f>
        <v>-577007.82646966667</v>
      </c>
      <c r="Q74" s="125">
        <f t="shared" ref="Q74:AB74" si="116">-(Q60+Q22)</f>
        <v>-492416.56509600003</v>
      </c>
      <c r="R74" s="125">
        <f t="shared" si="116"/>
        <v>-495671.18343999999</v>
      </c>
      <c r="S74" s="125">
        <f t="shared" si="116"/>
        <v>-641944.27516000019</v>
      </c>
      <c r="T74" s="125">
        <f t="shared" si="116"/>
        <v>-453878.87151999999</v>
      </c>
      <c r="U74" s="125">
        <f t="shared" si="116"/>
        <v>-579255.80728000007</v>
      </c>
      <c r="V74" s="125">
        <f t="shared" si="116"/>
        <v>-696274.28065600002</v>
      </c>
      <c r="W74" s="125">
        <f t="shared" si="116"/>
        <v>-718095.04946399992</v>
      </c>
      <c r="X74" s="125">
        <f t="shared" si="116"/>
        <v>-758962.74853600014</v>
      </c>
      <c r="Y74" s="125">
        <f t="shared" si="116"/>
        <v>-804934.29164800001</v>
      </c>
      <c r="Z74" s="125">
        <f t="shared" si="116"/>
        <v>-742245.823768</v>
      </c>
      <c r="AA74" s="125">
        <f t="shared" si="116"/>
        <v>-809113.52283999987</v>
      </c>
      <c r="AB74" s="125">
        <f t="shared" si="116"/>
        <v>-888518.9154879998</v>
      </c>
      <c r="AC74" s="52">
        <f>SUM(Q74:AB74)</f>
        <v>-8081311.334896001</v>
      </c>
      <c r="AD74" s="52">
        <f>AC74/12</f>
        <v>-673442.61124133342</v>
      </c>
      <c r="AE74" s="125">
        <f t="shared" ref="AE74:AP74" si="117">-(AE60+AE22)</f>
        <v>-542473.49261199997</v>
      </c>
      <c r="AF74" s="125">
        <f t="shared" si="117"/>
        <v>-550603.88067999994</v>
      </c>
      <c r="AG74" s="125">
        <f t="shared" si="117"/>
        <v>-721255.82101999992</v>
      </c>
      <c r="AH74" s="125">
        <f t="shared" si="117"/>
        <v>-501846.18343999999</v>
      </c>
      <c r="AI74" s="125">
        <f t="shared" si="117"/>
        <v>-648119.27516000019</v>
      </c>
      <c r="AJ74" s="125">
        <f t="shared" si="117"/>
        <v>-784640.82743200008</v>
      </c>
      <c r="AK74" s="125">
        <f t="shared" si="117"/>
        <v>-805765.05770799995</v>
      </c>
      <c r="AL74" s="125">
        <f t="shared" si="117"/>
        <v>-857777.37329199992</v>
      </c>
      <c r="AM74" s="125">
        <f t="shared" si="117"/>
        <v>-911410.84025600005</v>
      </c>
      <c r="AN74" s="125">
        <f t="shared" si="117"/>
        <v>-838274.29439599998</v>
      </c>
      <c r="AO74" s="125">
        <f t="shared" si="117"/>
        <v>-916286.60997999995</v>
      </c>
      <c r="AP74" s="125">
        <f t="shared" si="117"/>
        <v>-1008926.2347360001</v>
      </c>
      <c r="AQ74" s="52">
        <f>SUM(AE74:AP74)</f>
        <v>-9087379.8907120004</v>
      </c>
      <c r="AR74" s="52">
        <f>AQ74/12</f>
        <v>-757281.65755933337</v>
      </c>
      <c r="AS74" s="124">
        <f>O74+AC74+AQ74</f>
        <v>-24092785.143244002</v>
      </c>
    </row>
    <row r="75" spans="1:45" s="35" customFormat="1" ht="10.5" x14ac:dyDescent="0.35">
      <c r="A75" s="187" t="s">
        <v>15</v>
      </c>
      <c r="B75" s="24" t="str">
        <f>CHOOSE('Исходные данные'!$O$2,'Исходные данные'!$P$2,'Исходные данные'!$P$3,'Исходные данные'!$P$4,'Исходные данные'!$P$5)</f>
        <v>UAH</v>
      </c>
      <c r="C75" s="125">
        <f t="shared" ref="C75:N75" si="118">SUM(C73:C74)</f>
        <v>-86202.632306000043</v>
      </c>
      <c r="D75" s="36">
        <f t="shared" si="118"/>
        <v>-23302.548959999986</v>
      </c>
      <c r="E75" s="36">
        <f t="shared" si="118"/>
        <v>96080.073629999999</v>
      </c>
      <c r="F75" s="36">
        <f t="shared" si="118"/>
        <v>-10899.159600000014</v>
      </c>
      <c r="G75" s="36">
        <f t="shared" si="118"/>
        <v>82126.260600000038</v>
      </c>
      <c r="H75" s="36">
        <f t="shared" si="118"/>
        <v>168949.98612000002</v>
      </c>
      <c r="I75" s="36">
        <f t="shared" si="118"/>
        <v>139849.13877999992</v>
      </c>
      <c r="J75" s="125">
        <f t="shared" si="118"/>
        <v>215462.69622000016</v>
      </c>
      <c r="K75" s="125">
        <f t="shared" si="118"/>
        <v>249572.01696000004</v>
      </c>
      <c r="L75" s="125">
        <f t="shared" si="118"/>
        <v>203059.30686000013</v>
      </c>
      <c r="M75" s="125">
        <f t="shared" si="118"/>
        <v>252672.86430000002</v>
      </c>
      <c r="N75" s="125">
        <f t="shared" si="118"/>
        <v>311588.96375999996</v>
      </c>
      <c r="O75" s="52">
        <f>SUM(C75:N75)</f>
        <v>1598956.9663640002</v>
      </c>
      <c r="P75" s="52">
        <f>O75/12</f>
        <v>133246.41386366668</v>
      </c>
      <c r="Q75" s="125">
        <f t="shared" ref="Q75:AB75" si="119">SUM(Q73:Q74)</f>
        <v>5299.0589039999759</v>
      </c>
      <c r="R75" s="36">
        <f t="shared" si="119"/>
        <v>57346.176559999993</v>
      </c>
      <c r="S75" s="36">
        <f t="shared" si="119"/>
        <v>187581.76483999984</v>
      </c>
      <c r="T75" s="36">
        <f t="shared" si="119"/>
        <v>20136.008480000019</v>
      </c>
      <c r="U75" s="36">
        <f t="shared" si="119"/>
        <v>131766.51272</v>
      </c>
      <c r="V75" s="36">
        <f t="shared" si="119"/>
        <v>235954.98334399995</v>
      </c>
      <c r="W75" s="36">
        <f t="shared" si="119"/>
        <v>206233.96653600002</v>
      </c>
      <c r="X75" s="125">
        <f t="shared" si="119"/>
        <v>291770.23546400003</v>
      </c>
      <c r="Y75" s="125">
        <f t="shared" si="119"/>
        <v>332701.42035200004</v>
      </c>
      <c r="Z75" s="125">
        <f t="shared" si="119"/>
        <v>276886.16823200008</v>
      </c>
      <c r="AA75" s="125">
        <f t="shared" si="119"/>
        <v>336422.43716000009</v>
      </c>
      <c r="AB75" s="125">
        <f t="shared" si="119"/>
        <v>407121.75651199999</v>
      </c>
      <c r="AC75" s="52">
        <f>SUM(Q75:AB75)</f>
        <v>2489220.4891039999</v>
      </c>
      <c r="AD75" s="52">
        <f>AC75/12</f>
        <v>207435.04075866667</v>
      </c>
      <c r="AE75" s="125">
        <f t="shared" ref="AE75:AP75" si="120">SUM(AE73:AE74)</f>
        <v>38194.735387999914</v>
      </c>
      <c r="AF75" s="36">
        <f t="shared" si="120"/>
        <v>94583.039319999982</v>
      </c>
      <c r="AG75" s="36">
        <f t="shared" si="120"/>
        <v>246524.55898000009</v>
      </c>
      <c r="AH75" s="36">
        <f t="shared" si="120"/>
        <v>51171.176559999993</v>
      </c>
      <c r="AI75" s="36">
        <f t="shared" si="120"/>
        <v>181406.76483999984</v>
      </c>
      <c r="AJ75" s="36">
        <f t="shared" si="120"/>
        <v>302959.98056799988</v>
      </c>
      <c r="AK75" s="36">
        <f t="shared" si="120"/>
        <v>272618.79429200001</v>
      </c>
      <c r="AL75" s="125">
        <f t="shared" si="120"/>
        <v>368077.7747079999</v>
      </c>
      <c r="AM75" s="125">
        <f t="shared" si="120"/>
        <v>415830.82374400005</v>
      </c>
      <c r="AN75" s="125">
        <f t="shared" si="120"/>
        <v>350713.02960399981</v>
      </c>
      <c r="AO75" s="125">
        <f t="shared" si="120"/>
        <v>420172.01001999993</v>
      </c>
      <c r="AP75" s="125">
        <f t="shared" si="120"/>
        <v>502654.54926399991</v>
      </c>
      <c r="AQ75" s="52">
        <f>SUM(AE75:AP75)</f>
        <v>3244907.2372879991</v>
      </c>
      <c r="AR75" s="52">
        <f>AQ75/12</f>
        <v>270408.93644066661</v>
      </c>
      <c r="AS75" s="124">
        <f>O75+AC75+AQ75</f>
        <v>7333084.692755999</v>
      </c>
    </row>
    <row r="76" spans="1:45" s="35" customFormat="1" ht="10.5" x14ac:dyDescent="0.35">
      <c r="A76" s="187" t="s">
        <v>16</v>
      </c>
      <c r="B76" s="24" t="str">
        <f>CHOOSE('Исходные данные'!$O$2,'Исходные данные'!$P$2,'Исходные данные'!$P$3,'Исходные данные'!$P$4,'Исходные данные'!$P$5)</f>
        <v>UAH</v>
      </c>
      <c r="C76" s="125">
        <f t="shared" ref="C76:N76" si="121">-(C33)</f>
        <v>-2097000</v>
      </c>
      <c r="D76" s="125">
        <f t="shared" si="121"/>
        <v>0</v>
      </c>
      <c r="E76" s="125">
        <f t="shared" si="121"/>
        <v>0</v>
      </c>
      <c r="F76" s="125">
        <f t="shared" si="121"/>
        <v>0</v>
      </c>
      <c r="G76" s="125">
        <f t="shared" si="121"/>
        <v>0</v>
      </c>
      <c r="H76" s="125">
        <f t="shared" si="121"/>
        <v>0</v>
      </c>
      <c r="I76" s="125">
        <f t="shared" si="121"/>
        <v>0</v>
      </c>
      <c r="J76" s="125">
        <f t="shared" si="121"/>
        <v>0</v>
      </c>
      <c r="K76" s="125">
        <f t="shared" si="121"/>
        <v>0</v>
      </c>
      <c r="L76" s="125">
        <f t="shared" si="121"/>
        <v>0</v>
      </c>
      <c r="M76" s="125">
        <f t="shared" si="121"/>
        <v>0</v>
      </c>
      <c r="N76" s="125">
        <f t="shared" si="121"/>
        <v>0</v>
      </c>
      <c r="O76" s="52">
        <f>SUM(C76:N76)</f>
        <v>-2097000</v>
      </c>
      <c r="P76" s="52"/>
      <c r="Q76" s="125">
        <f t="shared" ref="Q76:AB76" si="122">-(Q33)</f>
        <v>0</v>
      </c>
      <c r="R76" s="125">
        <f t="shared" si="122"/>
        <v>0</v>
      </c>
      <c r="S76" s="125">
        <f t="shared" si="122"/>
        <v>0</v>
      </c>
      <c r="T76" s="125">
        <f t="shared" si="122"/>
        <v>0</v>
      </c>
      <c r="U76" s="125">
        <f t="shared" si="122"/>
        <v>0</v>
      </c>
      <c r="V76" s="125">
        <f t="shared" si="122"/>
        <v>0</v>
      </c>
      <c r="W76" s="125">
        <f t="shared" si="122"/>
        <v>0</v>
      </c>
      <c r="X76" s="125">
        <f t="shared" si="122"/>
        <v>0</v>
      </c>
      <c r="Y76" s="125">
        <f t="shared" si="122"/>
        <v>0</v>
      </c>
      <c r="Z76" s="125">
        <f t="shared" si="122"/>
        <v>0</v>
      </c>
      <c r="AA76" s="125">
        <f t="shared" si="122"/>
        <v>0</v>
      </c>
      <c r="AB76" s="125">
        <f t="shared" si="122"/>
        <v>0</v>
      </c>
      <c r="AC76" s="52">
        <f>SUM(Q76:AB76)</f>
        <v>0</v>
      </c>
      <c r="AD76" s="52"/>
      <c r="AE76" s="125">
        <f t="shared" ref="AE76:AP76" si="123">-(AE33)</f>
        <v>0</v>
      </c>
      <c r="AF76" s="125">
        <f t="shared" si="123"/>
        <v>0</v>
      </c>
      <c r="AG76" s="125">
        <f t="shared" si="123"/>
        <v>0</v>
      </c>
      <c r="AH76" s="125">
        <f t="shared" si="123"/>
        <v>0</v>
      </c>
      <c r="AI76" s="125">
        <f t="shared" si="123"/>
        <v>0</v>
      </c>
      <c r="AJ76" s="125">
        <f t="shared" si="123"/>
        <v>0</v>
      </c>
      <c r="AK76" s="125">
        <f t="shared" si="123"/>
        <v>0</v>
      </c>
      <c r="AL76" s="125">
        <f t="shared" si="123"/>
        <v>0</v>
      </c>
      <c r="AM76" s="125">
        <f t="shared" si="123"/>
        <v>0</v>
      </c>
      <c r="AN76" s="125">
        <f t="shared" si="123"/>
        <v>0</v>
      </c>
      <c r="AO76" s="125">
        <f t="shared" si="123"/>
        <v>0</v>
      </c>
      <c r="AP76" s="125">
        <f t="shared" si="123"/>
        <v>0</v>
      </c>
      <c r="AQ76" s="52">
        <f>SUM(AE76:AP76)</f>
        <v>0</v>
      </c>
      <c r="AR76" s="52"/>
      <c r="AS76" s="124">
        <f>O76+AC76+AQ76</f>
        <v>-2097000</v>
      </c>
    </row>
    <row r="77" spans="1:45" s="67" customFormat="1" ht="10.5" x14ac:dyDescent="0.35">
      <c r="A77" s="187" t="s">
        <v>17</v>
      </c>
      <c r="B77" s="65" t="str">
        <f>CHOOSE('Исходные данные'!$O$2,'Исходные данные'!$P$2,'Исходные данные'!$P$3,'Исходные данные'!$P$4,'Исходные данные'!$P$5)</f>
        <v>UAH</v>
      </c>
      <c r="C77" s="123">
        <f t="shared" ref="C77:N77" si="124">C33</f>
        <v>2097000</v>
      </c>
      <c r="D77" s="123">
        <f t="shared" si="124"/>
        <v>0</v>
      </c>
      <c r="E77" s="123">
        <f t="shared" si="124"/>
        <v>0</v>
      </c>
      <c r="F77" s="123">
        <f t="shared" si="124"/>
        <v>0</v>
      </c>
      <c r="G77" s="123">
        <f t="shared" si="124"/>
        <v>0</v>
      </c>
      <c r="H77" s="123">
        <f t="shared" si="124"/>
        <v>0</v>
      </c>
      <c r="I77" s="123">
        <f t="shared" si="124"/>
        <v>0</v>
      </c>
      <c r="J77" s="123">
        <f t="shared" si="124"/>
        <v>0</v>
      </c>
      <c r="K77" s="123">
        <f t="shared" si="124"/>
        <v>0</v>
      </c>
      <c r="L77" s="123">
        <f t="shared" si="124"/>
        <v>0</v>
      </c>
      <c r="M77" s="123">
        <f t="shared" si="124"/>
        <v>0</v>
      </c>
      <c r="N77" s="123">
        <f t="shared" si="124"/>
        <v>0</v>
      </c>
      <c r="O77" s="52">
        <f>SUM(C77:N77)</f>
        <v>2097000</v>
      </c>
      <c r="P77" s="52"/>
      <c r="Q77" s="123">
        <f t="shared" ref="Q77:AB77" si="125">Q33</f>
        <v>0</v>
      </c>
      <c r="R77" s="123">
        <f t="shared" si="125"/>
        <v>0</v>
      </c>
      <c r="S77" s="123">
        <f t="shared" si="125"/>
        <v>0</v>
      </c>
      <c r="T77" s="123">
        <f t="shared" si="125"/>
        <v>0</v>
      </c>
      <c r="U77" s="123">
        <f t="shared" si="125"/>
        <v>0</v>
      </c>
      <c r="V77" s="123">
        <f t="shared" si="125"/>
        <v>0</v>
      </c>
      <c r="W77" s="123">
        <f t="shared" si="125"/>
        <v>0</v>
      </c>
      <c r="X77" s="123">
        <f t="shared" si="125"/>
        <v>0</v>
      </c>
      <c r="Y77" s="123">
        <f t="shared" si="125"/>
        <v>0</v>
      </c>
      <c r="Z77" s="123">
        <f t="shared" si="125"/>
        <v>0</v>
      </c>
      <c r="AA77" s="123">
        <f t="shared" si="125"/>
        <v>0</v>
      </c>
      <c r="AB77" s="123">
        <f t="shared" si="125"/>
        <v>0</v>
      </c>
      <c r="AC77" s="52">
        <f>SUM(Q77:AB77)</f>
        <v>0</v>
      </c>
      <c r="AD77" s="52"/>
      <c r="AE77" s="123">
        <f t="shared" ref="AE77:AP77" si="126">AE33</f>
        <v>0</v>
      </c>
      <c r="AF77" s="123">
        <f t="shared" si="126"/>
        <v>0</v>
      </c>
      <c r="AG77" s="123">
        <f t="shared" si="126"/>
        <v>0</v>
      </c>
      <c r="AH77" s="123">
        <f t="shared" si="126"/>
        <v>0</v>
      </c>
      <c r="AI77" s="123">
        <f t="shared" si="126"/>
        <v>0</v>
      </c>
      <c r="AJ77" s="123">
        <f t="shared" si="126"/>
        <v>0</v>
      </c>
      <c r="AK77" s="123">
        <f t="shared" si="126"/>
        <v>0</v>
      </c>
      <c r="AL77" s="123">
        <f t="shared" si="126"/>
        <v>0</v>
      </c>
      <c r="AM77" s="123">
        <f t="shared" si="126"/>
        <v>0</v>
      </c>
      <c r="AN77" s="123">
        <f t="shared" si="126"/>
        <v>0</v>
      </c>
      <c r="AO77" s="123">
        <f t="shared" si="126"/>
        <v>0</v>
      </c>
      <c r="AP77" s="123">
        <f t="shared" si="126"/>
        <v>0</v>
      </c>
      <c r="AQ77" s="52">
        <f>SUM(AE77:AP77)</f>
        <v>0</v>
      </c>
      <c r="AR77" s="52"/>
      <c r="AS77" s="122">
        <f>O77+AC77+AQ77</f>
        <v>2097000</v>
      </c>
    </row>
    <row r="78" spans="1:45" s="35" customFormat="1" ht="10.5" x14ac:dyDescent="0.35">
      <c r="A78" s="187" t="s">
        <v>18</v>
      </c>
      <c r="B78" s="24" t="str">
        <f>CHOOSE('Исходные данные'!$O$2,'Исходные данные'!$P$2,'Исходные данные'!$P$3,'Исходные данные'!$P$4,'Исходные данные'!$P$5)</f>
        <v>UAH</v>
      </c>
      <c r="C78" s="125">
        <v>0</v>
      </c>
      <c r="D78" s="36">
        <f>C79</f>
        <v>-86202.632306000218</v>
      </c>
      <c r="E78" s="36">
        <f t="shared" ref="E78:N78" si="127">D79</f>
        <v>-109505.1812660002</v>
      </c>
      <c r="F78" s="36">
        <f t="shared" si="127"/>
        <v>-13425.107636000204</v>
      </c>
      <c r="G78" s="36">
        <f t="shared" si="127"/>
        <v>-24324.267236000218</v>
      </c>
      <c r="H78" s="36">
        <f t="shared" si="127"/>
        <v>57801.99336399982</v>
      </c>
      <c r="I78" s="36">
        <f t="shared" si="127"/>
        <v>226751.97948399984</v>
      </c>
      <c r="J78" s="125">
        <f t="shared" si="127"/>
        <v>366601.11826399976</v>
      </c>
      <c r="K78" s="125">
        <f t="shared" si="127"/>
        <v>582063.81448399997</v>
      </c>
      <c r="L78" s="125">
        <f t="shared" si="127"/>
        <v>831635.83144400001</v>
      </c>
      <c r="M78" s="125">
        <f t="shared" si="127"/>
        <v>1034695.1383040001</v>
      </c>
      <c r="N78" s="125">
        <f t="shared" si="127"/>
        <v>1287368.0026040003</v>
      </c>
      <c r="O78" s="126">
        <f>C78</f>
        <v>0</v>
      </c>
      <c r="P78" s="126"/>
      <c r="Q78" s="125">
        <f>N79</f>
        <v>1598956.9663640002</v>
      </c>
      <c r="R78" s="36">
        <f t="shared" ref="R78:AB78" si="128">Q79</f>
        <v>1604256.0252680001</v>
      </c>
      <c r="S78" s="36">
        <f t="shared" si="128"/>
        <v>1661602.2018280001</v>
      </c>
      <c r="T78" s="36">
        <f t="shared" si="128"/>
        <v>1849183.966668</v>
      </c>
      <c r="U78" s="36">
        <f t="shared" si="128"/>
        <v>1869319.9751480001</v>
      </c>
      <c r="V78" s="36">
        <f t="shared" si="128"/>
        <v>2001086.4878680001</v>
      </c>
      <c r="W78" s="36">
        <f t="shared" si="128"/>
        <v>2237041.4712120001</v>
      </c>
      <c r="X78" s="125">
        <f t="shared" si="128"/>
        <v>2443275.437748</v>
      </c>
      <c r="Y78" s="125">
        <f t="shared" si="128"/>
        <v>2735045.6732120002</v>
      </c>
      <c r="Z78" s="125">
        <f t="shared" si="128"/>
        <v>3067747.093564</v>
      </c>
      <c r="AA78" s="125">
        <f t="shared" si="128"/>
        <v>3344633.2617959999</v>
      </c>
      <c r="AB78" s="125">
        <f t="shared" si="128"/>
        <v>3681055.6989560002</v>
      </c>
      <c r="AC78" s="126">
        <f>Q78</f>
        <v>1598956.9663640002</v>
      </c>
      <c r="AD78" s="126"/>
      <c r="AE78" s="125">
        <f>AB79</f>
        <v>4088177.4554679999</v>
      </c>
      <c r="AF78" s="36">
        <f t="shared" ref="AF78:AP78" si="129">AE79</f>
        <v>4126372.1908559999</v>
      </c>
      <c r="AG78" s="36">
        <f t="shared" si="129"/>
        <v>4220955.2301759999</v>
      </c>
      <c r="AH78" s="36">
        <f t="shared" si="129"/>
        <v>4467479.7891560001</v>
      </c>
      <c r="AI78" s="36">
        <f t="shared" si="129"/>
        <v>4518650.9657159997</v>
      </c>
      <c r="AJ78" s="36">
        <f t="shared" si="129"/>
        <v>4700057.730556</v>
      </c>
      <c r="AK78" s="36">
        <f t="shared" si="129"/>
        <v>5003017.7111240001</v>
      </c>
      <c r="AL78" s="125">
        <f t="shared" si="129"/>
        <v>5275636.5054160003</v>
      </c>
      <c r="AM78" s="125">
        <f t="shared" si="129"/>
        <v>5643714.2801240003</v>
      </c>
      <c r="AN78" s="125">
        <f t="shared" si="129"/>
        <v>6059545.1038680002</v>
      </c>
      <c r="AO78" s="125">
        <f t="shared" si="129"/>
        <v>6410258.1334720002</v>
      </c>
      <c r="AP78" s="125">
        <f t="shared" si="129"/>
        <v>6830430.1434920002</v>
      </c>
      <c r="AQ78" s="126">
        <f>AE78</f>
        <v>4088177.4554679999</v>
      </c>
      <c r="AR78" s="126"/>
      <c r="AS78" s="124">
        <f>O78</f>
        <v>0</v>
      </c>
    </row>
    <row r="79" spans="1:45" s="35" customFormat="1" ht="10.5" x14ac:dyDescent="0.35">
      <c r="A79" s="187" t="s">
        <v>19</v>
      </c>
      <c r="B79" s="24" t="str">
        <f>CHOOSE('Исходные данные'!$O$2,'Исходные данные'!$P$2,'Исходные данные'!$P$3,'Исходные данные'!$P$4,'Исходные данные'!$P$5)</f>
        <v>UAH</v>
      </c>
      <c r="C79" s="125">
        <f>C75+C76+C77+C78</f>
        <v>-86202.632306000218</v>
      </c>
      <c r="D79" s="36">
        <f>D75+D76+D77+D78</f>
        <v>-109505.1812660002</v>
      </c>
      <c r="E79" s="36">
        <f t="shared" ref="E79:N79" si="130">E75+E76+E77+E78</f>
        <v>-13425.107636000204</v>
      </c>
      <c r="F79" s="36">
        <f t="shared" si="130"/>
        <v>-24324.267236000218</v>
      </c>
      <c r="G79" s="36">
        <f t="shared" si="130"/>
        <v>57801.99336399982</v>
      </c>
      <c r="H79" s="36">
        <f t="shared" si="130"/>
        <v>226751.97948399984</v>
      </c>
      <c r="I79" s="36">
        <f t="shared" si="130"/>
        <v>366601.11826399976</v>
      </c>
      <c r="J79" s="125">
        <f t="shared" si="130"/>
        <v>582063.81448399997</v>
      </c>
      <c r="K79" s="125">
        <f t="shared" si="130"/>
        <v>831635.83144400001</v>
      </c>
      <c r="L79" s="125">
        <f t="shared" si="130"/>
        <v>1034695.1383040001</v>
      </c>
      <c r="M79" s="125">
        <f t="shared" si="130"/>
        <v>1287368.0026040003</v>
      </c>
      <c r="N79" s="125">
        <f t="shared" si="130"/>
        <v>1598956.9663640002</v>
      </c>
      <c r="O79" s="126">
        <f>N79</f>
        <v>1598956.9663640002</v>
      </c>
      <c r="P79" s="126"/>
      <c r="Q79" s="125">
        <f>Q75+Q76+Q77+Q78</f>
        <v>1604256.0252680001</v>
      </c>
      <c r="R79" s="36">
        <f>R75+R76+R77+R78</f>
        <v>1661602.2018280001</v>
      </c>
      <c r="S79" s="36">
        <f t="shared" ref="S79:AB79" si="131">S75+S76+S77+S78</f>
        <v>1849183.966668</v>
      </c>
      <c r="T79" s="36">
        <f t="shared" si="131"/>
        <v>1869319.9751480001</v>
      </c>
      <c r="U79" s="36">
        <f t="shared" si="131"/>
        <v>2001086.4878680001</v>
      </c>
      <c r="V79" s="36">
        <f t="shared" si="131"/>
        <v>2237041.4712120001</v>
      </c>
      <c r="W79" s="36">
        <f t="shared" si="131"/>
        <v>2443275.437748</v>
      </c>
      <c r="X79" s="125">
        <f t="shared" si="131"/>
        <v>2735045.6732120002</v>
      </c>
      <c r="Y79" s="125">
        <f t="shared" si="131"/>
        <v>3067747.093564</v>
      </c>
      <c r="Z79" s="125">
        <f t="shared" si="131"/>
        <v>3344633.2617959999</v>
      </c>
      <c r="AA79" s="125">
        <f t="shared" si="131"/>
        <v>3681055.6989560002</v>
      </c>
      <c r="AB79" s="125">
        <f t="shared" si="131"/>
        <v>4088177.4554679999</v>
      </c>
      <c r="AC79" s="126">
        <f>AB79</f>
        <v>4088177.4554679999</v>
      </c>
      <c r="AD79" s="126"/>
      <c r="AE79" s="125">
        <f>AE75+AE76+AE77+AE78</f>
        <v>4126372.1908559999</v>
      </c>
      <c r="AF79" s="36">
        <f>AF75+AF76+AF77+AF78</f>
        <v>4220955.2301759999</v>
      </c>
      <c r="AG79" s="36">
        <f t="shared" ref="AG79:AP79" si="132">AG75+AG76+AG77+AG78</f>
        <v>4467479.7891560001</v>
      </c>
      <c r="AH79" s="36">
        <f t="shared" si="132"/>
        <v>4518650.9657159997</v>
      </c>
      <c r="AI79" s="36">
        <f t="shared" si="132"/>
        <v>4700057.730556</v>
      </c>
      <c r="AJ79" s="36">
        <f t="shared" si="132"/>
        <v>5003017.7111240001</v>
      </c>
      <c r="AK79" s="36">
        <f t="shared" si="132"/>
        <v>5275636.5054160003</v>
      </c>
      <c r="AL79" s="125">
        <f t="shared" si="132"/>
        <v>5643714.2801240003</v>
      </c>
      <c r="AM79" s="125">
        <f t="shared" si="132"/>
        <v>6059545.1038680002</v>
      </c>
      <c r="AN79" s="125">
        <f t="shared" si="132"/>
        <v>6410258.1334720002</v>
      </c>
      <c r="AO79" s="125">
        <f t="shared" si="132"/>
        <v>6830430.1434920002</v>
      </c>
      <c r="AP79" s="125">
        <f t="shared" si="132"/>
        <v>7333084.692756</v>
      </c>
      <c r="AQ79" s="126">
        <f>AP79</f>
        <v>7333084.692756</v>
      </c>
      <c r="AR79" s="126"/>
      <c r="AS79" s="124">
        <f>AQ79</f>
        <v>7333084.692756</v>
      </c>
    </row>
    <row r="80" spans="1:45" s="20" customFormat="1" ht="10.8" thickBot="1" x14ac:dyDescent="0.45">
      <c r="O80" s="55"/>
      <c r="P80" s="55"/>
      <c r="AC80" s="55"/>
      <c r="AD80" s="55"/>
      <c r="AQ80" s="55"/>
      <c r="AR80" s="55"/>
    </row>
    <row r="81" spans="1:45" s="20" customFormat="1" ht="11.1" thickTop="1" thickBot="1" x14ac:dyDescent="0.4">
      <c r="A81" s="18" t="s">
        <v>20</v>
      </c>
      <c r="B81" s="19"/>
      <c r="C81" s="19" t="str">
        <f t="shared" ref="C81:AP81" si="133">C$6</f>
        <v>январь</v>
      </c>
      <c r="D81" s="19" t="str">
        <f t="shared" si="133"/>
        <v>февраль</v>
      </c>
      <c r="E81" s="19" t="str">
        <f t="shared" si="133"/>
        <v>март</v>
      </c>
      <c r="F81" s="19" t="str">
        <f t="shared" si="133"/>
        <v>апрель</v>
      </c>
      <c r="G81" s="19" t="str">
        <f t="shared" si="133"/>
        <v>май</v>
      </c>
      <c r="H81" s="19" t="str">
        <f t="shared" si="133"/>
        <v>июнь</v>
      </c>
      <c r="I81" s="19" t="str">
        <f t="shared" si="133"/>
        <v>июль</v>
      </c>
      <c r="J81" s="19" t="str">
        <f t="shared" si="133"/>
        <v>август</v>
      </c>
      <c r="K81" s="19" t="str">
        <f t="shared" si="133"/>
        <v>сентябрь</v>
      </c>
      <c r="L81" s="19" t="str">
        <f t="shared" si="133"/>
        <v>октябрь</v>
      </c>
      <c r="M81" s="19" t="str">
        <f t="shared" si="133"/>
        <v>ноябрь</v>
      </c>
      <c r="N81" s="19" t="str">
        <f t="shared" si="133"/>
        <v>декабрь</v>
      </c>
      <c r="O81" s="111"/>
      <c r="P81" s="111"/>
      <c r="Q81" s="19" t="str">
        <f t="shared" si="133"/>
        <v>январь</v>
      </c>
      <c r="R81" s="19" t="str">
        <f t="shared" si="133"/>
        <v>февраль</v>
      </c>
      <c r="S81" s="19" t="str">
        <f t="shared" si="133"/>
        <v>март</v>
      </c>
      <c r="T81" s="19" t="str">
        <f t="shared" si="133"/>
        <v>апрель</v>
      </c>
      <c r="U81" s="19" t="str">
        <f t="shared" si="133"/>
        <v>май</v>
      </c>
      <c r="V81" s="19" t="str">
        <f t="shared" si="133"/>
        <v>июнь</v>
      </c>
      <c r="W81" s="19" t="str">
        <f t="shared" si="133"/>
        <v>июль</v>
      </c>
      <c r="X81" s="19" t="str">
        <f t="shared" si="133"/>
        <v>август</v>
      </c>
      <c r="Y81" s="19" t="str">
        <f t="shared" si="133"/>
        <v>сентябрь</v>
      </c>
      <c r="Z81" s="19" t="str">
        <f t="shared" si="133"/>
        <v>октябрь</v>
      </c>
      <c r="AA81" s="19" t="str">
        <f t="shared" si="133"/>
        <v>ноябрь</v>
      </c>
      <c r="AB81" s="19" t="str">
        <f t="shared" si="133"/>
        <v>декабрь</v>
      </c>
      <c r="AC81" s="111"/>
      <c r="AD81" s="111"/>
      <c r="AE81" s="19" t="str">
        <f t="shared" si="133"/>
        <v>январь</v>
      </c>
      <c r="AF81" s="19" t="str">
        <f t="shared" si="133"/>
        <v>февраль</v>
      </c>
      <c r="AG81" s="19" t="str">
        <f t="shared" si="133"/>
        <v>март</v>
      </c>
      <c r="AH81" s="19" t="str">
        <f t="shared" si="133"/>
        <v>апрель</v>
      </c>
      <c r="AI81" s="19" t="str">
        <f t="shared" si="133"/>
        <v>май</v>
      </c>
      <c r="AJ81" s="19" t="str">
        <f t="shared" si="133"/>
        <v>июнь</v>
      </c>
      <c r="AK81" s="19" t="str">
        <f t="shared" si="133"/>
        <v>июль</v>
      </c>
      <c r="AL81" s="19" t="str">
        <f t="shared" si="133"/>
        <v>август</v>
      </c>
      <c r="AM81" s="19" t="str">
        <f t="shared" si="133"/>
        <v>сентябрь</v>
      </c>
      <c r="AN81" s="19" t="str">
        <f t="shared" si="133"/>
        <v>октябрь</v>
      </c>
      <c r="AO81" s="19" t="str">
        <f t="shared" si="133"/>
        <v>ноябрь</v>
      </c>
      <c r="AP81" s="19" t="str">
        <f t="shared" si="133"/>
        <v>декабрь</v>
      </c>
      <c r="AQ81" s="111"/>
      <c r="AR81" s="111"/>
      <c r="AS81" s="19"/>
    </row>
    <row r="82" spans="1:45" s="20" customFormat="1" ht="14.1" thickTop="1" x14ac:dyDescent="0.4">
      <c r="A82" s="44"/>
      <c r="B82" s="45"/>
      <c r="C82" s="44"/>
      <c r="D82" s="44"/>
      <c r="E82" s="44"/>
      <c r="F82" s="44"/>
      <c r="G82" s="44"/>
      <c r="H82" s="44"/>
      <c r="I82" s="46"/>
      <c r="O82" s="55"/>
      <c r="P82" s="55"/>
      <c r="Q82" s="44"/>
      <c r="R82" s="44"/>
      <c r="S82" s="44"/>
      <c r="T82" s="44"/>
      <c r="U82" s="44"/>
      <c r="V82" s="44"/>
      <c r="W82" s="46"/>
      <c r="AC82" s="55"/>
      <c r="AD82" s="55"/>
      <c r="AE82" s="44"/>
      <c r="AF82" s="44"/>
      <c r="AG82" s="44"/>
      <c r="AH82" s="44"/>
      <c r="AI82" s="44"/>
      <c r="AJ82" s="44"/>
      <c r="AK82" s="46"/>
      <c r="AQ82" s="55"/>
      <c r="AR82" s="55"/>
      <c r="AS82" s="47"/>
    </row>
    <row r="83" spans="1:45" s="49" customFormat="1" ht="10.5" x14ac:dyDescent="0.35">
      <c r="A83" s="48" t="s">
        <v>97</v>
      </c>
      <c r="B83" s="174">
        <f>'Исходные данные'!J34</f>
        <v>0.1</v>
      </c>
      <c r="C83" s="172">
        <f>1/POWER((1+$B$83/12),C84)</f>
        <v>1</v>
      </c>
      <c r="D83" s="172">
        <f t="shared" ref="D83:N83" si="134">1/POWER((1+$B$83/12),D84)</f>
        <v>0.99173553719008267</v>
      </c>
      <c r="E83" s="172">
        <f t="shared" si="134"/>
        <v>0.98353937572570183</v>
      </c>
      <c r="F83" s="172">
        <f t="shared" si="134"/>
        <v>0.97541095113292753</v>
      </c>
      <c r="G83" s="172">
        <f t="shared" si="134"/>
        <v>0.9673497036029034</v>
      </c>
      <c r="H83" s="172">
        <f t="shared" si="134"/>
        <v>0.95935507795329267</v>
      </c>
      <c r="I83" s="172">
        <f t="shared" si="134"/>
        <v>0.95142652359004232</v>
      </c>
      <c r="J83" s="172">
        <f t="shared" si="134"/>
        <v>0.94356349446946353</v>
      </c>
      <c r="K83" s="172">
        <f t="shared" si="134"/>
        <v>0.93576544906062498</v>
      </c>
      <c r="L83" s="172">
        <f t="shared" si="134"/>
        <v>0.9280318503080579</v>
      </c>
      <c r="M83" s="172">
        <f t="shared" si="134"/>
        <v>0.92036216559476813</v>
      </c>
      <c r="N83" s="172">
        <f t="shared" si="134"/>
        <v>0.91275586670555531</v>
      </c>
      <c r="O83" s="112"/>
      <c r="P83" s="112"/>
      <c r="Q83" s="172">
        <f t="shared" ref="Q83:AB83" si="135">1/POWER((1+$B$83/12),Q84)</f>
        <v>0.90521242979063321</v>
      </c>
      <c r="R83" s="172">
        <f t="shared" si="135"/>
        <v>0.89773133532955385</v>
      </c>
      <c r="S83" s="172">
        <f t="shared" si="135"/>
        <v>0.89031206809542529</v>
      </c>
      <c r="T83" s="172">
        <f t="shared" si="135"/>
        <v>0.88295411711943006</v>
      </c>
      <c r="U83" s="172">
        <f t="shared" si="135"/>
        <v>0.87565697565563305</v>
      </c>
      <c r="V83" s="172">
        <f t="shared" si="135"/>
        <v>0.86842014114608246</v>
      </c>
      <c r="W83" s="172">
        <f t="shared" si="135"/>
        <v>0.86124311518619745</v>
      </c>
      <c r="X83" s="172">
        <f t="shared" si="135"/>
        <v>0.85412540349044375</v>
      </c>
      <c r="Y83" s="172">
        <f t="shared" si="135"/>
        <v>0.84706651585829151</v>
      </c>
      <c r="Z83" s="172">
        <f t="shared" si="135"/>
        <v>0.84006596614045448</v>
      </c>
      <c r="AA83" s="172">
        <f t="shared" si="135"/>
        <v>0.83312327220540916</v>
      </c>
      <c r="AB83" s="172">
        <f t="shared" si="135"/>
        <v>0.82623795590619109</v>
      </c>
      <c r="AC83" s="112"/>
      <c r="AD83" s="112"/>
      <c r="AE83" s="172">
        <f t="shared" ref="AE83:AP83" si="136">1/POWER((1+$B$83/12),AE84)</f>
        <v>0.81940954304746227</v>
      </c>
      <c r="AF83" s="172">
        <f t="shared" si="136"/>
        <v>0.81263756335285531</v>
      </c>
      <c r="AG83" s="172">
        <f t="shared" si="136"/>
        <v>0.80592155043258373</v>
      </c>
      <c r="AH83" s="172">
        <f t="shared" si="136"/>
        <v>0.79926104175132262</v>
      </c>
      <c r="AI83" s="172">
        <f t="shared" si="136"/>
        <v>0.79265557859635305</v>
      </c>
      <c r="AJ83" s="172">
        <f t="shared" si="136"/>
        <v>0.78610470604597016</v>
      </c>
      <c r="AK83" s="172">
        <f t="shared" si="136"/>
        <v>0.77960797293815209</v>
      </c>
      <c r="AL83" s="172">
        <f t="shared" si="136"/>
        <v>0.77316493183948976</v>
      </c>
      <c r="AM83" s="172">
        <f t="shared" si="136"/>
        <v>0.76677513901437</v>
      </c>
      <c r="AN83" s="172">
        <f t="shared" si="136"/>
        <v>0.76043815439441664</v>
      </c>
      <c r="AO83" s="172">
        <f t="shared" si="136"/>
        <v>0.75415354154818171</v>
      </c>
      <c r="AP83" s="172">
        <f t="shared" si="136"/>
        <v>0.74792086765108945</v>
      </c>
      <c r="AQ83" s="112"/>
      <c r="AR83" s="112"/>
      <c r="AS83" s="50"/>
    </row>
    <row r="84" spans="1:45" s="178" customFormat="1" ht="10.5" hidden="1" x14ac:dyDescent="0.4">
      <c r="A84" s="173"/>
      <c r="B84" s="174"/>
      <c r="C84" s="175">
        <v>0</v>
      </c>
      <c r="D84" s="175">
        <v>1</v>
      </c>
      <c r="E84" s="175">
        <v>2</v>
      </c>
      <c r="F84" s="175">
        <v>3</v>
      </c>
      <c r="G84" s="175">
        <v>4</v>
      </c>
      <c r="H84" s="175">
        <v>5</v>
      </c>
      <c r="I84" s="175">
        <v>6</v>
      </c>
      <c r="J84" s="175">
        <v>7</v>
      </c>
      <c r="K84" s="175">
        <v>8</v>
      </c>
      <c r="L84" s="175">
        <v>9</v>
      </c>
      <c r="M84" s="175">
        <v>10</v>
      </c>
      <c r="N84" s="175">
        <v>11</v>
      </c>
      <c r="O84" s="176"/>
      <c r="P84" s="176"/>
      <c r="Q84" s="175">
        <v>12</v>
      </c>
      <c r="R84" s="175">
        <v>13</v>
      </c>
      <c r="S84" s="175">
        <v>14</v>
      </c>
      <c r="T84" s="175">
        <v>15</v>
      </c>
      <c r="U84" s="175">
        <v>16</v>
      </c>
      <c r="V84" s="175">
        <v>17</v>
      </c>
      <c r="W84" s="175">
        <v>18</v>
      </c>
      <c r="X84" s="175">
        <v>19</v>
      </c>
      <c r="Y84" s="175">
        <v>20</v>
      </c>
      <c r="Z84" s="175">
        <v>21</v>
      </c>
      <c r="AA84" s="175">
        <v>22</v>
      </c>
      <c r="AB84" s="175">
        <v>23</v>
      </c>
      <c r="AC84" s="176"/>
      <c r="AD84" s="176"/>
      <c r="AE84" s="175">
        <v>24</v>
      </c>
      <c r="AF84" s="175">
        <v>25</v>
      </c>
      <c r="AG84" s="175">
        <v>26</v>
      </c>
      <c r="AH84" s="175">
        <v>27</v>
      </c>
      <c r="AI84" s="175">
        <v>28</v>
      </c>
      <c r="AJ84" s="175">
        <v>29</v>
      </c>
      <c r="AK84" s="175">
        <v>30</v>
      </c>
      <c r="AL84" s="175">
        <v>31</v>
      </c>
      <c r="AM84" s="175">
        <v>32</v>
      </c>
      <c r="AN84" s="175">
        <v>33</v>
      </c>
      <c r="AO84" s="175">
        <v>34</v>
      </c>
      <c r="AP84" s="175">
        <v>35</v>
      </c>
      <c r="AQ84" s="176"/>
      <c r="AR84" s="176"/>
      <c r="AS84" s="177"/>
    </row>
    <row r="85" spans="1:45" s="178" customFormat="1" ht="10.5" x14ac:dyDescent="0.35">
      <c r="A85" s="184" t="str">
        <f>"Чистый денежный поток (NCF), "&amp;CHOOSE('Исходные данные'!$O$2,'Исходные данные'!$P$2,'Исходные данные'!$P$3,'Исходные данные'!$P$4,'Исходные данные'!$P$5)&amp;""</f>
        <v>Чистый денежный поток (NCF), UAH</v>
      </c>
      <c r="B85" s="174"/>
      <c r="C85" s="36">
        <f>C69</f>
        <v>-86202.632306000043</v>
      </c>
      <c r="D85" s="36">
        <f t="shared" ref="D85:N85" si="137">D69</f>
        <v>-23302.548959999986</v>
      </c>
      <c r="E85" s="36">
        <f t="shared" si="137"/>
        <v>96080.073630000057</v>
      </c>
      <c r="F85" s="36">
        <f t="shared" si="137"/>
        <v>-10899.159600000014</v>
      </c>
      <c r="G85" s="36">
        <f t="shared" si="137"/>
        <v>82126.26059999998</v>
      </c>
      <c r="H85" s="36">
        <f t="shared" si="137"/>
        <v>168949.98612000013</v>
      </c>
      <c r="I85" s="36">
        <f t="shared" si="137"/>
        <v>139849.13877999992</v>
      </c>
      <c r="J85" s="36">
        <f t="shared" si="137"/>
        <v>215462.69622000016</v>
      </c>
      <c r="K85" s="36">
        <f t="shared" si="137"/>
        <v>249572.01696000004</v>
      </c>
      <c r="L85" s="36">
        <f t="shared" si="137"/>
        <v>203059.30686000013</v>
      </c>
      <c r="M85" s="36">
        <f t="shared" si="137"/>
        <v>252672.86430000002</v>
      </c>
      <c r="N85" s="36">
        <f t="shared" si="137"/>
        <v>311588.96376000007</v>
      </c>
      <c r="O85" s="176"/>
      <c r="P85" s="176"/>
      <c r="Q85" s="36">
        <f>Q69</f>
        <v>5299.0589039999759</v>
      </c>
      <c r="R85" s="36">
        <f t="shared" ref="R85:AB85" si="138">R69</f>
        <v>57346.176559999993</v>
      </c>
      <c r="S85" s="36">
        <f t="shared" si="138"/>
        <v>187581.76483999984</v>
      </c>
      <c r="T85" s="36">
        <f t="shared" si="138"/>
        <v>20136.008480000019</v>
      </c>
      <c r="U85" s="36">
        <f t="shared" si="138"/>
        <v>131766.51272</v>
      </c>
      <c r="V85" s="36">
        <f t="shared" si="138"/>
        <v>235954.98334399995</v>
      </c>
      <c r="W85" s="36">
        <f t="shared" si="138"/>
        <v>206233.96653600002</v>
      </c>
      <c r="X85" s="36">
        <f t="shared" si="138"/>
        <v>291770.23546400003</v>
      </c>
      <c r="Y85" s="36">
        <f t="shared" si="138"/>
        <v>332701.42035199993</v>
      </c>
      <c r="Z85" s="36">
        <f t="shared" si="138"/>
        <v>276886.16823200008</v>
      </c>
      <c r="AA85" s="36">
        <f t="shared" si="138"/>
        <v>336422.43716000009</v>
      </c>
      <c r="AB85" s="36">
        <f t="shared" si="138"/>
        <v>407121.75651199999</v>
      </c>
      <c r="AC85" s="176"/>
      <c r="AD85" s="176"/>
      <c r="AE85" s="36">
        <f>AE69</f>
        <v>38194.735387999914</v>
      </c>
      <c r="AF85" s="36">
        <f t="shared" ref="AF85:AP85" si="139">AF69</f>
        <v>94583.039319999923</v>
      </c>
      <c r="AG85" s="36">
        <f t="shared" si="139"/>
        <v>246524.55898000009</v>
      </c>
      <c r="AH85" s="36">
        <f t="shared" si="139"/>
        <v>51171.176559999993</v>
      </c>
      <c r="AI85" s="36">
        <f t="shared" si="139"/>
        <v>181406.76483999984</v>
      </c>
      <c r="AJ85" s="36">
        <f t="shared" si="139"/>
        <v>302959.98056799988</v>
      </c>
      <c r="AK85" s="36">
        <f t="shared" si="139"/>
        <v>272618.79429200001</v>
      </c>
      <c r="AL85" s="36">
        <f t="shared" si="139"/>
        <v>368077.7747079999</v>
      </c>
      <c r="AM85" s="36">
        <f t="shared" si="139"/>
        <v>415830.82374400005</v>
      </c>
      <c r="AN85" s="36">
        <f t="shared" si="139"/>
        <v>350713.02960399981</v>
      </c>
      <c r="AO85" s="36">
        <f t="shared" si="139"/>
        <v>420172.01001999981</v>
      </c>
      <c r="AP85" s="36">
        <f t="shared" si="139"/>
        <v>502654.54926399991</v>
      </c>
      <c r="AQ85" s="176"/>
      <c r="AR85" s="176"/>
      <c r="AS85" s="177"/>
    </row>
    <row r="86" spans="1:45" s="178" customFormat="1" ht="10.5" x14ac:dyDescent="0.35">
      <c r="A86" s="184" t="str">
        <f>"Чистый денежный поток (NCF) нарастающим итогом, "&amp;CHOOSE('Исходные данные'!$O$2,'Исходные данные'!$P$2,'Исходные данные'!$P$3,'Исходные данные'!$P$4,'Исходные данные'!$P$5)&amp;""</f>
        <v>Чистый денежный поток (NCF) нарастающим итогом, UAH</v>
      </c>
      <c r="B86" s="174"/>
      <c r="C86" s="36">
        <f>B86+C85</f>
        <v>-86202.632306000043</v>
      </c>
      <c r="D86" s="36">
        <f t="shared" ref="D86:N86" si="140">C86+D85</f>
        <v>-109505.18126600003</v>
      </c>
      <c r="E86" s="36">
        <f t="shared" si="140"/>
        <v>-13425.107635999972</v>
      </c>
      <c r="F86" s="36">
        <f t="shared" si="140"/>
        <v>-24324.267235999985</v>
      </c>
      <c r="G86" s="36">
        <f t="shared" si="140"/>
        <v>57801.993363999994</v>
      </c>
      <c r="H86" s="36">
        <f t="shared" si="140"/>
        <v>226751.97948400013</v>
      </c>
      <c r="I86" s="36">
        <f t="shared" si="140"/>
        <v>366601.11826400005</v>
      </c>
      <c r="J86" s="36">
        <f t="shared" si="140"/>
        <v>582063.81448400021</v>
      </c>
      <c r="K86" s="36">
        <f t="shared" si="140"/>
        <v>831635.83144400024</v>
      </c>
      <c r="L86" s="36">
        <f t="shared" si="140"/>
        <v>1034695.1383040004</v>
      </c>
      <c r="M86" s="36">
        <f t="shared" si="140"/>
        <v>1287368.0026040003</v>
      </c>
      <c r="N86" s="36">
        <f t="shared" si="140"/>
        <v>1598956.9663640005</v>
      </c>
      <c r="O86" s="176"/>
      <c r="P86" s="176"/>
      <c r="Q86" s="36">
        <f>N86+Q85</f>
        <v>1604256.0252680006</v>
      </c>
      <c r="R86" s="36">
        <f t="shared" ref="R86:AB86" si="141">Q86+R85</f>
        <v>1661602.2018280006</v>
      </c>
      <c r="S86" s="36">
        <f t="shared" si="141"/>
        <v>1849183.9666680004</v>
      </c>
      <c r="T86" s="36">
        <f t="shared" si="141"/>
        <v>1869319.9751480005</v>
      </c>
      <c r="U86" s="36">
        <f t="shared" si="141"/>
        <v>2001086.4878680005</v>
      </c>
      <c r="V86" s="36">
        <f t="shared" si="141"/>
        <v>2237041.4712120006</v>
      </c>
      <c r="W86" s="36">
        <f t="shared" si="141"/>
        <v>2443275.4377480005</v>
      </c>
      <c r="X86" s="36">
        <f t="shared" si="141"/>
        <v>2735045.6732120006</v>
      </c>
      <c r="Y86" s="36">
        <f t="shared" si="141"/>
        <v>3067747.0935640004</v>
      </c>
      <c r="Z86" s="36">
        <f t="shared" si="141"/>
        <v>3344633.2617960004</v>
      </c>
      <c r="AA86" s="36">
        <f t="shared" si="141"/>
        <v>3681055.6989560006</v>
      </c>
      <c r="AB86" s="36">
        <f t="shared" si="141"/>
        <v>4088177.4554680008</v>
      </c>
      <c r="AC86" s="176"/>
      <c r="AD86" s="176"/>
      <c r="AE86" s="36">
        <f>AB86+AE85</f>
        <v>4126372.1908560009</v>
      </c>
      <c r="AF86" s="36">
        <f t="shared" ref="AF86:AP86" si="142">AE86+AF85</f>
        <v>4220955.2301760009</v>
      </c>
      <c r="AG86" s="36">
        <f t="shared" si="142"/>
        <v>4467479.7891560011</v>
      </c>
      <c r="AH86" s="36">
        <f t="shared" si="142"/>
        <v>4518650.9657160006</v>
      </c>
      <c r="AI86" s="36">
        <f t="shared" si="142"/>
        <v>4700057.730556</v>
      </c>
      <c r="AJ86" s="36">
        <f t="shared" si="142"/>
        <v>5003017.7111240001</v>
      </c>
      <c r="AK86" s="36">
        <f t="shared" si="142"/>
        <v>5275636.5054160003</v>
      </c>
      <c r="AL86" s="36">
        <f t="shared" si="142"/>
        <v>5643714.2801240003</v>
      </c>
      <c r="AM86" s="36">
        <f t="shared" si="142"/>
        <v>6059545.1038680002</v>
      </c>
      <c r="AN86" s="36">
        <f t="shared" si="142"/>
        <v>6410258.1334720002</v>
      </c>
      <c r="AO86" s="36">
        <f t="shared" si="142"/>
        <v>6830430.1434920002</v>
      </c>
      <c r="AP86" s="36">
        <f t="shared" si="142"/>
        <v>7333084.692756</v>
      </c>
      <c r="AQ86" s="176"/>
      <c r="AR86" s="176"/>
      <c r="AS86" s="177"/>
    </row>
    <row r="87" spans="1:45" s="20" customFormat="1" ht="10.5" x14ac:dyDescent="0.35">
      <c r="A87" s="66" t="str">
        <f>"Чистая приведенная стоимость (NPV), "&amp;CHOOSE('Исходные данные'!$O$2,'Исходные данные'!$P$2,'Исходные данные'!$P$3,'Исходные данные'!$P$4,'Исходные данные'!$P$5)&amp;""</f>
        <v>Чистая приведенная стоимость (NPV), UAH</v>
      </c>
      <c r="B87" s="25"/>
      <c r="C87" s="36">
        <f>IF(C85*C83&lt;0,C85,C85*C83)</f>
        <v>-86202.632306000043</v>
      </c>
      <c r="D87" s="36">
        <f t="shared" ref="D87:N87" si="143">IF(D85*D83&lt;0,D85,D85*D83)</f>
        <v>-23302.548959999986</v>
      </c>
      <c r="E87" s="36">
        <f t="shared" si="143"/>
        <v>94498.535637729728</v>
      </c>
      <c r="F87" s="36">
        <f t="shared" si="143"/>
        <v>-10899.159600000014</v>
      </c>
      <c r="G87" s="36">
        <f t="shared" si="143"/>
        <v>79444.813849424783</v>
      </c>
      <c r="H87" s="36">
        <f t="shared" si="143"/>
        <v>162083.02710436043</v>
      </c>
      <c r="I87" s="36">
        <f t="shared" si="143"/>
        <v>133056.17993651671</v>
      </c>
      <c r="J87" s="36">
        <f t="shared" si="143"/>
        <v>203302.73457315582</v>
      </c>
      <c r="K87" s="36">
        <f>IF(K85*K83&lt;0,K85,K85*K83)</f>
        <v>233540.87052354036</v>
      </c>
      <c r="L87" s="36">
        <f t="shared" si="143"/>
        <v>188445.50426755764</v>
      </c>
      <c r="M87" s="36">
        <f t="shared" si="143"/>
        <v>232550.544574181</v>
      </c>
      <c r="N87" s="36">
        <f t="shared" si="143"/>
        <v>284404.65467264474</v>
      </c>
      <c r="O87" s="52"/>
      <c r="P87" s="52"/>
      <c r="Q87" s="36">
        <f>IF(Q85*Q83&lt;0,Q85,Q85*Q83)</f>
        <v>4796.773986093508</v>
      </c>
      <c r="R87" s="36">
        <f t="shared" ref="R87:AB87" si="144">IF(R85*R83&lt;0,R85,R85*R83)</f>
        <v>51481.459659253152</v>
      </c>
      <c r="S87" s="36">
        <f t="shared" si="144"/>
        <v>167006.30899168999</v>
      </c>
      <c r="T87" s="36">
        <f t="shared" si="144"/>
        <v>17779.171589767775</v>
      </c>
      <c r="U87" s="36">
        <f t="shared" si="144"/>
        <v>115382.2660210847</v>
      </c>
      <c r="V87" s="36">
        <f t="shared" si="144"/>
        <v>204908.05993971796</v>
      </c>
      <c r="W87" s="36">
        <f t="shared" si="144"/>
        <v>177617.58379667066</v>
      </c>
      <c r="X87" s="36">
        <f t="shared" si="144"/>
        <v>249208.3700921908</v>
      </c>
      <c r="Y87" s="36">
        <f>IF(Y85*Y83&lt;0,Y85,Y85*Y83)</f>
        <v>281820.23295867344</v>
      </c>
      <c r="Z87" s="36">
        <f t="shared" si="144"/>
        <v>232602.64642674357</v>
      </c>
      <c r="AA87" s="36">
        <f t="shared" si="144"/>
        <v>280281.36169005791</v>
      </c>
      <c r="AB87" s="36">
        <f t="shared" si="144"/>
        <v>336379.44790541293</v>
      </c>
      <c r="AC87" s="52"/>
      <c r="AD87" s="52"/>
      <c r="AE87" s="36">
        <f>IF(AE85*AE83&lt;0,AE85,AE85*AE83)</f>
        <v>31297.130671099745</v>
      </c>
      <c r="AF87" s="36">
        <f t="shared" ref="AF87:AP87" si="145">IF(AF85*AF83&lt;0,AF85,AF85*AF83)</f>
        <v>76861.730607512043</v>
      </c>
      <c r="AG87" s="36">
        <f t="shared" si="145"/>
        <v>198679.45479287062</v>
      </c>
      <c r="AH87" s="36">
        <f t="shared" si="145"/>
        <v>40899.127884986454</v>
      </c>
      <c r="AI87" s="36">
        <f t="shared" si="145"/>
        <v>143793.08414554264</v>
      </c>
      <c r="AJ87" s="36">
        <f t="shared" si="145"/>
        <v>238158.26646810037</v>
      </c>
      <c r="AK87" s="36">
        <f t="shared" si="145"/>
        <v>212535.78560282919</v>
      </c>
      <c r="AL87" s="36">
        <f t="shared" si="145"/>
        <v>284584.82759374182</v>
      </c>
      <c r="AM87" s="36">
        <f>IF(AM85*AM83&lt;0,AM85,AM85*AM83)</f>
        <v>318848.73768276564</v>
      </c>
      <c r="AN87" s="36">
        <f t="shared" si="145"/>
        <v>266695.56895414001</v>
      </c>
      <c r="AO87" s="36">
        <f t="shared" si="145"/>
        <v>316874.20941600093</v>
      </c>
      <c r="AP87" s="36">
        <f t="shared" si="145"/>
        <v>375945.8266142981</v>
      </c>
      <c r="AQ87" s="109"/>
      <c r="AR87" s="109"/>
      <c r="AS87" s="52"/>
    </row>
    <row r="88" spans="1:45" s="20" customFormat="1" ht="10.5" x14ac:dyDescent="0.35">
      <c r="A88" s="66" t="str">
        <f>"Чистая приведенная стоимость (NPV) нарастающим итогом, "&amp;CHOOSE('Исходные данные'!$O$2,'Исходные данные'!$P$2,'Исходные данные'!$P$3,'Исходные данные'!$P$4,'Исходные данные'!$P$5)&amp;""</f>
        <v>Чистая приведенная стоимость (NPV) нарастающим итогом, UAH</v>
      </c>
      <c r="B88" s="25"/>
      <c r="C88" s="36">
        <f>B88+C87</f>
        <v>-86202.632306000043</v>
      </c>
      <c r="D88" s="36">
        <f t="shared" ref="D88:N88" si="146">C88+D87</f>
        <v>-109505.18126600003</v>
      </c>
      <c r="E88" s="36">
        <f t="shared" si="146"/>
        <v>-15006.6456282703</v>
      </c>
      <c r="F88" s="36">
        <f t="shared" si="146"/>
        <v>-25905.805228270314</v>
      </c>
      <c r="G88" s="36">
        <f t="shared" si="146"/>
        <v>53539.008621154469</v>
      </c>
      <c r="H88" s="36">
        <f t="shared" si="146"/>
        <v>215622.0357255149</v>
      </c>
      <c r="I88" s="36">
        <f t="shared" si="146"/>
        <v>348678.21566203161</v>
      </c>
      <c r="J88" s="36">
        <f t="shared" si="146"/>
        <v>551980.95023518743</v>
      </c>
      <c r="K88" s="36">
        <f t="shared" si="146"/>
        <v>785521.82075872784</v>
      </c>
      <c r="L88" s="36">
        <f t="shared" si="146"/>
        <v>973967.32502628549</v>
      </c>
      <c r="M88" s="36">
        <f t="shared" si="146"/>
        <v>1206517.8696004665</v>
      </c>
      <c r="N88" s="36">
        <f t="shared" si="146"/>
        <v>1490922.5242731113</v>
      </c>
      <c r="O88" s="52"/>
      <c r="P88" s="52"/>
      <c r="Q88" s="36">
        <f>N88+Q87</f>
        <v>1495719.2982592047</v>
      </c>
      <c r="R88" s="36">
        <f t="shared" ref="R88:AB88" si="147">Q88+R87</f>
        <v>1547200.757918458</v>
      </c>
      <c r="S88" s="36">
        <f t="shared" si="147"/>
        <v>1714207.0669101479</v>
      </c>
      <c r="T88" s="36">
        <f t="shared" si="147"/>
        <v>1731986.2384999157</v>
      </c>
      <c r="U88" s="36">
        <f t="shared" si="147"/>
        <v>1847368.5045210004</v>
      </c>
      <c r="V88" s="36">
        <f t="shared" si="147"/>
        <v>2052276.5644607183</v>
      </c>
      <c r="W88" s="36">
        <f t="shared" si="147"/>
        <v>2229894.1482573887</v>
      </c>
      <c r="X88" s="36">
        <f t="shared" si="147"/>
        <v>2479102.5183495795</v>
      </c>
      <c r="Y88" s="36">
        <f t="shared" si="147"/>
        <v>2760922.751308253</v>
      </c>
      <c r="Z88" s="36">
        <f t="shared" si="147"/>
        <v>2993525.3977349964</v>
      </c>
      <c r="AA88" s="36">
        <f t="shared" si="147"/>
        <v>3273806.7594250543</v>
      </c>
      <c r="AB88" s="36">
        <f t="shared" si="147"/>
        <v>3610186.2073304672</v>
      </c>
      <c r="AC88" s="52"/>
      <c r="AD88" s="52"/>
      <c r="AE88" s="36">
        <f>AB88+AE87</f>
        <v>3641483.3380015669</v>
      </c>
      <c r="AF88" s="36">
        <f t="shared" ref="AF88:AP88" si="148">AE88+AF87</f>
        <v>3718345.0686090789</v>
      </c>
      <c r="AG88" s="36">
        <f t="shared" si="148"/>
        <v>3917024.5234019496</v>
      </c>
      <c r="AH88" s="36">
        <f t="shared" si="148"/>
        <v>3957923.6512869359</v>
      </c>
      <c r="AI88" s="36">
        <f t="shared" si="148"/>
        <v>4101716.7354324786</v>
      </c>
      <c r="AJ88" s="36">
        <f t="shared" si="148"/>
        <v>4339875.0019005788</v>
      </c>
      <c r="AK88" s="36">
        <f t="shared" si="148"/>
        <v>4552410.7875034083</v>
      </c>
      <c r="AL88" s="36">
        <f t="shared" si="148"/>
        <v>4836995.6150971502</v>
      </c>
      <c r="AM88" s="36">
        <f t="shared" si="148"/>
        <v>5155844.3527799156</v>
      </c>
      <c r="AN88" s="36">
        <f t="shared" si="148"/>
        <v>5422539.9217340555</v>
      </c>
      <c r="AO88" s="36">
        <f t="shared" si="148"/>
        <v>5739414.1311500566</v>
      </c>
      <c r="AP88" s="36">
        <f t="shared" si="148"/>
        <v>6115359.9577643545</v>
      </c>
      <c r="AQ88" s="109"/>
      <c r="AR88" s="109"/>
      <c r="AS88" s="52"/>
    </row>
    <row r="89" spans="1:45" s="20" customFormat="1" ht="10.5" x14ac:dyDescent="0.35">
      <c r="A89" s="184"/>
      <c r="B89" s="53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109"/>
      <c r="P89" s="109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109"/>
      <c r="AD89" s="109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109"/>
      <c r="AR89" s="109"/>
      <c r="AS89" s="22"/>
    </row>
    <row r="90" spans="1:45" s="20" customFormat="1" ht="10.5" x14ac:dyDescent="0.4">
      <c r="A90" s="185" t="str">
        <f>"Чистая приведенная стоимость (NPV) на конец 3-го года, "&amp;CHOOSE('Исходные данные'!$O$2,'Исходные данные'!$P$2,'Исходные данные'!$P$3,'Исходные данные'!$P$4,'Исходные данные'!$P$5)&amp;""</f>
        <v>Чистая приведенная стоимость (NPV) на конец 3-го года, UAH</v>
      </c>
      <c r="B90" s="54">
        <f>AP88+AS76</f>
        <v>4018359.9577643545</v>
      </c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109"/>
      <c r="P90" s="109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109"/>
      <c r="AD90" s="109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109"/>
      <c r="AR90" s="109"/>
      <c r="AS90" s="22"/>
    </row>
    <row r="91" spans="1:45" s="20" customFormat="1" ht="10.5" x14ac:dyDescent="0.4">
      <c r="A91" s="185" t="s">
        <v>21</v>
      </c>
      <c r="B91" s="54">
        <f>AP88/AS33</f>
        <v>2.9162422306935407</v>
      </c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109"/>
      <c r="P91" s="109"/>
      <c r="Q91" s="27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109"/>
      <c r="AD91" s="109"/>
      <c r="AE91" s="27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109"/>
      <c r="AR91" s="109"/>
      <c r="AS91" s="22"/>
    </row>
    <row r="92" spans="1:45" s="20" customFormat="1" ht="10.5" x14ac:dyDescent="0.4">
      <c r="A92" s="186" t="s">
        <v>104</v>
      </c>
      <c r="B92" s="98">
        <f>AS97</f>
        <v>18</v>
      </c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109"/>
      <c r="P92" s="109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109"/>
      <c r="AD92" s="109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109"/>
      <c r="AR92" s="109"/>
      <c r="AS92" s="22"/>
    </row>
    <row r="93" spans="1:45" s="13" customFormat="1" ht="10.5" x14ac:dyDescent="0.4">
      <c r="A93" s="186" t="s">
        <v>47</v>
      </c>
      <c r="B93" s="98">
        <f>AS98</f>
        <v>3</v>
      </c>
      <c r="C93" s="42"/>
      <c r="D93" s="42"/>
      <c r="E93" s="41"/>
      <c r="F93" s="41"/>
      <c r="G93" s="41"/>
      <c r="H93" s="42"/>
      <c r="I93" s="40"/>
      <c r="J93" s="40"/>
      <c r="K93" s="40"/>
      <c r="L93" s="40"/>
      <c r="M93" s="40"/>
      <c r="N93" s="40"/>
      <c r="O93" s="110"/>
      <c r="P93" s="110"/>
      <c r="Q93" s="42"/>
      <c r="R93" s="42"/>
      <c r="S93" s="41"/>
      <c r="T93" s="41"/>
      <c r="U93" s="41"/>
      <c r="V93" s="42"/>
      <c r="W93" s="40"/>
      <c r="X93" s="40"/>
      <c r="Y93" s="40"/>
      <c r="Z93" s="40"/>
      <c r="AA93" s="40"/>
      <c r="AB93" s="40"/>
      <c r="AC93" s="110"/>
      <c r="AD93" s="110"/>
      <c r="AE93" s="42"/>
      <c r="AF93" s="42"/>
      <c r="AG93" s="41"/>
      <c r="AH93" s="41"/>
      <c r="AI93" s="41"/>
      <c r="AJ93" s="42"/>
      <c r="AK93" s="40"/>
      <c r="AL93" s="40"/>
      <c r="AM93" s="40"/>
      <c r="AN93" s="40"/>
      <c r="AO93" s="40"/>
      <c r="AP93" s="40"/>
      <c r="AQ93" s="110"/>
      <c r="AR93" s="110"/>
      <c r="AS93" s="40"/>
    </row>
    <row r="94" spans="1:45" s="20" customFormat="1" ht="10.5" x14ac:dyDescent="0.4">
      <c r="B94" s="27"/>
      <c r="C94" s="51"/>
      <c r="E94" s="56"/>
      <c r="O94" s="55"/>
      <c r="P94" s="55"/>
      <c r="Q94" s="51"/>
      <c r="S94" s="56"/>
      <c r="AC94" s="55"/>
      <c r="AD94" s="55"/>
      <c r="AE94" s="51"/>
      <c r="AG94" s="56"/>
      <c r="AQ94" s="55"/>
      <c r="AR94" s="55"/>
    </row>
    <row r="95" spans="1:45" s="118" customFormat="1" ht="10.5" hidden="1" x14ac:dyDescent="0.4">
      <c r="B95" s="119" t="s">
        <v>34</v>
      </c>
      <c r="C95" s="119">
        <f t="shared" ref="C95:N95" si="149">IF(C70&gt;0,0,1)</f>
        <v>1</v>
      </c>
      <c r="D95" s="119">
        <f t="shared" si="149"/>
        <v>1</v>
      </c>
      <c r="E95" s="119">
        <f t="shared" si="149"/>
        <v>1</v>
      </c>
      <c r="F95" s="119">
        <f t="shared" si="149"/>
        <v>1</v>
      </c>
      <c r="G95" s="119">
        <f t="shared" si="149"/>
        <v>1</v>
      </c>
      <c r="H95" s="119">
        <f t="shared" si="149"/>
        <v>1</v>
      </c>
      <c r="I95" s="119">
        <f t="shared" si="149"/>
        <v>1</v>
      </c>
      <c r="J95" s="119">
        <f t="shared" si="149"/>
        <v>1</v>
      </c>
      <c r="K95" s="119">
        <f t="shared" si="149"/>
        <v>1</v>
      </c>
      <c r="L95" s="119">
        <f t="shared" si="149"/>
        <v>1</v>
      </c>
      <c r="M95" s="119">
        <f t="shared" si="149"/>
        <v>1</v>
      </c>
      <c r="N95" s="119">
        <f t="shared" si="149"/>
        <v>1</v>
      </c>
      <c r="O95" s="120"/>
      <c r="P95" s="120"/>
      <c r="Q95" s="119">
        <f t="shared" ref="Q95:AB95" si="150">IF(Q70&gt;0,0,1)</f>
        <v>1</v>
      </c>
      <c r="R95" s="119">
        <f t="shared" si="150"/>
        <v>1</v>
      </c>
      <c r="S95" s="119">
        <f t="shared" si="150"/>
        <v>1</v>
      </c>
      <c r="T95" s="119">
        <f t="shared" si="150"/>
        <v>1</v>
      </c>
      <c r="U95" s="119">
        <f t="shared" si="150"/>
        <v>1</v>
      </c>
      <c r="V95" s="119">
        <f t="shared" si="150"/>
        <v>0</v>
      </c>
      <c r="W95" s="119">
        <f t="shared" si="150"/>
        <v>0</v>
      </c>
      <c r="X95" s="119">
        <f t="shared" si="150"/>
        <v>0</v>
      </c>
      <c r="Y95" s="119">
        <f t="shared" si="150"/>
        <v>0</v>
      </c>
      <c r="Z95" s="119">
        <f t="shared" si="150"/>
        <v>0</v>
      </c>
      <c r="AA95" s="119">
        <f t="shared" si="150"/>
        <v>0</v>
      </c>
      <c r="AB95" s="119">
        <f t="shared" si="150"/>
        <v>0</v>
      </c>
      <c r="AC95" s="120"/>
      <c r="AD95" s="120"/>
      <c r="AE95" s="119">
        <f t="shared" ref="AE95:AP95" si="151">IF(AE70&gt;0,0,1)</f>
        <v>0</v>
      </c>
      <c r="AF95" s="119">
        <f t="shared" si="151"/>
        <v>0</v>
      </c>
      <c r="AG95" s="119">
        <f t="shared" si="151"/>
        <v>0</v>
      </c>
      <c r="AH95" s="119">
        <f t="shared" si="151"/>
        <v>0</v>
      </c>
      <c r="AI95" s="119">
        <f t="shared" si="151"/>
        <v>0</v>
      </c>
      <c r="AJ95" s="119">
        <f t="shared" si="151"/>
        <v>0</v>
      </c>
      <c r="AK95" s="119">
        <f t="shared" si="151"/>
        <v>0</v>
      </c>
      <c r="AL95" s="119">
        <f t="shared" si="151"/>
        <v>0</v>
      </c>
      <c r="AM95" s="119">
        <f t="shared" si="151"/>
        <v>0</v>
      </c>
      <c r="AN95" s="119">
        <f t="shared" si="151"/>
        <v>0</v>
      </c>
      <c r="AO95" s="119">
        <f t="shared" si="151"/>
        <v>0</v>
      </c>
      <c r="AP95" s="119">
        <f t="shared" si="151"/>
        <v>0</v>
      </c>
      <c r="AQ95" s="120"/>
      <c r="AR95" s="120"/>
      <c r="AS95" s="118">
        <f>SUM(C95:AP95)</f>
        <v>17</v>
      </c>
    </row>
    <row r="96" spans="1:45" s="119" customFormat="1" ht="10.199999999999999" hidden="1" x14ac:dyDescent="0.35">
      <c r="B96" s="119" t="s">
        <v>46</v>
      </c>
      <c r="C96" s="119">
        <f>IF(C69&gt;0,0,1)</f>
        <v>1</v>
      </c>
      <c r="D96" s="119">
        <f>IF(OR(D69&gt;0,C96=0),0,1)</f>
        <v>1</v>
      </c>
      <c r="E96" s="119">
        <f t="shared" ref="E96:N96" si="152">IF(OR(E69&gt;0,D96=0),0,1)</f>
        <v>0</v>
      </c>
      <c r="F96" s="119">
        <f t="shared" si="152"/>
        <v>0</v>
      </c>
      <c r="G96" s="119">
        <f t="shared" si="152"/>
        <v>0</v>
      </c>
      <c r="H96" s="119">
        <f t="shared" si="152"/>
        <v>0</v>
      </c>
      <c r="I96" s="119">
        <f>IF(OR(I69&gt;0,H96=0),0,1)</f>
        <v>0</v>
      </c>
      <c r="J96" s="119">
        <f t="shared" si="152"/>
        <v>0</v>
      </c>
      <c r="K96" s="119">
        <f t="shared" si="152"/>
        <v>0</v>
      </c>
      <c r="L96" s="119">
        <f>IF(OR(L69&gt;0,K96=0),0,1)</f>
        <v>0</v>
      </c>
      <c r="M96" s="119">
        <f t="shared" si="152"/>
        <v>0</v>
      </c>
      <c r="N96" s="119">
        <f t="shared" si="152"/>
        <v>0</v>
      </c>
      <c r="Q96" s="119">
        <f>IF(OR(Q69&gt;0,N96=0),0,1)</f>
        <v>0</v>
      </c>
      <c r="R96" s="119">
        <f t="shared" ref="R96:AB96" si="153">IF(OR(R69&gt;0,Q96=0),0,1)</f>
        <v>0</v>
      </c>
      <c r="S96" s="119">
        <f t="shared" si="153"/>
        <v>0</v>
      </c>
      <c r="T96" s="119">
        <f t="shared" si="153"/>
        <v>0</v>
      </c>
      <c r="U96" s="119">
        <f t="shared" si="153"/>
        <v>0</v>
      </c>
      <c r="V96" s="119">
        <f>IF(OR(V69&gt;0,U96=0),0,1)</f>
        <v>0</v>
      </c>
      <c r="W96" s="119">
        <f t="shared" si="153"/>
        <v>0</v>
      </c>
      <c r="X96" s="119">
        <f t="shared" si="153"/>
        <v>0</v>
      </c>
      <c r="Y96" s="119">
        <f>IF(OR(Y69&gt;0,X96=0),0,1)</f>
        <v>0</v>
      </c>
      <c r="Z96" s="119">
        <f t="shared" si="153"/>
        <v>0</v>
      </c>
      <c r="AA96" s="119">
        <f t="shared" si="153"/>
        <v>0</v>
      </c>
      <c r="AB96" s="119">
        <f t="shared" si="153"/>
        <v>0</v>
      </c>
      <c r="AE96" s="119">
        <f>IF(OR(AE69&gt;0,AB96=0),0,1)</f>
        <v>0</v>
      </c>
      <c r="AF96" s="119">
        <f t="shared" ref="AF96:AP96" si="154">IF(OR(AF69&gt;0,AE96=0),0,1)</f>
        <v>0</v>
      </c>
      <c r="AG96" s="119">
        <f t="shared" si="154"/>
        <v>0</v>
      </c>
      <c r="AH96" s="119">
        <f t="shared" si="154"/>
        <v>0</v>
      </c>
      <c r="AI96" s="119">
        <f t="shared" si="154"/>
        <v>0</v>
      </c>
      <c r="AJ96" s="119">
        <f>IF(OR(AJ69&gt;0,AI96=0),0,1)</f>
        <v>0</v>
      </c>
      <c r="AK96" s="119">
        <f t="shared" si="154"/>
        <v>0</v>
      </c>
      <c r="AL96" s="119">
        <f t="shared" si="154"/>
        <v>0</v>
      </c>
      <c r="AM96" s="119">
        <f>IF(OR(AM69&gt;0,AL96=0),0,1)</f>
        <v>0</v>
      </c>
      <c r="AN96" s="119">
        <f t="shared" si="154"/>
        <v>0</v>
      </c>
      <c r="AO96" s="119">
        <f t="shared" si="154"/>
        <v>0</v>
      </c>
      <c r="AP96" s="119">
        <f t="shared" si="154"/>
        <v>0</v>
      </c>
      <c r="AS96" s="118">
        <f>SUM(C96:AP96)</f>
        <v>2</v>
      </c>
    </row>
    <row r="97" spans="1:45" s="20" customFormat="1" ht="10.5" hidden="1" x14ac:dyDescent="0.4">
      <c r="O97" s="55"/>
      <c r="P97" s="55"/>
      <c r="AC97" s="55"/>
      <c r="AD97" s="55"/>
      <c r="AQ97" s="55"/>
      <c r="AR97" s="55"/>
      <c r="AS97" s="20">
        <f>IF(OR(AR69&lt;0,AS68&lt;0),"проект не окупается",IF(AS95&lt;36,AS95+1,-AS68/AR69+37))</f>
        <v>18</v>
      </c>
    </row>
    <row r="98" spans="1:45" s="58" customFormat="1" ht="14.1" hidden="1" x14ac:dyDescent="0.5">
      <c r="A98" s="20"/>
      <c r="B98" s="57"/>
      <c r="O98" s="113"/>
      <c r="P98" s="113"/>
      <c r="AC98" s="113"/>
      <c r="AD98" s="113"/>
      <c r="AQ98" s="113"/>
      <c r="AR98" s="113"/>
      <c r="AS98" s="58">
        <f>IF(OR(AR69&lt;0,AS68&lt;0),"проект не окупается",IF(AS96&lt;36,AS96+1,-AS68/AR69+37))</f>
        <v>3</v>
      </c>
    </row>
    <row r="99" spans="1:45" s="58" customFormat="1" ht="14.1" hidden="1" x14ac:dyDescent="0.5">
      <c r="A99" s="20"/>
      <c r="B99" s="57"/>
      <c r="O99" s="113"/>
      <c r="P99" s="113"/>
      <c r="AC99" s="113"/>
      <c r="AD99" s="113"/>
      <c r="AQ99" s="113"/>
      <c r="AR99" s="113"/>
    </row>
    <row r="100" spans="1:45" s="193" customFormat="1" ht="14.1" x14ac:dyDescent="0.5">
      <c r="A100" s="190"/>
      <c r="B100" s="190"/>
      <c r="C100" s="191"/>
      <c r="D100" s="191"/>
      <c r="E100" s="191"/>
      <c r="F100" s="191"/>
      <c r="G100" s="191"/>
      <c r="H100" s="191"/>
      <c r="I100" s="191"/>
      <c r="J100" s="191"/>
      <c r="K100" s="191"/>
      <c r="L100" s="191"/>
      <c r="M100" s="191"/>
      <c r="N100" s="191"/>
      <c r="O100" s="192"/>
      <c r="P100" s="192"/>
      <c r="AC100" s="194"/>
      <c r="AD100" s="194"/>
      <c r="AQ100" s="194"/>
      <c r="AR100" s="194"/>
    </row>
    <row r="101" spans="1:45" s="193" customFormat="1" ht="14.1" x14ac:dyDescent="0.5">
      <c r="A101" s="190"/>
      <c r="B101" s="190"/>
      <c r="C101" s="191"/>
      <c r="D101" s="191"/>
      <c r="E101" s="191"/>
      <c r="F101" s="191"/>
      <c r="G101" s="191"/>
      <c r="H101" s="191"/>
      <c r="I101" s="191"/>
      <c r="J101" s="191"/>
      <c r="K101" s="191"/>
      <c r="L101" s="191"/>
      <c r="M101" s="191"/>
      <c r="N101" s="191"/>
      <c r="O101" s="192"/>
      <c r="P101" s="194"/>
      <c r="AC101" s="194"/>
      <c r="AD101" s="194"/>
      <c r="AQ101" s="194"/>
      <c r="AR101" s="194"/>
    </row>
    <row r="102" spans="1:45" s="193" customFormat="1" ht="14.1" x14ac:dyDescent="0.5">
      <c r="A102" s="190"/>
      <c r="B102" s="190"/>
      <c r="O102" s="194"/>
      <c r="P102" s="194"/>
      <c r="AC102" s="194"/>
      <c r="AD102" s="194"/>
      <c r="AQ102" s="194"/>
      <c r="AR102" s="194"/>
    </row>
    <row r="103" spans="1:45" s="58" customFormat="1" ht="14.1" x14ac:dyDescent="0.5">
      <c r="A103" s="20"/>
      <c r="B103" s="57"/>
      <c r="O103" s="113"/>
      <c r="P103" s="113"/>
      <c r="AC103" s="113"/>
      <c r="AD103" s="113"/>
      <c r="AQ103" s="113"/>
      <c r="AR103" s="113"/>
    </row>
    <row r="104" spans="1:45" s="58" customFormat="1" ht="14.1" x14ac:dyDescent="0.5">
      <c r="A104" s="20"/>
      <c r="B104" s="57"/>
      <c r="O104" s="113"/>
      <c r="P104" s="113"/>
      <c r="AC104" s="113"/>
      <c r="AD104" s="113"/>
      <c r="AQ104" s="113"/>
      <c r="AR104" s="113"/>
    </row>
    <row r="105" spans="1:45" s="58" customFormat="1" ht="14.1" x14ac:dyDescent="0.5">
      <c r="A105" s="20"/>
      <c r="B105" s="57"/>
      <c r="O105" s="113"/>
      <c r="P105" s="113"/>
      <c r="AC105" s="113"/>
      <c r="AD105" s="113"/>
      <c r="AQ105" s="113"/>
      <c r="AR105" s="113"/>
    </row>
    <row r="106" spans="1:45" s="58" customFormat="1" ht="14.1" x14ac:dyDescent="0.5">
      <c r="A106" s="20"/>
      <c r="B106" s="57"/>
      <c r="O106" s="113"/>
      <c r="P106" s="113"/>
      <c r="AC106" s="113"/>
      <c r="AD106" s="113"/>
      <c r="AQ106" s="113"/>
      <c r="AR106" s="113"/>
    </row>
    <row r="107" spans="1:45" s="58" customFormat="1" ht="14.1" x14ac:dyDescent="0.5">
      <c r="A107" s="20"/>
      <c r="B107" s="57"/>
      <c r="O107" s="113"/>
      <c r="P107" s="113"/>
      <c r="AC107" s="113"/>
      <c r="AD107" s="113"/>
      <c r="AQ107" s="113"/>
      <c r="AR107" s="113"/>
    </row>
    <row r="108" spans="1:45" s="58" customFormat="1" ht="14.1" x14ac:dyDescent="0.5">
      <c r="A108" s="20"/>
      <c r="B108" s="57"/>
      <c r="O108" s="113"/>
      <c r="P108" s="113"/>
      <c r="AC108" s="113"/>
      <c r="AD108" s="113"/>
      <c r="AQ108" s="113"/>
      <c r="AR108" s="113"/>
    </row>
    <row r="109" spans="1:45" s="58" customFormat="1" ht="14.1" x14ac:dyDescent="0.5">
      <c r="A109" s="20"/>
      <c r="B109" s="57"/>
      <c r="O109" s="113"/>
      <c r="P109" s="113"/>
      <c r="AC109" s="113"/>
      <c r="AD109" s="113"/>
      <c r="AQ109" s="113"/>
      <c r="AR109" s="113"/>
    </row>
    <row r="110" spans="1:45" s="58" customFormat="1" ht="14.1" x14ac:dyDescent="0.5">
      <c r="A110" s="20"/>
      <c r="B110" s="57"/>
      <c r="O110" s="113"/>
      <c r="P110" s="113"/>
      <c r="AC110" s="113"/>
      <c r="AD110" s="113"/>
      <c r="AQ110" s="113"/>
      <c r="AR110" s="113"/>
    </row>
    <row r="111" spans="1:45" s="58" customFormat="1" ht="14.1" x14ac:dyDescent="0.5">
      <c r="A111" s="20"/>
      <c r="B111" s="57"/>
      <c r="O111" s="113"/>
      <c r="P111" s="113"/>
      <c r="AC111" s="113"/>
      <c r="AD111" s="113"/>
      <c r="AQ111" s="113"/>
      <c r="AR111" s="113"/>
    </row>
  </sheetData>
  <mergeCells count="8">
    <mergeCell ref="A1:B1"/>
    <mergeCell ref="AS15:AS16"/>
    <mergeCell ref="C5:P5"/>
    <mergeCell ref="C15:P15"/>
    <mergeCell ref="Q5:AD5"/>
    <mergeCell ref="Q15:AD15"/>
    <mergeCell ref="AE5:AR5"/>
    <mergeCell ref="AE15:AR15"/>
  </mergeCells>
  <conditionalFormatting sqref="C9:N10">
    <cfRule type="cellIs" dxfId="38" priority="101" operator="lessThan">
      <formula>1</formula>
    </cfRule>
    <cfRule type="cellIs" dxfId="37" priority="102" operator="greaterThan">
      <formula>1</formula>
    </cfRule>
  </conditionalFormatting>
  <conditionalFormatting sqref="C9:N9">
    <cfRule type="cellIs" dxfId="36" priority="103" operator="lessThan">
      <formula>1</formula>
    </cfRule>
  </conditionalFormatting>
  <conditionalFormatting sqref="Q7:AB7">
    <cfRule type="cellIs" dxfId="35" priority="88" operator="lessThan">
      <formula>1</formula>
    </cfRule>
    <cfRule type="cellIs" dxfId="34" priority="89" operator="greaterThan">
      <formula>1</formula>
    </cfRule>
  </conditionalFormatting>
  <conditionalFormatting sqref="Q9:AB9">
    <cfRule type="cellIs" dxfId="33" priority="87" operator="lessThan">
      <formula>1</formula>
    </cfRule>
  </conditionalFormatting>
  <conditionalFormatting sqref="Q9:AB10">
    <cfRule type="cellIs" dxfId="32" priority="85" operator="lessThan">
      <formula>1</formula>
    </cfRule>
    <cfRule type="cellIs" dxfId="31" priority="86" operator="greaterThan">
      <formula>1</formula>
    </cfRule>
  </conditionalFormatting>
  <conditionalFormatting sqref="AE7:AP7">
    <cfRule type="cellIs" dxfId="30" priority="70" operator="lessThan">
      <formula>1</formula>
    </cfRule>
    <cfRule type="cellIs" dxfId="29" priority="71" operator="greaterThan">
      <formula>1</formula>
    </cfRule>
  </conditionalFormatting>
  <conditionalFormatting sqref="AE9:AP9">
    <cfRule type="cellIs" dxfId="28" priority="69" operator="lessThan">
      <formula>1</formula>
    </cfRule>
  </conditionalFormatting>
  <conditionalFormatting sqref="AE9:AP10">
    <cfRule type="cellIs" dxfId="27" priority="67" operator="lessThan">
      <formula>1</formula>
    </cfRule>
    <cfRule type="cellIs" dxfId="26" priority="68" operator="greaterThan">
      <formula>1</formula>
    </cfRule>
  </conditionalFormatting>
  <conditionalFormatting sqref="Q11:AB12">
    <cfRule type="cellIs" dxfId="25" priority="37" operator="lessThan">
      <formula>1</formula>
    </cfRule>
    <cfRule type="cellIs" dxfId="24" priority="38" operator="greaterThan">
      <formula>1</formula>
    </cfRule>
  </conditionalFormatting>
  <conditionalFormatting sqref="C11:N12">
    <cfRule type="cellIs" dxfId="23" priority="40" operator="lessThan">
      <formula>1</formula>
    </cfRule>
    <cfRule type="cellIs" dxfId="22" priority="41" operator="greaterThan">
      <formula>1</formula>
    </cfRule>
  </conditionalFormatting>
  <conditionalFormatting sqref="C11:N11">
    <cfRule type="cellIs" dxfId="21" priority="42" operator="lessThan">
      <formula>1</formula>
    </cfRule>
  </conditionalFormatting>
  <conditionalFormatting sqref="AE11:AP11">
    <cfRule type="cellIs" dxfId="20" priority="36" operator="lessThan">
      <formula>1</formula>
    </cfRule>
  </conditionalFormatting>
  <conditionalFormatting sqref="AE11:AP12">
    <cfRule type="cellIs" dxfId="19" priority="34" operator="lessThan">
      <formula>1</formula>
    </cfRule>
    <cfRule type="cellIs" dxfId="18" priority="35" operator="greaterThan">
      <formula>1</formula>
    </cfRule>
  </conditionalFormatting>
  <conditionalFormatting sqref="Q11:AB11">
    <cfRule type="cellIs" dxfId="17" priority="39" operator="lessThan">
      <formula>1</formula>
    </cfRule>
  </conditionalFormatting>
  <conditionalFormatting sqref="C13:N13">
    <cfRule type="cellIs" dxfId="16" priority="31" operator="lessThan">
      <formula>1</formula>
    </cfRule>
    <cfRule type="cellIs" dxfId="15" priority="32" operator="greaterThan">
      <formula>1</formula>
    </cfRule>
  </conditionalFormatting>
  <conditionalFormatting sqref="C13:N13">
    <cfRule type="cellIs" dxfId="14" priority="33" operator="lessThan">
      <formula>1</formula>
    </cfRule>
  </conditionalFormatting>
  <conditionalFormatting sqref="AE13:AP13">
    <cfRule type="cellIs" dxfId="13" priority="27" operator="lessThan">
      <formula>1</formula>
    </cfRule>
  </conditionalFormatting>
  <conditionalFormatting sqref="AE13:AP13">
    <cfRule type="cellIs" dxfId="12" priority="25" operator="lessThan">
      <formula>1</formula>
    </cfRule>
    <cfRule type="cellIs" dxfId="11" priority="26" operator="greaterThan">
      <formula>1</formula>
    </cfRule>
  </conditionalFormatting>
  <conditionalFormatting sqref="Q13:AB13">
    <cfRule type="cellIs" dxfId="10" priority="30" operator="lessThan">
      <formula>1</formula>
    </cfRule>
  </conditionalFormatting>
  <conditionalFormatting sqref="Q13:AB13">
    <cfRule type="cellIs" dxfId="9" priority="28" operator="lessThan">
      <formula>1</formula>
    </cfRule>
    <cfRule type="cellIs" dxfId="8" priority="29" operator="greaterThan">
      <formula>1</formula>
    </cfRule>
  </conditionalFormatting>
  <conditionalFormatting sqref="C8:N8">
    <cfRule type="cellIs" dxfId="7" priority="21" operator="lessThan">
      <formula>1</formula>
    </cfRule>
    <cfRule type="cellIs" dxfId="6" priority="22" operator="greaterThan">
      <formula>1</formula>
    </cfRule>
  </conditionalFormatting>
  <conditionalFormatting sqref="Q8:AB8">
    <cfRule type="cellIs" dxfId="5" priority="7" operator="lessThan">
      <formula>1</formula>
    </cfRule>
    <cfRule type="cellIs" dxfId="4" priority="8" operator="greaterThan">
      <formula>1</formula>
    </cfRule>
  </conditionalFormatting>
  <conditionalFormatting sqref="AE8:AP8">
    <cfRule type="cellIs" dxfId="3" priority="5" operator="lessThan">
      <formula>1</formula>
    </cfRule>
    <cfRule type="cellIs" dxfId="2" priority="6" operator="greaterThan">
      <formula>1</formula>
    </cfRule>
  </conditionalFormatting>
  <conditionalFormatting sqref="C7:N7">
    <cfRule type="cellIs" dxfId="1" priority="1" operator="lessThan">
      <formula>1</formula>
    </cfRule>
    <cfRule type="cellIs" dxfId="0" priority="2" operator="greaterThan">
      <formula>1</formula>
    </cfRule>
  </conditionalFormatting>
  <pageMargins left="0.39370078740157483" right="0.39370078740157483" top="0.39370078740157483" bottom="0.39370078740157483" header="0.51181102362204722" footer="0.51181102362204722"/>
  <pageSetup paperSize="9" scale="57" fitToHeight="2" orientation="landscape" horizontalDpi="300" verticalDpi="300" r:id="rId1"/>
  <headerFooter alignWithMargins="0"/>
  <colBreaks count="2" manualBreakCount="2">
    <brk id="16" min="4" max="109" man="1"/>
    <brk id="30" min="4" max="109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</vt:i4>
      </vt:variant>
    </vt:vector>
  </HeadingPairs>
  <TitlesOfParts>
    <vt:vector size="7" baseType="lpstr">
      <vt:lpstr>Исходные данные</vt:lpstr>
      <vt:lpstr>Обобщенный расчет</vt:lpstr>
      <vt:lpstr>Детальный расчет</vt:lpstr>
      <vt:lpstr>'Детальный расчет'!Заголовки_для_печати</vt:lpstr>
      <vt:lpstr>'Детальный расчет'!Область_печати</vt:lpstr>
      <vt:lpstr>'Исходные данные'!Область_печати</vt:lpstr>
      <vt:lpstr>'Обобщенный расчет'!Область_печати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Zazi;Franch.biz</dc:creator>
  <cp:lastModifiedBy>Яна Мирская</cp:lastModifiedBy>
  <cp:lastPrinted>2018-10-04T11:35:43Z</cp:lastPrinted>
  <dcterms:created xsi:type="dcterms:W3CDTF">2013-12-25T12:04:54Z</dcterms:created>
  <dcterms:modified xsi:type="dcterms:W3CDTF">2018-11-17T15:54:57Z</dcterms:modified>
</cp:coreProperties>
</file>