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та\Галя Балувана\"/>
    </mc:Choice>
  </mc:AlternateContent>
  <xr:revisionPtr revIDLastSave="0" documentId="13_ncr:1_{B5EC7CB0-4459-4153-B0C2-656940D22C4B}" xr6:coauthVersionLast="45" xr6:coauthVersionMax="45" xr10:uidLastSave="{00000000-0000-0000-0000-000000000000}"/>
  <bookViews>
    <workbookView xWindow="-96" yWindow="-96" windowWidth="23232" windowHeight="12552" xr2:uid="{00000000-000D-0000-FFFF-FFFF00000000}"/>
  </bookViews>
  <sheets>
    <sheet name="Вхідні дані" sheetId="6" r:id="rId1"/>
    <sheet name="Інвестиції" sheetId="8" r:id="rId2"/>
    <sheet name="Узагальнений розрахунок" sheetId="7" r:id="rId3"/>
    <sheet name="Детальний розрахунок" sheetId="4" r:id="rId4"/>
    <sheet name="ВД Графіки" sheetId="9" state="hidden" r:id="rId5"/>
    <sheet name="Графіки" sheetId="10" r:id="rId6"/>
  </sheets>
  <externalReferences>
    <externalReference r:id="rId7"/>
    <externalReference r:id="rId8"/>
    <externalReference r:id="rId9"/>
  </externalReferences>
  <definedNames>
    <definedName name="About_AI" localSheetId="0">#REF!</definedName>
    <definedName name="About_AI" localSheetId="1">#REF!</definedName>
    <definedName name="About_AI" localSheetId="2">#REF!</definedName>
    <definedName name="About_AI">#REF!</definedName>
    <definedName name="About_AI_Summ" localSheetId="0">#REF!</definedName>
    <definedName name="About_AI_Summ" localSheetId="1">#REF!</definedName>
    <definedName name="About_AI_Summ" localSheetId="2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Ddfdfd4">[2]Отчет!#REF!</definedName>
    <definedName name="EST_DATA" localSheetId="0">[1]Проект!#REF!</definedName>
    <definedName name="EST_DATA" localSheetId="1">[1]Проект!#REF!</definedName>
    <definedName name="EST_DATA" localSheetId="2">[1]Проект!#REF!</definedName>
    <definedName name="EST_DATA">[1]Проект!#REF!</definedName>
    <definedName name="EST_FROM" localSheetId="0">[1]Проект!#REF!</definedName>
    <definedName name="EST_FROM" localSheetId="2">[1]Проект!#REF!</definedName>
    <definedName name="EST_FROM">[1]Проект!#REF!</definedName>
    <definedName name="EST_NumStages" localSheetId="0">[1]Проект!#REF!</definedName>
    <definedName name="EST_NumStages" localSheetId="2">[1]Проект!#REF!</definedName>
    <definedName name="EST_NumStages">[1]Проект!#REF!</definedName>
    <definedName name="EST_Obj_1" localSheetId="0">[1]Проект!#REF!</definedName>
    <definedName name="EST_Obj_1" localSheetId="2">[1]Проект!#REF!</definedName>
    <definedName name="EST_Obj_1">[1]Проект!#REF!</definedName>
    <definedName name="EST_Obj_10" localSheetId="0">[1]Проект!#REF!</definedName>
    <definedName name="EST_Obj_10" localSheetId="2">[1]Проект!#REF!</definedName>
    <definedName name="EST_Obj_10">[1]Проект!#REF!</definedName>
    <definedName name="EST_Obj_2" localSheetId="0">[1]Проект!#REF!</definedName>
    <definedName name="EST_Obj_2" localSheetId="2">[1]Проект!#REF!</definedName>
    <definedName name="EST_Obj_2">[1]Проект!#REF!</definedName>
    <definedName name="EST_Obj_3" localSheetId="0">[1]Проект!#REF!</definedName>
    <definedName name="EST_Obj_3" localSheetId="2">[1]Проект!#REF!</definedName>
    <definedName name="EST_Obj_3">[1]Проект!#REF!</definedName>
    <definedName name="EST_Obj_4" localSheetId="0">[1]Проект!#REF!</definedName>
    <definedName name="EST_Obj_4" localSheetId="2">[1]Проект!#REF!</definedName>
    <definedName name="EST_Obj_4">[1]Проект!#REF!</definedName>
    <definedName name="EST_Obj_5" localSheetId="0">[1]Проект!#REF!</definedName>
    <definedName name="EST_Obj_5" localSheetId="2">[1]Проект!#REF!</definedName>
    <definedName name="EST_Obj_5">[1]Проект!#REF!</definedName>
    <definedName name="EST_Obj_6" localSheetId="0">[1]Проект!#REF!</definedName>
    <definedName name="EST_Obj_6" localSheetId="2">[1]Проект!#REF!</definedName>
    <definedName name="EST_Obj_6">[1]Проект!#REF!</definedName>
    <definedName name="EST_Obj_7" localSheetId="0">[1]Проект!#REF!</definedName>
    <definedName name="EST_Obj_7" localSheetId="2">[1]Проект!#REF!</definedName>
    <definedName name="EST_Obj_7">[1]Проект!#REF!</definedName>
    <definedName name="EST_Obj_8" localSheetId="0">[1]Проект!#REF!</definedName>
    <definedName name="EST_Obj_8" localSheetId="2">[1]Проект!#REF!</definedName>
    <definedName name="EST_Obj_8">[1]Проект!#REF!</definedName>
    <definedName name="EST_Obj_9" localSheetId="0">[1]Проект!#REF!</definedName>
    <definedName name="EST_Obj_9" localSheetId="2">[1]Проект!#REF!</definedName>
    <definedName name="EST_Obj_9">[1]Проект!#REF!</definedName>
    <definedName name="EST_ProdNum" localSheetId="0">[1]Проект!#REF!</definedName>
    <definedName name="EST_ProdNum" localSheetId="2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'[3]1. Исходные данные'!#REF!</definedName>
    <definedName name="season" localSheetId="1">'[3]1. Исходные данные'!#REF!</definedName>
    <definedName name="season" localSheetId="2">'[3]1. Исходные данные'!#REF!</definedName>
    <definedName name="season">'[3]1.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[2]Отчет!#REF!</definedName>
    <definedName name="апи" localSheetId="1">[2]Отчет!#REF!</definedName>
    <definedName name="апи" localSheetId="2">[2]Отчет!#REF!</definedName>
    <definedName name="апи">[2]Отчет!#REF!</definedName>
    <definedName name="_xlnm.Print_Titles" localSheetId="3">'Детальний розрахунок'!$A:$B,'Детальний розрахунок'!$3:$4</definedName>
    <definedName name="_xlnm.Print_Titles" localSheetId="1">Інвестиції!$2:$5</definedName>
    <definedName name="и" localSheetId="0">[2]Отчет!#REF!</definedName>
    <definedName name="и" localSheetId="1">[2]Отчет!#REF!</definedName>
    <definedName name="и" localSheetId="2">[2]Отчет!#REF!</definedName>
    <definedName name="и">[2]Отчет!#REF!</definedName>
    <definedName name="_xlnm.Print_Area" localSheetId="0">'Вхідні дані'!$A$2:$N$114</definedName>
    <definedName name="_xlnm.Print_Area" localSheetId="3">'Детальний розрахунок'!$A$3:$AT$90</definedName>
    <definedName name="_xlnm.Print_Area" localSheetId="1">Інвестиції!$A$2:$J$58</definedName>
    <definedName name="_xlnm.Print_Area" localSheetId="2">'Узагальнений розрахунок'!$A$1:$J$59</definedName>
    <definedName name="п" localSheetId="0">[2]Отчет!#REF!</definedName>
    <definedName name="п" localSheetId="1">[2]Отчет!#REF!</definedName>
    <definedName name="п" localSheetId="2">[2]Отчет!#REF!</definedName>
    <definedName name="п">[2]Отчет!#REF!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1" i="6" l="1"/>
  <c r="H51" i="6"/>
  <c r="D51" i="6"/>
  <c r="L97" i="6" l="1"/>
  <c r="H97" i="6"/>
  <c r="AQ45" i="4" l="1"/>
  <c r="AP45" i="4"/>
  <c r="AO45" i="4"/>
  <c r="AN45" i="4"/>
  <c r="AM45" i="4"/>
  <c r="AL45" i="4"/>
  <c r="AK45" i="4"/>
  <c r="AJ45" i="4"/>
  <c r="AI45" i="4"/>
  <c r="AH45" i="4"/>
  <c r="AG45" i="4"/>
  <c r="AF45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C45" i="4"/>
  <c r="AB45" i="4"/>
  <c r="AA45" i="4"/>
  <c r="Z45" i="4"/>
  <c r="Y45" i="4"/>
  <c r="X45" i="4"/>
  <c r="W45" i="4"/>
  <c r="V45" i="4"/>
  <c r="U45" i="4"/>
  <c r="T45" i="4"/>
  <c r="S45" i="4"/>
  <c r="R45" i="4"/>
  <c r="AC44" i="4"/>
  <c r="AB44" i="4"/>
  <c r="AA44" i="4"/>
  <c r="Z44" i="4"/>
  <c r="Y44" i="4"/>
  <c r="X44" i="4"/>
  <c r="W44" i="4"/>
  <c r="V44" i="4"/>
  <c r="U44" i="4"/>
  <c r="T44" i="4"/>
  <c r="S44" i="4"/>
  <c r="R44" i="4"/>
  <c r="G17" i="6"/>
  <c r="G16" i="6"/>
  <c r="G15" i="6"/>
  <c r="C17" i="6"/>
  <c r="C16" i="6"/>
  <c r="C15" i="6"/>
  <c r="L49" i="6"/>
  <c r="H49" i="6"/>
  <c r="L46" i="6"/>
  <c r="H46" i="6"/>
  <c r="G84" i="6"/>
  <c r="G77" i="6"/>
  <c r="D97" i="6"/>
  <c r="D46" i="6"/>
  <c r="C11" i="8"/>
  <c r="D49" i="6"/>
  <c r="C10" i="8"/>
  <c r="C9" i="8"/>
  <c r="C8" i="8"/>
  <c r="C7" i="8"/>
  <c r="M106" i="6" l="1"/>
  <c r="AN53" i="4" s="1"/>
  <c r="I106" i="6"/>
  <c r="E106" i="6"/>
  <c r="M105" i="6"/>
  <c r="AN51" i="4" s="1"/>
  <c r="I105" i="6"/>
  <c r="E105" i="6"/>
  <c r="M104" i="6"/>
  <c r="AN50" i="4" s="1"/>
  <c r="I104" i="6"/>
  <c r="E104" i="6"/>
  <c r="M103" i="6"/>
  <c r="AN49" i="4" s="1"/>
  <c r="I103" i="6"/>
  <c r="E103" i="6"/>
  <c r="M102" i="6"/>
  <c r="AL48" i="4" s="1"/>
  <c r="I102" i="6"/>
  <c r="E102" i="6"/>
  <c r="M101" i="6"/>
  <c r="O47" i="4" s="1"/>
  <c r="I101" i="6"/>
  <c r="E101" i="6"/>
  <c r="M99" i="6"/>
  <c r="G45" i="4" s="1"/>
  <c r="I99" i="6"/>
  <c r="E99" i="6"/>
  <c r="M98" i="6"/>
  <c r="F44" i="4" s="1"/>
  <c r="I98" i="6"/>
  <c r="E98" i="6"/>
  <c r="I25" i="7"/>
  <c r="G25" i="7"/>
  <c r="I24" i="7"/>
  <c r="G24" i="7"/>
  <c r="F25" i="7"/>
  <c r="F24" i="7"/>
  <c r="D25" i="7"/>
  <c r="A25" i="7"/>
  <c r="E85" i="6"/>
  <c r="D85" i="6"/>
  <c r="E78" i="6"/>
  <c r="D78" i="6"/>
  <c r="H55" i="6"/>
  <c r="K67" i="6" s="1"/>
  <c r="D55" i="6"/>
  <c r="I67" i="6" s="1"/>
  <c r="L43" i="6"/>
  <c r="H43" i="6"/>
  <c r="D43" i="6"/>
  <c r="H53" i="6"/>
  <c r="D53" i="6"/>
  <c r="J45" i="4" l="1"/>
  <c r="AG51" i="4"/>
  <c r="G51" i="4"/>
  <c r="U50" i="4"/>
  <c r="Y51" i="4"/>
  <c r="L53" i="4"/>
  <c r="D48" i="4"/>
  <c r="H45" i="4"/>
  <c r="H53" i="4"/>
  <c r="N50" i="4"/>
  <c r="Y50" i="4"/>
  <c r="AC51" i="4"/>
  <c r="AG50" i="4"/>
  <c r="AK51" i="4"/>
  <c r="AO53" i="4"/>
  <c r="AC53" i="4"/>
  <c r="AK53" i="4"/>
  <c r="N45" i="4"/>
  <c r="F45" i="4"/>
  <c r="O51" i="4"/>
  <c r="J50" i="4"/>
  <c r="AC50" i="4"/>
  <c r="U53" i="4"/>
  <c r="AK50" i="4"/>
  <c r="AO51" i="4"/>
  <c r="L45" i="4"/>
  <c r="D53" i="4"/>
  <c r="K51" i="4"/>
  <c r="F50" i="4"/>
  <c r="U51" i="4"/>
  <c r="Y53" i="4"/>
  <c r="AO50" i="4"/>
  <c r="AG53" i="4"/>
  <c r="E44" i="4"/>
  <c r="M49" i="4"/>
  <c r="I49" i="4"/>
  <c r="Y49" i="4"/>
  <c r="AG49" i="4"/>
  <c r="E25" i="7"/>
  <c r="I47" i="4"/>
  <c r="M45" i="4"/>
  <c r="I45" i="4"/>
  <c r="E45" i="4"/>
  <c r="L44" i="4"/>
  <c r="H44" i="4"/>
  <c r="D49" i="4"/>
  <c r="O53" i="4"/>
  <c r="K53" i="4"/>
  <c r="G53" i="4"/>
  <c r="N51" i="4"/>
  <c r="J51" i="4"/>
  <c r="F51" i="4"/>
  <c r="M50" i="4"/>
  <c r="I50" i="4"/>
  <c r="E50" i="4"/>
  <c r="L49" i="4"/>
  <c r="H49" i="4"/>
  <c r="R49" i="4"/>
  <c r="V49" i="4"/>
  <c r="Z49" i="4"/>
  <c r="R50" i="4"/>
  <c r="V50" i="4"/>
  <c r="Z50" i="4"/>
  <c r="R51" i="4"/>
  <c r="V51" i="4"/>
  <c r="Z51" i="4"/>
  <c r="R53" i="4"/>
  <c r="V53" i="4"/>
  <c r="Z53" i="4"/>
  <c r="AF48" i="4"/>
  <c r="AH49" i="4"/>
  <c r="AL49" i="4"/>
  <c r="AP49" i="4"/>
  <c r="AH50" i="4"/>
  <c r="AL50" i="4"/>
  <c r="AP50" i="4"/>
  <c r="AH51" i="4"/>
  <c r="AL51" i="4"/>
  <c r="AP51" i="4"/>
  <c r="AH53" i="4"/>
  <c r="AL53" i="4"/>
  <c r="AP53" i="4"/>
  <c r="I44" i="4"/>
  <c r="U49" i="4"/>
  <c r="AK49" i="4"/>
  <c r="D44" i="4"/>
  <c r="O44" i="4"/>
  <c r="K44" i="4"/>
  <c r="G44" i="4"/>
  <c r="D50" i="4"/>
  <c r="N53" i="4"/>
  <c r="J53" i="4"/>
  <c r="F53" i="4"/>
  <c r="M51" i="4"/>
  <c r="I51" i="4"/>
  <c r="E51" i="4"/>
  <c r="L50" i="4"/>
  <c r="H50" i="4"/>
  <c r="O49" i="4"/>
  <c r="K49" i="4"/>
  <c r="G49" i="4"/>
  <c r="S49" i="4"/>
  <c r="W49" i="4"/>
  <c r="AA49" i="4"/>
  <c r="S50" i="4"/>
  <c r="W50" i="4"/>
  <c r="AA50" i="4"/>
  <c r="S51" i="4"/>
  <c r="W51" i="4"/>
  <c r="AA51" i="4"/>
  <c r="S53" i="4"/>
  <c r="W53" i="4"/>
  <c r="AA53" i="4"/>
  <c r="AI49" i="4"/>
  <c r="AM49" i="4"/>
  <c r="AQ49" i="4"/>
  <c r="AI50" i="4"/>
  <c r="AM50" i="4"/>
  <c r="AQ50" i="4"/>
  <c r="AI51" i="4"/>
  <c r="AM51" i="4"/>
  <c r="AQ51" i="4"/>
  <c r="AI53" i="4"/>
  <c r="AM53" i="4"/>
  <c r="AQ53" i="4"/>
  <c r="M44" i="4"/>
  <c r="E49" i="4"/>
  <c r="AC49" i="4"/>
  <c r="AO49" i="4"/>
  <c r="D45" i="4"/>
  <c r="O45" i="4"/>
  <c r="K45" i="4"/>
  <c r="N44" i="4"/>
  <c r="J44" i="4"/>
  <c r="D51" i="4"/>
  <c r="M53" i="4"/>
  <c r="I53" i="4"/>
  <c r="E53" i="4"/>
  <c r="L51" i="4"/>
  <c r="H51" i="4"/>
  <c r="O50" i="4"/>
  <c r="K50" i="4"/>
  <c r="G50" i="4"/>
  <c r="N49" i="4"/>
  <c r="J49" i="4"/>
  <c r="F49" i="4"/>
  <c r="T49" i="4"/>
  <c r="X49" i="4"/>
  <c r="AB49" i="4"/>
  <c r="T50" i="4"/>
  <c r="X50" i="4"/>
  <c r="AB50" i="4"/>
  <c r="T51" i="4"/>
  <c r="X51" i="4"/>
  <c r="AB51" i="4"/>
  <c r="T53" i="4"/>
  <c r="X53" i="4"/>
  <c r="AB53" i="4"/>
  <c r="AF49" i="4"/>
  <c r="AJ49" i="4"/>
  <c r="AF50" i="4"/>
  <c r="AJ50" i="4"/>
  <c r="AF51" i="4"/>
  <c r="AJ51" i="4"/>
  <c r="AF53" i="4"/>
  <c r="AJ53" i="4"/>
  <c r="I81" i="6"/>
  <c r="K81" i="6"/>
  <c r="K74" i="6"/>
  <c r="I74" i="6"/>
  <c r="AG10" i="4" l="1"/>
  <c r="AH10" i="4"/>
  <c r="AI10" i="4"/>
  <c r="AJ10" i="4"/>
  <c r="AK10" i="4"/>
  <c r="AL10" i="4"/>
  <c r="AM10" i="4"/>
  <c r="AN10" i="4"/>
  <c r="AO10" i="4"/>
  <c r="AP10" i="4"/>
  <c r="AQ10" i="4"/>
  <c r="AF10" i="4"/>
  <c r="S10" i="4"/>
  <c r="T10" i="4"/>
  <c r="U10" i="4"/>
  <c r="V10" i="4"/>
  <c r="W10" i="4"/>
  <c r="X10" i="4"/>
  <c r="Y10" i="4"/>
  <c r="Z10" i="4"/>
  <c r="AA10" i="4"/>
  <c r="AB10" i="4"/>
  <c r="AC10" i="4"/>
  <c r="R10" i="4"/>
  <c r="AG6" i="4"/>
  <c r="AH6" i="4"/>
  <c r="AI6" i="4"/>
  <c r="AJ6" i="4"/>
  <c r="AK6" i="4"/>
  <c r="AL6" i="4"/>
  <c r="AM6" i="4"/>
  <c r="AN6" i="4"/>
  <c r="AO6" i="4"/>
  <c r="AP6" i="4"/>
  <c r="AQ6" i="4"/>
  <c r="AF6" i="4"/>
  <c r="S6" i="4"/>
  <c r="T6" i="4"/>
  <c r="U6" i="4"/>
  <c r="V6" i="4"/>
  <c r="W6" i="4"/>
  <c r="X6" i="4"/>
  <c r="Y6" i="4"/>
  <c r="Z6" i="4"/>
  <c r="AA6" i="4"/>
  <c r="AB6" i="4"/>
  <c r="AC6" i="4"/>
  <c r="R6" i="4"/>
  <c r="O6" i="4"/>
  <c r="A35" i="6"/>
  <c r="A34" i="6"/>
  <c r="H17" i="6"/>
  <c r="H16" i="6"/>
  <c r="H15" i="6"/>
  <c r="D16" i="6"/>
  <c r="D17" i="6"/>
  <c r="D15" i="6"/>
  <c r="G12" i="6"/>
  <c r="C12" i="6"/>
  <c r="J16" i="6"/>
  <c r="J17" i="6"/>
  <c r="J15" i="6"/>
  <c r="F16" i="6"/>
  <c r="F17" i="6"/>
  <c r="F15" i="6"/>
  <c r="A12" i="6"/>
  <c r="A13" i="6"/>
  <c r="F4" i="8"/>
  <c r="A4" i="8"/>
  <c r="S2" i="7"/>
  <c r="S1" i="7"/>
  <c r="J77" i="6" l="1"/>
  <c r="L84" i="6"/>
  <c r="J84" i="6"/>
  <c r="L77" i="6"/>
  <c r="M94" i="6"/>
  <c r="I94" i="6"/>
  <c r="E94" i="6"/>
  <c r="AP41" i="4" l="1"/>
  <c r="AL41" i="4"/>
  <c r="AH41" i="4"/>
  <c r="AI41" i="4"/>
  <c r="AO41" i="4"/>
  <c r="AK41" i="4"/>
  <c r="AG41" i="4"/>
  <c r="AM41" i="4"/>
  <c r="AN41" i="4"/>
  <c r="AJ41" i="4"/>
  <c r="AF41" i="4"/>
  <c r="AQ41" i="4"/>
  <c r="I111" i="6"/>
  <c r="M111" i="6" s="1"/>
  <c r="C111" i="6"/>
  <c r="B42" i="7" l="1"/>
  <c r="A48" i="4" l="1"/>
  <c r="A52" i="4"/>
  <c r="A47" i="4"/>
  <c r="B36" i="7"/>
  <c r="A46" i="4" s="1"/>
  <c r="R48" i="4" l="1"/>
  <c r="J48" i="4"/>
  <c r="X48" i="4"/>
  <c r="J48" i="8"/>
  <c r="L15" i="6"/>
  <c r="I5" i="8"/>
  <c r="H5" i="8"/>
  <c r="G5" i="8"/>
  <c r="F5" i="8"/>
  <c r="F1" i="8"/>
  <c r="I58" i="8"/>
  <c r="J58" i="8" s="1"/>
  <c r="D58" i="8"/>
  <c r="E58" i="8" s="1"/>
  <c r="I57" i="8"/>
  <c r="J57" i="8" s="1"/>
  <c r="D57" i="8"/>
  <c r="E57" i="8" s="1"/>
  <c r="I56" i="8"/>
  <c r="J56" i="8" s="1"/>
  <c r="D56" i="8"/>
  <c r="E56" i="8" s="1"/>
  <c r="I55" i="8"/>
  <c r="J55" i="8" s="1"/>
  <c r="D55" i="8"/>
  <c r="E55" i="8" s="1"/>
  <c r="I54" i="8"/>
  <c r="J54" i="8" s="1"/>
  <c r="D54" i="8"/>
  <c r="E54" i="8" s="1"/>
  <c r="I53" i="8"/>
  <c r="J53" i="8" s="1"/>
  <c r="D53" i="8"/>
  <c r="E53" i="8" s="1"/>
  <c r="I52" i="8"/>
  <c r="J52" i="8" s="1"/>
  <c r="D52" i="8"/>
  <c r="E52" i="8" s="1"/>
  <c r="I51" i="8"/>
  <c r="J51" i="8" s="1"/>
  <c r="D51" i="8"/>
  <c r="E51" i="8" s="1"/>
  <c r="I50" i="8"/>
  <c r="J50" i="8" s="1"/>
  <c r="D50" i="8"/>
  <c r="E50" i="8" s="1"/>
  <c r="I49" i="8"/>
  <c r="J49" i="8" s="1"/>
  <c r="D49" i="8"/>
  <c r="E49" i="8" s="1"/>
  <c r="I48" i="8"/>
  <c r="D48" i="8"/>
  <c r="E48" i="8" s="1"/>
  <c r="I47" i="8"/>
  <c r="J47" i="8" s="1"/>
  <c r="D47" i="8"/>
  <c r="E47" i="8" s="1"/>
  <c r="I46" i="8"/>
  <c r="J46" i="8" s="1"/>
  <c r="D46" i="8"/>
  <c r="E46" i="8" s="1"/>
  <c r="I45" i="8"/>
  <c r="J45" i="8" s="1"/>
  <c r="D45" i="8"/>
  <c r="E45" i="8" s="1"/>
  <c r="I44" i="8"/>
  <c r="J44" i="8" s="1"/>
  <c r="D44" i="8"/>
  <c r="E44" i="8" s="1"/>
  <c r="I43" i="8"/>
  <c r="J43" i="8" s="1"/>
  <c r="D43" i="8"/>
  <c r="E43" i="8" s="1"/>
  <c r="I42" i="8"/>
  <c r="J42" i="8" s="1"/>
  <c r="D42" i="8"/>
  <c r="E42" i="8" s="1"/>
  <c r="I41" i="8"/>
  <c r="J41" i="8" s="1"/>
  <c r="D41" i="8"/>
  <c r="E41" i="8" s="1"/>
  <c r="I40" i="8"/>
  <c r="J40" i="8" s="1"/>
  <c r="D40" i="8"/>
  <c r="E40" i="8" s="1"/>
  <c r="I39" i="8"/>
  <c r="J39" i="8" s="1"/>
  <c r="D39" i="8"/>
  <c r="E39" i="8" s="1"/>
  <c r="I38" i="8"/>
  <c r="J38" i="8" s="1"/>
  <c r="D38" i="8"/>
  <c r="E38" i="8" s="1"/>
  <c r="I37" i="8"/>
  <c r="J37" i="8" s="1"/>
  <c r="D37" i="8"/>
  <c r="E37" i="8" s="1"/>
  <c r="I36" i="8"/>
  <c r="J36" i="8" s="1"/>
  <c r="D36" i="8"/>
  <c r="E36" i="8" s="1"/>
  <c r="I35" i="8"/>
  <c r="J35" i="8" s="1"/>
  <c r="D35" i="8"/>
  <c r="E35" i="8" s="1"/>
  <c r="F34" i="8"/>
  <c r="I33" i="8"/>
  <c r="J33" i="8" s="1"/>
  <c r="D33" i="8"/>
  <c r="E33" i="8" s="1"/>
  <c r="I32" i="8"/>
  <c r="J32" i="8" s="1"/>
  <c r="D32" i="8"/>
  <c r="E32" i="8" s="1"/>
  <c r="I31" i="8"/>
  <c r="J31" i="8" s="1"/>
  <c r="D31" i="8"/>
  <c r="E31" i="8" s="1"/>
  <c r="I30" i="8"/>
  <c r="J30" i="8" s="1"/>
  <c r="D30" i="8"/>
  <c r="E30" i="8" s="1"/>
  <c r="I29" i="8"/>
  <c r="J29" i="8" s="1"/>
  <c r="D29" i="8"/>
  <c r="E29" i="8" s="1"/>
  <c r="I28" i="8"/>
  <c r="J28" i="8" s="1"/>
  <c r="D28" i="8"/>
  <c r="E28" i="8" s="1"/>
  <c r="I27" i="8"/>
  <c r="J27" i="8" s="1"/>
  <c r="D27" i="8"/>
  <c r="E27" i="8" s="1"/>
  <c r="I26" i="8"/>
  <c r="J26" i="8" s="1"/>
  <c r="D26" i="8"/>
  <c r="E26" i="8" s="1"/>
  <c r="I25" i="8"/>
  <c r="J25" i="8" s="1"/>
  <c r="D25" i="8"/>
  <c r="E25" i="8" s="1"/>
  <c r="I24" i="8"/>
  <c r="J24" i="8" s="1"/>
  <c r="D24" i="8"/>
  <c r="E24" i="8" s="1"/>
  <c r="I23" i="8"/>
  <c r="J23" i="8" s="1"/>
  <c r="D23" i="8"/>
  <c r="E23" i="8" s="1"/>
  <c r="I22" i="8"/>
  <c r="J22" i="8" s="1"/>
  <c r="D22" i="8"/>
  <c r="E22" i="8" s="1"/>
  <c r="I21" i="8"/>
  <c r="J21" i="8" s="1"/>
  <c r="D21" i="8"/>
  <c r="E21" i="8" s="1"/>
  <c r="I20" i="8"/>
  <c r="J20" i="8" s="1"/>
  <c r="D20" i="8"/>
  <c r="E20" i="8" s="1"/>
  <c r="I19" i="8"/>
  <c r="J19" i="8" s="1"/>
  <c r="D19" i="8"/>
  <c r="E19" i="8" s="1"/>
  <c r="I18" i="8"/>
  <c r="J18" i="8" s="1"/>
  <c r="D18" i="8"/>
  <c r="E18" i="8" s="1"/>
  <c r="I17" i="8"/>
  <c r="J17" i="8" s="1"/>
  <c r="D17" i="8"/>
  <c r="E17" i="8" s="1"/>
  <c r="I16" i="8"/>
  <c r="J16" i="8" s="1"/>
  <c r="D16" i="8"/>
  <c r="E16" i="8" s="1"/>
  <c r="I15" i="8"/>
  <c r="J15" i="8" s="1"/>
  <c r="D15" i="8"/>
  <c r="E15" i="8" s="1"/>
  <c r="I14" i="8"/>
  <c r="J14" i="8" s="1"/>
  <c r="D14" i="8"/>
  <c r="E14" i="8" s="1"/>
  <c r="I13" i="8"/>
  <c r="J13" i="8" s="1"/>
  <c r="D13" i="8"/>
  <c r="E13" i="8" s="1"/>
  <c r="I12" i="8"/>
  <c r="J12" i="8" s="1"/>
  <c r="D12" i="8"/>
  <c r="E12" i="8" s="1"/>
  <c r="I11" i="8"/>
  <c r="J11" i="8" s="1"/>
  <c r="D11" i="8"/>
  <c r="E11" i="8" s="1"/>
  <c r="I10" i="8"/>
  <c r="J10" i="8" s="1"/>
  <c r="D10" i="8"/>
  <c r="E10" i="8" s="1"/>
  <c r="I9" i="8"/>
  <c r="J9" i="8" s="1"/>
  <c r="D9" i="8"/>
  <c r="E9" i="8" s="1"/>
  <c r="I8" i="8"/>
  <c r="J8" i="8" s="1"/>
  <c r="D8" i="8"/>
  <c r="E8" i="8" s="1"/>
  <c r="I7" i="8"/>
  <c r="J7" i="8" s="1"/>
  <c r="D7" i="8"/>
  <c r="E7" i="8" s="1"/>
  <c r="F6" i="8"/>
  <c r="F2" i="8"/>
  <c r="I6" i="8" l="1"/>
  <c r="H57" i="6" s="1"/>
  <c r="D6" i="8"/>
  <c r="D57" i="6" s="1"/>
  <c r="I34" i="8"/>
  <c r="H58" i="6" s="1"/>
  <c r="E6" i="8"/>
  <c r="J34" i="8"/>
  <c r="J6" i="8"/>
  <c r="D34" i="8"/>
  <c r="D58" i="6" s="1"/>
  <c r="E34" i="8"/>
  <c r="M97" i="6" l="1"/>
  <c r="I97" i="6"/>
  <c r="E97" i="6"/>
  <c r="H90" i="6"/>
  <c r="L90" i="6" s="1"/>
  <c r="L53" i="6"/>
  <c r="M49" i="6"/>
  <c r="J49" i="6"/>
  <c r="F49" i="6"/>
  <c r="J57" i="6"/>
  <c r="F57" i="6"/>
  <c r="M45" i="6"/>
  <c r="J45" i="6"/>
  <c r="F45" i="6"/>
  <c r="M46" i="6"/>
  <c r="J46" i="6"/>
  <c r="F46" i="6"/>
  <c r="N6" i="4"/>
  <c r="M6" i="4"/>
  <c r="L6" i="4"/>
  <c r="K6" i="4"/>
  <c r="J6" i="4"/>
  <c r="I6" i="4"/>
  <c r="H6" i="4"/>
  <c r="G6" i="4"/>
  <c r="F6" i="4"/>
  <c r="E6" i="4"/>
  <c r="D6" i="4"/>
  <c r="D15" i="7" l="1"/>
  <c r="D12" i="7"/>
  <c r="C26" i="4" s="1"/>
  <c r="B10" i="9" s="1"/>
  <c r="D17" i="7"/>
  <c r="C31" i="4" s="1"/>
  <c r="B15" i="9" s="1"/>
  <c r="D11" i="7"/>
  <c r="G43" i="4"/>
  <c r="K43" i="4"/>
  <c r="O43" i="4"/>
  <c r="H43" i="4"/>
  <c r="L43" i="4"/>
  <c r="N43" i="4"/>
  <c r="E43" i="4"/>
  <c r="I43" i="4"/>
  <c r="M43" i="4"/>
  <c r="F43" i="4"/>
  <c r="J43" i="4"/>
  <c r="D43" i="4"/>
  <c r="C29" i="4" l="1"/>
  <c r="B13" i="9" s="1"/>
  <c r="AD34" i="4" l="1"/>
  <c r="AR34" i="4"/>
  <c r="AR31" i="4"/>
  <c r="AD31" i="4"/>
  <c r="AR30" i="4"/>
  <c r="AD30" i="4"/>
  <c r="AR29" i="4"/>
  <c r="AD29" i="4"/>
  <c r="AR28" i="4"/>
  <c r="AD28" i="4"/>
  <c r="AR27" i="4"/>
  <c r="AD27" i="4"/>
  <c r="B17" i="7"/>
  <c r="A31" i="4" s="1"/>
  <c r="A15" i="9" s="1"/>
  <c r="A30" i="4"/>
  <c r="A14" i="9" s="1"/>
  <c r="A29" i="4"/>
  <c r="A13" i="9" s="1"/>
  <c r="B12" i="7"/>
  <c r="A26" i="4" s="1"/>
  <c r="A10" i="9" s="1"/>
  <c r="J58" i="6" l="1"/>
  <c r="F58" i="6"/>
  <c r="D16" i="7" l="1"/>
  <c r="AI52" i="4" s="1"/>
  <c r="M52" i="4"/>
  <c r="Z52" i="4"/>
  <c r="AG52" i="4"/>
  <c r="H52" i="4"/>
  <c r="AK52" i="4"/>
  <c r="AF52" i="4"/>
  <c r="AP52" i="4"/>
  <c r="V52" i="4"/>
  <c r="AC52" i="4"/>
  <c r="L52" i="4"/>
  <c r="N52" i="4"/>
  <c r="AL52" i="4"/>
  <c r="AO52" i="4"/>
  <c r="Y52" i="4"/>
  <c r="S52" i="4"/>
  <c r="X52" i="4"/>
  <c r="U52" i="4"/>
  <c r="C71" i="4"/>
  <c r="P75" i="4"/>
  <c r="AT75" i="4" s="1"/>
  <c r="C64" i="4"/>
  <c r="C60" i="4"/>
  <c r="C70" i="4" s="1"/>
  <c r="C61" i="4"/>
  <c r="C78" i="4"/>
  <c r="C69" i="4"/>
  <c r="C59" i="4"/>
  <c r="C39" i="4"/>
  <c r="C24" i="4"/>
  <c r="C20" i="4"/>
  <c r="C13" i="4"/>
  <c r="A42" i="4"/>
  <c r="M96" i="6"/>
  <c r="M92" i="6"/>
  <c r="I96" i="6"/>
  <c r="I92" i="6"/>
  <c r="E96" i="6"/>
  <c r="E92" i="6"/>
  <c r="M113" i="6"/>
  <c r="M110" i="6"/>
  <c r="M107" i="6"/>
  <c r="I113" i="6"/>
  <c r="I110" i="6"/>
  <c r="I107" i="6"/>
  <c r="A80" i="6"/>
  <c r="A73" i="6"/>
  <c r="A66" i="6"/>
  <c r="J51" i="6"/>
  <c r="L89" i="6"/>
  <c r="H89" i="6"/>
  <c r="D89" i="6"/>
  <c r="M52" i="6"/>
  <c r="M51" i="6"/>
  <c r="M50" i="6"/>
  <c r="M47" i="6"/>
  <c r="M48" i="6"/>
  <c r="J52" i="6"/>
  <c r="J50" i="6"/>
  <c r="J47" i="6"/>
  <c r="J48" i="6"/>
  <c r="G21" i="6"/>
  <c r="N21" i="6" s="1"/>
  <c r="E21" i="6"/>
  <c r="M21" i="6" s="1"/>
  <c r="C21" i="6"/>
  <c r="L21" i="6" s="1"/>
  <c r="E107" i="6"/>
  <c r="AB52" i="4" l="1"/>
  <c r="AM52" i="4"/>
  <c r="AN52" i="4"/>
  <c r="W52" i="4"/>
  <c r="I52" i="4"/>
  <c r="J52" i="4"/>
  <c r="G52" i="4"/>
  <c r="T52" i="4"/>
  <c r="F52" i="4"/>
  <c r="AH52" i="4"/>
  <c r="AJ52" i="4"/>
  <c r="R52" i="4"/>
  <c r="AQ52" i="4"/>
  <c r="O52" i="4"/>
  <c r="AA52" i="4"/>
  <c r="E52" i="4"/>
  <c r="K52" i="4"/>
  <c r="AP42" i="4"/>
  <c r="AL42" i="4"/>
  <c r="AH42" i="4"/>
  <c r="AQ42" i="4"/>
  <c r="AI42" i="4"/>
  <c r="AO42" i="4"/>
  <c r="AK42" i="4"/>
  <c r="AG42" i="4"/>
  <c r="AN42" i="4"/>
  <c r="AJ42" i="4"/>
  <c r="AF42" i="4"/>
  <c r="AM42" i="4"/>
  <c r="C30" i="4"/>
  <c r="B14" i="9" s="1"/>
  <c r="D52" i="4"/>
  <c r="C72" i="4"/>
  <c r="C62" i="4"/>
  <c r="J53" i="6"/>
  <c r="M53" i="6"/>
  <c r="P30" i="4" l="1"/>
  <c r="AT30" i="4" s="1"/>
  <c r="C66" i="4"/>
  <c r="L16" i="6" l="1"/>
  <c r="L17" i="6"/>
  <c r="A17" i="6"/>
  <c r="A16" i="6"/>
  <c r="A15" i="6"/>
  <c r="Q3" i="7"/>
  <c r="D3" i="4" s="1"/>
  <c r="Q2" i="7"/>
  <c r="Q1" i="7"/>
  <c r="R3" i="4" l="1"/>
  <c r="AF3" i="4" s="1"/>
  <c r="A1" i="10"/>
  <c r="E71" i="6" l="1"/>
  <c r="E110" i="6" l="1"/>
  <c r="J23" i="6"/>
  <c r="J24" i="6"/>
  <c r="J25" i="6"/>
  <c r="J26" i="6"/>
  <c r="J27" i="6"/>
  <c r="J28" i="6"/>
  <c r="J29" i="6"/>
  <c r="J30" i="6"/>
  <c r="J31" i="6"/>
  <c r="J32" i="6"/>
  <c r="J33" i="6"/>
  <c r="J22" i="6"/>
  <c r="A8" i="7" l="1"/>
  <c r="AN15" i="4" l="1"/>
  <c r="K15" i="4"/>
  <c r="AK15" i="4"/>
  <c r="T15" i="4"/>
  <c r="AL15" i="4"/>
  <c r="E15" i="4"/>
  <c r="AI15" i="4"/>
  <c r="G15" i="4"/>
  <c r="L15" i="4"/>
  <c r="Z15" i="4"/>
  <c r="S15" i="4"/>
  <c r="N15" i="4"/>
  <c r="X15" i="4"/>
  <c r="AP15" i="4"/>
  <c r="U15" i="4"/>
  <c r="AM15" i="4"/>
  <c r="AG15" i="4"/>
  <c r="H15" i="4"/>
  <c r="AF15" i="4"/>
  <c r="W15" i="4"/>
  <c r="J15" i="4"/>
  <c r="AB15" i="4"/>
  <c r="M15" i="4"/>
  <c r="Y15" i="4"/>
  <c r="AQ15" i="4"/>
  <c r="AO15" i="4"/>
  <c r="R15" i="4"/>
  <c r="AJ15" i="4"/>
  <c r="AA15" i="4"/>
  <c r="F15" i="4"/>
  <c r="AH15" i="4"/>
  <c r="I15" i="4"/>
  <c r="AC15" i="4"/>
  <c r="O15" i="4"/>
  <c r="D15" i="4"/>
  <c r="V15" i="4"/>
  <c r="F52" i="6" l="1"/>
  <c r="D20" i="7" l="1"/>
  <c r="C34" i="4" s="1"/>
  <c r="B18" i="9" s="1"/>
  <c r="Q20" i="4"/>
  <c r="P20" i="4"/>
  <c r="AE20" i="4"/>
  <c r="AD20" i="4"/>
  <c r="AS20" i="4"/>
  <c r="AR20" i="4"/>
  <c r="A64" i="4"/>
  <c r="A67" i="4"/>
  <c r="A63" i="4"/>
  <c r="A61" i="4"/>
  <c r="A22" i="4"/>
  <c r="A35" i="4" s="1"/>
  <c r="A57" i="4" s="1"/>
  <c r="D12" i="4"/>
  <c r="R12" i="4"/>
  <c r="AF12" i="4"/>
  <c r="B43" i="7"/>
  <c r="A53" i="4" s="1"/>
  <c r="B41" i="7"/>
  <c r="A51" i="4" s="1"/>
  <c r="B40" i="7"/>
  <c r="B44" i="7"/>
  <c r="B39" i="7"/>
  <c r="A27" i="7"/>
  <c r="D24" i="7"/>
  <c r="A24" i="7"/>
  <c r="B18" i="7"/>
  <c r="A32" i="4" s="1"/>
  <c r="A16" i="9" s="1"/>
  <c r="B19" i="7"/>
  <c r="A33" i="4" s="1"/>
  <c r="A17" i="9" s="1"/>
  <c r="B20" i="7"/>
  <c r="A34" i="4" s="1"/>
  <c r="A18" i="9" s="1"/>
  <c r="B21" i="7"/>
  <c r="B14" i="7"/>
  <c r="A28" i="4" s="1"/>
  <c r="A12" i="9" s="1"/>
  <c r="B13" i="7"/>
  <c r="A27" i="4" s="1"/>
  <c r="A11" i="9" s="1"/>
  <c r="A10" i="7"/>
  <c r="A6" i="7"/>
  <c r="P34" i="4" l="1"/>
  <c r="AT34" i="4" s="1"/>
  <c r="F53" i="6"/>
  <c r="B11" i="7"/>
  <c r="A25" i="4" s="1"/>
  <c r="A9" i="9" s="1"/>
  <c r="C25" i="4" l="1"/>
  <c r="B9" i="9" s="1"/>
  <c r="B37" i="4" l="1"/>
  <c r="AT20" i="4"/>
  <c r="P29" i="4" l="1"/>
  <c r="AT29" i="4" s="1"/>
  <c r="D42" i="6" l="1"/>
  <c r="A55" i="4" l="1"/>
  <c r="D71" i="6" l="1"/>
  <c r="E113" i="6"/>
  <c r="B34" i="7" l="1"/>
  <c r="B35" i="7"/>
  <c r="B33" i="7"/>
  <c r="F48" i="6" l="1"/>
  <c r="D14" i="7" s="1"/>
  <c r="C28" i="4" s="1"/>
  <c r="B12" i="9" s="1"/>
  <c r="F47" i="6"/>
  <c r="D13" i="7" s="1"/>
  <c r="C27" i="4" s="1"/>
  <c r="B11" i="9" s="1"/>
  <c r="P31" i="4"/>
  <c r="AT31" i="4" s="1"/>
  <c r="F50" i="6"/>
  <c r="D18" i="7" s="1"/>
  <c r="C32" i="4" s="1"/>
  <c r="B16" i="9" s="1"/>
  <c r="F51" i="6"/>
  <c r="D19" i="7" s="1"/>
  <c r="C33" i="4" s="1"/>
  <c r="B17" i="9" s="1"/>
  <c r="G70" i="6"/>
  <c r="L70" i="6" l="1"/>
  <c r="K70" i="6" s="1"/>
  <c r="R70" i="6" s="1"/>
  <c r="I77" i="6"/>
  <c r="Q77" i="6" s="1"/>
  <c r="I84" i="6"/>
  <c r="Q84" i="6" s="1"/>
  <c r="K84" i="6"/>
  <c r="R84" i="6" s="1"/>
  <c r="K77" i="6"/>
  <c r="R77" i="6" s="1"/>
  <c r="J70" i="6"/>
  <c r="I70" i="6" s="1"/>
  <c r="Q70" i="6" s="1"/>
  <c r="P26" i="4"/>
  <c r="D21" i="7"/>
  <c r="P28" i="4"/>
  <c r="AT28" i="4" s="1"/>
  <c r="P33" i="4"/>
  <c r="P32" i="4"/>
  <c r="P27" i="4"/>
  <c r="AT27" i="4" s="1"/>
  <c r="P25" i="4"/>
  <c r="S3" i="6"/>
  <c r="J83" i="6" l="1"/>
  <c r="G76" i="6"/>
  <c r="J56" i="6"/>
  <c r="E24" i="7"/>
  <c r="L76" i="6"/>
  <c r="L83" i="6"/>
  <c r="G83" i="6"/>
  <c r="J69" i="6"/>
  <c r="F56" i="6"/>
  <c r="J76" i="6"/>
  <c r="E7" i="7"/>
  <c r="I7" i="7"/>
  <c r="H14" i="6"/>
  <c r="J13" i="6"/>
  <c r="D14" i="6"/>
  <c r="F13" i="6"/>
  <c r="L14" i="6"/>
  <c r="F6" i="9"/>
  <c r="F2" i="9"/>
  <c r="A3" i="9"/>
  <c r="B51" i="4"/>
  <c r="B46" i="4"/>
  <c r="J42" i="7"/>
  <c r="F4" i="9"/>
  <c r="B53" i="4"/>
  <c r="B52" i="4"/>
  <c r="J37" i="7"/>
  <c r="F5" i="9"/>
  <c r="A5" i="9"/>
  <c r="E5" i="8"/>
  <c r="J5" i="8" s="1"/>
  <c r="B48" i="4"/>
  <c r="J36" i="7"/>
  <c r="A4" i="9"/>
  <c r="F3" i="9"/>
  <c r="A2" i="9"/>
  <c r="B47" i="4"/>
  <c r="G69" i="6"/>
  <c r="B21" i="4"/>
  <c r="B15" i="4"/>
  <c r="B17" i="4"/>
  <c r="L69" i="6"/>
  <c r="E90" i="6"/>
  <c r="I90" i="6" s="1"/>
  <c r="M90" i="6" s="1"/>
  <c r="B34" i="4"/>
  <c r="B30" i="4"/>
  <c r="B31" i="4"/>
  <c r="B27" i="4"/>
  <c r="J16" i="7"/>
  <c r="B28" i="4"/>
  <c r="B29" i="4"/>
  <c r="J17" i="7"/>
  <c r="J15" i="7"/>
  <c r="B42" i="4"/>
  <c r="J44" i="6"/>
  <c r="J32" i="7"/>
  <c r="M44" i="6"/>
  <c r="H54" i="7"/>
  <c r="H52" i="7"/>
  <c r="A7" i="7"/>
  <c r="F44" i="6"/>
  <c r="A84" i="4"/>
  <c r="H50" i="7"/>
  <c r="J33" i="7"/>
  <c r="J39" i="7"/>
  <c r="J46" i="7"/>
  <c r="J29" i="7"/>
  <c r="G7" i="7"/>
  <c r="A85" i="4"/>
  <c r="J34" i="7"/>
  <c r="J40" i="7"/>
  <c r="J41" i="7"/>
  <c r="A83" i="4"/>
  <c r="J30" i="7"/>
  <c r="J35" i="7"/>
  <c r="J44" i="7"/>
  <c r="J43" i="7"/>
  <c r="A87" i="4"/>
  <c r="A82" i="4"/>
  <c r="J31" i="7"/>
  <c r="J38" i="7"/>
  <c r="J45" i="7"/>
  <c r="J47" i="7"/>
  <c r="J11" i="7"/>
  <c r="B22" i="4"/>
  <c r="B55" i="4"/>
  <c r="Q85" i="6"/>
  <c r="I85" i="6" s="1"/>
  <c r="J85" i="6" s="1"/>
  <c r="Q78" i="6"/>
  <c r="I78" i="6" s="1"/>
  <c r="J78" i="6" s="1"/>
  <c r="R78" i="6"/>
  <c r="K78" i="6" s="1"/>
  <c r="L78" i="6" s="1"/>
  <c r="R85" i="6"/>
  <c r="K85" i="6" s="1"/>
  <c r="L85" i="6" s="1"/>
  <c r="Q71" i="6"/>
  <c r="I71" i="6" s="1"/>
  <c r="J71" i="6" s="1"/>
  <c r="C35" i="4"/>
  <c r="C74" i="4" s="1"/>
  <c r="J12" i="7"/>
  <c r="J13" i="7"/>
  <c r="J20" i="7"/>
  <c r="J18" i="7"/>
  <c r="J19" i="7"/>
  <c r="J21" i="7"/>
  <c r="J14" i="7"/>
  <c r="AR26" i="4"/>
  <c r="AD26" i="4"/>
  <c r="R71" i="6" l="1"/>
  <c r="C63" i="4"/>
  <c r="C65" i="4" s="1"/>
  <c r="C73" i="4"/>
  <c r="C76" i="4" s="1"/>
  <c r="D75" i="4" s="1"/>
  <c r="AT24" i="4"/>
  <c r="AS24" i="4"/>
  <c r="AR24" i="4"/>
  <c r="AD24" i="4"/>
  <c r="AE24" i="4"/>
  <c r="Q24" i="4"/>
  <c r="P24" i="4"/>
  <c r="Q39" i="4"/>
  <c r="P39" i="4"/>
  <c r="Q59" i="4"/>
  <c r="P59" i="4"/>
  <c r="Q69" i="4"/>
  <c r="P69" i="4"/>
  <c r="K71" i="6" l="1"/>
  <c r="L71" i="6" s="1"/>
  <c r="L7" i="7"/>
  <c r="B80" i="4" l="1"/>
  <c r="AO80" i="4" s="1"/>
  <c r="J80" i="4" l="1"/>
  <c r="X80" i="4"/>
  <c r="AB80" i="4"/>
  <c r="N80" i="4"/>
  <c r="F80" i="4"/>
  <c r="AH80" i="4"/>
  <c r="T80" i="4"/>
  <c r="AL80" i="4"/>
  <c r="M80" i="4"/>
  <c r="I80" i="4"/>
  <c r="E80" i="4"/>
  <c r="U80" i="4"/>
  <c r="Y80" i="4"/>
  <c r="AC80" i="4"/>
  <c r="AI80" i="4"/>
  <c r="AM80" i="4"/>
  <c r="AQ80" i="4"/>
  <c r="D80" i="4"/>
  <c r="L80" i="4"/>
  <c r="H80" i="4"/>
  <c r="R80" i="4"/>
  <c r="V80" i="4"/>
  <c r="Z80" i="4"/>
  <c r="AF80" i="4"/>
  <c r="AJ80" i="4"/>
  <c r="AN80" i="4"/>
  <c r="AP80" i="4"/>
  <c r="O80" i="4"/>
  <c r="K80" i="4"/>
  <c r="G80" i="4"/>
  <c r="S80" i="4"/>
  <c r="W80" i="4"/>
  <c r="AA80" i="4"/>
  <c r="AG80" i="4"/>
  <c r="AK80" i="4"/>
  <c r="AG8" i="4" l="1"/>
  <c r="AH8" i="4"/>
  <c r="AI8" i="4"/>
  <c r="AJ8" i="4"/>
  <c r="AK8" i="4"/>
  <c r="AL8" i="4"/>
  <c r="AM8" i="4"/>
  <c r="AN8" i="4"/>
  <c r="AO8" i="4"/>
  <c r="AP8" i="4"/>
  <c r="AQ8" i="4"/>
  <c r="AG9" i="4"/>
  <c r="AG43" i="4" s="1"/>
  <c r="AH9" i="4"/>
  <c r="AH43" i="4" s="1"/>
  <c r="AI9" i="4"/>
  <c r="AI43" i="4" s="1"/>
  <c r="AJ9" i="4"/>
  <c r="AJ43" i="4" s="1"/>
  <c r="AK9" i="4"/>
  <c r="AK43" i="4" s="1"/>
  <c r="AL9" i="4"/>
  <c r="AL43" i="4" s="1"/>
  <c r="AM9" i="4"/>
  <c r="AM43" i="4" s="1"/>
  <c r="AN9" i="4"/>
  <c r="AN43" i="4" s="1"/>
  <c r="AO9" i="4"/>
  <c r="AO43" i="4" s="1"/>
  <c r="AP9" i="4"/>
  <c r="AP43" i="4" s="1"/>
  <c r="AQ9" i="4"/>
  <c r="AQ43" i="4" s="1"/>
  <c r="AF9" i="4"/>
  <c r="AF43" i="4" s="1"/>
  <c r="AF8" i="4"/>
  <c r="S8" i="4"/>
  <c r="T8" i="4"/>
  <c r="U8" i="4"/>
  <c r="V8" i="4"/>
  <c r="W8" i="4"/>
  <c r="X8" i="4"/>
  <c r="Y8" i="4"/>
  <c r="Z8" i="4"/>
  <c r="AA8" i="4"/>
  <c r="AB8" i="4"/>
  <c r="AC8" i="4"/>
  <c r="S9" i="4"/>
  <c r="S43" i="4" s="1"/>
  <c r="T9" i="4"/>
  <c r="T43" i="4" s="1"/>
  <c r="U9" i="4"/>
  <c r="U43" i="4" s="1"/>
  <c r="V9" i="4"/>
  <c r="V43" i="4" s="1"/>
  <c r="W9" i="4"/>
  <c r="W43" i="4" s="1"/>
  <c r="X9" i="4"/>
  <c r="X43" i="4" s="1"/>
  <c r="Y9" i="4"/>
  <c r="Y43" i="4" s="1"/>
  <c r="Z9" i="4"/>
  <c r="Z43" i="4" s="1"/>
  <c r="AA9" i="4"/>
  <c r="AA43" i="4" s="1"/>
  <c r="AB9" i="4"/>
  <c r="AB43" i="4" s="1"/>
  <c r="AC9" i="4"/>
  <c r="AC43" i="4" s="1"/>
  <c r="R9" i="4"/>
  <c r="R43" i="4" s="1"/>
  <c r="R8" i="4"/>
  <c r="A54" i="4" l="1"/>
  <c r="A41" i="4"/>
  <c r="A40" i="4"/>
  <c r="D2" i="4"/>
  <c r="D7" i="4" s="1"/>
  <c r="D17" i="4" s="1"/>
  <c r="D21" i="4" s="1"/>
  <c r="A56" i="4"/>
  <c r="A50" i="4"/>
  <c r="A49" i="4"/>
  <c r="A45" i="4"/>
  <c r="A44" i="4"/>
  <c r="A43" i="4"/>
  <c r="AR33" i="4"/>
  <c r="AD33" i="4"/>
  <c r="D3" i="7"/>
  <c r="S5" i="6"/>
  <c r="S4" i="6"/>
  <c r="AD25" i="4"/>
  <c r="AR25" i="4"/>
  <c r="AT39" i="4"/>
  <c r="AT59" i="4" s="1"/>
  <c r="AT69" i="4" s="1"/>
  <c r="AS39" i="4"/>
  <c r="AS59" i="4" s="1"/>
  <c r="AS69" i="4" s="1"/>
  <c r="AR39" i="4"/>
  <c r="AR59" i="4" s="1"/>
  <c r="AR69" i="4" s="1"/>
  <c r="AE39" i="4"/>
  <c r="AE59" i="4" s="1"/>
  <c r="AE69" i="4" s="1"/>
  <c r="AD39" i="4"/>
  <c r="AD59" i="4" s="1"/>
  <c r="AD69" i="4" s="1"/>
  <c r="D1" i="4"/>
  <c r="B26" i="4" l="1"/>
  <c r="B45" i="4"/>
  <c r="AT26" i="4"/>
  <c r="B73" i="4"/>
  <c r="D5" i="4"/>
  <c r="B60" i="4"/>
  <c r="B64" i="4"/>
  <c r="B35" i="4"/>
  <c r="B71" i="4"/>
  <c r="B76" i="4"/>
  <c r="B18" i="4"/>
  <c r="B41" i="4"/>
  <c r="B61" i="4"/>
  <c r="B65" i="4"/>
  <c r="B72" i="4"/>
  <c r="B49" i="4"/>
  <c r="B50" i="4"/>
  <c r="B32" i="4"/>
  <c r="B43" i="4"/>
  <c r="B62" i="4"/>
  <c r="B66" i="4"/>
  <c r="B74" i="4"/>
  <c r="B56" i="4"/>
  <c r="B67" i="4"/>
  <c r="C67" i="4" s="1"/>
  <c r="B25" i="4"/>
  <c r="B44" i="4"/>
  <c r="B57" i="4"/>
  <c r="B63" i="4"/>
  <c r="B70" i="4"/>
  <c r="B75" i="4"/>
  <c r="B33" i="4"/>
  <c r="B40" i="4"/>
  <c r="D2" i="7"/>
  <c r="AT33" i="4"/>
  <c r="B54" i="4"/>
  <c r="L8" i="7"/>
  <c r="E2" i="4"/>
  <c r="E7" i="4" s="1"/>
  <c r="E17" i="4" l="1"/>
  <c r="D78" i="4"/>
  <c r="D20" i="4"/>
  <c r="D69" i="4"/>
  <c r="D39" i="4"/>
  <c r="D24" i="4"/>
  <c r="D59" i="4"/>
  <c r="D13" i="4"/>
  <c r="G1" i="9" s="1"/>
  <c r="P43" i="4"/>
  <c r="Q43" i="4" s="1"/>
  <c r="G33" i="7" s="1"/>
  <c r="AR43" i="4"/>
  <c r="AS43" i="4" s="1"/>
  <c r="AD43" i="4"/>
  <c r="AE43" i="4" s="1"/>
  <c r="F2" i="4"/>
  <c r="F7" i="4" s="1"/>
  <c r="E5" i="4"/>
  <c r="AT25" i="4"/>
  <c r="D35" i="4"/>
  <c r="D74" i="4" s="1"/>
  <c r="E14" i="4" l="1"/>
  <c r="E21" i="4"/>
  <c r="E22" i="4" s="1"/>
  <c r="F17" i="4"/>
  <c r="D42" i="4"/>
  <c r="D41" i="4"/>
  <c r="E18" i="4"/>
  <c r="E40" i="4" s="1"/>
  <c r="E20" i="4"/>
  <c r="AT43" i="4"/>
  <c r="E24" i="4"/>
  <c r="E13" i="4"/>
  <c r="H1" i="9" s="1"/>
  <c r="E78" i="4"/>
  <c r="E59" i="4"/>
  <c r="E69" i="4"/>
  <c r="E39" i="4"/>
  <c r="G2" i="4"/>
  <c r="G7" i="4" s="1"/>
  <c r="F5" i="4"/>
  <c r="D73" i="4"/>
  <c r="D63" i="4"/>
  <c r="F14" i="4" l="1"/>
  <c r="F21" i="4"/>
  <c r="F22" i="4" s="1"/>
  <c r="E56" i="4"/>
  <c r="E54" i="4"/>
  <c r="E46" i="4"/>
  <c r="H4" i="9"/>
  <c r="E55" i="4"/>
  <c r="G17" i="4"/>
  <c r="H2" i="9"/>
  <c r="E42" i="4"/>
  <c r="E41" i="4"/>
  <c r="F18" i="4"/>
  <c r="F40" i="4" s="1"/>
  <c r="F20" i="4"/>
  <c r="E61" i="4"/>
  <c r="G5" i="4"/>
  <c r="H2" i="4"/>
  <c r="H7" i="4" s="1"/>
  <c r="F69" i="4"/>
  <c r="F78" i="4"/>
  <c r="F39" i="4"/>
  <c r="F59" i="4"/>
  <c r="F13" i="4"/>
  <c r="I1" i="9" s="1"/>
  <c r="F24" i="4"/>
  <c r="G14" i="4" l="1"/>
  <c r="G21" i="4"/>
  <c r="G22" i="4" s="1"/>
  <c r="F56" i="4"/>
  <c r="F54" i="4"/>
  <c r="F46" i="4"/>
  <c r="I4" i="9"/>
  <c r="F55" i="4"/>
  <c r="H17" i="4"/>
  <c r="I2" i="9"/>
  <c r="F42" i="4"/>
  <c r="F41" i="4"/>
  <c r="G18" i="4"/>
  <c r="G40" i="4" s="1"/>
  <c r="E57" i="4"/>
  <c r="H5" i="9" s="1"/>
  <c r="H3" i="9" s="1"/>
  <c r="H6" i="9" s="1"/>
  <c r="G20" i="4"/>
  <c r="I2" i="4"/>
  <c r="I7" i="4" s="1"/>
  <c r="H5" i="4"/>
  <c r="G78" i="4"/>
  <c r="G39" i="4"/>
  <c r="G59" i="4"/>
  <c r="G24" i="4"/>
  <c r="G13" i="4"/>
  <c r="J1" i="9" s="1"/>
  <c r="G69" i="4"/>
  <c r="H14" i="4" l="1"/>
  <c r="H21" i="4"/>
  <c r="H22" i="4" s="1"/>
  <c r="G56" i="4"/>
  <c r="G54" i="4"/>
  <c r="G46" i="4"/>
  <c r="J4" i="9"/>
  <c r="G55" i="4"/>
  <c r="I17" i="4"/>
  <c r="J2" i="9"/>
  <c r="G42" i="4"/>
  <c r="G41" i="4"/>
  <c r="H18" i="4"/>
  <c r="H40" i="4" s="1"/>
  <c r="F57" i="4"/>
  <c r="I5" i="9" s="1"/>
  <c r="I3" i="9" s="1"/>
  <c r="I6" i="9" s="1"/>
  <c r="H20" i="4"/>
  <c r="F61" i="4"/>
  <c r="E60" i="4"/>
  <c r="E70" i="4" s="1"/>
  <c r="F60" i="4"/>
  <c r="H24" i="4"/>
  <c r="H78" i="4"/>
  <c r="H39" i="4"/>
  <c r="H13" i="4"/>
  <c r="K1" i="9" s="1"/>
  <c r="H59" i="4"/>
  <c r="H69" i="4"/>
  <c r="J2" i="4"/>
  <c r="J7" i="4" s="1"/>
  <c r="I5" i="4"/>
  <c r="I14" i="4" l="1"/>
  <c r="I21" i="4"/>
  <c r="I22" i="4" s="1"/>
  <c r="H54" i="4"/>
  <c r="H46" i="4"/>
  <c r="H56" i="4"/>
  <c r="K4" i="9"/>
  <c r="H55" i="4"/>
  <c r="J17" i="4"/>
  <c r="K2" i="9"/>
  <c r="H42" i="4"/>
  <c r="H41" i="4"/>
  <c r="I18" i="4"/>
  <c r="I40" i="4" s="1"/>
  <c r="G57" i="4"/>
  <c r="J5" i="9" s="1"/>
  <c r="J3" i="9" s="1"/>
  <c r="J6" i="9" s="1"/>
  <c r="I20" i="4"/>
  <c r="G61" i="4"/>
  <c r="G60" i="4"/>
  <c r="G70" i="4" s="1"/>
  <c r="E62" i="4"/>
  <c r="F70" i="4"/>
  <c r="F62" i="4"/>
  <c r="I78" i="4"/>
  <c r="I24" i="4"/>
  <c r="I39" i="4"/>
  <c r="I13" i="4"/>
  <c r="L1" i="9" s="1"/>
  <c r="I59" i="4"/>
  <c r="I69" i="4"/>
  <c r="K2" i="4"/>
  <c r="K7" i="4" s="1"/>
  <c r="J5" i="4"/>
  <c r="J14" i="4" l="1"/>
  <c r="J21" i="4"/>
  <c r="J22" i="4" s="1"/>
  <c r="I56" i="4"/>
  <c r="I54" i="4"/>
  <c r="I46" i="4"/>
  <c r="L4" i="9"/>
  <c r="I55" i="4"/>
  <c r="K17" i="4"/>
  <c r="L2" i="9"/>
  <c r="I42" i="4"/>
  <c r="I41" i="4"/>
  <c r="J18" i="4"/>
  <c r="J40" i="4" s="1"/>
  <c r="H57" i="4"/>
  <c r="K5" i="9" s="1"/>
  <c r="K3" i="9" s="1"/>
  <c r="K6" i="9" s="1"/>
  <c r="J20" i="4"/>
  <c r="H61" i="4"/>
  <c r="G62" i="4"/>
  <c r="H60" i="4"/>
  <c r="H70" i="4" s="1"/>
  <c r="J24" i="4"/>
  <c r="J78" i="4"/>
  <c r="J13" i="4"/>
  <c r="M1" i="9" s="1"/>
  <c r="J69" i="4"/>
  <c r="J39" i="4"/>
  <c r="J59" i="4"/>
  <c r="K5" i="4"/>
  <c r="L2" i="4"/>
  <c r="L7" i="4" s="1"/>
  <c r="K14" i="4" l="1"/>
  <c r="K21" i="4"/>
  <c r="K22" i="4" s="1"/>
  <c r="J56" i="4"/>
  <c r="J54" i="4"/>
  <c r="J46" i="4"/>
  <c r="M4" i="9"/>
  <c r="J55" i="4"/>
  <c r="L17" i="4"/>
  <c r="M2" i="9"/>
  <c r="J42" i="4"/>
  <c r="J41" i="4"/>
  <c r="K18" i="4"/>
  <c r="K40" i="4" s="1"/>
  <c r="I57" i="4"/>
  <c r="L5" i="9" s="1"/>
  <c r="L3" i="9" s="1"/>
  <c r="L6" i="9" s="1"/>
  <c r="K20" i="4"/>
  <c r="I61" i="4"/>
  <c r="H62" i="4"/>
  <c r="I60" i="4"/>
  <c r="I70" i="4" s="1"/>
  <c r="L5" i="4"/>
  <c r="M2" i="4"/>
  <c r="M7" i="4" s="1"/>
  <c r="K69" i="4"/>
  <c r="K24" i="4"/>
  <c r="K13" i="4"/>
  <c r="N1" i="9" s="1"/>
  <c r="K78" i="4"/>
  <c r="K39" i="4"/>
  <c r="K59" i="4"/>
  <c r="E35" i="4"/>
  <c r="E74" i="4" s="1"/>
  <c r="L14" i="4" l="1"/>
  <c r="L21" i="4"/>
  <c r="L22" i="4" s="1"/>
  <c r="K54" i="4"/>
  <c r="K46" i="4"/>
  <c r="K56" i="4"/>
  <c r="N4" i="9"/>
  <c r="K55" i="4"/>
  <c r="M17" i="4"/>
  <c r="N2" i="9"/>
  <c r="K42" i="4"/>
  <c r="K41" i="4"/>
  <c r="L18" i="4"/>
  <c r="L40" i="4" s="1"/>
  <c r="J57" i="4"/>
  <c r="M5" i="9" s="1"/>
  <c r="M3" i="9" s="1"/>
  <c r="M6" i="9" s="1"/>
  <c r="L20" i="4"/>
  <c r="J61" i="4"/>
  <c r="I62" i="4"/>
  <c r="J60" i="4"/>
  <c r="J70" i="4" s="1"/>
  <c r="N2" i="4"/>
  <c r="N7" i="4" s="1"/>
  <c r="M5" i="4"/>
  <c r="L78" i="4"/>
  <c r="L39" i="4"/>
  <c r="L13" i="4"/>
  <c r="O1" i="9" s="1"/>
  <c r="L59" i="4"/>
  <c r="L69" i="4"/>
  <c r="L24" i="4"/>
  <c r="E73" i="4"/>
  <c r="E63" i="4"/>
  <c r="M14" i="4" l="1"/>
  <c r="M21" i="4"/>
  <c r="M22" i="4" s="1"/>
  <c r="O4" i="9"/>
  <c r="L55" i="4"/>
  <c r="L54" i="4"/>
  <c r="L46" i="4"/>
  <c r="L56" i="4"/>
  <c r="N17" i="4"/>
  <c r="O2" i="9"/>
  <c r="L42" i="4"/>
  <c r="L41" i="4"/>
  <c r="M18" i="4"/>
  <c r="M40" i="4" s="1"/>
  <c r="K57" i="4"/>
  <c r="N5" i="9" s="1"/>
  <c r="N3" i="9" s="1"/>
  <c r="N6" i="9" s="1"/>
  <c r="M20" i="4"/>
  <c r="K61" i="4"/>
  <c r="J62" i="4"/>
  <c r="K60" i="4"/>
  <c r="K70" i="4" s="1"/>
  <c r="G35" i="4"/>
  <c r="G74" i="4" s="1"/>
  <c r="M24" i="4"/>
  <c r="M39" i="4"/>
  <c r="M13" i="4"/>
  <c r="P1" i="9" s="1"/>
  <c r="M78" i="4"/>
  <c r="M69" i="4"/>
  <c r="M59" i="4"/>
  <c r="O2" i="4"/>
  <c r="O7" i="4" s="1"/>
  <c r="N5" i="4"/>
  <c r="N14" i="4" l="1"/>
  <c r="N21" i="4"/>
  <c r="N22" i="4" s="1"/>
  <c r="M56" i="4"/>
  <c r="M54" i="4"/>
  <c r="M46" i="4"/>
  <c r="P4" i="9"/>
  <c r="M55" i="4"/>
  <c r="O17" i="4"/>
  <c r="P2" i="9"/>
  <c r="M42" i="4"/>
  <c r="M41" i="4"/>
  <c r="N18" i="4"/>
  <c r="N40" i="4" s="1"/>
  <c r="P15" i="4"/>
  <c r="L57" i="4"/>
  <c r="O5" i="9" s="1"/>
  <c r="O3" i="9" s="1"/>
  <c r="O6" i="9" s="1"/>
  <c r="N20" i="4"/>
  <c r="M61" i="4"/>
  <c r="L61" i="4"/>
  <c r="K62" i="4"/>
  <c r="L60" i="4"/>
  <c r="L70" i="4" s="1"/>
  <c r="G73" i="4"/>
  <c r="G63" i="4"/>
  <c r="O5" i="4"/>
  <c r="R2" i="4"/>
  <c r="R7" i="4" s="1"/>
  <c r="N59" i="4"/>
  <c r="N24" i="4"/>
  <c r="N69" i="4"/>
  <c r="N78" i="4"/>
  <c r="N13" i="4"/>
  <c r="Q1" i="9" s="1"/>
  <c r="N39" i="4"/>
  <c r="H35" i="4"/>
  <c r="H74" i="4" s="1"/>
  <c r="I35" i="4"/>
  <c r="I74" i="4" s="1"/>
  <c r="O14" i="4" l="1"/>
  <c r="O21" i="4"/>
  <c r="O22" i="4" s="1"/>
  <c r="N56" i="4"/>
  <c r="N54" i="4"/>
  <c r="N46" i="4"/>
  <c r="Q4" i="9"/>
  <c r="N55" i="4"/>
  <c r="R17" i="4"/>
  <c r="Q2" i="9"/>
  <c r="N42" i="4"/>
  <c r="N41" i="4"/>
  <c r="O18" i="4"/>
  <c r="O40" i="4" s="1"/>
  <c r="Q15" i="4"/>
  <c r="M57" i="4"/>
  <c r="P5" i="9" s="1"/>
  <c r="P3" i="9" s="1"/>
  <c r="P6" i="9" s="1"/>
  <c r="O20" i="4"/>
  <c r="L62" i="4"/>
  <c r="M60" i="4"/>
  <c r="M70" i="4" s="1"/>
  <c r="S2" i="4"/>
  <c r="S7" i="4" s="1"/>
  <c r="R5" i="4"/>
  <c r="O69" i="4"/>
  <c r="O39" i="4"/>
  <c r="O24" i="4"/>
  <c r="O13" i="4"/>
  <c r="R1" i="9" s="1"/>
  <c r="O78" i="4"/>
  <c r="O59" i="4"/>
  <c r="I73" i="4"/>
  <c r="I63" i="4"/>
  <c r="H63" i="4"/>
  <c r="H73" i="4"/>
  <c r="J35" i="4"/>
  <c r="J74" i="4" s="1"/>
  <c r="R14" i="4" l="1"/>
  <c r="R21" i="4"/>
  <c r="R22" i="4" s="1"/>
  <c r="O54" i="4"/>
  <c r="O46" i="4"/>
  <c r="O56" i="4"/>
  <c r="R4" i="9"/>
  <c r="O55" i="4"/>
  <c r="S17" i="4"/>
  <c r="R2" i="9"/>
  <c r="O42" i="4"/>
  <c r="P42" i="4" s="1"/>
  <c r="P52" i="4"/>
  <c r="O41" i="4"/>
  <c r="P48" i="4"/>
  <c r="R18" i="4"/>
  <c r="R40" i="4" s="1"/>
  <c r="N57" i="4"/>
  <c r="Q5" i="9" s="1"/>
  <c r="Q3" i="9" s="1"/>
  <c r="Q6" i="9" s="1"/>
  <c r="R20" i="4"/>
  <c r="N61" i="4"/>
  <c r="M62" i="4"/>
  <c r="N60" i="4"/>
  <c r="R39" i="4"/>
  <c r="R69" i="4"/>
  <c r="R13" i="4"/>
  <c r="S1" i="9" s="1"/>
  <c r="R78" i="4"/>
  <c r="R59" i="4"/>
  <c r="R24" i="4"/>
  <c r="T2" i="4"/>
  <c r="T7" i="4" s="1"/>
  <c r="S5" i="4"/>
  <c r="J73" i="4"/>
  <c r="J63" i="4"/>
  <c r="K35" i="4"/>
  <c r="K74" i="4" s="1"/>
  <c r="S14" i="4" l="1"/>
  <c r="S21" i="4"/>
  <c r="S22" i="4" s="1"/>
  <c r="R41" i="4"/>
  <c r="R56" i="4"/>
  <c r="R54" i="4"/>
  <c r="S4" i="9"/>
  <c r="R55" i="4"/>
  <c r="T17" i="4"/>
  <c r="Q42" i="4"/>
  <c r="G32" i="7" s="1"/>
  <c r="S2" i="9"/>
  <c r="R42" i="4"/>
  <c r="R46" i="4"/>
  <c r="R47" i="4"/>
  <c r="Q52" i="4"/>
  <c r="G42" i="7" s="1"/>
  <c r="Q48" i="4"/>
  <c r="G38" i="7" s="1"/>
  <c r="S18" i="4"/>
  <c r="S40" i="4" s="1"/>
  <c r="O57" i="4"/>
  <c r="R5" i="9" s="1"/>
  <c r="R3" i="9" s="1"/>
  <c r="R6" i="9" s="1"/>
  <c r="S20" i="4"/>
  <c r="P41" i="4"/>
  <c r="Q41" i="4" s="1"/>
  <c r="G31" i="7" s="1"/>
  <c r="O61" i="4"/>
  <c r="N62" i="4"/>
  <c r="N70" i="4"/>
  <c r="O60" i="4"/>
  <c r="U2" i="4"/>
  <c r="U7" i="4" s="1"/>
  <c r="T5" i="4"/>
  <c r="S24" i="4"/>
  <c r="S59" i="4"/>
  <c r="S69" i="4"/>
  <c r="S39" i="4"/>
  <c r="S13" i="4"/>
  <c r="T1" i="9" s="1"/>
  <c r="S78" i="4"/>
  <c r="L35" i="4"/>
  <c r="L74" i="4" s="1"/>
  <c r="K73" i="4"/>
  <c r="K63" i="4"/>
  <c r="T14" i="4" l="1"/>
  <c r="T21" i="4"/>
  <c r="T22" i="4" s="1"/>
  <c r="T4" i="9"/>
  <c r="S55" i="4"/>
  <c r="S41" i="4"/>
  <c r="S56" i="4"/>
  <c r="S54" i="4"/>
  <c r="U17" i="4"/>
  <c r="T2" i="9"/>
  <c r="S42" i="4"/>
  <c r="S47" i="4"/>
  <c r="S46" i="4"/>
  <c r="T18" i="4"/>
  <c r="T40" i="4" s="1"/>
  <c r="R57" i="4"/>
  <c r="S5" i="9" s="1"/>
  <c r="S3" i="9" s="1"/>
  <c r="S6" i="9" s="1"/>
  <c r="O70" i="4"/>
  <c r="T20" i="4"/>
  <c r="R61" i="4"/>
  <c r="R60" i="4"/>
  <c r="R70" i="4" s="1"/>
  <c r="O62" i="4"/>
  <c r="T24" i="4"/>
  <c r="T59" i="4"/>
  <c r="T78" i="4"/>
  <c r="T39" i="4"/>
  <c r="T13" i="4"/>
  <c r="U1" i="9" s="1"/>
  <c r="T69" i="4"/>
  <c r="V2" i="4"/>
  <c r="V7" i="4" s="1"/>
  <c r="U5" i="4"/>
  <c r="M35" i="4"/>
  <c r="M74" i="4" s="1"/>
  <c r="L63" i="4"/>
  <c r="L73" i="4"/>
  <c r="U14" i="4" l="1"/>
  <c r="U21" i="4"/>
  <c r="U22" i="4" s="1"/>
  <c r="T41" i="4"/>
  <c r="T54" i="4"/>
  <c r="T56" i="4"/>
  <c r="U4" i="9"/>
  <c r="T55" i="4"/>
  <c r="V17" i="4"/>
  <c r="U2" i="9"/>
  <c r="T42" i="4"/>
  <c r="T47" i="4"/>
  <c r="T46" i="4"/>
  <c r="U18" i="4"/>
  <c r="U40" i="4" s="1"/>
  <c r="S57" i="4"/>
  <c r="T5" i="9" s="1"/>
  <c r="T3" i="9" s="1"/>
  <c r="T6" i="9" s="1"/>
  <c r="U20" i="4"/>
  <c r="S60" i="4"/>
  <c r="S70" i="4" s="1"/>
  <c r="S61" i="4"/>
  <c r="R62" i="4"/>
  <c r="V5" i="4"/>
  <c r="W2" i="4"/>
  <c r="W7" i="4" s="1"/>
  <c r="U59" i="4"/>
  <c r="U13" i="4"/>
  <c r="V1" i="9" s="1"/>
  <c r="U78" i="4"/>
  <c r="U24" i="4"/>
  <c r="U69" i="4"/>
  <c r="U39" i="4"/>
  <c r="N35" i="4"/>
  <c r="N74" i="4" s="1"/>
  <c r="M73" i="4"/>
  <c r="M63" i="4"/>
  <c r="V14" i="4" l="1"/>
  <c r="V21" i="4"/>
  <c r="V22" i="4" s="1"/>
  <c r="V4" i="9"/>
  <c r="U55" i="4"/>
  <c r="U41" i="4"/>
  <c r="U56" i="4"/>
  <c r="U54" i="4"/>
  <c r="W17" i="4"/>
  <c r="V2" i="9"/>
  <c r="U42" i="4"/>
  <c r="U47" i="4"/>
  <c r="U46" i="4"/>
  <c r="V18" i="4"/>
  <c r="V40" i="4" s="1"/>
  <c r="T57" i="4"/>
  <c r="U5" i="9" s="1"/>
  <c r="U3" i="9" s="1"/>
  <c r="U6" i="9" s="1"/>
  <c r="V20" i="4"/>
  <c r="S62" i="4"/>
  <c r="T61" i="4"/>
  <c r="T60" i="4"/>
  <c r="T70" i="4" s="1"/>
  <c r="X2" i="4"/>
  <c r="X7" i="4" s="1"/>
  <c r="W5" i="4"/>
  <c r="V24" i="4"/>
  <c r="V59" i="4"/>
  <c r="V39" i="4"/>
  <c r="V13" i="4"/>
  <c r="W1" i="9" s="1"/>
  <c r="V78" i="4"/>
  <c r="V69" i="4"/>
  <c r="N63" i="4"/>
  <c r="N73" i="4"/>
  <c r="W14" i="4" l="1"/>
  <c r="W21" i="4"/>
  <c r="W22" i="4" s="1"/>
  <c r="W4" i="9"/>
  <c r="V55" i="4"/>
  <c r="V41" i="4"/>
  <c r="V56" i="4"/>
  <c r="V54" i="4"/>
  <c r="X17" i="4"/>
  <c r="W2" i="9"/>
  <c r="V42" i="4"/>
  <c r="V47" i="4"/>
  <c r="V46" i="4"/>
  <c r="W18" i="4"/>
  <c r="W40" i="4" s="1"/>
  <c r="U57" i="4"/>
  <c r="V5" i="9" s="1"/>
  <c r="V3" i="9" s="1"/>
  <c r="V6" i="9" s="1"/>
  <c r="W20" i="4"/>
  <c r="U61" i="4"/>
  <c r="T62" i="4"/>
  <c r="U60" i="4"/>
  <c r="U70" i="4" s="1"/>
  <c r="W59" i="4"/>
  <c r="W13" i="4"/>
  <c r="X1" i="9" s="1"/>
  <c r="W78" i="4"/>
  <c r="W39" i="4"/>
  <c r="W24" i="4"/>
  <c r="W69" i="4"/>
  <c r="Y2" i="4"/>
  <c r="Y7" i="4" s="1"/>
  <c r="X5" i="4"/>
  <c r="O35" i="4"/>
  <c r="O74" i="4" s="1"/>
  <c r="X14" i="4" l="1"/>
  <c r="X21" i="4"/>
  <c r="X22" i="4" s="1"/>
  <c r="X4" i="9"/>
  <c r="W55" i="4"/>
  <c r="W41" i="4"/>
  <c r="W56" i="4"/>
  <c r="W54" i="4"/>
  <c r="Y17" i="4"/>
  <c r="X2" i="9"/>
  <c r="W42" i="4"/>
  <c r="W47" i="4"/>
  <c r="W46" i="4"/>
  <c r="X18" i="4"/>
  <c r="X40" i="4" s="1"/>
  <c r="V57" i="4"/>
  <c r="W5" i="9" s="1"/>
  <c r="W3" i="9" s="1"/>
  <c r="W6" i="9" s="1"/>
  <c r="X20" i="4"/>
  <c r="V61" i="4"/>
  <c r="U62" i="4"/>
  <c r="V60" i="4"/>
  <c r="V70" i="4" s="1"/>
  <c r="Z2" i="4"/>
  <c r="Z7" i="4" s="1"/>
  <c r="Y5" i="4"/>
  <c r="X39" i="4"/>
  <c r="X13" i="4"/>
  <c r="Y1" i="9" s="1"/>
  <c r="X24" i="4"/>
  <c r="X59" i="4"/>
  <c r="X78" i="4"/>
  <c r="X69" i="4"/>
  <c r="R35" i="4"/>
  <c r="R74" i="4" s="1"/>
  <c r="S35" i="4"/>
  <c r="S74" i="4" s="1"/>
  <c r="O73" i="4"/>
  <c r="O63" i="4"/>
  <c r="P35" i="4"/>
  <c r="Y14" i="4" l="1"/>
  <c r="Y21" i="4"/>
  <c r="Y22" i="4" s="1"/>
  <c r="X41" i="4"/>
  <c r="X56" i="4"/>
  <c r="X54" i="4"/>
  <c r="Y4" i="9"/>
  <c r="X55" i="4"/>
  <c r="Z17" i="4"/>
  <c r="Y2" i="9"/>
  <c r="X42" i="4"/>
  <c r="X47" i="4"/>
  <c r="X46" i="4"/>
  <c r="Y18" i="4"/>
  <c r="Y40" i="4" s="1"/>
  <c r="W57" i="4"/>
  <c r="X5" i="9" s="1"/>
  <c r="X3" i="9" s="1"/>
  <c r="X6" i="9" s="1"/>
  <c r="Y20" i="4"/>
  <c r="W61" i="4"/>
  <c r="W60" i="4"/>
  <c r="W70" i="4" s="1"/>
  <c r="V62" i="4"/>
  <c r="Y24" i="4"/>
  <c r="Y78" i="4"/>
  <c r="Y39" i="4"/>
  <c r="Y69" i="4"/>
  <c r="Y59" i="4"/>
  <c r="Y13" i="4"/>
  <c r="Z1" i="9" s="1"/>
  <c r="Z5" i="4"/>
  <c r="AA2" i="4"/>
  <c r="AA7" i="4" s="1"/>
  <c r="R63" i="4"/>
  <c r="R73" i="4"/>
  <c r="S63" i="4"/>
  <c r="S73" i="4"/>
  <c r="Z14" i="4" l="1"/>
  <c r="Z21" i="4"/>
  <c r="Z22" i="4" s="1"/>
  <c r="Y41" i="4"/>
  <c r="Y56" i="4"/>
  <c r="Y54" i="4"/>
  <c r="Z4" i="9"/>
  <c r="Y55" i="4"/>
  <c r="AA17" i="4"/>
  <c r="Z2" i="9"/>
  <c r="Y42" i="4"/>
  <c r="Y47" i="4"/>
  <c r="Y46" i="4"/>
  <c r="Z18" i="4"/>
  <c r="Z40" i="4" s="1"/>
  <c r="X57" i="4"/>
  <c r="Y5" i="9" s="1"/>
  <c r="Y3" i="9" s="1"/>
  <c r="Y6" i="9" s="1"/>
  <c r="Z20" i="4"/>
  <c r="X61" i="4"/>
  <c r="W62" i="4"/>
  <c r="X60" i="4"/>
  <c r="Z13" i="4"/>
  <c r="AA1" i="9" s="1"/>
  <c r="Z78" i="4"/>
  <c r="Z59" i="4"/>
  <c r="Z69" i="4"/>
  <c r="Z39" i="4"/>
  <c r="Z24" i="4"/>
  <c r="AB2" i="4"/>
  <c r="AB7" i="4" s="1"/>
  <c r="AA5" i="4"/>
  <c r="T35" i="4"/>
  <c r="T74" i="4" s="1"/>
  <c r="U35" i="4"/>
  <c r="U74" i="4" s="1"/>
  <c r="AA14" i="4" l="1"/>
  <c r="AA21" i="4"/>
  <c r="AA22" i="4" s="1"/>
  <c r="AA4" i="9"/>
  <c r="Z55" i="4"/>
  <c r="Z41" i="4"/>
  <c r="Z56" i="4"/>
  <c r="Z54" i="4"/>
  <c r="AB17" i="4"/>
  <c r="AA2" i="9"/>
  <c r="Z42" i="4"/>
  <c r="Z47" i="4"/>
  <c r="Z46" i="4"/>
  <c r="AA18" i="4"/>
  <c r="AA40" i="4" s="1"/>
  <c r="Y57" i="4"/>
  <c r="Z5" i="9" s="1"/>
  <c r="Z3" i="9" s="1"/>
  <c r="Z6" i="9" s="1"/>
  <c r="AA20" i="4"/>
  <c r="X62" i="4"/>
  <c r="Y61" i="4"/>
  <c r="X70" i="4"/>
  <c r="Y60" i="4"/>
  <c r="Y70" i="4" s="1"/>
  <c r="AC2" i="4"/>
  <c r="AC7" i="4" s="1"/>
  <c r="AB5" i="4"/>
  <c r="AA69" i="4"/>
  <c r="AA59" i="4"/>
  <c r="AA39" i="4"/>
  <c r="AA24" i="4"/>
  <c r="AA78" i="4"/>
  <c r="AA13" i="4"/>
  <c r="AB1" i="9" s="1"/>
  <c r="U63" i="4"/>
  <c r="U73" i="4"/>
  <c r="T73" i="4"/>
  <c r="T63" i="4"/>
  <c r="AB14" i="4" l="1"/>
  <c r="AB21" i="4"/>
  <c r="AB22" i="4" s="1"/>
  <c r="AB4" i="9"/>
  <c r="AA55" i="4"/>
  <c r="AA41" i="4"/>
  <c r="AA56" i="4"/>
  <c r="AA54" i="4"/>
  <c r="AC17" i="4"/>
  <c r="AB2" i="9"/>
  <c r="AA42" i="4"/>
  <c r="AA47" i="4"/>
  <c r="AA46" i="4"/>
  <c r="AB18" i="4"/>
  <c r="AB40" i="4" s="1"/>
  <c r="AD15" i="4"/>
  <c r="Z57" i="4"/>
  <c r="AA5" i="9" s="1"/>
  <c r="AA3" i="9" s="1"/>
  <c r="AA6" i="9" s="1"/>
  <c r="AB20" i="4"/>
  <c r="Z61" i="4"/>
  <c r="Y62" i="4"/>
  <c r="Z60" i="4"/>
  <c r="Z70" i="4" s="1"/>
  <c r="AB59" i="4"/>
  <c r="AB24" i="4"/>
  <c r="AB78" i="4"/>
  <c r="AB39" i="4"/>
  <c r="AB69" i="4"/>
  <c r="AB13" i="4"/>
  <c r="AC1" i="9" s="1"/>
  <c r="AF2" i="4"/>
  <c r="AF7" i="4" s="1"/>
  <c r="AC5" i="4"/>
  <c r="V35" i="4"/>
  <c r="V74" i="4" s="1"/>
  <c r="W35" i="4"/>
  <c r="W74" i="4" s="1"/>
  <c r="AC14" i="4" l="1"/>
  <c r="AD14" i="4" s="1"/>
  <c r="AE14" i="4" s="1"/>
  <c r="AC21" i="4"/>
  <c r="AD21" i="4" s="1"/>
  <c r="AC4" i="9"/>
  <c r="AB55" i="4"/>
  <c r="AB41" i="4"/>
  <c r="AB56" i="4"/>
  <c r="AB54" i="4"/>
  <c r="AF17" i="4"/>
  <c r="AC2" i="9"/>
  <c r="AB42" i="4"/>
  <c r="AB47" i="4"/>
  <c r="AB46" i="4"/>
  <c r="AD17" i="4"/>
  <c r="AE17" i="4" s="1"/>
  <c r="AC18" i="4"/>
  <c r="AC40" i="4" s="1"/>
  <c r="AE15" i="4"/>
  <c r="AA57" i="4"/>
  <c r="AB5" i="9" s="1"/>
  <c r="AB3" i="9" s="1"/>
  <c r="AB6" i="9" s="1"/>
  <c r="AC20" i="4"/>
  <c r="AA61" i="4"/>
  <c r="Z62" i="4"/>
  <c r="AA60" i="4"/>
  <c r="AA70" i="4" s="1"/>
  <c r="AF5" i="4"/>
  <c r="AG2" i="4"/>
  <c r="AG7" i="4" s="1"/>
  <c r="AC59" i="4"/>
  <c r="AC69" i="4"/>
  <c r="AC13" i="4"/>
  <c r="AD1" i="9" s="1"/>
  <c r="AC24" i="4"/>
  <c r="AC39" i="4"/>
  <c r="AC78" i="4"/>
  <c r="V73" i="4"/>
  <c r="V63" i="4"/>
  <c r="W63" i="4"/>
  <c r="W73" i="4"/>
  <c r="X35" i="4"/>
  <c r="X74" i="4" s="1"/>
  <c r="AF14" i="4" l="1"/>
  <c r="AF21" i="4"/>
  <c r="AF22" i="4" s="1"/>
  <c r="AC41" i="4"/>
  <c r="AC56" i="4"/>
  <c r="AC54" i="4"/>
  <c r="AG17" i="4"/>
  <c r="AD2" i="9"/>
  <c r="AC42" i="4"/>
  <c r="AD42" i="4" s="1"/>
  <c r="AD53" i="4"/>
  <c r="AC47" i="4"/>
  <c r="AC46" i="4"/>
  <c r="AD46" i="4" s="1"/>
  <c r="AD45" i="4"/>
  <c r="AD44" i="4"/>
  <c r="AD51" i="4"/>
  <c r="AD50" i="4"/>
  <c r="AD49" i="4"/>
  <c r="AD52" i="4"/>
  <c r="AC22" i="4"/>
  <c r="AE21" i="4"/>
  <c r="AF18" i="4"/>
  <c r="AF40" i="4" s="1"/>
  <c r="AB57" i="4"/>
  <c r="AC5" i="9" s="1"/>
  <c r="AC3" i="9" s="1"/>
  <c r="AC6" i="9" s="1"/>
  <c r="AF20" i="4"/>
  <c r="AD18" i="4"/>
  <c r="AB61" i="4"/>
  <c r="AD22" i="4"/>
  <c r="AB60" i="4"/>
  <c r="AB70" i="4" s="1"/>
  <c r="AA62" i="4"/>
  <c r="AG5" i="4"/>
  <c r="AH2" i="4"/>
  <c r="AH7" i="4" s="1"/>
  <c r="AF69" i="4"/>
  <c r="AF78" i="4"/>
  <c r="AF39" i="4"/>
  <c r="AF24" i="4"/>
  <c r="AF13" i="4"/>
  <c r="AE1" i="9" s="1"/>
  <c r="AF59" i="4"/>
  <c r="X73" i="4"/>
  <c r="X63" i="4"/>
  <c r="Y35" i="4"/>
  <c r="Y74" i="4" s="1"/>
  <c r="AG14" i="4" l="1"/>
  <c r="AG21" i="4"/>
  <c r="AG22" i="4" s="1"/>
  <c r="AF54" i="4"/>
  <c r="AF47" i="4"/>
  <c r="AF46" i="4"/>
  <c r="AF56" i="4"/>
  <c r="AD4" i="9"/>
  <c r="AC55" i="4"/>
  <c r="AE4" i="9"/>
  <c r="AF55" i="4"/>
  <c r="AH17" i="4"/>
  <c r="AE42" i="4"/>
  <c r="AE2" i="9"/>
  <c r="AE50" i="4"/>
  <c r="AE52" i="4"/>
  <c r="AE51" i="4"/>
  <c r="AE53" i="4"/>
  <c r="AE45" i="4"/>
  <c r="AE49" i="4"/>
  <c r="AE44" i="4"/>
  <c r="AE46" i="4"/>
  <c r="AD48" i="4"/>
  <c r="AD47" i="4"/>
  <c r="AG18" i="4"/>
  <c r="AG40" i="4" s="1"/>
  <c r="AE18" i="4"/>
  <c r="AE22" i="4"/>
  <c r="AG20" i="4"/>
  <c r="AD41" i="4"/>
  <c r="AD54" i="4"/>
  <c r="AE54" i="4" s="1"/>
  <c r="AC61" i="4"/>
  <c r="AB62" i="4"/>
  <c r="AC60" i="4"/>
  <c r="AD60" i="4" s="1"/>
  <c r="C2" i="9" s="1"/>
  <c r="AI2" i="4"/>
  <c r="AI7" i="4" s="1"/>
  <c r="AH5" i="4"/>
  <c r="AG78" i="4"/>
  <c r="AG24" i="4"/>
  <c r="AG39" i="4"/>
  <c r="AG13" i="4"/>
  <c r="AF1" i="9" s="1"/>
  <c r="AG59" i="4"/>
  <c r="AG69" i="4"/>
  <c r="Y63" i="4"/>
  <c r="Y73" i="4"/>
  <c r="Z35" i="4"/>
  <c r="Z74" i="4" s="1"/>
  <c r="AH14" i="4" l="1"/>
  <c r="AH21" i="4"/>
  <c r="AH22" i="4" s="1"/>
  <c r="AC57" i="4"/>
  <c r="AD5" i="9" s="1"/>
  <c r="AD3" i="9" s="1"/>
  <c r="AD6" i="9" s="1"/>
  <c r="AG47" i="4"/>
  <c r="AG46" i="4"/>
  <c r="AG56" i="4"/>
  <c r="AG54" i="4"/>
  <c r="AF4" i="9"/>
  <c r="AG55" i="4"/>
  <c r="AI17" i="4"/>
  <c r="AF2" i="9"/>
  <c r="AE47" i="4"/>
  <c r="AE48" i="4"/>
  <c r="AH18" i="4"/>
  <c r="AH40" i="4" s="1"/>
  <c r="AF57" i="4"/>
  <c r="AE5" i="9" s="1"/>
  <c r="AE3" i="9" s="1"/>
  <c r="AE6" i="9" s="1"/>
  <c r="AH20" i="4"/>
  <c r="AF61" i="4"/>
  <c r="AD61" i="4"/>
  <c r="AD55" i="4"/>
  <c r="AC70" i="4"/>
  <c r="AD70" i="4" s="1"/>
  <c r="AE70" i="4" s="1"/>
  <c r="AF60" i="4"/>
  <c r="AF70" i="4" s="1"/>
  <c r="AE41" i="4"/>
  <c r="AE60" i="4"/>
  <c r="AH59" i="4"/>
  <c r="AH69" i="4"/>
  <c r="AH13" i="4"/>
  <c r="AG1" i="9" s="1"/>
  <c r="AH39" i="4"/>
  <c r="AH24" i="4"/>
  <c r="AH78" i="4"/>
  <c r="AJ2" i="4"/>
  <c r="AJ7" i="4" s="1"/>
  <c r="AI5" i="4"/>
  <c r="Z63" i="4"/>
  <c r="Z73" i="4"/>
  <c r="AA35" i="4"/>
  <c r="AA74" i="4" s="1"/>
  <c r="AI14" i="4" l="1"/>
  <c r="AI21" i="4"/>
  <c r="AI22" i="4" s="1"/>
  <c r="AH56" i="4"/>
  <c r="AH54" i="4"/>
  <c r="AH47" i="4"/>
  <c r="AH46" i="4"/>
  <c r="AG4" i="9"/>
  <c r="AH55" i="4"/>
  <c r="AJ17" i="4"/>
  <c r="AE61" i="4"/>
  <c r="C3" i="9"/>
  <c r="AG2" i="9"/>
  <c r="AI18" i="4"/>
  <c r="AI40" i="4" s="1"/>
  <c r="AG57" i="4"/>
  <c r="AF5" i="9" s="1"/>
  <c r="AF3" i="9" s="1"/>
  <c r="AF6" i="9" s="1"/>
  <c r="AH61" i="4"/>
  <c r="AI20" i="4"/>
  <c r="AG61" i="4"/>
  <c r="AD40" i="4"/>
  <c r="AC62" i="4"/>
  <c r="AD62" i="4" s="1"/>
  <c r="AE62" i="4" s="1"/>
  <c r="AE55" i="4"/>
  <c r="AF62" i="4"/>
  <c r="AG60" i="4"/>
  <c r="AG70" i="4" s="1"/>
  <c r="AJ5" i="4"/>
  <c r="AK2" i="4"/>
  <c r="AK7" i="4" s="1"/>
  <c r="AI78" i="4"/>
  <c r="AI39" i="4"/>
  <c r="AI59" i="4"/>
  <c r="AI13" i="4"/>
  <c r="AH1" i="9" s="1"/>
  <c r="AI69" i="4"/>
  <c r="AI24" i="4"/>
  <c r="AA63" i="4"/>
  <c r="AA73" i="4"/>
  <c r="AB35" i="4"/>
  <c r="AB74" i="4" s="1"/>
  <c r="AJ14" i="4" l="1"/>
  <c r="AJ21" i="4"/>
  <c r="AJ22" i="4" s="1"/>
  <c r="AI56" i="4"/>
  <c r="AI54" i="4"/>
  <c r="AI47" i="4"/>
  <c r="AI46" i="4"/>
  <c r="AH4" i="9"/>
  <c r="AI55" i="4"/>
  <c r="AK17" i="4"/>
  <c r="AH2" i="9"/>
  <c r="AJ18" i="4"/>
  <c r="AJ40" i="4" s="1"/>
  <c r="AH57" i="4"/>
  <c r="AG5" i="9" s="1"/>
  <c r="AG3" i="9" s="1"/>
  <c r="AG6" i="9" s="1"/>
  <c r="AJ20" i="4"/>
  <c r="AE40" i="4"/>
  <c r="AH60" i="4"/>
  <c r="AH70" i="4" s="1"/>
  <c r="AG62" i="4"/>
  <c r="AL2" i="4"/>
  <c r="AL7" i="4" s="1"/>
  <c r="AK5" i="4"/>
  <c r="AJ69" i="4"/>
  <c r="AJ78" i="4"/>
  <c r="AJ13" i="4"/>
  <c r="AI1" i="9" s="1"/>
  <c r="AJ39" i="4"/>
  <c r="AJ59" i="4"/>
  <c r="AJ24" i="4"/>
  <c r="AB73" i="4"/>
  <c r="AB63" i="4"/>
  <c r="AK14" i="4" l="1"/>
  <c r="AK21" i="4"/>
  <c r="AK22" i="4" s="1"/>
  <c r="AJ47" i="4"/>
  <c r="AJ46" i="4"/>
  <c r="AJ56" i="4"/>
  <c r="AJ54" i="4"/>
  <c r="AI4" i="9"/>
  <c r="AJ55" i="4"/>
  <c r="AL17" i="4"/>
  <c r="AI2" i="9"/>
  <c r="AK18" i="4"/>
  <c r="AK40" i="4" s="1"/>
  <c r="AI57" i="4"/>
  <c r="AH5" i="9" s="1"/>
  <c r="AH3" i="9" s="1"/>
  <c r="AH6" i="9" s="1"/>
  <c r="AK20" i="4"/>
  <c r="AI61" i="4"/>
  <c r="AI60" i="4"/>
  <c r="AH62" i="4"/>
  <c r="AK69" i="4"/>
  <c r="AK59" i="4"/>
  <c r="AK24" i="4"/>
  <c r="AK78" i="4"/>
  <c r="AK39" i="4"/>
  <c r="AK13" i="4"/>
  <c r="AJ1" i="9" s="1"/>
  <c r="AM2" i="4"/>
  <c r="AM7" i="4" s="1"/>
  <c r="AL5" i="4"/>
  <c r="AC35" i="4"/>
  <c r="AC74" i="4" s="1"/>
  <c r="AD32" i="4"/>
  <c r="AL14" i="4" l="1"/>
  <c r="AL21" i="4"/>
  <c r="AL22" i="4" s="1"/>
  <c r="AK47" i="4"/>
  <c r="AK46" i="4"/>
  <c r="AK56" i="4"/>
  <c r="AK54" i="4"/>
  <c r="AJ4" i="9"/>
  <c r="AK55" i="4"/>
  <c r="AM17" i="4"/>
  <c r="AJ2" i="9"/>
  <c r="AL18" i="4"/>
  <c r="AL40" i="4" s="1"/>
  <c r="AJ57" i="4"/>
  <c r="AI5" i="9" s="1"/>
  <c r="AI3" i="9" s="1"/>
  <c r="AI6" i="9" s="1"/>
  <c r="AL20" i="4"/>
  <c r="AJ61" i="4"/>
  <c r="AI62" i="4"/>
  <c r="AI70" i="4"/>
  <c r="AJ60" i="4"/>
  <c r="AJ70" i="4" s="1"/>
  <c r="AN2" i="4"/>
  <c r="AN7" i="4" s="1"/>
  <c r="AM5" i="4"/>
  <c r="AL78" i="4"/>
  <c r="AL59" i="4"/>
  <c r="AL24" i="4"/>
  <c r="AL39" i="4"/>
  <c r="AL13" i="4"/>
  <c r="AK1" i="9" s="1"/>
  <c r="AL69" i="4"/>
  <c r="AG35" i="4"/>
  <c r="AG74" i="4" s="1"/>
  <c r="AF35" i="4"/>
  <c r="AF74" i="4" s="1"/>
  <c r="AC63" i="4"/>
  <c r="AC73" i="4"/>
  <c r="AD35" i="4"/>
  <c r="AM14" i="4" l="1"/>
  <c r="AM21" i="4"/>
  <c r="AL47" i="4"/>
  <c r="AL46" i="4"/>
  <c r="AL56" i="4"/>
  <c r="AL54" i="4"/>
  <c r="AK4" i="9"/>
  <c r="AL55" i="4"/>
  <c r="AN17" i="4"/>
  <c r="AM22" i="4"/>
  <c r="AK2" i="9"/>
  <c r="AM18" i="4"/>
  <c r="AM40" i="4" s="1"/>
  <c r="AK57" i="4"/>
  <c r="AJ5" i="9" s="1"/>
  <c r="AJ3" i="9" s="1"/>
  <c r="AJ6" i="9" s="1"/>
  <c r="AM20" i="4"/>
  <c r="AK61" i="4"/>
  <c r="AJ62" i="4"/>
  <c r="AK60" i="4"/>
  <c r="AK70" i="4" s="1"/>
  <c r="AM24" i="4"/>
  <c r="AM39" i="4"/>
  <c r="AM78" i="4"/>
  <c r="AM13" i="4"/>
  <c r="AL1" i="9" s="1"/>
  <c r="AM69" i="4"/>
  <c r="AM59" i="4"/>
  <c r="AN5" i="4"/>
  <c r="AO2" i="4"/>
  <c r="AO7" i="4" s="1"/>
  <c r="AH35" i="4"/>
  <c r="AH74" i="4" s="1"/>
  <c r="AG73" i="4"/>
  <c r="AG63" i="4"/>
  <c r="AF63" i="4"/>
  <c r="AF73" i="4"/>
  <c r="AD63" i="4"/>
  <c r="AD74" i="4"/>
  <c r="AD73" i="4"/>
  <c r="AN14" i="4" l="1"/>
  <c r="AN21" i="4"/>
  <c r="AN22" i="4" s="1"/>
  <c r="AM56" i="4"/>
  <c r="AM54" i="4"/>
  <c r="AM47" i="4"/>
  <c r="AM46" i="4"/>
  <c r="AL4" i="9"/>
  <c r="AM55" i="4"/>
  <c r="AO17" i="4"/>
  <c r="AL2" i="9"/>
  <c r="AN18" i="4"/>
  <c r="AN40" i="4" s="1"/>
  <c r="AL57" i="4"/>
  <c r="AK5" i="9" s="1"/>
  <c r="AK3" i="9" s="1"/>
  <c r="AK6" i="9" s="1"/>
  <c r="AN20" i="4"/>
  <c r="AL61" i="4"/>
  <c r="AL60" i="4"/>
  <c r="AL70" i="4" s="1"/>
  <c r="AK62" i="4"/>
  <c r="AN59" i="4"/>
  <c r="AN69" i="4"/>
  <c r="AN78" i="4"/>
  <c r="AN13" i="4"/>
  <c r="AM1" i="9" s="1"/>
  <c r="AN24" i="4"/>
  <c r="AN39" i="4"/>
  <c r="AP2" i="4"/>
  <c r="AP7" i="4" s="1"/>
  <c r="AO5" i="4"/>
  <c r="AH73" i="4"/>
  <c r="AH63" i="4"/>
  <c r="AI35" i="4"/>
  <c r="AI74" i="4" s="1"/>
  <c r="AO14" i="4" l="1"/>
  <c r="AO21" i="4"/>
  <c r="AN56" i="4"/>
  <c r="AN47" i="4"/>
  <c r="AN46" i="4"/>
  <c r="AN54" i="4"/>
  <c r="AM4" i="9"/>
  <c r="AN55" i="4"/>
  <c r="AP17" i="4"/>
  <c r="AO22" i="4"/>
  <c r="AM2" i="9"/>
  <c r="AO18" i="4"/>
  <c r="AO40" i="4" s="1"/>
  <c r="AM57" i="4"/>
  <c r="AL5" i="9" s="1"/>
  <c r="AL3" i="9" s="1"/>
  <c r="AL6" i="9" s="1"/>
  <c r="AO20" i="4"/>
  <c r="AL62" i="4"/>
  <c r="AM61" i="4"/>
  <c r="AM60" i="4"/>
  <c r="AM70" i="4" s="1"/>
  <c r="AO78" i="4"/>
  <c r="AO24" i="4"/>
  <c r="AO59" i="4"/>
  <c r="AO13" i="4"/>
  <c r="AN1" i="9" s="1"/>
  <c r="AO39" i="4"/>
  <c r="AO69" i="4"/>
  <c r="AQ2" i="4"/>
  <c r="AQ7" i="4" s="1"/>
  <c r="AP5" i="4"/>
  <c r="AJ35" i="4"/>
  <c r="AJ74" i="4" s="1"/>
  <c r="AI73" i="4"/>
  <c r="AI63" i="4"/>
  <c r="AP14" i="4" l="1"/>
  <c r="AP21" i="4"/>
  <c r="AP22" i="4" s="1"/>
  <c r="AO47" i="4"/>
  <c r="AO46" i="4"/>
  <c r="AO56" i="4"/>
  <c r="AO54" i="4"/>
  <c r="AN4" i="9"/>
  <c r="AO55" i="4"/>
  <c r="AQ17" i="4"/>
  <c r="AN2" i="9"/>
  <c r="AP18" i="4"/>
  <c r="AP40" i="4" s="1"/>
  <c r="AR15" i="4"/>
  <c r="AN57" i="4"/>
  <c r="AM5" i="9" s="1"/>
  <c r="AM3" i="9" s="1"/>
  <c r="AM6" i="9" s="1"/>
  <c r="AP20" i="4"/>
  <c r="AO61" i="4"/>
  <c r="AN61" i="4"/>
  <c r="AN60" i="4"/>
  <c r="AN70" i="4" s="1"/>
  <c r="AM62" i="4"/>
  <c r="AQ5" i="4"/>
  <c r="AP59" i="4"/>
  <c r="AP39" i="4"/>
  <c r="AP78" i="4"/>
  <c r="AP24" i="4"/>
  <c r="AP13" i="4"/>
  <c r="AO1" i="9" s="1"/>
  <c r="AP69" i="4"/>
  <c r="AJ73" i="4"/>
  <c r="AJ63" i="4"/>
  <c r="AK35" i="4"/>
  <c r="AK74" i="4" s="1"/>
  <c r="AQ14" i="4" l="1"/>
  <c r="AR14" i="4" s="1"/>
  <c r="AS14" i="4" s="1"/>
  <c r="AQ21" i="4"/>
  <c r="AR21" i="4" s="1"/>
  <c r="AP56" i="4"/>
  <c r="AP54" i="4"/>
  <c r="AP47" i="4"/>
  <c r="AP46" i="4"/>
  <c r="AO4" i="9"/>
  <c r="AP55" i="4"/>
  <c r="AO2" i="9"/>
  <c r="AR17" i="4"/>
  <c r="AS17" i="4" s="1"/>
  <c r="AQ18" i="4"/>
  <c r="AQ40" i="4" s="1"/>
  <c r="AS15" i="4"/>
  <c r="AT15" i="4"/>
  <c r="AO57" i="4"/>
  <c r="AN5" i="9" s="1"/>
  <c r="AN3" i="9" s="1"/>
  <c r="AN6" i="9" s="1"/>
  <c r="AQ20" i="4"/>
  <c r="AP60" i="4"/>
  <c r="AN62" i="4"/>
  <c r="AO60" i="4"/>
  <c r="AO70" i="4" s="1"/>
  <c r="AQ13" i="4"/>
  <c r="AP1" i="9" s="1"/>
  <c r="AQ39" i="4"/>
  <c r="AQ59" i="4"/>
  <c r="AQ69" i="4"/>
  <c r="AQ78" i="4"/>
  <c r="AQ24" i="4"/>
  <c r="AK73" i="4"/>
  <c r="AK63" i="4"/>
  <c r="AL35" i="4"/>
  <c r="AL74" i="4" s="1"/>
  <c r="AQ56" i="4" l="1"/>
  <c r="AQ54" i="4"/>
  <c r="AQ47" i="4"/>
  <c r="AQ46" i="4"/>
  <c r="AR46" i="4" s="1"/>
  <c r="AR45" i="4"/>
  <c r="AR44" i="4"/>
  <c r="AP2" i="9"/>
  <c r="AR42" i="4"/>
  <c r="AR49" i="4"/>
  <c r="AR50" i="4"/>
  <c r="AR51" i="4"/>
  <c r="AR52" i="4"/>
  <c r="AR53" i="4"/>
  <c r="AQ22" i="4"/>
  <c r="AS21" i="4"/>
  <c r="AP57" i="4"/>
  <c r="AO5" i="9" s="1"/>
  <c r="AO3" i="9" s="1"/>
  <c r="AO6" i="9" s="1"/>
  <c r="AR22" i="4"/>
  <c r="AR18" i="4"/>
  <c r="AP61" i="4"/>
  <c r="AO62" i="4"/>
  <c r="AP70" i="4"/>
  <c r="AM35" i="4"/>
  <c r="AM74" i="4" s="1"/>
  <c r="AL73" i="4"/>
  <c r="AL63" i="4"/>
  <c r="AP4" i="9" l="1"/>
  <c r="AQ55" i="4"/>
  <c r="AQ57" i="4" s="1"/>
  <c r="AP5" i="9" s="1"/>
  <c r="AS42" i="4"/>
  <c r="AT42" i="4"/>
  <c r="AS51" i="4"/>
  <c r="AS53" i="4"/>
  <c r="AS49" i="4"/>
  <c r="AS44" i="4"/>
  <c r="AS46" i="4"/>
  <c r="AS52" i="4"/>
  <c r="AT52" i="4"/>
  <c r="AS50" i="4"/>
  <c r="AS45" i="4"/>
  <c r="AR47" i="4"/>
  <c r="AR48" i="4"/>
  <c r="AS18" i="4"/>
  <c r="AR54" i="4"/>
  <c r="AS54" i="4" s="1"/>
  <c r="AR41" i="4"/>
  <c r="AT41" i="4" s="1"/>
  <c r="AP62" i="4"/>
  <c r="AS22" i="4"/>
  <c r="AQ60" i="4"/>
  <c r="AQ70" i="4" s="1"/>
  <c r="AM73" i="4"/>
  <c r="AM63" i="4"/>
  <c r="AN35" i="4"/>
  <c r="AN74" i="4" s="1"/>
  <c r="AP3" i="9" l="1"/>
  <c r="AP6" i="9" s="1"/>
  <c r="AS48" i="4"/>
  <c r="AT48" i="4"/>
  <c r="AS47" i="4"/>
  <c r="AQ61" i="4"/>
  <c r="AR61" i="4" s="1"/>
  <c r="AS41" i="4"/>
  <c r="AR40" i="4"/>
  <c r="AR55" i="4"/>
  <c r="AR60" i="4"/>
  <c r="AR70" i="4"/>
  <c r="AO35" i="4"/>
  <c r="AO74" i="4" s="1"/>
  <c r="AN73" i="4"/>
  <c r="AN63" i="4"/>
  <c r="AS60" i="4" l="1"/>
  <c r="D2" i="9"/>
  <c r="AS61" i="4"/>
  <c r="D3" i="9"/>
  <c r="AS40" i="4"/>
  <c r="AS55" i="4"/>
  <c r="AQ62" i="4"/>
  <c r="AR62" i="4" s="1"/>
  <c r="AS70" i="4"/>
  <c r="AO73" i="4"/>
  <c r="AO63" i="4"/>
  <c r="AP35" i="4"/>
  <c r="AP74" i="4" s="1"/>
  <c r="AS62" i="4" l="1"/>
  <c r="AP73" i="4"/>
  <c r="AP63" i="4"/>
  <c r="AQ35" i="4" l="1"/>
  <c r="AQ74" i="4" s="1"/>
  <c r="AR32" i="4"/>
  <c r="AR35" i="4" l="1"/>
  <c r="AT35" i="4" s="1"/>
  <c r="AT32" i="4"/>
  <c r="AQ73" i="4"/>
  <c r="AQ63" i="4"/>
  <c r="AR74" i="4" l="1"/>
  <c r="AR73" i="4"/>
  <c r="AR63" i="4"/>
  <c r="F35" i="4" l="1"/>
  <c r="F73" i="4" s="1"/>
  <c r="P73" i="4" l="1"/>
  <c r="AT73" i="4" s="1"/>
  <c r="F63" i="4"/>
  <c r="F74" i="4"/>
  <c r="P74" i="4" l="1"/>
  <c r="AT74" i="4" s="1"/>
  <c r="P63" i="4"/>
  <c r="AT63" i="4" s="1"/>
  <c r="E71" i="4"/>
  <c r="E64" i="4"/>
  <c r="L71" i="4"/>
  <c r="L72" i="4" s="1"/>
  <c r="L64" i="4"/>
  <c r="H71" i="4"/>
  <c r="H72" i="4" s="1"/>
  <c r="H64" i="4"/>
  <c r="H65" i="4" s="1"/>
  <c r="K71" i="4"/>
  <c r="K72" i="4" s="1"/>
  <c r="K64" i="4"/>
  <c r="F71" i="4"/>
  <c r="F72" i="4" s="1"/>
  <c r="F64" i="4"/>
  <c r="N71" i="4"/>
  <c r="N72" i="4" s="1"/>
  <c r="N64" i="4"/>
  <c r="N66" i="4" s="1"/>
  <c r="I71" i="4"/>
  <c r="I72" i="4" s="1"/>
  <c r="I64" i="4"/>
  <c r="G71" i="4"/>
  <c r="G72" i="4" s="1"/>
  <c r="G64" i="4"/>
  <c r="J71" i="4"/>
  <c r="J72" i="4" s="1"/>
  <c r="J64" i="4"/>
  <c r="M71" i="4"/>
  <c r="M72" i="4" s="1"/>
  <c r="M64" i="4"/>
  <c r="O71" i="4"/>
  <c r="O72" i="4" s="1"/>
  <c r="O64" i="4"/>
  <c r="O65" i="4" s="1"/>
  <c r="O66" i="4" l="1"/>
  <c r="H66" i="4"/>
  <c r="N65" i="4"/>
  <c r="M66" i="4"/>
  <c r="M65" i="4"/>
  <c r="E65" i="4"/>
  <c r="E66" i="4"/>
  <c r="N82" i="4"/>
  <c r="N84" i="4" s="1"/>
  <c r="I66" i="4"/>
  <c r="I65" i="4"/>
  <c r="G66" i="4"/>
  <c r="G65" i="4"/>
  <c r="K65" i="4"/>
  <c r="K66" i="4"/>
  <c r="L66" i="4"/>
  <c r="L65" i="4"/>
  <c r="J65" i="4"/>
  <c r="J66" i="4"/>
  <c r="F66" i="4"/>
  <c r="F65" i="4"/>
  <c r="E72" i="4"/>
  <c r="H82" i="4" l="1"/>
  <c r="H84" i="4" s="1"/>
  <c r="O82" i="4"/>
  <c r="O84" i="4" s="1"/>
  <c r="K82" i="4"/>
  <c r="K84" i="4" s="1"/>
  <c r="I82" i="4"/>
  <c r="I84" i="4" s="1"/>
  <c r="F82" i="4"/>
  <c r="F84" i="4" s="1"/>
  <c r="G82" i="4"/>
  <c r="G84" i="4" s="1"/>
  <c r="E82" i="4"/>
  <c r="M82" i="4"/>
  <c r="M84" i="4" s="1"/>
  <c r="L82" i="4"/>
  <c r="L84" i="4" s="1"/>
  <c r="J82" i="4"/>
  <c r="J84" i="4" s="1"/>
  <c r="E84" i="4" l="1"/>
  <c r="AG71" i="4" l="1"/>
  <c r="AG72" i="4" s="1"/>
  <c r="AG64" i="4"/>
  <c r="V71" i="4"/>
  <c r="V72" i="4" s="1"/>
  <c r="V64" i="4"/>
  <c r="AB71" i="4"/>
  <c r="AB72" i="4" s="1"/>
  <c r="AB64" i="4"/>
  <c r="Y71" i="4"/>
  <c r="Y72" i="4" s="1"/>
  <c r="Y64" i="4"/>
  <c r="S71" i="4"/>
  <c r="S72" i="4" s="1"/>
  <c r="S64" i="4"/>
  <c r="AJ71" i="4"/>
  <c r="AJ72" i="4" s="1"/>
  <c r="AJ64" i="4"/>
  <c r="AI71" i="4"/>
  <c r="AI72" i="4" s="1"/>
  <c r="AI64" i="4"/>
  <c r="AH71" i="4"/>
  <c r="AH72" i="4" s="1"/>
  <c r="AH64" i="4"/>
  <c r="U71" i="4"/>
  <c r="U72" i="4" s="1"/>
  <c r="U64" i="4"/>
  <c r="AM71" i="4"/>
  <c r="AM72" i="4" s="1"/>
  <c r="AM64" i="4"/>
  <c r="Z71" i="4"/>
  <c r="Z64" i="4"/>
  <c r="W71" i="4"/>
  <c r="W72" i="4" s="1"/>
  <c r="W64" i="4"/>
  <c r="AQ71" i="4"/>
  <c r="AQ72" i="4" s="1"/>
  <c r="AQ64" i="4"/>
  <c r="T71" i="4"/>
  <c r="T72" i="4" s="1"/>
  <c r="T64" i="4"/>
  <c r="AK71" i="4"/>
  <c r="AK72" i="4" s="1"/>
  <c r="AK64" i="4"/>
  <c r="AN71" i="4"/>
  <c r="AN72" i="4" s="1"/>
  <c r="AN64" i="4"/>
  <c r="AO71" i="4"/>
  <c r="AO72" i="4" s="1"/>
  <c r="AO64" i="4"/>
  <c r="AP71" i="4"/>
  <c r="AP72" i="4" s="1"/>
  <c r="AP64" i="4"/>
  <c r="AA71" i="4"/>
  <c r="AA72" i="4" s="1"/>
  <c r="AA64" i="4"/>
  <c r="AL71" i="4"/>
  <c r="AL72" i="4" s="1"/>
  <c r="AL64" i="4"/>
  <c r="AC71" i="4"/>
  <c r="AC72" i="4" s="1"/>
  <c r="AC64" i="4"/>
  <c r="X71" i="4"/>
  <c r="X72" i="4" s="1"/>
  <c r="X64" i="4"/>
  <c r="Z72" i="4"/>
  <c r="AD56" i="4"/>
  <c r="AD57" i="4" s="1"/>
  <c r="AR56" i="4"/>
  <c r="AR57" i="4" s="1"/>
  <c r="R71" i="4" l="1"/>
  <c r="R64" i="4"/>
  <c r="AF71" i="4"/>
  <c r="AF64" i="4"/>
  <c r="AA65" i="4"/>
  <c r="AA66" i="4"/>
  <c r="AK66" i="4"/>
  <c r="AK65" i="4"/>
  <c r="AJ66" i="4"/>
  <c r="AJ65" i="4"/>
  <c r="S66" i="4"/>
  <c r="S65" i="4"/>
  <c r="V66" i="4"/>
  <c r="V65" i="4"/>
  <c r="X65" i="4"/>
  <c r="X66" i="4"/>
  <c r="W65" i="4"/>
  <c r="W66" i="4"/>
  <c r="AC65" i="4"/>
  <c r="AC66" i="4"/>
  <c r="AL66" i="4"/>
  <c r="AL65" i="4"/>
  <c r="AB66" i="4"/>
  <c r="AB65" i="4"/>
  <c r="AE56" i="4"/>
  <c r="AE57" i="4" s="1"/>
  <c r="AQ65" i="4"/>
  <c r="AQ66" i="4"/>
  <c r="AO66" i="4"/>
  <c r="AO65" i="4"/>
  <c r="AN65" i="4"/>
  <c r="AN66" i="4"/>
  <c r="AP65" i="4"/>
  <c r="AP66" i="4"/>
  <c r="AS56" i="4"/>
  <c r="AS57" i="4" s="1"/>
  <c r="AI66" i="4"/>
  <c r="AI65" i="4"/>
  <c r="Y66" i="4"/>
  <c r="Y65" i="4"/>
  <c r="U66" i="4"/>
  <c r="U65" i="4"/>
  <c r="AH66" i="4"/>
  <c r="AH65" i="4"/>
  <c r="Z66" i="4"/>
  <c r="Z65" i="4"/>
  <c r="T65" i="4"/>
  <c r="T66" i="4"/>
  <c r="AM65" i="4"/>
  <c r="AM66" i="4"/>
  <c r="AG65" i="4"/>
  <c r="AG66" i="4"/>
  <c r="AI82" i="4" l="1"/>
  <c r="AI84" i="4" s="1"/>
  <c r="AB82" i="4"/>
  <c r="AB84" i="4" s="1"/>
  <c r="AF65" i="4"/>
  <c r="AR64" i="4"/>
  <c r="AF66" i="4"/>
  <c r="AL82" i="4"/>
  <c r="AL84" i="4" s="1"/>
  <c r="X82" i="4"/>
  <c r="X84" i="4" s="1"/>
  <c r="V82" i="4"/>
  <c r="V84" i="4" s="1"/>
  <c r="AJ82" i="4"/>
  <c r="AJ84" i="4" s="1"/>
  <c r="AG82" i="4"/>
  <c r="AG84" i="4" s="1"/>
  <c r="Z82" i="4"/>
  <c r="Z84" i="4" s="1"/>
  <c r="AM82" i="4"/>
  <c r="AM84" i="4" s="1"/>
  <c r="T82" i="4"/>
  <c r="T84" i="4" s="1"/>
  <c r="U82" i="4"/>
  <c r="U84" i="4" s="1"/>
  <c r="AP82" i="4"/>
  <c r="AP84" i="4" s="1"/>
  <c r="AN82" i="4"/>
  <c r="AN84" i="4" s="1"/>
  <c r="AQ82" i="4"/>
  <c r="AQ84" i="4" s="1"/>
  <c r="AR71" i="4"/>
  <c r="AS71" i="4" s="1"/>
  <c r="AF72" i="4"/>
  <c r="W82" i="4"/>
  <c r="W84" i="4" s="1"/>
  <c r="AD64" i="4"/>
  <c r="C4" i="9" s="1"/>
  <c r="R65" i="4"/>
  <c r="R66" i="4"/>
  <c r="AA82" i="4"/>
  <c r="AA84" i="4" s="1"/>
  <c r="AC82" i="4"/>
  <c r="AC84" i="4" s="1"/>
  <c r="S82" i="4"/>
  <c r="S84" i="4" s="1"/>
  <c r="AH82" i="4"/>
  <c r="AH84" i="4" s="1"/>
  <c r="Y82" i="4"/>
  <c r="Y84" i="4" s="1"/>
  <c r="AO82" i="4"/>
  <c r="AO84" i="4" s="1"/>
  <c r="AD71" i="4"/>
  <c r="R72" i="4"/>
  <c r="AK82" i="4"/>
  <c r="AK84" i="4" s="1"/>
  <c r="AS64" i="4" l="1"/>
  <c r="D4" i="9"/>
  <c r="AE71" i="4"/>
  <c r="AR72" i="4"/>
  <c r="AS72" i="4" s="1"/>
  <c r="AE64" i="4"/>
  <c r="AR65" i="4"/>
  <c r="AS65" i="4" s="1"/>
  <c r="AD65" i="4"/>
  <c r="AF82" i="4"/>
  <c r="AF84" i="4" s="1"/>
  <c r="AR66" i="4"/>
  <c r="AD72" i="4"/>
  <c r="R82" i="4"/>
  <c r="AD66" i="4"/>
  <c r="AE66" i="4" l="1"/>
  <c r="I52" i="7" s="1"/>
  <c r="M2" i="7" s="1"/>
  <c r="C5" i="9"/>
  <c r="AS66" i="4"/>
  <c r="I54" i="7" s="1"/>
  <c r="M3" i="7" s="1"/>
  <c r="D5" i="9"/>
  <c r="AE72" i="4"/>
  <c r="AE65" i="4"/>
  <c r="R84" i="4"/>
  <c r="D52" i="7" l="1"/>
  <c r="L2" i="7" s="1"/>
  <c r="D54" i="7"/>
  <c r="L3" i="7" s="1"/>
  <c r="P17" i="4" l="1"/>
  <c r="AT17" i="4" s="1"/>
  <c r="AT18" i="4" s="1"/>
  <c r="P21" i="4"/>
  <c r="Q21" i="4" s="1"/>
  <c r="Q22" i="4" s="1"/>
  <c r="G29" i="7" s="1"/>
  <c r="D14" i="4"/>
  <c r="P14" i="4" s="1"/>
  <c r="D18" i="4"/>
  <c r="P53" i="4" l="1"/>
  <c r="Q53" i="4" s="1"/>
  <c r="G43" i="7" s="1"/>
  <c r="D40" i="4"/>
  <c r="D60" i="4"/>
  <c r="P60" i="4" s="1"/>
  <c r="AT60" i="4" s="1"/>
  <c r="D56" i="4"/>
  <c r="P56" i="4" s="1"/>
  <c r="Q56" i="4" s="1"/>
  <c r="G46" i="7" s="1"/>
  <c r="P18" i="4"/>
  <c r="Q17" i="4"/>
  <c r="Q18" i="4" s="1"/>
  <c r="Q14" i="4"/>
  <c r="D8" i="7" s="1"/>
  <c r="C8" i="7" s="1"/>
  <c r="AT14" i="4"/>
  <c r="P22" i="4"/>
  <c r="AT21" i="4"/>
  <c r="AT22" i="4" s="1"/>
  <c r="D37" i="4"/>
  <c r="E37" i="4" s="1"/>
  <c r="F37" i="4" s="1"/>
  <c r="G37" i="4" s="1"/>
  <c r="H37" i="4" s="1"/>
  <c r="I37" i="4" s="1"/>
  <c r="J37" i="4" s="1"/>
  <c r="K37" i="4" s="1"/>
  <c r="L37" i="4" s="1"/>
  <c r="M37" i="4" s="1"/>
  <c r="N37" i="4" s="1"/>
  <c r="O37" i="4" s="1"/>
  <c r="R37" i="4" s="1"/>
  <c r="S37" i="4" s="1"/>
  <c r="T37" i="4" s="1"/>
  <c r="U37" i="4" s="1"/>
  <c r="V37" i="4" s="1"/>
  <c r="W37" i="4" s="1"/>
  <c r="X37" i="4" s="1"/>
  <c r="Y37" i="4" s="1"/>
  <c r="Z37" i="4" s="1"/>
  <c r="AA37" i="4" s="1"/>
  <c r="AB37" i="4" s="1"/>
  <c r="AC37" i="4" s="1"/>
  <c r="AF37" i="4" s="1"/>
  <c r="AG37" i="4" s="1"/>
  <c r="AH37" i="4" s="1"/>
  <c r="AI37" i="4" s="1"/>
  <c r="AJ37" i="4" s="1"/>
  <c r="AK37" i="4" s="1"/>
  <c r="AL37" i="4" s="1"/>
  <c r="AM37" i="4" s="1"/>
  <c r="AN37" i="4" s="1"/>
  <c r="AO37" i="4" s="1"/>
  <c r="AP37" i="4" s="1"/>
  <c r="AQ37" i="4" s="1"/>
  <c r="P45" i="4"/>
  <c r="P49" i="4"/>
  <c r="P47" i="4"/>
  <c r="P50" i="4"/>
  <c r="D46" i="4"/>
  <c r="P46" i="4" s="1"/>
  <c r="P51" i="4"/>
  <c r="D22" i="4"/>
  <c r="G2" i="9"/>
  <c r="D54" i="4"/>
  <c r="P54" i="4" s="1"/>
  <c r="AT53" i="4" l="1"/>
  <c r="D55" i="4"/>
  <c r="P55" i="4" s="1"/>
  <c r="P40" i="4"/>
  <c r="D38" i="7"/>
  <c r="Q60" i="4"/>
  <c r="D70" i="4"/>
  <c r="P70" i="4" s="1"/>
  <c r="D42" i="7"/>
  <c r="B2" i="9"/>
  <c r="D46" i="7"/>
  <c r="D32" i="7"/>
  <c r="D33" i="7"/>
  <c r="D31" i="7"/>
  <c r="G8" i="7"/>
  <c r="AT56" i="4"/>
  <c r="D29" i="7"/>
  <c r="D43" i="7"/>
  <c r="AT49" i="4"/>
  <c r="Q49" i="4"/>
  <c r="Q54" i="4"/>
  <c r="AT54" i="4"/>
  <c r="AT51" i="4"/>
  <c r="Q51" i="4"/>
  <c r="Q47" i="4"/>
  <c r="AT47" i="4"/>
  <c r="AT50" i="4"/>
  <c r="Q50" i="4"/>
  <c r="D61" i="4"/>
  <c r="G4" i="9"/>
  <c r="Q46" i="4"/>
  <c r="AT46" i="4"/>
  <c r="P44" i="4"/>
  <c r="Q45" i="4"/>
  <c r="AT45" i="4"/>
  <c r="D57" i="4" l="1"/>
  <c r="G5" i="9" s="1"/>
  <c r="G3" i="9" s="1"/>
  <c r="G6" i="9" s="1"/>
  <c r="G35" i="7"/>
  <c r="D35" i="7" s="1"/>
  <c r="G37" i="7"/>
  <c r="D37" i="7" s="1"/>
  <c r="G36" i="7"/>
  <c r="D36" i="7" s="1"/>
  <c r="G44" i="7"/>
  <c r="D44" i="7" s="1"/>
  <c r="G40" i="7"/>
  <c r="D40" i="7" s="1"/>
  <c r="G41" i="7"/>
  <c r="D41" i="7" s="1"/>
  <c r="G39" i="7"/>
  <c r="D39" i="7" s="1"/>
  <c r="Q40" i="4"/>
  <c r="G30" i="7" s="1"/>
  <c r="D30" i="7" s="1"/>
  <c r="AT40" i="4"/>
  <c r="Q55" i="4"/>
  <c r="AT55" i="4"/>
  <c r="I8" i="7"/>
  <c r="E8" i="7"/>
  <c r="P57" i="4"/>
  <c r="Q44" i="4"/>
  <c r="G34" i="7" s="1"/>
  <c r="AT44" i="4"/>
  <c r="AT70" i="4"/>
  <c r="Q70" i="4"/>
  <c r="P61" i="4"/>
  <c r="D62" i="4"/>
  <c r="D64" i="4" l="1"/>
  <c r="P64" i="4" s="1"/>
  <c r="B4" i="9" s="1"/>
  <c r="D71" i="4"/>
  <c r="P71" i="4" s="1"/>
  <c r="G45" i="7"/>
  <c r="D45" i="7" s="1"/>
  <c r="AT57" i="4"/>
  <c r="P62" i="4"/>
  <c r="B3" i="9"/>
  <c r="AT61" i="4"/>
  <c r="Q61" i="4"/>
  <c r="Q57" i="4"/>
  <c r="D66" i="4" l="1"/>
  <c r="P66" i="4" s="1"/>
  <c r="AT64" i="4"/>
  <c r="D65" i="4"/>
  <c r="D67" i="4" s="1"/>
  <c r="E67" i="4" s="1"/>
  <c r="Q64" i="4"/>
  <c r="D72" i="4"/>
  <c r="P72" i="4" s="1"/>
  <c r="D34" i="7"/>
  <c r="D47" i="7" s="1"/>
  <c r="G47" i="7"/>
  <c r="AT62" i="4"/>
  <c r="Q62" i="4"/>
  <c r="Q71" i="4"/>
  <c r="AT71" i="4"/>
  <c r="D93" i="4" l="1"/>
  <c r="D82" i="4"/>
  <c r="D84" i="4" s="1"/>
  <c r="D85" i="4" s="1"/>
  <c r="E85" i="4" s="1"/>
  <c r="F85" i="4" s="1"/>
  <c r="G85" i="4" s="1"/>
  <c r="H85" i="4" s="1"/>
  <c r="I85" i="4" s="1"/>
  <c r="J85" i="4" s="1"/>
  <c r="K85" i="4" s="1"/>
  <c r="L85" i="4" s="1"/>
  <c r="M85" i="4" s="1"/>
  <c r="N85" i="4" s="1"/>
  <c r="O85" i="4" s="1"/>
  <c r="R85" i="4" s="1"/>
  <c r="S85" i="4" s="1"/>
  <c r="T85" i="4" s="1"/>
  <c r="U85" i="4" s="1"/>
  <c r="V85" i="4" s="1"/>
  <c r="W85" i="4" s="1"/>
  <c r="X85" i="4" s="1"/>
  <c r="Y85" i="4" s="1"/>
  <c r="Z85" i="4" s="1"/>
  <c r="AA85" i="4" s="1"/>
  <c r="AB85" i="4" s="1"/>
  <c r="AC85" i="4" s="1"/>
  <c r="AF85" i="4" s="1"/>
  <c r="AG85" i="4" s="1"/>
  <c r="AH85" i="4" s="1"/>
  <c r="AI85" i="4" s="1"/>
  <c r="AJ85" i="4" s="1"/>
  <c r="AK85" i="4" s="1"/>
  <c r="AL85" i="4" s="1"/>
  <c r="AM85" i="4" s="1"/>
  <c r="AN85" i="4" s="1"/>
  <c r="AO85" i="4" s="1"/>
  <c r="AP85" i="4" s="1"/>
  <c r="AQ85" i="4" s="1"/>
  <c r="P65" i="4"/>
  <c r="Q65" i="4" s="1"/>
  <c r="D76" i="4"/>
  <c r="E75" i="4" s="1"/>
  <c r="E76" i="4" s="1"/>
  <c r="F75" i="4" s="1"/>
  <c r="F76" i="4" s="1"/>
  <c r="G75" i="4" s="1"/>
  <c r="G76" i="4" s="1"/>
  <c r="H75" i="4" s="1"/>
  <c r="H76" i="4" s="1"/>
  <c r="I75" i="4" s="1"/>
  <c r="I76" i="4" s="1"/>
  <c r="J75" i="4" s="1"/>
  <c r="J76" i="4" s="1"/>
  <c r="K75" i="4" s="1"/>
  <c r="K76" i="4" s="1"/>
  <c r="L75" i="4" s="1"/>
  <c r="L76" i="4" s="1"/>
  <c r="M75" i="4" s="1"/>
  <c r="M76" i="4" s="1"/>
  <c r="N75" i="4" s="1"/>
  <c r="N76" i="4" s="1"/>
  <c r="O75" i="4" s="1"/>
  <c r="O76" i="4" s="1"/>
  <c r="P76" i="4" s="1"/>
  <c r="D92" i="4"/>
  <c r="E93" i="4"/>
  <c r="F93" i="4" s="1"/>
  <c r="G93" i="4" s="1"/>
  <c r="H93" i="4" s="1"/>
  <c r="I93" i="4" s="1"/>
  <c r="J93" i="4" s="1"/>
  <c r="K93" i="4" s="1"/>
  <c r="L93" i="4" s="1"/>
  <c r="M93" i="4" s="1"/>
  <c r="N93" i="4" s="1"/>
  <c r="O93" i="4" s="1"/>
  <c r="R93" i="4" s="1"/>
  <c r="S93" i="4" s="1"/>
  <c r="T93" i="4" s="1"/>
  <c r="U93" i="4" s="1"/>
  <c r="V93" i="4" s="1"/>
  <c r="W93" i="4" s="1"/>
  <c r="X93" i="4" s="1"/>
  <c r="Y93" i="4" s="1"/>
  <c r="Z93" i="4" s="1"/>
  <c r="AA93" i="4" s="1"/>
  <c r="AB93" i="4" s="1"/>
  <c r="AC93" i="4" s="1"/>
  <c r="AF93" i="4" s="1"/>
  <c r="AG93" i="4" s="1"/>
  <c r="AH93" i="4" s="1"/>
  <c r="AI93" i="4" s="1"/>
  <c r="AJ93" i="4" s="1"/>
  <c r="AK93" i="4" s="1"/>
  <c r="AL93" i="4" s="1"/>
  <c r="AM93" i="4" s="1"/>
  <c r="AN93" i="4" s="1"/>
  <c r="AO93" i="4" s="1"/>
  <c r="AP93" i="4" s="1"/>
  <c r="AQ93" i="4" s="1"/>
  <c r="B5" i="9"/>
  <c r="Q66" i="4"/>
  <c r="AT72" i="4"/>
  <c r="Q72" i="4"/>
  <c r="F67" i="4"/>
  <c r="E92" i="4"/>
  <c r="D83" i="4" l="1"/>
  <c r="E83" i="4" s="1"/>
  <c r="F83" i="4" s="1"/>
  <c r="G83" i="4" s="1"/>
  <c r="H83" i="4" s="1"/>
  <c r="I83" i="4" s="1"/>
  <c r="J83" i="4" s="1"/>
  <c r="K83" i="4" s="1"/>
  <c r="L83" i="4" s="1"/>
  <c r="M83" i="4" s="1"/>
  <c r="N83" i="4" s="1"/>
  <c r="O83" i="4" s="1"/>
  <c r="R83" i="4" s="1"/>
  <c r="S83" i="4" s="1"/>
  <c r="T83" i="4" s="1"/>
  <c r="U83" i="4" s="1"/>
  <c r="V83" i="4" s="1"/>
  <c r="W83" i="4" s="1"/>
  <c r="X83" i="4" s="1"/>
  <c r="Y83" i="4" s="1"/>
  <c r="Z83" i="4" s="1"/>
  <c r="AA83" i="4" s="1"/>
  <c r="AB83" i="4" s="1"/>
  <c r="AC83" i="4" s="1"/>
  <c r="AF83" i="4" s="1"/>
  <c r="AG83" i="4" s="1"/>
  <c r="AH83" i="4" s="1"/>
  <c r="AI83" i="4" s="1"/>
  <c r="AJ83" i="4" s="1"/>
  <c r="AK83" i="4" s="1"/>
  <c r="AL83" i="4" s="1"/>
  <c r="AM83" i="4" s="1"/>
  <c r="AN83" i="4" s="1"/>
  <c r="AO83" i="4" s="1"/>
  <c r="AP83" i="4" s="1"/>
  <c r="AQ83" i="4" s="1"/>
  <c r="AT65" i="4"/>
  <c r="R75" i="4"/>
  <c r="AD75" i="4" s="1"/>
  <c r="AT93" i="4"/>
  <c r="AT95" i="4" s="1"/>
  <c r="B90" i="4" s="1"/>
  <c r="D56" i="7" s="1"/>
  <c r="L4" i="7" s="1"/>
  <c r="B87" i="4"/>
  <c r="B88" i="4"/>
  <c r="F92" i="4"/>
  <c r="G67" i="4"/>
  <c r="D50" i="7"/>
  <c r="L1" i="7" s="1"/>
  <c r="I50" i="7"/>
  <c r="M1" i="7" s="1"/>
  <c r="R76" i="4" l="1"/>
  <c r="S75" i="4" s="1"/>
  <c r="S76" i="4" s="1"/>
  <c r="T75" i="4" s="1"/>
  <c r="T76" i="4" s="1"/>
  <c r="U75" i="4" s="1"/>
  <c r="U76" i="4" s="1"/>
  <c r="V75" i="4" s="1"/>
  <c r="V76" i="4" s="1"/>
  <c r="W75" i="4" s="1"/>
  <c r="W76" i="4" s="1"/>
  <c r="X75" i="4" s="1"/>
  <c r="X76" i="4" s="1"/>
  <c r="Y75" i="4" s="1"/>
  <c r="Y76" i="4" s="1"/>
  <c r="Z75" i="4" s="1"/>
  <c r="Z76" i="4" s="1"/>
  <c r="AA75" i="4" s="1"/>
  <c r="AA76" i="4" s="1"/>
  <c r="AB75" i="4" s="1"/>
  <c r="AB76" i="4" s="1"/>
  <c r="AC75" i="4" s="1"/>
  <c r="AC76" i="4" s="1"/>
  <c r="AD76" i="4" s="1"/>
  <c r="G92" i="4"/>
  <c r="H67" i="4"/>
  <c r="AF75" i="4" l="1"/>
  <c r="AF76" i="4" s="1"/>
  <c r="AG75" i="4" s="1"/>
  <c r="AG76" i="4" s="1"/>
  <c r="AH75" i="4" s="1"/>
  <c r="AH76" i="4" s="1"/>
  <c r="AI75" i="4" s="1"/>
  <c r="AI76" i="4" s="1"/>
  <c r="AJ75" i="4" s="1"/>
  <c r="AJ76" i="4" s="1"/>
  <c r="AK75" i="4" s="1"/>
  <c r="AK76" i="4" s="1"/>
  <c r="AL75" i="4" s="1"/>
  <c r="AL76" i="4" s="1"/>
  <c r="AM75" i="4" s="1"/>
  <c r="AM76" i="4" s="1"/>
  <c r="AN75" i="4" s="1"/>
  <c r="AN76" i="4" s="1"/>
  <c r="AO75" i="4" s="1"/>
  <c r="AO76" i="4" s="1"/>
  <c r="AP75" i="4" s="1"/>
  <c r="AP76" i="4" s="1"/>
  <c r="AQ75" i="4" s="1"/>
  <c r="AQ76" i="4" s="1"/>
  <c r="AR76" i="4" s="1"/>
  <c r="AT76" i="4" s="1"/>
  <c r="I67" i="4"/>
  <c r="H92" i="4"/>
  <c r="AR75" i="4" l="1"/>
  <c r="J67" i="4"/>
  <c r="I92" i="4"/>
  <c r="J92" i="4" l="1"/>
  <c r="K67" i="4"/>
  <c r="K92" i="4" l="1"/>
  <c r="L67" i="4"/>
  <c r="L92" i="4" l="1"/>
  <c r="M67" i="4"/>
  <c r="N67" i="4" l="1"/>
  <c r="M92" i="4"/>
  <c r="N92" i="4" l="1"/>
  <c r="O67" i="4"/>
  <c r="P67" i="4" l="1"/>
  <c r="O92" i="4"/>
  <c r="R67" i="4"/>
  <c r="S67" i="4" l="1"/>
  <c r="R92" i="4"/>
  <c r="T67" i="4" l="1"/>
  <c r="S92" i="4"/>
  <c r="T92" i="4" l="1"/>
  <c r="U67" i="4"/>
  <c r="U92" i="4" l="1"/>
  <c r="V67" i="4"/>
  <c r="V92" i="4" l="1"/>
  <c r="W67" i="4"/>
  <c r="X67" i="4" l="1"/>
  <c r="W92" i="4"/>
  <c r="X92" i="4" l="1"/>
  <c r="Y67" i="4"/>
  <c r="Y92" i="4" l="1"/>
  <c r="Z67" i="4"/>
  <c r="AA67" i="4" l="1"/>
  <c r="Z92" i="4"/>
  <c r="AA92" i="4" l="1"/>
  <c r="AB67" i="4"/>
  <c r="AB92" i="4" l="1"/>
  <c r="AC67" i="4"/>
  <c r="AD67" i="4" l="1"/>
  <c r="AC92" i="4"/>
  <c r="AF67" i="4"/>
  <c r="AF92" i="4" l="1"/>
  <c r="AG67" i="4"/>
  <c r="AG92" i="4" l="1"/>
  <c r="AH67" i="4"/>
  <c r="AH92" i="4" l="1"/>
  <c r="AI67" i="4"/>
  <c r="AI92" i="4" l="1"/>
  <c r="AJ67" i="4"/>
  <c r="AK67" i="4" l="1"/>
  <c r="AJ92" i="4"/>
  <c r="AK92" i="4" l="1"/>
  <c r="AL67" i="4"/>
  <c r="AL92" i="4" l="1"/>
  <c r="AM67" i="4"/>
  <c r="AM92" i="4" l="1"/>
  <c r="AN67" i="4"/>
  <c r="AO67" i="4" l="1"/>
  <c r="AN92" i="4"/>
  <c r="AO92" i="4" l="1"/>
  <c r="AP67" i="4"/>
  <c r="AQ67" i="4" l="1"/>
  <c r="AP92" i="4"/>
  <c r="AR67" i="4" l="1"/>
  <c r="AQ92" i="4"/>
  <c r="AT92" i="4" s="1"/>
  <c r="AT94" i="4" s="1"/>
  <c r="B89" i="4" s="1"/>
  <c r="E1" i="4" l="1"/>
  <c r="D58" i="7"/>
  <c r="L6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Яна Мирская</author>
  </authors>
  <commentList>
    <comment ref="A65" authorId="0" shapeId="0" xr:uid="{24B7B550-0AAC-4301-978B-38E2461BFEDE}">
      <text>
        <r>
          <rPr>
            <b/>
            <sz val="9"/>
            <color indexed="81"/>
            <rFont val="Tahoma"/>
            <family val="2"/>
            <charset val="204"/>
          </rPr>
          <t>Виручка - собівартість -  поточні витрати  - інвестиції , т.б. чистий прибуток - інвестиції</t>
        </r>
      </text>
    </comment>
    <comment ref="A66" authorId="0" shapeId="0" xr:uid="{F4B2F411-F4E1-4E8E-B26B-445188111C77}">
      <text>
        <r>
          <rPr>
            <b/>
            <sz val="9"/>
            <color indexed="81"/>
            <rFont val="Tahoma"/>
            <family val="2"/>
            <charset val="204"/>
          </rPr>
          <t>Виручка - собівартість -  поточні витрати  = чистий прибуток</t>
        </r>
      </text>
    </comment>
    <comment ref="A67" authorId="0" shapeId="0" xr:uid="{02DD58DB-1A27-4469-8446-F00FA5C677AC}">
      <text>
        <r>
          <rPr>
            <b/>
            <sz val="9"/>
            <color indexed="81"/>
            <rFont val="Tahoma"/>
            <family val="2"/>
            <charset val="204"/>
          </rPr>
          <t>Чистий прибуток сумарно за кожний місяць - інвестиції.
Показує з якого місяцю проект окупився</t>
        </r>
      </text>
    </comment>
    <comment ref="A70" authorId="0" shapeId="0" xr:uid="{9A14C7FF-07A7-4DE6-AE24-869DBCB2856E}">
      <text>
        <r>
          <rPr>
            <b/>
            <sz val="9"/>
            <color indexed="81"/>
            <rFont val="Tahoma"/>
            <family val="2"/>
            <charset val="204"/>
          </rPr>
          <t>Виручка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71" authorId="0" shapeId="0" xr:uid="{D8685AF7-E2BF-42CF-A574-A0E5240C60F6}">
      <text>
        <r>
          <rPr>
            <b/>
            <sz val="9"/>
            <color indexed="81"/>
            <rFont val="Tahoma"/>
            <family val="2"/>
            <charset val="204"/>
          </rPr>
          <t>Собівартість + поточні витрати</t>
        </r>
      </text>
    </comment>
    <comment ref="A72" authorId="0" shapeId="0" xr:uid="{583E2909-0E63-4DEB-A60F-0D944E8FB106}">
      <text>
        <r>
          <rPr>
            <b/>
            <sz val="9"/>
            <color indexed="81"/>
            <rFont val="Tahoma"/>
            <family val="2"/>
            <charset val="204"/>
          </rPr>
          <t>чистий прибуток</t>
        </r>
      </text>
    </comment>
    <comment ref="A73" authorId="0" shapeId="0" xr:uid="{95EE7183-187C-4FC5-88EC-C98BAA2F0142}">
      <text>
        <r>
          <rPr>
            <b/>
            <sz val="9"/>
            <color indexed="81"/>
            <rFont val="Tahoma"/>
            <family val="2"/>
            <charset val="204"/>
          </rPr>
          <t>інвестиції</t>
        </r>
      </text>
    </comment>
    <comment ref="A74" authorId="0" shapeId="0" xr:uid="{CDBD52B2-DD49-497E-9578-AC89EC35E65D}">
      <text>
        <r>
          <rPr>
            <b/>
            <sz val="9"/>
            <color indexed="81"/>
            <rFont val="Tahoma"/>
            <family val="2"/>
            <charset val="204"/>
          </rPr>
          <t>залучені кошти для здійснення інвестицій</t>
        </r>
      </text>
    </comment>
    <comment ref="A75" authorId="0" shapeId="0" xr:uid="{7395C29F-0F11-4A6B-97F7-5EA511C110E2}">
      <text>
        <r>
          <rPr>
            <b/>
            <sz val="9"/>
            <color indexed="81"/>
            <rFont val="Tahoma"/>
            <family val="2"/>
            <charset val="204"/>
          </rPr>
          <t>Кошти на початок місяцю (накопичений  чистий прибуток за минулі місяці)</t>
        </r>
      </text>
    </comment>
    <comment ref="A76" authorId="0" shapeId="0" xr:uid="{FFF5FB8B-F4EA-408B-BC06-371FD91F01D6}">
      <text>
        <r>
          <rPr>
            <b/>
            <sz val="9"/>
            <color indexed="81"/>
            <rFont val="Tahoma"/>
            <family val="2"/>
            <charset val="204"/>
          </rPr>
          <t>Кошти на кінець місяця (накопичений чистий прибуток за минулі місяці з урахуванням поточного місяцю)</t>
        </r>
      </text>
    </comment>
    <comment ref="A80" authorId="0" shapeId="0" xr:uid="{1653C1A5-7888-4B53-A28B-954507B5F795}">
      <text>
        <r>
          <rPr>
            <b/>
            <sz val="9"/>
            <color indexed="81"/>
            <rFont val="Tahoma"/>
            <family val="2"/>
            <charset val="204"/>
          </rPr>
          <t>коефіцієнт знецінення грошей</t>
        </r>
      </text>
    </comment>
    <comment ref="A82" authorId="0" shapeId="0" xr:uid="{F16484C2-A4FA-4FB3-993A-F199F11B1F98}">
      <text>
        <r>
          <rPr>
            <b/>
            <sz val="9"/>
            <color indexed="81"/>
            <rFont val="Tahoma"/>
            <family val="2"/>
            <charset val="204"/>
          </rPr>
          <t>чистий прибуток щомісячно</t>
        </r>
      </text>
    </comment>
    <comment ref="A83" authorId="0" shapeId="0" xr:uid="{BB94159C-B5F7-4F75-BF2C-D67633786CCE}">
      <text>
        <r>
          <rPr>
            <b/>
            <sz val="9"/>
            <color indexed="81"/>
            <rFont val="Tahoma"/>
            <family val="2"/>
            <charset val="204"/>
          </rPr>
          <t>чистий прибуток сумарно за кожний місяць</t>
        </r>
      </text>
    </comment>
    <comment ref="A84" authorId="0" shapeId="0" xr:uid="{E44F176C-3DDF-4E0D-A726-C6D4C142AF9B}">
      <text>
        <r>
          <rPr>
            <b/>
            <sz val="9"/>
            <color indexed="81"/>
            <rFont val="Tahoma"/>
            <family val="2"/>
            <charset val="204"/>
          </rPr>
          <t>чистий прибуток помісячно з урахуванням застосування дисконтування (знецінення грошей)</t>
        </r>
      </text>
    </comment>
    <comment ref="A85" authorId="0" shapeId="0" xr:uid="{FA469599-B311-47D9-BBB3-DA3F015F09E9}">
      <text>
        <r>
          <rPr>
            <b/>
            <sz val="9"/>
            <color indexed="81"/>
            <rFont val="Tahoma"/>
            <family val="2"/>
            <charset val="204"/>
          </rPr>
          <t>чистий прибуток сумарно за кожний місяць з урахуванням застосування дисконтування (знецінення грошей)</t>
        </r>
      </text>
    </comment>
    <comment ref="A87" authorId="0" shapeId="0" xr:uid="{57BEF8F9-08C6-4F77-8C52-27A8ACCACA49}">
      <text>
        <r>
          <rPr>
            <b/>
            <sz val="9"/>
            <color indexed="81"/>
            <rFont val="Tahoma"/>
            <family val="2"/>
            <charset val="204"/>
          </rPr>
          <t>Дисконтований  чистий прибуток сумарно за 3 роки - інвестиції</t>
        </r>
      </text>
    </comment>
    <comment ref="A88" authorId="0" shapeId="0" xr:uid="{25DAA6AE-F2FA-4F6C-837C-F10DA2968DAD}">
      <text>
        <r>
          <rPr>
            <b/>
            <sz val="9"/>
            <color indexed="81"/>
            <rFont val="Tahoma"/>
            <family val="2"/>
            <charset val="204"/>
          </rPr>
          <t>В скільки разів дисконтований чистий прибуток сумарно за 3 роки перевищує інвестиції. Повинен бути більше 1</t>
        </r>
      </text>
    </comment>
    <comment ref="A89" authorId="0" shapeId="0" xr:uid="{AFE05D10-8360-4EC8-880D-6BFABE426C42}">
      <text>
        <r>
          <rPr>
            <b/>
            <sz val="9"/>
            <color indexed="81"/>
            <rFont val="Tahoma"/>
            <family val="2"/>
            <charset val="204"/>
          </rPr>
          <t>Кількість місяців, за які накопичений (сумарний) чистий прибуток перевищить розмір інвестицій</t>
        </r>
      </text>
    </comment>
    <comment ref="A90" authorId="0" shapeId="0" xr:uid="{13BC99F4-F359-4B31-B7B2-DA10E03CE413}">
      <text>
        <r>
          <rPr>
            <b/>
            <sz val="9"/>
            <color indexed="81"/>
            <rFont val="Tahoma"/>
            <family val="2"/>
            <charset val="204"/>
          </rPr>
          <t>Кількість місяців, за які з'явиться чистий прибуток, т.б виручка - поточні витрати &gt;0</t>
        </r>
      </text>
    </comment>
  </commentList>
</comments>
</file>

<file path=xl/sharedStrings.xml><?xml version="1.0" encoding="utf-8"?>
<sst xmlns="http://schemas.openxmlformats.org/spreadsheetml/2006/main" count="275" uniqueCount="190">
  <si>
    <t>USD</t>
  </si>
  <si>
    <t>EUR</t>
  </si>
  <si>
    <t>RUB</t>
  </si>
  <si>
    <t>Персонал</t>
  </si>
  <si>
    <t>UAH</t>
  </si>
  <si>
    <t>Зміни необхідно вносити тільки в комірки, які окрашені в сірий колір</t>
  </si>
  <si>
    <t>Валюта, в якій виконується розрахунок</t>
  </si>
  <si>
    <t>Місяць, з якого починається робота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</si>
  <si>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</si>
  <si>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</si>
  <si>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</si>
  <si>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</si>
  <si>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</si>
  <si>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</si>
  <si>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</si>
  <si>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</si>
  <si>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</si>
  <si>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</si>
  <si>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</si>
  <si>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</si>
  <si>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Курс валют (1 одиниця валюти = вказаній кількості гривень)</t>
  </si>
  <si>
    <t>Фінансові параметри</t>
  </si>
  <si>
    <t>UAH/міс.</t>
  </si>
  <si>
    <t>Разом</t>
  </si>
  <si>
    <t>2-й рік роботи</t>
  </si>
  <si>
    <t>3-й рік роботи</t>
  </si>
  <si>
    <t>Ріст заробітної плати (фіксованого окладу)**, %</t>
  </si>
  <si>
    <t>Ріст орендної плати**, %</t>
  </si>
  <si>
    <t>Коефіцієнт дисконтування, % річних</t>
  </si>
  <si>
    <t>Інвестиції у відкриття</t>
  </si>
  <si>
    <t>Відеоспостереження</t>
  </si>
  <si>
    <t>Сигналізація (охоронна та пожежна)</t>
  </si>
  <si>
    <t>Рекламна кампанія до відкриття</t>
  </si>
  <si>
    <t>Паушальний внесок</t>
  </si>
  <si>
    <t>Інше</t>
  </si>
  <si>
    <t>Разом:</t>
  </si>
  <si>
    <t>Посадові одиниці</t>
  </si>
  <si>
    <t>Кількість співробітників, чол.</t>
  </si>
  <si>
    <t xml:space="preserve"> * - База нарахування бонусу</t>
  </si>
  <si>
    <t>Поточні витрати</t>
  </si>
  <si>
    <t>UAH/міс.* або %</t>
  </si>
  <si>
    <t>Роялті</t>
  </si>
  <si>
    <t>Комунальні платежі</t>
  </si>
  <si>
    <t>Господарські потреби</t>
  </si>
  <si>
    <t>Уніформа персоналу*</t>
  </si>
  <si>
    <t>Охорона</t>
  </si>
  <si>
    <t>Послуги зв'язку та інтернет</t>
  </si>
  <si>
    <r>
      <t>Податки</t>
    </r>
    <r>
      <rPr>
        <b/>
        <sz val="16"/>
        <color rgb="FFFF0000"/>
        <rFont val="Calibri"/>
        <family val="2"/>
        <charset val="204"/>
        <scheme val="minor"/>
      </rPr>
      <t>**</t>
    </r>
    <r>
      <rPr>
        <b/>
        <sz val="16"/>
        <color theme="6" tint="-0.499984740745262"/>
        <rFont val="Calibri"/>
        <family val="2"/>
        <charset val="204"/>
        <scheme val="minor"/>
      </rPr>
      <t>, % від загальної виручки</t>
    </r>
  </si>
  <si>
    <t>% від загальної виручки</t>
  </si>
  <si>
    <r>
      <t>Податки</t>
    </r>
    <r>
      <rPr>
        <b/>
        <sz val="16"/>
        <color rgb="FFFF0000"/>
        <rFont val="Calibri"/>
        <family val="2"/>
        <charset val="204"/>
        <scheme val="minor"/>
      </rPr>
      <t>**</t>
    </r>
    <r>
      <rPr>
        <b/>
        <sz val="16"/>
        <color theme="6" tint="-0.499984740745262"/>
        <rFont val="Calibri"/>
        <family val="2"/>
        <charset val="204"/>
        <scheme val="minor"/>
      </rPr>
      <t>, фіксована сума</t>
    </r>
  </si>
  <si>
    <t>% виручки, який проходить по безготівковому розрахунку</t>
  </si>
  <si>
    <t>розмір банківської комісії</t>
  </si>
  <si>
    <t>фіксована сума</t>
  </si>
  <si>
    <t>Вид оподаткування</t>
  </si>
  <si>
    <t>Собівартість</t>
  </si>
  <si>
    <t>Середньомісячна сума витрат за 1-й рік роботи</t>
  </si>
  <si>
    <t>Зарплата персоналу</t>
  </si>
  <si>
    <t>Уніформа персоналу</t>
  </si>
  <si>
    <t>Податки на зарплату</t>
  </si>
  <si>
    <t>Податки</t>
  </si>
  <si>
    <t>Рентабельність (чистий прибуток/виручка), %</t>
  </si>
  <si>
    <t>міс.</t>
  </si>
  <si>
    <t>Середньомісячний чистий прибуток 
за 1-й рік роботи</t>
  </si>
  <si>
    <t>Середньомісячний чистий прибуток 
за 2-й рік роботи</t>
  </si>
  <si>
    <t>Середньомісячний чистий прибуток 
за 3-й рік роботи</t>
  </si>
  <si>
    <t>Вихід на самоокупність з</t>
  </si>
  <si>
    <t>Окупність інвестицій</t>
  </si>
  <si>
    <t>Питома вага в обсязі виручки за 1-й рік роботи</t>
  </si>
  <si>
    <t>1-й рік роботи</t>
  </si>
  <si>
    <t>ЗАВАНТАЖЕННЯ</t>
  </si>
  <si>
    <t>Вихід продажів на планові показники та подальше збільшення обсягів*</t>
  </si>
  <si>
    <t>Ріст заробітної плати (фіксованого окладу)*</t>
  </si>
  <si>
    <t>Ріст орендної плати*</t>
  </si>
  <si>
    <t xml:space="preserve"> * - по відношенню до даних, що вказані на сторінці "Вхідні дані".</t>
  </si>
  <si>
    <t>ДИНАМІКА ПРОДАЖІВ</t>
  </si>
  <si>
    <t>ДИНАМІКА СОБІВАРТОСТІ</t>
  </si>
  <si>
    <t>ІНВЕСТИЦІЇ</t>
  </si>
  <si>
    <t>ПОТОЧНІ ВИТРАТИ</t>
  </si>
  <si>
    <t>ЗВІТ ПРО ПРИБУТКИ ТА ЗБИТКИ</t>
  </si>
  <si>
    <t>Виручка</t>
  </si>
  <si>
    <t>Валовий прибуток</t>
  </si>
  <si>
    <t>РУХ ГРОШОВИХ КОШТІВ (КЕШ-ФЛО)</t>
  </si>
  <si>
    <t>Надходження від основної діяльності</t>
  </si>
  <si>
    <t>Кеш-фло від оперативної діяльності</t>
  </si>
  <si>
    <t>Кеш-фло від інвестиційної діяльності</t>
  </si>
  <si>
    <t>Кеш-фло від фінансової діяльності</t>
  </si>
  <si>
    <t>Баланс готівки на початок періоду</t>
  </si>
  <si>
    <t>Баланс готівки на кінець періоду</t>
  </si>
  <si>
    <t>ОКУПНІСТЬ ПРОЕКТУ</t>
  </si>
  <si>
    <t>Індекс прибутковості проекту (PI)</t>
  </si>
  <si>
    <t>Строк окупності проекту з урахуванням інвестицій, міс.:</t>
  </si>
  <si>
    <t>Строк виходу на самоокупність проекту, міс.:</t>
  </si>
  <si>
    <t>Разом за 1-й рік</t>
  </si>
  <si>
    <t>Середньомісячно за 1-й рік</t>
  </si>
  <si>
    <t>Разом за 2-й рік</t>
  </si>
  <si>
    <t>Середньомісячно за 2-й рік</t>
  </si>
  <si>
    <t>Разом за 3-й рік</t>
  </si>
  <si>
    <t>Середньомісячно за 3-й рік</t>
  </si>
  <si>
    <t>Разом за три роки</t>
  </si>
  <si>
    <t>Середній чек</t>
  </si>
  <si>
    <t>Параметри сезонності та виходу продажів на планові показники та подальше збільшення обсягів продажів</t>
  </si>
  <si>
    <t>Назва місяцю</t>
  </si>
  <si>
    <t xml:space="preserve"> * - відсоток по відношенню до даних про планову виручку, вказаних в розділі "Фінансові параметри" на сторінці "Вхідні дані".
 ** - по відношенню до даних, вказаних в розділах "Персонал" та "Поточні витрати" на сторінці "Вхідні дані".</t>
  </si>
  <si>
    <t>Кількість офіційно оформлених співробітників, чол.</t>
  </si>
  <si>
    <t>Відсоток виходу продажів на планові показники по виручці*, %</t>
  </si>
  <si>
    <t xml:space="preserve">Відсоток впливу сезону на планові показники по виручці*, % </t>
  </si>
  <si>
    <t>Відсоток впливу сезону на планові показники по виручці*</t>
  </si>
  <si>
    <t>виручка більше</t>
  </si>
  <si>
    <r>
      <rPr>
        <b/>
        <sz val="8"/>
        <rFont val="Arial Cyr"/>
        <charset val="204"/>
      </rPr>
      <t xml:space="preserve">Чистий прибуток </t>
    </r>
    <r>
      <rPr>
        <b/>
        <sz val="8"/>
        <color rgb="FFFF0000"/>
        <rFont val="Arial Cyr"/>
        <family val="2"/>
        <charset val="204"/>
      </rPr>
      <t xml:space="preserve">(збиток) </t>
    </r>
    <r>
      <rPr>
        <b/>
        <sz val="8"/>
        <rFont val="Arial Cyr"/>
        <charset val="204"/>
      </rPr>
      <t xml:space="preserve">з урахуванням інвестицій </t>
    </r>
  </si>
  <si>
    <r>
      <rPr>
        <b/>
        <sz val="8"/>
        <rFont val="Arial Cyr"/>
        <charset val="204"/>
      </rPr>
      <t>Чистий прибуток (</t>
    </r>
    <r>
      <rPr>
        <b/>
        <sz val="8"/>
        <color rgb="FFFF0000"/>
        <rFont val="Arial Cyr"/>
        <charset val="204"/>
      </rPr>
      <t>збиток</t>
    </r>
    <r>
      <rPr>
        <b/>
        <sz val="8"/>
        <rFont val="Arial Cyr"/>
        <charset val="204"/>
      </rPr>
      <t xml:space="preserve">) без урахуванням інвестицій </t>
    </r>
  </si>
  <si>
    <t>прибуток</t>
  </si>
  <si>
    <t>самоокупність</t>
  </si>
  <si>
    <t>Авансовий платіж по оренді</t>
  </si>
  <si>
    <t>Маркетингові відрахування</t>
  </si>
  <si>
    <t>Маркетингові відрахування, до розрахунку приймається:</t>
  </si>
  <si>
    <t>Нульовий період</t>
  </si>
  <si>
    <t>Первісний закуп товарів</t>
  </si>
  <si>
    <t xml:space="preserve"> </t>
  </si>
  <si>
    <t>Середня кількість чеків в день, од./день</t>
  </si>
  <si>
    <t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t>
  </si>
  <si>
    <t>Разом по всім працівникам:</t>
  </si>
  <si>
    <t>Списання</t>
  </si>
  <si>
    <t>Кількість чеків</t>
  </si>
  <si>
    <t>од./міс.</t>
  </si>
  <si>
    <t>Назва</t>
  </si>
  <si>
    <t>Кількість,од.</t>
  </si>
  <si>
    <t>Вартість одиниці, UAH</t>
  </si>
  <si>
    <t>Загальна вартість, UAH</t>
  </si>
  <si>
    <t>Меблі та обладнання</t>
  </si>
  <si>
    <t>Комп'ютери, каси та інша техніка</t>
  </si>
  <si>
    <t>Комп'ютери, каси та інша техніка*</t>
  </si>
  <si>
    <t>Меблі та обладнання*</t>
  </si>
  <si>
    <t>Фіксований оклад за зміну</t>
  </si>
  <si>
    <t>UAH/зміна</t>
  </si>
  <si>
    <t>Кількість змін у кожного співробітника на місяць, змін/міс.</t>
  </si>
  <si>
    <t>Власний маркетинг</t>
  </si>
  <si>
    <t>Поточний ремонт</t>
  </si>
  <si>
    <t>Базовий розмір бонусу для всіх співробітників, % від бази нарахування*</t>
  </si>
  <si>
    <t>Структура виручки за 1-й рік роботи</t>
  </si>
  <si>
    <t>Структура виручки за 3-й рік роботи</t>
  </si>
  <si>
    <t>Структура виручки за 2-й рік роботи</t>
  </si>
  <si>
    <t>Інвестиції</t>
  </si>
  <si>
    <t>ДИНАМІКА РУХУ ГРОШОВИХ КОШТІВ</t>
  </si>
  <si>
    <t>Кількість робочих днів на місяць, дн./міс.</t>
  </si>
  <si>
    <t>Порядковий номер місяцю від початку роботи</t>
  </si>
  <si>
    <t>Амортизаційні витрати</t>
  </si>
  <si>
    <t>Назва основних засобів</t>
  </si>
  <si>
    <t>Строк амортизації, років</t>
  </si>
  <si>
    <t>Продавець</t>
  </si>
  <si>
    <t>за 1-го співробітника</t>
  </si>
  <si>
    <t>Вид оподаткування зарплати співробітників</t>
  </si>
  <si>
    <t>% від фонду оплати праці</t>
  </si>
  <si>
    <r>
      <t>Податки на зарплату співробітників</t>
    </r>
    <r>
      <rPr>
        <b/>
        <sz val="16"/>
        <color rgb="FFFF0000"/>
        <rFont val="Calibri"/>
        <family val="2"/>
        <charset val="204"/>
        <scheme val="minor"/>
      </rPr>
      <t>**</t>
    </r>
  </si>
  <si>
    <t>Роялті в 1-й рік роботи
До розрахунку приймається:</t>
  </si>
  <si>
    <t>Роялті 2-ого року роботи</t>
  </si>
  <si>
    <t>Фінансова модель франшизи "Галя Балувана"</t>
  </si>
  <si>
    <t>Інвестиції для запуску франчайзингової точки "Галя Балувана"</t>
  </si>
  <si>
    <t>Вхідні дані для фінансової моделі франшизи "Галя Балувана"</t>
  </si>
  <si>
    <t>Формати співробітництва (по кількості населення)</t>
  </si>
  <si>
    <t>Міста з населенням до 200 000 чол.</t>
  </si>
  <si>
    <t>Міста з населенням 200 000 - 1 000 000 чол.</t>
  </si>
  <si>
    <t>Міста з населенням більше 1 000 000 чол.</t>
  </si>
  <si>
    <t>Площа торгової точки більше 100 кв.м.</t>
  </si>
  <si>
    <t>Кількість населення</t>
  </si>
  <si>
    <t>Площа торгової точки</t>
  </si>
  <si>
    <t>Середня виручка на день*</t>
  </si>
  <si>
    <t>UAH/день</t>
  </si>
  <si>
    <t>Формати співробітництва (по площі торгової точки)</t>
  </si>
  <si>
    <t>Ріст комунальних послуг**, %</t>
  </si>
  <si>
    <t>Ріст комунальних послуг*</t>
  </si>
  <si>
    <t>Середня кількість чеків в день*, од./день</t>
  </si>
  <si>
    <t xml:space="preserve"> * - з урахуванням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t>
  </si>
  <si>
    <t>Середня кількість чеків в місяць за 1-й рік роботи*, од./міс.</t>
  </si>
  <si>
    <t xml:space="preserve"> * - інвестиції у "Меблі та обладнання" та "Комп'ютери, каси та інша техніка" вказуються на сторінці "Інвестиції" та приймаються до розрахунку в залежності від обраної на сторінці "Узагальнений розрахунок" площі торгової точки.</t>
  </si>
  <si>
    <t>Розмір зарплати 1-го співробітника на місяць</t>
  </si>
  <si>
    <t>загальна виручка</t>
  </si>
  <si>
    <t>Середньомісячна сума витрат*</t>
  </si>
  <si>
    <t>Оренда</t>
  </si>
  <si>
    <t>Поточний ремонт*</t>
  </si>
  <si>
    <r>
      <t xml:space="preserve"> </t>
    </r>
    <r>
      <rPr>
        <sz val="14"/>
        <rFont val="Calibri"/>
        <family val="2"/>
        <charset val="204"/>
        <scheme val="minor"/>
      </rPr>
      <t>* - витрати на "Поточний ремонт" та "Уніформу персоналу" здійснюються у вказаній сумі раз на 6 місяців.</t>
    </r>
    <r>
      <rPr>
        <b/>
        <sz val="14"/>
        <color rgb="FFFF0000"/>
        <rFont val="Calibri"/>
        <family val="2"/>
        <charset val="204"/>
        <scheme val="minor"/>
      </rPr>
      <t xml:space="preserve">
 **</t>
    </r>
    <r>
      <rPr>
        <sz val="14"/>
        <rFont val="Calibri"/>
        <family val="2"/>
        <charset val="204"/>
        <scheme val="minor"/>
      </rPr>
      <t xml:space="preserve"> - Податки на зарплату співробітників та Податок, який використовується в розрахунку, вибирається на сторінці "Узагальнений розрахунок".</t>
    </r>
  </si>
  <si>
    <t>Банковське обслуговування</t>
  </si>
  <si>
    <t>Площа торгової точки 65 кв.м.</t>
  </si>
  <si>
    <t>обладнання</t>
  </si>
  <si>
    <t>вентиляція</t>
  </si>
  <si>
    <t>каса</t>
  </si>
  <si>
    <t>Ремонт приміщення та вивіска</t>
  </si>
  <si>
    <t>оцинковані столи та мийки</t>
  </si>
  <si>
    <t>кухонний інвентар</t>
  </si>
  <si>
    <t>морозильне та холодильне обладнання</t>
  </si>
  <si>
    <t>Націнка (з врахування витрат на собівартість продукції та виробництво),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</si>
</sst>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  <numFmt numFmtId="169" formatCode="_-* #,##0_р_._-;\-* #,##0_р_._-;_-* &quot;-&quot;??_р_._-;_-@_-"/>
    <numFmt numFmtId="170" formatCode="[$-419]0%"/>
    <numFmt numFmtId="171" formatCode="[$-419]#,##0"/>
  </numFmts>
  <fonts count="7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  <charset val="204"/>
    </font>
    <font>
      <b/>
      <sz val="8"/>
      <color rgb="FFFF0000"/>
      <name val="Arial Cyr"/>
      <charset val="204"/>
    </font>
    <font>
      <sz val="8"/>
      <name val="Arial Cyr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  <charset val="204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8"/>
      <color rgb="FF0070C0"/>
      <name val="Arial Cyr"/>
      <charset val="204"/>
    </font>
    <font>
      <sz val="8"/>
      <color rgb="FF0070C0"/>
      <name val="Arial Cyr"/>
      <charset val="204"/>
    </font>
    <font>
      <b/>
      <i/>
      <sz val="8"/>
      <color rgb="FF0070C0"/>
      <name val="Arial Cyr"/>
      <charset val="204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sz val="8"/>
      <color rgb="FF0070C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rgb="FF0070C0"/>
      <name val="Arial Cyr"/>
      <family val="2"/>
      <charset val="204"/>
    </font>
    <font>
      <b/>
      <sz val="8"/>
      <color rgb="FF0070C0"/>
      <name val="Arial Cyr"/>
      <family val="2"/>
      <charset val="204"/>
    </font>
    <font>
      <sz val="11"/>
      <color rgb="FF0070C0"/>
      <name val="Arial Cyr"/>
      <family val="2"/>
      <charset val="204"/>
    </font>
    <font>
      <b/>
      <sz val="11"/>
      <color rgb="FF0070C0"/>
      <name val="Arial Cyr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8"/>
      <color indexed="9"/>
      <name val="Arial Cyr"/>
      <charset val="204"/>
    </font>
    <font>
      <sz val="11"/>
      <color rgb="FF000000"/>
      <name val="Calibri"/>
      <family val="2"/>
      <charset val="204"/>
    </font>
    <font>
      <b/>
      <sz val="18"/>
      <color theme="1" tint="0.34998626667073579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theme="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2"/>
      <color theme="1"/>
      <name val="Times New Roman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rgb="FF4F6228"/>
      <name val="Calibri"/>
      <family val="2"/>
      <charset val="204"/>
    </font>
    <font>
      <b/>
      <sz val="18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B613D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62" fillId="0" borderId="0"/>
    <xf numFmtId="0" fontId="69" fillId="0" borderId="0"/>
    <xf numFmtId="170" fontId="62" fillId="0" borderId="0"/>
  </cellStyleXfs>
  <cellXfs count="528">
    <xf numFmtId="0" fontId="0" fillId="0" borderId="0" xfId="0"/>
    <xf numFmtId="0" fontId="28" fillId="6" borderId="0" xfId="0" applyFont="1" applyFill="1" applyProtection="1">
      <protection locked="0"/>
    </xf>
    <xf numFmtId="166" fontId="8" fillId="2" borderId="1" xfId="2" applyNumberFormat="1" applyFont="1" applyFill="1" applyBorder="1" applyAlignment="1" applyProtection="1">
      <alignment horizontal="center" vertical="center"/>
      <protection locked="0"/>
    </xf>
    <xf numFmtId="0" fontId="14" fillId="6" borderId="0" xfId="3" applyFont="1" applyFill="1" applyBorder="1" applyAlignment="1" applyProtection="1">
      <alignment horizontal="left" vertical="center"/>
    </xf>
    <xf numFmtId="0" fontId="14" fillId="6" borderId="0" xfId="3" applyFont="1" applyFill="1" applyBorder="1" applyAlignment="1" applyProtection="1">
      <alignment horizontal="center" vertical="center"/>
    </xf>
    <xf numFmtId="9" fontId="14" fillId="6" borderId="0" xfId="3" applyNumberFormat="1" applyFont="1" applyFill="1" applyBorder="1" applyAlignment="1" applyProtection="1">
      <alignment horizontal="center" vertical="center"/>
    </xf>
    <xf numFmtId="9" fontId="20" fillId="6" borderId="0" xfId="3" applyNumberFormat="1" applyFont="1" applyFill="1" applyBorder="1" applyAlignment="1" applyProtection="1">
      <alignment horizontal="center" vertical="center"/>
    </xf>
    <xf numFmtId="0" fontId="14" fillId="6" borderId="0" xfId="3" applyFont="1" applyFill="1" applyProtection="1"/>
    <xf numFmtId="0" fontId="14" fillId="0" borderId="0" xfId="3" applyFont="1" applyProtection="1"/>
    <xf numFmtId="0" fontId="11" fillId="6" borderId="0" xfId="3" applyFont="1" applyFill="1" applyProtection="1"/>
    <xf numFmtId="0" fontId="6" fillId="0" borderId="0" xfId="0" applyFont="1" applyAlignment="1" applyProtection="1">
      <alignment horizontal="center" vertical="center" wrapText="1"/>
    </xf>
    <xf numFmtId="3" fontId="51" fillId="0" borderId="0" xfId="0" applyNumberFormat="1" applyFont="1" applyProtection="1"/>
    <xf numFmtId="9" fontId="51" fillId="0" borderId="0" xfId="0" applyNumberFormat="1" applyFont="1" applyProtection="1"/>
    <xf numFmtId="0" fontId="36" fillId="0" borderId="0" xfId="0" applyFont="1" applyProtection="1"/>
    <xf numFmtId="0" fontId="28" fillId="0" borderId="0" xfId="0" applyFont="1" applyProtection="1"/>
    <xf numFmtId="0" fontId="0" fillId="0" borderId="0" xfId="0" applyProtection="1"/>
    <xf numFmtId="0" fontId="29" fillId="0" borderId="5" xfId="0" applyFont="1" applyBorder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0" fontId="29" fillId="0" borderId="0" xfId="0" applyFont="1" applyAlignment="1" applyProtection="1">
      <alignment horizontal="left" vertical="center"/>
    </xf>
    <xf numFmtId="0" fontId="5" fillId="6" borderId="0" xfId="0" applyFont="1" applyFill="1" applyAlignment="1" applyProtection="1">
      <alignment vertical="center"/>
    </xf>
    <xf numFmtId="0" fontId="29" fillId="0" borderId="0" xfId="0" applyFont="1" applyBorder="1" applyAlignment="1" applyProtection="1">
      <alignment horizontal="right" vertical="center"/>
    </xf>
    <xf numFmtId="0" fontId="31" fillId="0" borderId="0" xfId="0" applyFont="1" applyAlignment="1" applyProtection="1">
      <alignment vertical="center"/>
    </xf>
    <xf numFmtId="0" fontId="0" fillId="0" borderId="0" xfId="0" applyBorder="1" applyProtection="1"/>
    <xf numFmtId="0" fontId="51" fillId="0" borderId="0" xfId="0" applyFont="1" applyProtection="1"/>
    <xf numFmtId="0" fontId="0" fillId="0" borderId="0" xfId="0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36" fillId="0" borderId="0" xfId="0" applyFont="1" applyAlignment="1" applyProtection="1">
      <alignment vertical="center"/>
    </xf>
    <xf numFmtId="0" fontId="28" fillId="0" borderId="0" xfId="0" applyFont="1" applyAlignment="1" applyProtection="1">
      <alignment vertical="center" wrapText="1"/>
    </xf>
    <xf numFmtId="0" fontId="31" fillId="6" borderId="0" xfId="0" applyFont="1" applyFill="1" applyAlignment="1" applyProtection="1">
      <alignment vertical="center"/>
    </xf>
    <xf numFmtId="0" fontId="0" fillId="0" borderId="0" xfId="0" applyAlignment="1" applyProtection="1">
      <alignment horizontal="left" indent="1"/>
    </xf>
    <xf numFmtId="0" fontId="0" fillId="6" borderId="0" xfId="0" applyFill="1" applyBorder="1" applyProtection="1"/>
    <xf numFmtId="0" fontId="4" fillId="0" borderId="0" xfId="0" applyFont="1" applyBorder="1" applyAlignment="1" applyProtection="1">
      <alignment vertical="center" wrapText="1"/>
    </xf>
    <xf numFmtId="3" fontId="9" fillId="6" borderId="0" xfId="1" applyNumberFormat="1" applyFont="1" applyFill="1" applyBorder="1" applyAlignment="1" applyProtection="1">
      <alignment vertical="center"/>
    </xf>
    <xf numFmtId="0" fontId="33" fillId="0" borderId="0" xfId="0" applyFont="1" applyProtection="1"/>
    <xf numFmtId="0" fontId="2" fillId="6" borderId="0" xfId="0" applyFont="1" applyFill="1" applyBorder="1" applyProtection="1"/>
    <xf numFmtId="3" fontId="0" fillId="0" borderId="0" xfId="0" applyNumberFormat="1" applyProtection="1"/>
    <xf numFmtId="0" fontId="43" fillId="6" borderId="0" xfId="0" applyFont="1" applyFill="1" applyBorder="1" applyAlignment="1" applyProtection="1">
      <alignment horizontal="left" wrapText="1"/>
    </xf>
    <xf numFmtId="0" fontId="47" fillId="0" borderId="1" xfId="0" applyFont="1" applyBorder="1" applyAlignment="1" applyProtection="1">
      <alignment horizontal="center" vertical="center" wrapText="1"/>
    </xf>
    <xf numFmtId="0" fontId="3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vertical="center" wrapText="1"/>
    </xf>
    <xf numFmtId="3" fontId="10" fillId="6" borderId="0" xfId="1" applyNumberFormat="1" applyFont="1" applyFill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9" fontId="10" fillId="0" borderId="0" xfId="2" applyFont="1" applyBorder="1" applyAlignment="1" applyProtection="1">
      <alignment horizontal="left" vertical="center" wrapText="1"/>
    </xf>
    <xf numFmtId="3" fontId="8" fillId="6" borderId="0" xfId="1" applyNumberFormat="1" applyFont="1" applyFill="1" applyBorder="1" applyAlignment="1" applyProtection="1">
      <alignment horizontal="center" vertical="center"/>
    </xf>
    <xf numFmtId="9" fontId="9" fillId="6" borderId="0" xfId="2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4" fillId="0" borderId="7" xfId="0" applyFont="1" applyBorder="1" applyAlignment="1" applyProtection="1">
      <alignment vertical="center" wrapText="1"/>
    </xf>
    <xf numFmtId="0" fontId="4" fillId="0" borderId="3" xfId="0" applyFont="1" applyBorder="1" applyAlignment="1" applyProtection="1">
      <alignment vertical="center" wrapText="1"/>
    </xf>
    <xf numFmtId="3" fontId="10" fillId="0" borderId="0" xfId="1" applyNumberFormat="1" applyFont="1" applyBorder="1" applyAlignment="1" applyProtection="1">
      <alignment vertical="center"/>
    </xf>
    <xf numFmtId="0" fontId="0" fillId="6" borderId="0" xfId="0" applyFill="1" applyProtection="1"/>
    <xf numFmtId="0" fontId="0" fillId="0" borderId="0" xfId="0" applyBorder="1" applyAlignment="1" applyProtection="1"/>
    <xf numFmtId="0" fontId="0" fillId="0" borderId="0" xfId="0" applyBorder="1" applyAlignment="1" applyProtection="1">
      <alignment horizontal="left" indent="1"/>
    </xf>
    <xf numFmtId="9" fontId="10" fillId="0" borderId="0" xfId="2" applyFont="1" applyBorder="1" applyAlignment="1" applyProtection="1">
      <alignment horizontal="left" vertical="center" indent="1"/>
    </xf>
    <xf numFmtId="0" fontId="0" fillId="0" borderId="5" xfId="0" applyBorder="1" applyAlignment="1" applyProtection="1">
      <alignment vertical="center"/>
    </xf>
    <xf numFmtId="0" fontId="0" fillId="0" borderId="5" xfId="0" applyBorder="1" applyProtection="1"/>
    <xf numFmtId="0" fontId="0" fillId="0" borderId="5" xfId="0" applyBorder="1" applyAlignment="1" applyProtection="1">
      <alignment horizontal="left" indent="1"/>
    </xf>
    <xf numFmtId="0" fontId="11" fillId="0" borderId="0" xfId="3" applyFont="1" applyProtection="1"/>
    <xf numFmtId="0" fontId="12" fillId="3" borderId="0" xfId="3" applyFont="1" applyFill="1" applyBorder="1" applyAlignment="1" applyProtection="1">
      <alignment vertical="center"/>
    </xf>
    <xf numFmtId="0" fontId="12" fillId="3" borderId="0" xfId="3" applyFont="1" applyFill="1" applyBorder="1" applyAlignment="1" applyProtection="1">
      <alignment vertical="center" wrapText="1"/>
    </xf>
    <xf numFmtId="0" fontId="12" fillId="3" borderId="0" xfId="3" applyFont="1" applyFill="1" applyBorder="1" applyAlignment="1" applyProtection="1">
      <alignment horizontal="right" vertical="center"/>
    </xf>
    <xf numFmtId="1" fontId="24" fillId="3" borderId="0" xfId="3" applyNumberFormat="1" applyFont="1" applyFill="1" applyBorder="1" applyAlignment="1" applyProtection="1">
      <alignment horizontal="left" vertical="center"/>
    </xf>
    <xf numFmtId="0" fontId="13" fillId="3" borderId="0" xfId="3" applyFont="1" applyFill="1" applyBorder="1" applyAlignment="1" applyProtection="1">
      <alignment vertical="center" wrapText="1"/>
    </xf>
    <xf numFmtId="0" fontId="11" fillId="3" borderId="0" xfId="3" applyFont="1" applyFill="1" applyProtection="1"/>
    <xf numFmtId="0" fontId="37" fillId="3" borderId="0" xfId="3" applyFont="1" applyFill="1" applyProtection="1"/>
    <xf numFmtId="0" fontId="24" fillId="3" borderId="0" xfId="3" applyFont="1" applyFill="1" applyBorder="1" applyAlignment="1" applyProtection="1">
      <alignment horizontal="left" vertical="center"/>
    </xf>
    <xf numFmtId="0" fontId="34" fillId="0" borderId="0" xfId="3" applyFont="1" applyProtection="1"/>
    <xf numFmtId="0" fontId="38" fillId="0" borderId="0" xfId="3" applyFont="1" applyProtection="1"/>
    <xf numFmtId="0" fontId="14" fillId="6" borderId="0" xfId="3" applyFont="1" applyFill="1" applyBorder="1" applyProtection="1"/>
    <xf numFmtId="0" fontId="11" fillId="0" borderId="0" xfId="3" applyFont="1" applyBorder="1" applyAlignment="1" applyProtection="1">
      <alignment horizontal="left" vertical="center" wrapText="1"/>
    </xf>
    <xf numFmtId="0" fontId="15" fillId="4" borderId="6" xfId="3" applyFont="1" applyFill="1" applyBorder="1" applyAlignment="1" applyProtection="1">
      <alignment vertical="center"/>
    </xf>
    <xf numFmtId="0" fontId="15" fillId="4" borderId="9" xfId="3" applyFont="1" applyFill="1" applyBorder="1" applyAlignment="1" applyProtection="1">
      <alignment horizontal="center" vertical="center"/>
    </xf>
    <xf numFmtId="0" fontId="39" fillId="4" borderId="9" xfId="3" applyFont="1" applyFill="1" applyBorder="1" applyAlignment="1" applyProtection="1">
      <alignment horizontal="center" vertical="center" wrapText="1"/>
    </xf>
    <xf numFmtId="165" fontId="16" fillId="4" borderId="6" xfId="3" applyNumberFormat="1" applyFont="1" applyFill="1" applyBorder="1" applyAlignment="1" applyProtection="1">
      <alignment horizontal="center" vertical="center"/>
    </xf>
    <xf numFmtId="0" fontId="20" fillId="0" borderId="0" xfId="3" applyFont="1" applyProtection="1"/>
    <xf numFmtId="0" fontId="15" fillId="4" borderId="6" xfId="0" applyFont="1" applyFill="1" applyBorder="1" applyAlignment="1" applyProtection="1">
      <alignment vertical="center"/>
    </xf>
    <xf numFmtId="0" fontId="15" fillId="4" borderId="6" xfId="0" applyFont="1" applyFill="1" applyBorder="1" applyAlignment="1" applyProtection="1">
      <alignment horizontal="center" vertical="center"/>
    </xf>
    <xf numFmtId="0" fontId="15" fillId="4" borderId="9" xfId="0" applyFont="1" applyFill="1" applyBorder="1" applyAlignment="1" applyProtection="1">
      <alignment horizontal="center" vertical="center"/>
    </xf>
    <xf numFmtId="0" fontId="39" fillId="4" borderId="9" xfId="0" applyFont="1" applyFill="1" applyBorder="1" applyAlignment="1" applyProtection="1">
      <alignment horizontal="center" vertical="center" wrapText="1"/>
    </xf>
    <xf numFmtId="0" fontId="14" fillId="0" borderId="0" xfId="0" applyFont="1" applyProtection="1"/>
    <xf numFmtId="0" fontId="14" fillId="5" borderId="0" xfId="0" applyFont="1" applyFill="1" applyBorder="1" applyAlignment="1" applyProtection="1">
      <alignment horizontal="center" vertical="center"/>
    </xf>
    <xf numFmtId="3" fontId="14" fillId="5" borderId="0" xfId="0" applyNumberFormat="1" applyFont="1" applyFill="1" applyBorder="1" applyAlignment="1" applyProtection="1">
      <alignment vertical="center"/>
    </xf>
    <xf numFmtId="3" fontId="20" fillId="5" borderId="0" xfId="0" applyNumberFormat="1" applyFont="1" applyFill="1" applyBorder="1" applyAlignment="1" applyProtection="1">
      <alignment vertical="center"/>
    </xf>
    <xf numFmtId="3" fontId="17" fillId="6" borderId="0" xfId="0" applyNumberFormat="1" applyFont="1" applyFill="1" applyBorder="1" applyAlignment="1" applyProtection="1">
      <alignment vertical="center"/>
    </xf>
    <xf numFmtId="3" fontId="14" fillId="0" borderId="0" xfId="4" applyNumberFormat="1" applyFont="1" applyProtection="1"/>
    <xf numFmtId="3" fontId="14" fillId="0" borderId="0" xfId="0" applyNumberFormat="1" applyFont="1" applyProtection="1"/>
    <xf numFmtId="0" fontId="14" fillId="0" borderId="0" xfId="0" applyFont="1" applyFill="1" applyBorder="1" applyAlignment="1" applyProtection="1">
      <alignment horizontal="center" vertical="center"/>
    </xf>
    <xf numFmtId="3" fontId="14" fillId="0" borderId="0" xfId="0" applyNumberFormat="1" applyFont="1" applyFill="1" applyBorder="1" applyAlignment="1" applyProtection="1">
      <alignment vertical="center"/>
    </xf>
    <xf numFmtId="3" fontId="20" fillId="0" borderId="0" xfId="0" applyNumberFormat="1" applyFont="1" applyFill="1" applyBorder="1" applyAlignment="1" applyProtection="1">
      <alignment vertical="center"/>
    </xf>
    <xf numFmtId="3" fontId="14" fillId="0" borderId="0" xfId="4" applyNumberFormat="1" applyFont="1" applyFill="1" applyProtection="1"/>
    <xf numFmtId="3" fontId="14" fillId="0" borderId="0" xfId="0" applyNumberFormat="1" applyFont="1" applyFill="1" applyProtection="1"/>
    <xf numFmtId="0" fontId="19" fillId="0" borderId="7" xfId="0" applyFont="1" applyFill="1" applyBorder="1" applyAlignment="1" applyProtection="1">
      <alignment vertical="center"/>
    </xf>
    <xf numFmtId="0" fontId="14" fillId="0" borderId="7" xfId="0" applyFont="1" applyFill="1" applyBorder="1" applyAlignment="1" applyProtection="1">
      <alignment horizontal="center" vertical="center"/>
    </xf>
    <xf numFmtId="3" fontId="19" fillId="0" borderId="7" xfId="0" applyNumberFormat="1" applyFont="1" applyFill="1" applyBorder="1" applyAlignment="1" applyProtection="1">
      <alignment vertical="center"/>
    </xf>
    <xf numFmtId="9" fontId="14" fillId="0" borderId="0" xfId="4" applyFont="1" applyFill="1" applyProtection="1"/>
    <xf numFmtId="0" fontId="14" fillId="0" borderId="0" xfId="0" applyFont="1" applyFill="1" applyProtection="1"/>
    <xf numFmtId="0" fontId="14" fillId="0" borderId="0" xfId="0" applyFont="1" applyAlignment="1" applyProtection="1">
      <alignment vertical="center"/>
    </xf>
    <xf numFmtId="0" fontId="14" fillId="0" borderId="0" xfId="0" applyFont="1" applyAlignment="1" applyProtection="1">
      <alignment horizontal="center" vertical="center"/>
    </xf>
    <xf numFmtId="4" fontId="14" fillId="0" borderId="0" xfId="0" applyNumberFormat="1" applyFont="1" applyAlignment="1" applyProtection="1">
      <alignment vertical="center"/>
    </xf>
    <xf numFmtId="0" fontId="20" fillId="0" borderId="0" xfId="0" applyFont="1" applyProtection="1"/>
    <xf numFmtId="0" fontId="15" fillId="4" borderId="6" xfId="3" applyFont="1" applyFill="1" applyBorder="1" applyAlignment="1" applyProtection="1">
      <alignment horizontal="center" vertical="center"/>
    </xf>
    <xf numFmtId="0" fontId="39" fillId="4" borderId="6" xfId="0" applyFont="1" applyFill="1" applyBorder="1" applyAlignment="1" applyProtection="1">
      <alignment horizontal="center" vertical="center" wrapText="1"/>
    </xf>
    <xf numFmtId="9" fontId="14" fillId="0" borderId="0" xfId="0" applyNumberFormat="1" applyFont="1" applyFill="1" applyBorder="1" applyAlignment="1" applyProtection="1">
      <alignment horizontal="left" vertical="center"/>
    </xf>
    <xf numFmtId="9" fontId="14" fillId="5" borderId="0" xfId="0" applyNumberFormat="1" applyFont="1" applyFill="1" applyBorder="1" applyAlignment="1" applyProtection="1">
      <alignment horizontal="left" vertical="center"/>
    </xf>
    <xf numFmtId="3" fontId="19" fillId="6" borderId="7" xfId="0" applyNumberFormat="1" applyFont="1" applyFill="1" applyBorder="1" applyAlignment="1" applyProtection="1">
      <alignment vertical="center"/>
    </xf>
    <xf numFmtId="0" fontId="44" fillId="6" borderId="0" xfId="3" applyFont="1" applyFill="1" applyBorder="1" applyAlignment="1" applyProtection="1">
      <alignment horizontal="left" vertical="center"/>
    </xf>
    <xf numFmtId="0" fontId="45" fillId="6" borderId="0" xfId="3" applyFont="1" applyFill="1" applyBorder="1" applyAlignment="1" applyProtection="1">
      <alignment horizontal="center" vertical="center"/>
    </xf>
    <xf numFmtId="4" fontId="44" fillId="6" borderId="0" xfId="3" applyNumberFormat="1" applyFont="1" applyFill="1" applyBorder="1" applyAlignment="1" applyProtection="1">
      <alignment vertical="center"/>
    </xf>
    <xf numFmtId="4" fontId="46" fillId="6" borderId="0" xfId="0" applyNumberFormat="1" applyFont="1" applyFill="1" applyBorder="1" applyAlignment="1" applyProtection="1">
      <alignment vertical="center"/>
    </xf>
    <xf numFmtId="0" fontId="45" fillId="6" borderId="0" xfId="3" applyFont="1" applyFill="1" applyProtection="1"/>
    <xf numFmtId="0" fontId="20" fillId="6" borderId="7" xfId="3" applyFont="1" applyFill="1" applyBorder="1" applyAlignment="1" applyProtection="1">
      <alignment horizontal="left" vertical="center"/>
    </xf>
    <xf numFmtId="0" fontId="14" fillId="6" borderId="7" xfId="3" applyFont="1" applyFill="1" applyBorder="1" applyAlignment="1" applyProtection="1">
      <alignment horizontal="center" vertical="center"/>
    </xf>
    <xf numFmtId="3" fontId="20" fillId="6" borderId="7" xfId="3" applyNumberFormat="1" applyFont="1" applyFill="1" applyBorder="1" applyAlignment="1" applyProtection="1">
      <alignment vertical="center"/>
    </xf>
    <xf numFmtId="0" fontId="14" fillId="0" borderId="0" xfId="3" applyFont="1" applyBorder="1" applyAlignment="1" applyProtection="1">
      <alignment vertical="center"/>
    </xf>
    <xf numFmtId="0" fontId="14" fillId="0" borderId="0" xfId="3" applyFont="1" applyBorder="1" applyAlignment="1" applyProtection="1">
      <alignment horizontal="center" vertical="center"/>
    </xf>
    <xf numFmtId="0" fontId="14" fillId="0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>
      <alignment vertical="center"/>
    </xf>
    <xf numFmtId="0" fontId="20" fillId="0" borderId="0" xfId="0" applyFont="1" applyFill="1" applyBorder="1" applyAlignment="1" applyProtection="1">
      <alignment horizontal="left" vertical="center"/>
    </xf>
    <xf numFmtId="168" fontId="14" fillId="0" borderId="0" xfId="0" applyNumberFormat="1" applyFont="1" applyFill="1" applyBorder="1" applyAlignment="1" applyProtection="1">
      <alignment vertical="center"/>
    </xf>
    <xf numFmtId="168" fontId="20" fillId="0" borderId="0" xfId="0" applyNumberFormat="1" applyFont="1" applyFill="1" applyBorder="1" applyAlignment="1" applyProtection="1">
      <alignment vertical="center"/>
    </xf>
    <xf numFmtId="168" fontId="17" fillId="6" borderId="0" xfId="3" applyNumberFormat="1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left" vertical="center"/>
    </xf>
    <xf numFmtId="0" fontId="26" fillId="6" borderId="0" xfId="0" applyFont="1" applyFill="1" applyBorder="1" applyAlignment="1" applyProtection="1">
      <alignment horizontal="left" vertical="center"/>
    </xf>
    <xf numFmtId="0" fontId="14" fillId="6" borderId="0" xfId="0" applyFont="1" applyFill="1" applyBorder="1" applyAlignment="1" applyProtection="1">
      <alignment horizontal="center" vertical="center"/>
    </xf>
    <xf numFmtId="168" fontId="14" fillId="6" borderId="0" xfId="0" applyNumberFormat="1" applyFont="1" applyFill="1" applyBorder="1" applyAlignment="1" applyProtection="1">
      <alignment vertical="center"/>
    </xf>
    <xf numFmtId="0" fontId="14" fillId="6" borderId="0" xfId="0" applyFont="1" applyFill="1" applyProtection="1"/>
    <xf numFmtId="0" fontId="25" fillId="6" borderId="0" xfId="0" applyFont="1" applyFill="1" applyBorder="1" applyAlignment="1" applyProtection="1">
      <alignment horizontal="left" vertical="center" wrapText="1"/>
    </xf>
    <xf numFmtId="0" fontId="25" fillId="6" borderId="0" xfId="0" applyFont="1" applyFill="1" applyBorder="1" applyAlignment="1" applyProtection="1">
      <alignment horizontal="left" vertical="center"/>
    </xf>
    <xf numFmtId="168" fontId="17" fillId="0" borderId="0" xfId="3" applyNumberFormat="1" applyFont="1" applyFill="1" applyBorder="1" applyAlignment="1" applyProtection="1">
      <alignment vertical="center"/>
    </xf>
    <xf numFmtId="0" fontId="14" fillId="6" borderId="0" xfId="0" applyFont="1" applyFill="1" applyBorder="1" applyAlignment="1" applyProtection="1">
      <alignment horizontal="left" vertical="center"/>
    </xf>
    <xf numFmtId="3" fontId="14" fillId="6" borderId="0" xfId="0" applyNumberFormat="1" applyFont="1" applyFill="1" applyBorder="1" applyAlignment="1" applyProtection="1">
      <alignment horizontal="left" vertical="center"/>
    </xf>
    <xf numFmtId="3" fontId="17" fillId="0" borderId="0" xfId="3" applyNumberFormat="1" applyFont="1" applyFill="1" applyBorder="1" applyAlignment="1" applyProtection="1">
      <alignment vertical="center"/>
    </xf>
    <xf numFmtId="3" fontId="14" fillId="0" borderId="0" xfId="0" applyNumberFormat="1" applyFont="1" applyBorder="1" applyAlignment="1" applyProtection="1">
      <alignment vertical="center"/>
    </xf>
    <xf numFmtId="3" fontId="14" fillId="6" borderId="0" xfId="0" applyNumberFormat="1" applyFont="1" applyFill="1" applyBorder="1" applyAlignment="1" applyProtection="1">
      <alignment vertical="center"/>
    </xf>
    <xf numFmtId="3" fontId="17" fillId="6" borderId="0" xfId="3" applyNumberFormat="1" applyFont="1" applyFill="1" applyBorder="1" applyAlignment="1" applyProtection="1">
      <alignment vertical="center"/>
    </xf>
    <xf numFmtId="3" fontId="14" fillId="6" borderId="0" xfId="0" applyNumberFormat="1" applyFont="1" applyFill="1" applyProtection="1"/>
    <xf numFmtId="3" fontId="20" fillId="0" borderId="0" xfId="0" applyNumberFormat="1" applyFont="1" applyBorder="1" applyAlignment="1" applyProtection="1">
      <alignment vertical="center"/>
    </xf>
    <xf numFmtId="0" fontId="39" fillId="4" borderId="6" xfId="0" applyFont="1" applyFill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left" vertical="center" wrapText="1"/>
    </xf>
    <xf numFmtId="0" fontId="23" fillId="0" borderId="0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vertical="center"/>
    </xf>
    <xf numFmtId="10" fontId="17" fillId="0" borderId="0" xfId="0" applyNumberFormat="1" applyFont="1" applyBorder="1" applyAlignment="1" applyProtection="1">
      <alignment vertical="center"/>
    </xf>
    <xf numFmtId="166" fontId="14" fillId="0" borderId="0" xfId="0" applyNumberFormat="1" applyFont="1" applyFill="1" applyBorder="1" applyAlignment="1" applyProtection="1">
      <alignment horizontal="left" vertical="center"/>
    </xf>
    <xf numFmtId="9" fontId="14" fillId="6" borderId="0" xfId="2" applyFont="1" applyFill="1" applyBorder="1" applyAlignment="1" applyProtection="1">
      <alignment horizontal="center" vertical="center"/>
    </xf>
    <xf numFmtId="9" fontId="14" fillId="6" borderId="0" xfId="2" applyFont="1" applyFill="1" applyBorder="1" applyAlignment="1" applyProtection="1">
      <alignment vertical="center"/>
    </xf>
    <xf numFmtId="166" fontId="20" fillId="0" borderId="0" xfId="0" applyNumberFormat="1" applyFont="1" applyFill="1" applyBorder="1" applyAlignment="1" applyProtection="1">
      <alignment vertical="center"/>
    </xf>
    <xf numFmtId="166" fontId="17" fillId="0" borderId="0" xfId="0" applyNumberFormat="1" applyFont="1" applyFill="1" applyBorder="1" applyAlignment="1" applyProtection="1">
      <alignment vertical="center"/>
    </xf>
    <xf numFmtId="166" fontId="14" fillId="0" borderId="0" xfId="0" applyNumberFormat="1" applyFont="1" applyProtection="1"/>
    <xf numFmtId="166" fontId="14" fillId="6" borderId="0" xfId="0" applyNumberFormat="1" applyFont="1" applyFill="1" applyBorder="1" applyAlignment="1" applyProtection="1">
      <alignment horizontal="left" vertical="center"/>
    </xf>
    <xf numFmtId="168" fontId="50" fillId="6" borderId="0" xfId="0" applyNumberFormat="1" applyFont="1" applyFill="1" applyProtection="1"/>
    <xf numFmtId="166" fontId="20" fillId="6" borderId="0" xfId="0" applyNumberFormat="1" applyFont="1" applyFill="1" applyBorder="1" applyAlignment="1" applyProtection="1">
      <alignment vertical="center"/>
    </xf>
    <xf numFmtId="166" fontId="17" fillId="6" borderId="0" xfId="0" applyNumberFormat="1" applyFont="1" applyFill="1" applyBorder="1" applyAlignment="1" applyProtection="1">
      <alignment vertical="center"/>
    </xf>
    <xf numFmtId="166" fontId="14" fillId="6" borderId="0" xfId="0" applyNumberFormat="1" applyFont="1" applyFill="1" applyProtection="1"/>
    <xf numFmtId="4" fontId="14" fillId="0" borderId="0" xfId="0" applyNumberFormat="1" applyFont="1" applyFill="1" applyBorder="1" applyAlignment="1" applyProtection="1">
      <alignment vertical="center"/>
    </xf>
    <xf numFmtId="4" fontId="20" fillId="0" borderId="0" xfId="0" applyNumberFormat="1" applyFont="1" applyFill="1" applyBorder="1" applyAlignment="1" applyProtection="1">
      <alignment vertical="center"/>
    </xf>
    <xf numFmtId="4" fontId="14" fillId="0" borderId="0" xfId="0" applyNumberFormat="1" applyFont="1" applyFill="1" applyBorder="1" applyAlignment="1" applyProtection="1">
      <alignment horizontal="center" vertical="center"/>
    </xf>
    <xf numFmtId="4" fontId="17" fillId="0" borderId="0" xfId="0" applyNumberFormat="1" applyFont="1" applyFill="1" applyBorder="1" applyAlignment="1" applyProtection="1">
      <alignment vertical="center"/>
    </xf>
    <xf numFmtId="0" fontId="20" fillId="6" borderId="0" xfId="0" applyFont="1" applyFill="1" applyBorder="1" applyAlignment="1" applyProtection="1">
      <alignment horizontal="right"/>
    </xf>
    <xf numFmtId="4" fontId="20" fillId="0" borderId="1" xfId="0" applyNumberFormat="1" applyFont="1" applyFill="1" applyBorder="1" applyAlignment="1" applyProtection="1">
      <alignment vertical="center"/>
    </xf>
    <xf numFmtId="0" fontId="20" fillId="6" borderId="0" xfId="0" applyFont="1" applyFill="1" applyAlignment="1" applyProtection="1">
      <alignment horizontal="right"/>
    </xf>
    <xf numFmtId="1" fontId="20" fillId="0" borderId="1" xfId="0" applyNumberFormat="1" applyFont="1" applyFill="1" applyBorder="1" applyProtection="1"/>
    <xf numFmtId="4" fontId="14" fillId="0" borderId="0" xfId="3" applyNumberFormat="1" applyFont="1" applyFill="1" applyBorder="1" applyAlignment="1" applyProtection="1">
      <alignment vertical="center"/>
    </xf>
    <xf numFmtId="4" fontId="14" fillId="0" borderId="0" xfId="0" applyNumberFormat="1" applyFont="1" applyFill="1" applyProtection="1"/>
    <xf numFmtId="4" fontId="19" fillId="0" borderId="0" xfId="0" applyNumberFormat="1" applyFont="1" applyProtection="1"/>
    <xf numFmtId="0" fontId="41" fillId="0" borderId="0" xfId="0" applyFont="1" applyProtection="1"/>
    <xf numFmtId="0" fontId="41" fillId="0" borderId="0" xfId="0" applyFont="1" applyFill="1" applyProtection="1"/>
    <xf numFmtId="0" fontId="42" fillId="0" borderId="0" xfId="0" applyFont="1" applyFill="1" applyProtection="1"/>
    <xf numFmtId="0" fontId="23" fillId="0" borderId="0" xfId="0" applyFont="1" applyProtection="1"/>
    <xf numFmtId="0" fontId="22" fillId="0" borderId="0" xfId="0" applyFont="1" applyProtection="1"/>
    <xf numFmtId="0" fontId="40" fillId="0" borderId="0" xfId="0" applyFont="1" applyProtection="1"/>
    <xf numFmtId="0" fontId="54" fillId="0" borderId="0" xfId="0" applyFont="1" applyProtection="1"/>
    <xf numFmtId="3" fontId="54" fillId="0" borderId="0" xfId="0" applyNumberFormat="1" applyFont="1" applyBorder="1" applyAlignment="1" applyProtection="1">
      <alignment vertical="center"/>
    </xf>
    <xf numFmtId="168" fontId="55" fillId="0" borderId="0" xfId="0" applyNumberFormat="1" applyFont="1" applyFill="1" applyBorder="1" applyAlignment="1" applyProtection="1">
      <alignment vertical="center"/>
    </xf>
    <xf numFmtId="0" fontId="56" fillId="0" borderId="0" xfId="0" applyFont="1" applyProtection="1"/>
    <xf numFmtId="0" fontId="57" fillId="0" borderId="0" xfId="0" applyFont="1" applyProtection="1"/>
    <xf numFmtId="0" fontId="37" fillId="0" borderId="0" xfId="3" applyFont="1" applyProtection="1"/>
    <xf numFmtId="0" fontId="2" fillId="6" borderId="0" xfId="0" applyFont="1" applyFill="1" applyBorder="1" applyAlignment="1" applyProtection="1"/>
    <xf numFmtId="0" fontId="29" fillId="0" borderId="0" xfId="0" applyFont="1" applyAlignment="1" applyProtection="1">
      <alignment vertical="center"/>
    </xf>
    <xf numFmtId="0" fontId="36" fillId="6" borderId="0" xfId="0" applyFont="1" applyFill="1" applyProtection="1"/>
    <xf numFmtId="0" fontId="3" fillId="6" borderId="0" xfId="0" applyFont="1" applyFill="1" applyProtection="1"/>
    <xf numFmtId="0" fontId="29" fillId="0" borderId="0" xfId="0" applyFont="1" applyAlignment="1" applyProtection="1">
      <alignment horizontal="right" vertical="center"/>
    </xf>
    <xf numFmtId="0" fontId="2" fillId="0" borderId="0" xfId="0" applyFont="1" applyAlignment="1" applyProtection="1">
      <alignment horizontal="center" vertical="center"/>
    </xf>
    <xf numFmtId="10" fontId="28" fillId="0" borderId="0" xfId="2" applyNumberFormat="1" applyFont="1" applyProtection="1"/>
    <xf numFmtId="14" fontId="0" fillId="0" borderId="0" xfId="0" applyNumberFormat="1" applyProtection="1"/>
    <xf numFmtId="0" fontId="0" fillId="6" borderId="0" xfId="0" applyFill="1" applyAlignment="1" applyProtection="1">
      <alignment vertical="center"/>
    </xf>
    <xf numFmtId="0" fontId="33" fillId="6" borderId="0" xfId="0" applyFont="1" applyFill="1" applyAlignment="1" applyProtection="1">
      <alignment vertical="center"/>
    </xf>
    <xf numFmtId="0" fontId="33" fillId="0" borderId="0" xfId="0" applyFont="1" applyBorder="1" applyProtection="1"/>
    <xf numFmtId="0" fontId="28" fillId="0" borderId="0" xfId="0" applyFont="1" applyProtection="1">
      <protection locked="0"/>
    </xf>
    <xf numFmtId="0" fontId="36" fillId="0" borderId="0" xfId="0" applyFont="1" applyProtection="1"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vertical="center"/>
      <protection locked="0"/>
    </xf>
    <xf numFmtId="0" fontId="36" fillId="0" borderId="0" xfId="0" applyFont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0" fontId="39" fillId="4" borderId="9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vertical="center"/>
    </xf>
    <xf numFmtId="3" fontId="19" fillId="0" borderId="0" xfId="0" applyNumberFormat="1" applyFont="1" applyFill="1" applyBorder="1" applyAlignment="1" applyProtection="1">
      <alignment vertical="center"/>
    </xf>
    <xf numFmtId="165" fontId="61" fillId="4" borderId="6" xfId="3" applyNumberFormat="1" applyFont="1" applyFill="1" applyBorder="1" applyAlignment="1" applyProtection="1">
      <alignment horizontal="center" vertical="center" wrapText="1"/>
    </xf>
    <xf numFmtId="165" fontId="61" fillId="4" borderId="6" xfId="0" applyNumberFormat="1" applyFont="1" applyFill="1" applyBorder="1" applyAlignment="1" applyProtection="1">
      <alignment horizontal="center" vertical="center" wrapText="1"/>
    </xf>
    <xf numFmtId="3" fontId="19" fillId="6" borderId="0" xfId="0" applyNumberFormat="1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vertical="center"/>
    </xf>
    <xf numFmtId="3" fontId="44" fillId="0" borderId="0" xfId="0" applyNumberFormat="1" applyFont="1" applyFill="1" applyBorder="1" applyAlignment="1" applyProtection="1">
      <alignment vertical="center"/>
    </xf>
    <xf numFmtId="3" fontId="44" fillId="6" borderId="0" xfId="0" applyNumberFormat="1" applyFont="1" applyFill="1" applyBorder="1" applyAlignment="1" applyProtection="1">
      <alignment vertical="center"/>
    </xf>
    <xf numFmtId="9" fontId="45" fillId="0" borderId="0" xfId="4" applyFont="1" applyFill="1" applyProtection="1"/>
    <xf numFmtId="0" fontId="45" fillId="0" borderId="0" xfId="0" applyFont="1" applyFill="1" applyProtection="1"/>
    <xf numFmtId="3" fontId="45" fillId="0" borderId="0" xfId="0" applyNumberFormat="1" applyFont="1" applyFill="1" applyBorder="1" applyAlignment="1" applyProtection="1">
      <alignment horizontal="center" vertical="center"/>
    </xf>
    <xf numFmtId="10" fontId="19" fillId="0" borderId="0" xfId="2" applyNumberFormat="1" applyFont="1" applyFill="1" applyBorder="1" applyAlignment="1" applyProtection="1">
      <alignment vertical="center"/>
    </xf>
    <xf numFmtId="0" fontId="28" fillId="6" borderId="0" xfId="0" applyFont="1" applyFill="1" applyAlignment="1" applyProtection="1">
      <alignment vertical="center" wrapText="1"/>
    </xf>
    <xf numFmtId="9" fontId="0" fillId="6" borderId="0" xfId="2" applyFont="1" applyFill="1" applyAlignment="1" applyProtection="1">
      <alignment vertical="center"/>
    </xf>
    <xf numFmtId="10" fontId="28" fillId="6" borderId="0" xfId="2" applyNumberFormat="1" applyFont="1" applyFill="1" applyProtection="1"/>
    <xf numFmtId="0" fontId="39" fillId="4" borderId="9" xfId="0" applyFont="1" applyFill="1" applyBorder="1" applyAlignment="1" applyProtection="1">
      <alignment horizontal="center" vertical="center" wrapText="1"/>
    </xf>
    <xf numFmtId="3" fontId="49" fillId="2" borderId="1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 wrapText="1"/>
    </xf>
    <xf numFmtId="0" fontId="28" fillId="6" borderId="0" xfId="0" applyFont="1" applyFill="1" applyAlignment="1">
      <alignment vertical="center" wrapText="1"/>
    </xf>
    <xf numFmtId="9" fontId="0" fillId="6" borderId="0" xfId="2" applyFont="1" applyFill="1" applyAlignment="1">
      <alignment vertical="center"/>
    </xf>
    <xf numFmtId="0" fontId="36" fillId="0" borderId="0" xfId="0" applyFont="1" applyAlignment="1">
      <alignment vertical="center"/>
    </xf>
    <xf numFmtId="0" fontId="0" fillId="6" borderId="0" xfId="0" applyFill="1"/>
    <xf numFmtId="0" fontId="29" fillId="0" borderId="0" xfId="0" applyFont="1" applyBorder="1" applyAlignment="1" applyProtection="1">
      <alignment horizontal="right" vertical="center"/>
    </xf>
    <xf numFmtId="0" fontId="4" fillId="6" borderId="1" xfId="0" applyFont="1" applyFill="1" applyBorder="1" applyAlignment="1" applyProtection="1">
      <alignment horizontal="center" vertical="center" wrapText="1"/>
    </xf>
    <xf numFmtId="0" fontId="29" fillId="0" borderId="0" xfId="0" applyFont="1" applyBorder="1" applyAlignment="1" applyProtection="1">
      <alignment vertical="center"/>
    </xf>
    <xf numFmtId="164" fontId="0" fillId="6" borderId="0" xfId="1" applyFont="1" applyFill="1"/>
    <xf numFmtId="0" fontId="5" fillId="0" borderId="0" xfId="0" applyFont="1" applyAlignment="1">
      <alignment vertical="center"/>
    </xf>
    <xf numFmtId="0" fontId="36" fillId="0" borderId="0" xfId="0" applyFont="1"/>
    <xf numFmtId="3" fontId="8" fillId="2" borderId="4" xfId="1" applyNumberFormat="1" applyFont="1" applyFill="1" applyBorder="1" applyAlignment="1" applyProtection="1">
      <alignment horizontal="center" vertical="center"/>
      <protection locked="0"/>
    </xf>
    <xf numFmtId="166" fontId="47" fillId="0" borderId="11" xfId="0" applyNumberFormat="1" applyFont="1" applyBorder="1" applyAlignment="1" applyProtection="1">
      <alignment horizontal="center" vertical="center" wrapText="1"/>
    </xf>
    <xf numFmtId="1" fontId="20" fillId="0" borderId="0" xfId="0" applyNumberFormat="1" applyFont="1" applyFill="1" applyBorder="1" applyProtection="1"/>
    <xf numFmtId="168" fontId="14" fillId="0" borderId="0" xfId="0" applyNumberFormat="1" applyFont="1" applyFill="1" applyBorder="1" applyAlignment="1" applyProtection="1">
      <alignment horizontal="right" vertical="center"/>
    </xf>
    <xf numFmtId="9" fontId="14" fillId="6" borderId="0" xfId="0" applyNumberFormat="1" applyFont="1" applyFill="1" applyBorder="1" applyAlignment="1" applyProtection="1">
      <alignment horizontal="left" vertical="center"/>
    </xf>
    <xf numFmtId="3" fontId="20" fillId="6" borderId="0" xfId="0" applyNumberFormat="1" applyFont="1" applyFill="1" applyBorder="1" applyAlignment="1" applyProtection="1">
      <alignment vertical="center"/>
    </xf>
    <xf numFmtId="3" fontId="14" fillId="6" borderId="0" xfId="4" applyNumberFormat="1" applyFont="1" applyFill="1" applyProtection="1"/>
    <xf numFmtId="16" fontId="0" fillId="0" borderId="0" xfId="0" applyNumberFormat="1" applyProtection="1"/>
    <xf numFmtId="169" fontId="65" fillId="6" borderId="0" xfId="1" applyNumberFormat="1" applyFont="1" applyFill="1" applyProtection="1">
      <protection locked="0"/>
    </xf>
    <xf numFmtId="3" fontId="49" fillId="6" borderId="1" xfId="1" applyNumberFormat="1" applyFont="1" applyFill="1" applyBorder="1" applyAlignment="1" applyProtection="1">
      <alignment horizontal="center" vertical="center"/>
    </xf>
    <xf numFmtId="0" fontId="64" fillId="0" borderId="1" xfId="0" applyFont="1" applyBorder="1" applyAlignment="1" applyProtection="1">
      <alignment horizontal="center" vertical="center" wrapText="1"/>
    </xf>
    <xf numFmtId="0" fontId="29" fillId="0" borderId="1" xfId="0" applyFont="1" applyBorder="1" applyAlignment="1" applyProtection="1">
      <alignment horizontal="center" vertical="center" wrapText="1"/>
    </xf>
    <xf numFmtId="0" fontId="43" fillId="6" borderId="1" xfId="0" applyFont="1" applyFill="1" applyBorder="1" applyAlignment="1" applyProtection="1">
      <alignment horizontal="center" vertical="center" wrapText="1"/>
    </xf>
    <xf numFmtId="3" fontId="66" fillId="0" borderId="0" xfId="0" applyNumberFormat="1" applyFont="1"/>
    <xf numFmtId="3" fontId="49" fillId="6" borderId="1" xfId="1" applyNumberFormat="1" applyFont="1" applyFill="1" applyBorder="1" applyAlignment="1" applyProtection="1">
      <alignment horizontal="center" vertical="center"/>
    </xf>
    <xf numFmtId="3" fontId="8" fillId="2" borderId="1" xfId="2" applyNumberFormat="1" applyFont="1" applyFill="1" applyBorder="1" applyAlignment="1" applyProtection="1">
      <alignment horizontal="center" vertical="center"/>
      <protection locked="0"/>
    </xf>
    <xf numFmtId="3" fontId="30" fillId="6" borderId="26" xfId="1" applyNumberFormat="1" applyFont="1" applyFill="1" applyBorder="1" applyAlignment="1" applyProtection="1">
      <alignment horizontal="center" vertical="center"/>
    </xf>
    <xf numFmtId="9" fontId="8" fillId="2" borderId="15" xfId="2" applyFont="1" applyFill="1" applyBorder="1" applyAlignment="1" applyProtection="1">
      <alignment horizontal="center" vertical="center"/>
      <protection locked="0"/>
    </xf>
    <xf numFmtId="0" fontId="43" fillId="6" borderId="1" xfId="0" applyFont="1" applyFill="1" applyBorder="1" applyAlignment="1" applyProtection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3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71" fillId="8" borderId="1" xfId="7" applyFont="1" applyFill="1" applyBorder="1" applyAlignment="1">
      <alignment wrapText="1"/>
    </xf>
    <xf numFmtId="3" fontId="8" fillId="6" borderId="14" xfId="2" applyNumberFormat="1" applyFont="1" applyFill="1" applyBorder="1" applyAlignment="1" applyProtection="1">
      <alignment horizontal="center" vertical="center"/>
      <protection locked="0"/>
    </xf>
    <xf numFmtId="165" fontId="9" fillId="2" borderId="15" xfId="2" applyNumberFormat="1" applyFont="1" applyFill="1" applyBorder="1" applyAlignment="1" applyProtection="1">
      <alignment vertical="center" wrapText="1"/>
      <protection locked="0"/>
    </xf>
    <xf numFmtId="3" fontId="9" fillId="2" borderId="1" xfId="2" applyNumberFormat="1" applyFont="1" applyFill="1" applyBorder="1" applyAlignment="1" applyProtection="1">
      <alignment horizontal="center" vertical="center"/>
      <protection locked="0"/>
    </xf>
    <xf numFmtId="3" fontId="9" fillId="6" borderId="1" xfId="2" applyNumberFormat="1" applyFont="1" applyFill="1" applyBorder="1" applyAlignment="1" applyProtection="1">
      <alignment horizontal="center" vertical="center"/>
      <protection locked="0"/>
    </xf>
    <xf numFmtId="3" fontId="9" fillId="6" borderId="14" xfId="2" applyNumberFormat="1" applyFont="1" applyFill="1" applyBorder="1" applyAlignment="1" applyProtection="1">
      <alignment horizontal="center" vertical="center"/>
      <protection locked="0"/>
    </xf>
    <xf numFmtId="165" fontId="72" fillId="9" borderId="32" xfId="8" applyNumberFormat="1" applyFont="1" applyFill="1" applyBorder="1" applyAlignment="1" applyProtection="1">
      <alignment vertical="center" wrapText="1"/>
      <protection locked="0"/>
    </xf>
    <xf numFmtId="171" fontId="72" fillId="9" borderId="23" xfId="8" applyNumberFormat="1" applyFont="1" applyFill="1" applyBorder="1" applyAlignment="1" applyProtection="1">
      <alignment horizontal="center" vertical="center"/>
      <protection locked="0"/>
    </xf>
    <xf numFmtId="3" fontId="9" fillId="6" borderId="23" xfId="2" applyNumberFormat="1" applyFont="1" applyFill="1" applyBorder="1" applyAlignment="1" applyProtection="1">
      <alignment horizontal="center" vertical="center"/>
      <protection locked="0"/>
    </xf>
    <xf numFmtId="3" fontId="9" fillId="6" borderId="24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3" fontId="0" fillId="0" borderId="0" xfId="0" applyNumberFormat="1"/>
    <xf numFmtId="3" fontId="0" fillId="0" borderId="0" xfId="0" applyNumberFormat="1" applyAlignment="1">
      <alignment wrapText="1"/>
    </xf>
    <xf numFmtId="9" fontId="0" fillId="0" borderId="0" xfId="0" applyNumberFormat="1"/>
    <xf numFmtId="10" fontId="49" fillId="2" borderId="1" xfId="2" applyNumberFormat="1" applyFont="1" applyFill="1" applyBorder="1" applyAlignment="1" applyProtection="1">
      <alignment horizontal="center" vertical="center"/>
      <protection locked="0"/>
    </xf>
    <xf numFmtId="3" fontId="30" fillId="6" borderId="0" xfId="1" applyNumberFormat="1" applyFont="1" applyFill="1" applyBorder="1" applyAlignment="1" applyProtection="1">
      <alignment horizontal="center" vertical="center"/>
    </xf>
    <xf numFmtId="0" fontId="33" fillId="0" borderId="0" xfId="0" applyFont="1"/>
    <xf numFmtId="0" fontId="31" fillId="6" borderId="0" xfId="0" applyFont="1" applyFill="1" applyAlignment="1">
      <alignment vertical="center"/>
    </xf>
    <xf numFmtId="0" fontId="32" fillId="0" borderId="0" xfId="0" applyFont="1" applyAlignment="1">
      <alignment horizontal="left" vertical="center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9" fontId="9" fillId="0" borderId="27" xfId="2" applyFont="1" applyBorder="1" applyAlignment="1" applyProtection="1">
      <alignment horizontal="center" vertical="center" wrapText="1"/>
    </xf>
    <xf numFmtId="9" fontId="9" fillId="0" borderId="25" xfId="2" applyFont="1" applyBorder="1" applyAlignment="1" applyProtection="1">
      <alignment horizontal="center" vertical="center" wrapText="1"/>
    </xf>
    <xf numFmtId="167" fontId="8" fillId="2" borderId="31" xfId="2" applyNumberFormat="1" applyFont="1" applyFill="1" applyBorder="1" applyAlignment="1" applyProtection="1">
      <alignment horizontal="center" vertical="center"/>
      <protection locked="0"/>
    </xf>
    <xf numFmtId="3" fontId="8" fillId="2" borderId="32" xfId="1" applyNumberFormat="1" applyFont="1" applyFill="1" applyBorder="1" applyAlignment="1" applyProtection="1">
      <alignment horizontal="center" vertical="center"/>
      <protection locked="0"/>
    </xf>
    <xf numFmtId="3" fontId="49" fillId="6" borderId="2" xfId="1" applyNumberFormat="1" applyFont="1" applyFill="1" applyBorder="1" applyAlignment="1" applyProtection="1">
      <alignment horizontal="center" vertical="center"/>
      <protection locked="0"/>
    </xf>
    <xf numFmtId="10" fontId="8" fillId="2" borderId="32" xfId="2" applyNumberFormat="1" applyFont="1" applyFill="1" applyBorder="1" applyAlignment="1" applyProtection="1">
      <alignment horizontal="center" vertical="center"/>
      <protection locked="0"/>
    </xf>
    <xf numFmtId="10" fontId="8" fillId="2" borderId="15" xfId="2" applyNumberFormat="1" applyFont="1" applyFill="1" applyBorder="1" applyAlignment="1" applyProtection="1">
      <alignment horizontal="center" vertical="center"/>
      <protection locked="0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3" fontId="8" fillId="2" borderId="31" xfId="1" applyNumberFormat="1" applyFont="1" applyFill="1" applyBorder="1" applyAlignment="1" applyProtection="1">
      <alignment horizontal="center" vertical="center"/>
      <protection locked="0"/>
    </xf>
    <xf numFmtId="3" fontId="8" fillId="2" borderId="37" xfId="1" applyNumberFormat="1" applyFont="1" applyFill="1" applyBorder="1" applyAlignment="1" applyProtection="1">
      <alignment horizontal="center" vertical="center"/>
      <protection locked="0"/>
    </xf>
    <xf numFmtId="166" fontId="47" fillId="0" borderId="35" xfId="0" applyNumberFormat="1" applyFont="1" applyBorder="1" applyAlignment="1" applyProtection="1">
      <alignment horizontal="center" vertical="center" wrapText="1"/>
    </xf>
    <xf numFmtId="3" fontId="49" fillId="6" borderId="1" xfId="1" applyNumberFormat="1" applyFont="1" applyFill="1" applyBorder="1" applyAlignment="1" applyProtection="1">
      <alignment horizontal="center" vertical="center"/>
    </xf>
    <xf numFmtId="3" fontId="49" fillId="6" borderId="2" xfId="1" applyNumberFormat="1" applyFont="1" applyFill="1" applyBorder="1" applyAlignment="1" applyProtection="1">
      <alignment horizontal="center" vertical="center"/>
    </xf>
    <xf numFmtId="0" fontId="64" fillId="0" borderId="1" xfId="0" applyFont="1" applyBorder="1" applyAlignment="1" applyProtection="1">
      <alignment horizontal="center" vertical="center" wrapText="1"/>
    </xf>
    <xf numFmtId="0" fontId="64" fillId="0" borderId="2" xfId="0" applyFont="1" applyBorder="1" applyAlignment="1" applyProtection="1">
      <alignment horizontal="center" vertical="center" wrapText="1"/>
    </xf>
    <xf numFmtId="3" fontId="8" fillId="2" borderId="15" xfId="1" applyNumberFormat="1" applyFont="1" applyFill="1" applyBorder="1" applyAlignment="1" applyProtection="1">
      <alignment horizontal="center" vertical="center"/>
      <protection locked="0"/>
    </xf>
    <xf numFmtId="3" fontId="8" fillId="6" borderId="1" xfId="2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7" fontId="8" fillId="2" borderId="37" xfId="2" applyNumberFormat="1" applyFont="1" applyFill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 wrapText="1"/>
    </xf>
    <xf numFmtId="0" fontId="43" fillId="6" borderId="1" xfId="0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left" vertical="center"/>
    </xf>
    <xf numFmtId="3" fontId="30" fillId="6" borderId="0" xfId="1" applyNumberFormat="1" applyFont="1" applyFill="1" applyBorder="1" applyAlignment="1" applyProtection="1">
      <alignment horizontal="center" vertical="center"/>
    </xf>
    <xf numFmtId="0" fontId="47" fillId="0" borderId="1" xfId="0" applyFont="1" applyBorder="1" applyAlignment="1" applyProtection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</xf>
    <xf numFmtId="3" fontId="49" fillId="6" borderId="2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3" fontId="8" fillId="2" borderId="15" xfId="1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 applyProtection="1">
      <alignment horizontal="center" vertical="center"/>
    </xf>
    <xf numFmtId="0" fontId="29" fillId="0" borderId="3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4" fillId="0" borderId="4" xfId="0" applyFont="1" applyBorder="1" applyAlignment="1">
      <alignment horizontal="center" vertical="center" wrapText="1"/>
    </xf>
    <xf numFmtId="3" fontId="8" fillId="2" borderId="4" xfId="1" applyNumberFormat="1" applyFont="1" applyFill="1" applyBorder="1" applyAlignment="1" applyProtection="1">
      <alignment horizontal="center" vertical="center"/>
      <protection locked="0"/>
    </xf>
    <xf numFmtId="9" fontId="8" fillId="2" borderId="1" xfId="2" applyFont="1" applyFill="1" applyBorder="1" applyAlignment="1" applyProtection="1">
      <alignment horizontal="center" vertical="center"/>
      <protection locked="0"/>
    </xf>
    <xf numFmtId="0" fontId="65" fillId="6" borderId="0" xfId="0" applyFont="1" applyFill="1" applyAlignment="1">
      <alignment vertical="center" wrapText="1"/>
    </xf>
    <xf numFmtId="167" fontId="65" fillId="6" borderId="0" xfId="2" applyNumberFormat="1" applyFont="1" applyFill="1" applyAlignment="1">
      <alignment vertical="center" wrapText="1"/>
    </xf>
    <xf numFmtId="0" fontId="4" fillId="0" borderId="15" xfId="0" applyFont="1" applyBorder="1" applyAlignment="1">
      <alignment horizontal="center" vertical="center" wrapText="1"/>
    </xf>
    <xf numFmtId="3" fontId="8" fillId="6" borderId="14" xfId="2" applyNumberFormat="1" applyFont="1" applyFill="1" applyBorder="1" applyAlignment="1">
      <alignment horizontal="center" vertical="center"/>
    </xf>
    <xf numFmtId="3" fontId="8" fillId="6" borderId="23" xfId="2" applyNumberFormat="1" applyFont="1" applyFill="1" applyBorder="1" applyAlignment="1">
      <alignment horizontal="center" vertical="center"/>
    </xf>
    <xf numFmtId="3" fontId="8" fillId="6" borderId="24" xfId="2" applyNumberFormat="1" applyFont="1" applyFill="1" applyBorder="1" applyAlignment="1">
      <alignment horizontal="center" vertical="center"/>
    </xf>
    <xf numFmtId="3" fontId="8" fillId="2" borderId="4" xfId="2" applyNumberFormat="1" applyFont="1" applyFill="1" applyBorder="1" applyAlignment="1" applyProtection="1">
      <alignment horizontal="center" vertical="center"/>
      <protection locked="0"/>
    </xf>
    <xf numFmtId="0" fontId="32" fillId="6" borderId="0" xfId="2" applyNumberFormat="1" applyFont="1" applyFill="1" applyBorder="1" applyAlignment="1" applyProtection="1">
      <alignment horizontal="center" vertical="center" wrapText="1"/>
    </xf>
    <xf numFmtId="3" fontId="8" fillId="2" borderId="35" xfId="1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Protection="1">
      <protection locked="0"/>
    </xf>
    <xf numFmtId="0" fontId="36" fillId="6" borderId="0" xfId="0" applyFont="1" applyFill="1" applyProtection="1">
      <protection locked="0"/>
    </xf>
    <xf numFmtId="0" fontId="28" fillId="6" borderId="0" xfId="0" applyFont="1" applyFill="1" applyProtection="1"/>
    <xf numFmtId="3" fontId="8" fillId="2" borderId="23" xfId="2" applyNumberFormat="1" applyFont="1" applyFill="1" applyBorder="1" applyAlignment="1" applyProtection="1">
      <alignment horizontal="center" vertical="center"/>
      <protection locked="0"/>
    </xf>
    <xf numFmtId="3" fontId="8" fillId="6" borderId="15" xfId="2" applyNumberFormat="1" applyFont="1" applyFill="1" applyBorder="1" applyAlignment="1">
      <alignment horizontal="center" vertical="center"/>
    </xf>
    <xf numFmtId="3" fontId="8" fillId="6" borderId="32" xfId="2" applyNumberFormat="1" applyFont="1" applyFill="1" applyBorder="1" applyAlignment="1">
      <alignment horizontal="center" vertical="center"/>
    </xf>
    <xf numFmtId="4" fontId="66" fillId="0" borderId="0" xfId="0" applyNumberFormat="1" applyFont="1"/>
    <xf numFmtId="166" fontId="47" fillId="0" borderId="17" xfId="0" applyNumberFormat="1" applyFont="1" applyBorder="1" applyAlignment="1" applyProtection="1">
      <alignment horizontal="center" vertical="center" wrapText="1"/>
    </xf>
    <xf numFmtId="166" fontId="47" fillId="0" borderId="12" xfId="0" applyNumberFormat="1" applyFont="1" applyBorder="1" applyAlignment="1" applyProtection="1">
      <alignment horizontal="center" vertical="center" wrapText="1"/>
    </xf>
    <xf numFmtId="3" fontId="8" fillId="6" borderId="17" xfId="1" applyNumberFormat="1" applyFont="1" applyFill="1" applyBorder="1" applyAlignment="1" applyProtection="1">
      <alignment horizontal="center" vertical="center"/>
    </xf>
    <xf numFmtId="3" fontId="8" fillId="6" borderId="12" xfId="1" applyNumberFormat="1" applyFont="1" applyFill="1" applyBorder="1" applyAlignment="1" applyProtection="1">
      <alignment horizontal="center" vertical="center"/>
    </xf>
    <xf numFmtId="3" fontId="8" fillId="6" borderId="1" xfId="1" applyNumberFormat="1" applyFont="1" applyFill="1" applyBorder="1" applyAlignment="1" applyProtection="1">
      <alignment horizontal="center" vertical="center"/>
    </xf>
    <xf numFmtId="3" fontId="8" fillId="6" borderId="2" xfId="1" applyNumberFormat="1" applyFont="1" applyFill="1" applyBorder="1" applyAlignment="1" applyProtection="1">
      <alignment horizontal="center" vertical="center"/>
    </xf>
    <xf numFmtId="166" fontId="47" fillId="0" borderId="1" xfId="0" applyNumberFormat="1" applyFont="1" applyBorder="1" applyAlignment="1" applyProtection="1">
      <alignment horizontal="center" vertical="center" wrapText="1"/>
    </xf>
    <xf numFmtId="166" fontId="47" fillId="0" borderId="2" xfId="0" applyNumberFormat="1" applyFont="1" applyBorder="1" applyAlignment="1" applyProtection="1">
      <alignment horizontal="center" vertical="center" wrapText="1"/>
    </xf>
    <xf numFmtId="0" fontId="31" fillId="0" borderId="31" xfId="0" applyFont="1" applyBorder="1" applyAlignment="1" applyProtection="1">
      <alignment horizontal="center" vertical="center" wrapText="1"/>
    </xf>
    <xf numFmtId="0" fontId="31" fillId="0" borderId="19" xfId="0" applyFont="1" applyBorder="1" applyAlignment="1" applyProtection="1">
      <alignment horizontal="center" vertical="center" wrapText="1"/>
    </xf>
    <xf numFmtId="0" fontId="31" fillId="0" borderId="20" xfId="0" applyFont="1" applyBorder="1" applyAlignment="1" applyProtection="1">
      <alignment horizontal="center" vertical="center" wrapText="1"/>
    </xf>
    <xf numFmtId="0" fontId="31" fillId="0" borderId="27" xfId="0" applyFont="1" applyBorder="1" applyAlignment="1" applyProtection="1">
      <alignment horizontal="center" vertical="center" wrapText="1"/>
    </xf>
    <xf numFmtId="166" fontId="47" fillId="0" borderId="16" xfId="0" applyNumberFormat="1" applyFont="1" applyBorder="1" applyAlignment="1" applyProtection="1">
      <alignment horizontal="center" vertical="center" wrapText="1"/>
    </xf>
    <xf numFmtId="166" fontId="47" fillId="0" borderId="10" xfId="0" applyNumberFormat="1" applyFont="1" applyBorder="1" applyAlignment="1" applyProtection="1">
      <alignment horizontal="center" vertical="center" wrapText="1"/>
    </xf>
    <xf numFmtId="166" fontId="47" fillId="0" borderId="19" xfId="0" applyNumberFormat="1" applyFont="1" applyBorder="1" applyAlignment="1">
      <alignment horizontal="center" vertical="center" wrapText="1"/>
    </xf>
    <xf numFmtId="166" fontId="47" fillId="0" borderId="27" xfId="0" applyNumberFormat="1" applyFont="1" applyBorder="1" applyAlignment="1">
      <alignment horizontal="center" vertical="center" wrapText="1"/>
    </xf>
    <xf numFmtId="3" fontId="8" fillId="6" borderId="23" xfId="1" applyNumberFormat="1" applyFont="1" applyFill="1" applyBorder="1" applyAlignment="1" applyProtection="1">
      <alignment horizontal="center" vertical="center"/>
    </xf>
    <xf numFmtId="3" fontId="8" fillId="6" borderId="25" xfId="1" applyNumberFormat="1" applyFont="1" applyFill="1" applyBorder="1" applyAlignment="1" applyProtection="1">
      <alignment horizontal="center" vertical="center"/>
    </xf>
    <xf numFmtId="166" fontId="47" fillId="0" borderId="20" xfId="0" applyNumberFormat="1" applyFont="1" applyBorder="1" applyAlignment="1">
      <alignment horizontal="center" vertical="center" wrapText="1"/>
    </xf>
    <xf numFmtId="3" fontId="8" fillId="6" borderId="24" xfId="1" applyNumberFormat="1" applyFont="1" applyFill="1" applyBorder="1" applyAlignment="1" applyProtection="1">
      <alignment horizontal="center" vertical="center"/>
    </xf>
    <xf numFmtId="3" fontId="8" fillId="6" borderId="14" xfId="1" applyNumberFormat="1" applyFont="1" applyFill="1" applyBorder="1" applyAlignment="1" applyProtection="1">
      <alignment horizontal="center" vertical="center"/>
    </xf>
    <xf numFmtId="3" fontId="8" fillId="6" borderId="16" xfId="1" applyNumberFormat="1" applyFont="1" applyFill="1" applyBorder="1" applyAlignment="1" applyProtection="1">
      <alignment horizontal="center" vertical="center"/>
    </xf>
    <xf numFmtId="3" fontId="8" fillId="6" borderId="36" xfId="1" applyNumberFormat="1" applyFont="1" applyFill="1" applyBorder="1" applyAlignment="1" applyProtection="1">
      <alignment horizontal="center" vertical="center"/>
    </xf>
    <xf numFmtId="3" fontId="8" fillId="6" borderId="19" xfId="1" applyNumberFormat="1" applyFont="1" applyFill="1" applyBorder="1" applyAlignment="1" applyProtection="1">
      <alignment horizontal="center" vertical="center"/>
    </xf>
    <xf numFmtId="3" fontId="8" fillId="6" borderId="20" xfId="1" applyNumberFormat="1" applyFont="1" applyFill="1" applyBorder="1" applyAlignment="1" applyProtection="1">
      <alignment horizontal="center" vertical="center"/>
    </xf>
    <xf numFmtId="166" fontId="47" fillId="0" borderId="14" xfId="0" applyNumberFormat="1" applyFont="1" applyBorder="1" applyAlignment="1" applyProtection="1">
      <alignment horizontal="center" vertical="center" wrapText="1"/>
    </xf>
    <xf numFmtId="3" fontId="8" fillId="6" borderId="38" xfId="1" applyNumberFormat="1" applyFont="1" applyFill="1" applyBorder="1" applyAlignment="1" applyProtection="1">
      <alignment horizontal="center" vertical="center"/>
    </xf>
    <xf numFmtId="0" fontId="64" fillId="6" borderId="1" xfId="0" applyFont="1" applyFill="1" applyBorder="1" applyAlignment="1" applyProtection="1">
      <alignment horizontal="center" vertical="center" wrapText="1"/>
    </xf>
    <xf numFmtId="0" fontId="64" fillId="6" borderId="2" xfId="0" applyFont="1" applyFill="1" applyBorder="1" applyAlignment="1" applyProtection="1">
      <alignment horizontal="center" vertical="center" wrapText="1"/>
    </xf>
    <xf numFmtId="0" fontId="64" fillId="6" borderId="4" xfId="0" applyFont="1" applyFill="1" applyBorder="1" applyAlignment="1" applyProtection="1">
      <alignment horizontal="center" vertical="center" wrapText="1"/>
    </xf>
    <xf numFmtId="3" fontId="49" fillId="6" borderId="2" xfId="1" applyNumberFormat="1" applyFont="1" applyFill="1" applyBorder="1" applyAlignment="1" applyProtection="1">
      <alignment horizontal="center" vertical="center"/>
    </xf>
    <xf numFmtId="3" fontId="49" fillId="6" borderId="3" xfId="1" applyNumberFormat="1" applyFont="1" applyFill="1" applyBorder="1" applyAlignment="1" applyProtection="1">
      <alignment horizontal="center" vertical="center"/>
    </xf>
    <xf numFmtId="0" fontId="64" fillId="0" borderId="1" xfId="0" applyFont="1" applyBorder="1" applyAlignment="1" applyProtection="1">
      <alignment horizontal="center" vertical="center" wrapText="1"/>
    </xf>
    <xf numFmtId="0" fontId="64" fillId="6" borderId="3" xfId="0" applyFont="1" applyFill="1" applyBorder="1" applyAlignment="1" applyProtection="1">
      <alignment horizontal="center" vertical="center" wrapText="1"/>
    </xf>
    <xf numFmtId="3" fontId="8" fillId="2" borderId="15" xfId="1" applyNumberFormat="1" applyFont="1" applyFill="1" applyBorder="1" applyAlignment="1" applyProtection="1">
      <alignment horizontal="center" vertical="center"/>
      <protection locked="0"/>
    </xf>
    <xf numFmtId="3" fontId="8" fillId="2" borderId="1" xfId="1" applyNumberFormat="1" applyFont="1" applyFill="1" applyBorder="1" applyAlignment="1" applyProtection="1">
      <alignment horizontal="center" vertical="center"/>
      <protection locked="0"/>
    </xf>
    <xf numFmtId="3" fontId="8" fillId="2" borderId="4" xfId="1" applyNumberFormat="1" applyFont="1" applyFill="1" applyBorder="1" applyAlignment="1" applyProtection="1">
      <alignment horizontal="center" vertical="center"/>
      <protection locked="0"/>
    </xf>
    <xf numFmtId="3" fontId="30" fillId="6" borderId="26" xfId="1" applyNumberFormat="1" applyFont="1" applyFill="1" applyBorder="1" applyAlignment="1" applyProtection="1">
      <alignment horizontal="center" vertical="center"/>
    </xf>
    <xf numFmtId="3" fontId="30" fillId="6" borderId="23" xfId="1" applyNumberFormat="1" applyFont="1" applyFill="1" applyBorder="1" applyAlignment="1" applyProtection="1">
      <alignment horizontal="center" vertical="center"/>
    </xf>
    <xf numFmtId="3" fontId="8" fillId="6" borderId="39" xfId="1" applyNumberFormat="1" applyFont="1" applyFill="1" applyBorder="1" applyAlignment="1" applyProtection="1">
      <alignment horizontal="center" vertical="center"/>
    </xf>
    <xf numFmtId="3" fontId="8" fillId="6" borderId="40" xfId="1" applyNumberFormat="1" applyFont="1" applyFill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9" fontId="9" fillId="0" borderId="1" xfId="2" applyFont="1" applyBorder="1" applyAlignment="1" applyProtection="1">
      <alignment horizontal="left" vertical="center" wrapText="1"/>
    </xf>
    <xf numFmtId="9" fontId="9" fillId="0" borderId="2" xfId="2" applyFont="1" applyBorder="1" applyAlignment="1" applyProtection="1">
      <alignment horizontal="left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3" fontId="8" fillId="6" borderId="4" xfId="1" applyNumberFormat="1" applyFont="1" applyFill="1" applyBorder="1" applyAlignment="1" applyProtection="1">
      <alignment horizontal="center" vertical="center"/>
      <protection locked="0"/>
    </xf>
    <xf numFmtId="3" fontId="8" fillId="6" borderId="1" xfId="1" applyNumberFormat="1" applyFont="1" applyFill="1" applyBorder="1" applyAlignment="1" applyProtection="1">
      <alignment horizontal="center" vertical="center"/>
      <protection locked="0"/>
    </xf>
    <xf numFmtId="3" fontId="8" fillId="6" borderId="26" xfId="1" applyNumberFormat="1" applyFont="1" applyFill="1" applyBorder="1" applyAlignment="1" applyProtection="1">
      <alignment horizontal="center" vertical="center"/>
      <protection locked="0"/>
    </xf>
    <xf numFmtId="3" fontId="8" fillId="6" borderId="23" xfId="1" applyNumberFormat="1" applyFont="1" applyFill="1" applyBorder="1" applyAlignment="1" applyProtection="1">
      <alignment horizontal="center" vertical="center"/>
      <protection locked="0"/>
    </xf>
    <xf numFmtId="0" fontId="29" fillId="0" borderId="16" xfId="0" applyFont="1" applyBorder="1" applyAlignment="1" applyProtection="1">
      <alignment horizontal="center" vertical="center" wrapText="1"/>
    </xf>
    <xf numFmtId="10" fontId="8" fillId="2" borderId="2" xfId="2" applyNumberFormat="1" applyFont="1" applyFill="1" applyBorder="1" applyAlignment="1" applyProtection="1">
      <alignment horizontal="center" vertical="center"/>
      <protection locked="0"/>
    </xf>
    <xf numFmtId="10" fontId="8" fillId="2" borderId="3" xfId="2" applyNumberFormat="1" applyFont="1" applyFill="1" applyBorder="1" applyAlignment="1" applyProtection="1">
      <alignment horizontal="center" vertical="center"/>
      <protection locked="0"/>
    </xf>
    <xf numFmtId="10" fontId="8" fillId="2" borderId="4" xfId="2" applyNumberFormat="1" applyFont="1" applyFill="1" applyBorder="1" applyAlignment="1" applyProtection="1">
      <alignment horizontal="center" vertical="center"/>
      <protection locked="0"/>
    </xf>
    <xf numFmtId="3" fontId="8" fillId="6" borderId="15" xfId="1" applyNumberFormat="1" applyFont="1" applyFill="1" applyBorder="1" applyAlignment="1" applyProtection="1">
      <alignment horizontal="center" vertical="center"/>
      <protection locked="0"/>
    </xf>
    <xf numFmtId="3" fontId="8" fillId="6" borderId="32" xfId="1" applyNumberFormat="1" applyFont="1" applyFill="1" applyBorder="1" applyAlignment="1" applyProtection="1">
      <alignment horizontal="center" vertical="center"/>
      <protection locked="0"/>
    </xf>
    <xf numFmtId="3" fontId="30" fillId="6" borderId="32" xfId="1" applyNumberFormat="1" applyFont="1" applyFill="1" applyBorder="1" applyAlignment="1" applyProtection="1">
      <alignment horizontal="center" vertical="center"/>
    </xf>
    <xf numFmtId="0" fontId="29" fillId="0" borderId="31" xfId="0" applyFont="1" applyBorder="1" applyAlignment="1" applyProtection="1">
      <alignment horizontal="center" vertical="center" wrapText="1"/>
    </xf>
    <xf numFmtId="0" fontId="29" fillId="0" borderId="19" xfId="0" applyFont="1" applyBorder="1" applyAlignment="1" applyProtection="1">
      <alignment horizontal="center" vertical="center" wrapText="1"/>
    </xf>
    <xf numFmtId="0" fontId="29" fillId="0" borderId="20" xfId="0" applyFont="1" applyBorder="1" applyAlignment="1" applyProtection="1">
      <alignment horizontal="center" vertical="center" wrapText="1"/>
    </xf>
    <xf numFmtId="0" fontId="29" fillId="0" borderId="33" xfId="0" applyFont="1" applyBorder="1" applyAlignment="1" applyProtection="1">
      <alignment horizontal="center" vertical="center" wrapText="1"/>
    </xf>
    <xf numFmtId="0" fontId="29" fillId="0" borderId="34" xfId="0" applyFont="1" applyBorder="1" applyAlignment="1" applyProtection="1">
      <alignment horizontal="center" vertical="center" wrapText="1"/>
    </xf>
    <xf numFmtId="0" fontId="43" fillId="6" borderId="0" xfId="0" applyFont="1" applyFill="1" applyAlignment="1">
      <alignment horizontal="left" vertical="center" wrapText="1"/>
    </xf>
    <xf numFmtId="0" fontId="32" fillId="6" borderId="1" xfId="2" applyNumberFormat="1" applyFont="1" applyFill="1" applyBorder="1" applyAlignment="1" applyProtection="1">
      <alignment horizontal="center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 wrapText="1"/>
    </xf>
    <xf numFmtId="0" fontId="29" fillId="0" borderId="1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8" fillId="2" borderId="2" xfId="2" applyNumberFormat="1" applyFont="1" applyFill="1" applyBorder="1" applyAlignment="1" applyProtection="1">
      <alignment horizontal="center" vertical="center"/>
      <protection locked="0"/>
    </xf>
    <xf numFmtId="166" fontId="8" fillId="2" borderId="4" xfId="2" applyNumberFormat="1" applyFont="1" applyFill="1" applyBorder="1" applyAlignment="1" applyProtection="1">
      <alignment horizontal="center" vertical="center"/>
      <protection locked="0"/>
    </xf>
    <xf numFmtId="0" fontId="29" fillId="2" borderId="2" xfId="0" applyFont="1" applyFill="1" applyBorder="1" applyAlignment="1" applyProtection="1">
      <alignment horizontal="center" vertical="center" wrapText="1"/>
      <protection locked="0"/>
    </xf>
    <xf numFmtId="0" fontId="29" fillId="2" borderId="3" xfId="0" applyFont="1" applyFill="1" applyBorder="1" applyAlignment="1" applyProtection="1">
      <alignment horizontal="center" vertical="center" wrapText="1"/>
      <protection locked="0"/>
    </xf>
    <xf numFmtId="0" fontId="29" fillId="2" borderId="4" xfId="0" applyFont="1" applyFill="1" applyBorder="1" applyAlignment="1" applyProtection="1">
      <alignment horizontal="center" vertical="center" wrapText="1"/>
      <protection locked="0"/>
    </xf>
    <xf numFmtId="0" fontId="73" fillId="6" borderId="1" xfId="2" applyNumberFormat="1" applyFont="1" applyFill="1" applyBorder="1" applyAlignment="1" applyProtection="1">
      <alignment horizontal="center" vertical="center" wrapText="1"/>
      <protection locked="0"/>
    </xf>
    <xf numFmtId="0" fontId="73" fillId="6" borderId="2" xfId="2" applyNumberFormat="1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32" fillId="6" borderId="2" xfId="2" applyNumberFormat="1" applyFont="1" applyFill="1" applyBorder="1" applyAlignment="1" applyProtection="1">
      <alignment horizontal="center" vertical="center" wrapText="1"/>
    </xf>
    <xf numFmtId="0" fontId="32" fillId="6" borderId="4" xfId="2" applyNumberFormat="1" applyFont="1" applyFill="1" applyBorder="1" applyAlignment="1" applyProtection="1">
      <alignment horizontal="center" vertical="center" wrapText="1"/>
    </xf>
    <xf numFmtId="9" fontId="9" fillId="0" borderId="42" xfId="2" applyFont="1" applyBorder="1" applyAlignment="1" applyProtection="1">
      <alignment horizontal="center" vertical="center" wrapText="1"/>
    </xf>
    <xf numFmtId="9" fontId="9" fillId="0" borderId="43" xfId="2" applyFont="1" applyBorder="1" applyAlignment="1" applyProtection="1">
      <alignment horizontal="center" vertical="center" wrapText="1"/>
    </xf>
    <xf numFmtId="9" fontId="48" fillId="2" borderId="1" xfId="2" applyFont="1" applyFill="1" applyBorder="1" applyAlignment="1" applyProtection="1">
      <alignment horizontal="center" vertical="center" wrapText="1"/>
      <protection locked="0"/>
    </xf>
    <xf numFmtId="9" fontId="63" fillId="6" borderId="1" xfId="2" applyFont="1" applyFill="1" applyBorder="1" applyAlignment="1" applyProtection="1">
      <alignment horizontal="center" vertical="center" wrapText="1"/>
    </xf>
    <xf numFmtId="166" fontId="47" fillId="0" borderId="23" xfId="0" applyNumberFormat="1" applyFont="1" applyBorder="1" applyAlignment="1" applyProtection="1">
      <alignment horizontal="center" vertical="center" wrapText="1"/>
    </xf>
    <xf numFmtId="166" fontId="47" fillId="0" borderId="24" xfId="0" applyNumberFormat="1" applyFont="1" applyBorder="1" applyAlignment="1" applyProtection="1">
      <alignment horizontal="center" vertical="center" wrapText="1"/>
    </xf>
    <xf numFmtId="9" fontId="9" fillId="0" borderId="18" xfId="2" applyFont="1" applyBorder="1" applyAlignment="1" applyProtection="1">
      <alignment horizontal="left" vertical="center" wrapText="1"/>
    </xf>
    <xf numFmtId="9" fontId="9" fillId="0" borderId="29" xfId="2" applyFont="1" applyBorder="1" applyAlignment="1" applyProtection="1">
      <alignment horizontal="left" vertical="center" wrapText="1"/>
    </xf>
    <xf numFmtId="9" fontId="9" fillId="0" borderId="21" xfId="2" applyFont="1" applyBorder="1" applyAlignment="1" applyProtection="1">
      <alignment horizontal="left" vertical="center" wrapText="1"/>
    </xf>
    <xf numFmtId="9" fontId="9" fillId="0" borderId="0" xfId="2" applyFont="1" applyBorder="1" applyAlignment="1" applyProtection="1">
      <alignment horizontal="left" vertical="center" wrapText="1"/>
    </xf>
    <xf numFmtId="9" fontId="9" fillId="0" borderId="22" xfId="2" applyFont="1" applyBorder="1" applyAlignment="1" applyProtection="1">
      <alignment horizontal="left" vertical="center" wrapText="1"/>
    </xf>
    <xf numFmtId="9" fontId="9" fillId="0" borderId="30" xfId="2" applyFont="1" applyBorder="1" applyAlignment="1" applyProtection="1">
      <alignment horizontal="left" vertical="center" wrapText="1"/>
    </xf>
    <xf numFmtId="166" fontId="47" fillId="0" borderId="36" xfId="0" applyNumberFormat="1" applyFont="1" applyBorder="1" applyAlignment="1" applyProtection="1">
      <alignment horizontal="center" vertical="center" wrapText="1"/>
    </xf>
    <xf numFmtId="0" fontId="29" fillId="0" borderId="2" xfId="0" applyFont="1" applyBorder="1" applyAlignment="1" applyProtection="1">
      <alignment horizontal="center" vertical="center" wrapText="1"/>
    </xf>
    <xf numFmtId="0" fontId="29" fillId="0" borderId="3" xfId="0" applyFont="1" applyBorder="1" applyAlignment="1" applyProtection="1">
      <alignment horizontal="center" vertical="center" wrapText="1"/>
    </xf>
    <xf numFmtId="0" fontId="29" fillId="0" borderId="4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8" xfId="0" applyFont="1" applyBorder="1" applyAlignment="1" applyProtection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5" xfId="0" applyFont="1" applyBorder="1" applyAlignment="1" applyProtection="1">
      <alignment horizontal="left" vertical="center"/>
    </xf>
    <xf numFmtId="0" fontId="43" fillId="6" borderId="3" xfId="0" applyFont="1" applyFill="1" applyBorder="1" applyAlignment="1" applyProtection="1">
      <alignment horizontal="left" wrapText="1"/>
    </xf>
    <xf numFmtId="9" fontId="9" fillId="0" borderId="41" xfId="2" applyFont="1" applyBorder="1" applyAlignment="1" applyProtection="1">
      <alignment horizontal="left" vertical="center" wrapText="1"/>
    </xf>
    <xf numFmtId="9" fontId="9" fillId="0" borderId="5" xfId="2" applyFont="1" applyBorder="1" applyAlignment="1" applyProtection="1">
      <alignment horizontal="left" vertical="center" wrapText="1"/>
    </xf>
    <xf numFmtId="0" fontId="31" fillId="0" borderId="16" xfId="0" applyFont="1" applyBorder="1" applyAlignment="1" applyProtection="1">
      <alignment horizontal="center" vertical="center"/>
    </xf>
    <xf numFmtId="9" fontId="9" fillId="6" borderId="31" xfId="2" applyFont="1" applyFill="1" applyBorder="1" applyAlignment="1" applyProtection="1">
      <alignment horizontal="left" vertical="top" wrapText="1"/>
    </xf>
    <xf numFmtId="9" fontId="9" fillId="6" borderId="27" xfId="2" applyFont="1" applyFill="1" applyBorder="1" applyAlignment="1" applyProtection="1">
      <alignment horizontal="left" vertical="top" wrapText="1"/>
    </xf>
    <xf numFmtId="9" fontId="9" fillId="6" borderId="32" xfId="2" applyFont="1" applyFill="1" applyBorder="1" applyAlignment="1" applyProtection="1">
      <alignment horizontal="left" vertical="top" wrapText="1"/>
    </xf>
    <xf numFmtId="9" fontId="9" fillId="6" borderId="25" xfId="2" applyFont="1" applyFill="1" applyBorder="1" applyAlignment="1" applyProtection="1">
      <alignment horizontal="left" vertical="top" wrapText="1"/>
    </xf>
    <xf numFmtId="0" fontId="31" fillId="0" borderId="28" xfId="0" applyFont="1" applyBorder="1" applyAlignment="1" applyProtection="1">
      <alignment horizontal="center" vertical="center" wrapText="1"/>
    </xf>
    <xf numFmtId="0" fontId="58" fillId="6" borderId="5" xfId="0" applyFont="1" applyFill="1" applyBorder="1" applyAlignment="1" applyProtection="1">
      <alignment horizontal="left" vertical="center" wrapText="1"/>
    </xf>
    <xf numFmtId="9" fontId="9" fillId="0" borderId="16" xfId="2" applyFont="1" applyBorder="1" applyAlignment="1" applyProtection="1">
      <alignment horizontal="left" vertical="center" wrapText="1"/>
    </xf>
    <xf numFmtId="9" fontId="9" fillId="0" borderId="10" xfId="2" applyFont="1" applyBorder="1" applyAlignment="1" applyProtection="1">
      <alignment horizontal="left" vertical="center" wrapText="1"/>
    </xf>
    <xf numFmtId="9" fontId="9" fillId="0" borderId="17" xfId="2" applyFont="1" applyBorder="1" applyAlignment="1" applyProtection="1">
      <alignment horizontal="left" vertical="center" wrapText="1"/>
    </xf>
    <xf numFmtId="9" fontId="9" fillId="0" borderId="12" xfId="2" applyFont="1" applyBorder="1" applyAlignment="1" applyProtection="1">
      <alignment horizontal="left" vertical="center" wrapText="1"/>
    </xf>
    <xf numFmtId="9" fontId="9" fillId="0" borderId="3" xfId="2" applyFont="1" applyBorder="1" applyAlignment="1" applyProtection="1">
      <alignment horizontal="left" vertical="center" wrapText="1"/>
    </xf>
    <xf numFmtId="166" fontId="47" fillId="0" borderId="38" xfId="0" applyNumberFormat="1" applyFont="1" applyBorder="1" applyAlignment="1" applyProtection="1">
      <alignment horizontal="center" vertical="center" wrapText="1"/>
    </xf>
    <xf numFmtId="3" fontId="8" fillId="6" borderId="10" xfId="1" applyNumberFormat="1" applyFont="1" applyFill="1" applyBorder="1" applyAlignment="1" applyProtection="1">
      <alignment horizontal="center" vertical="center"/>
    </xf>
    <xf numFmtId="3" fontId="8" fillId="6" borderId="27" xfId="1" applyNumberFormat="1" applyFont="1" applyFill="1" applyBorder="1" applyAlignment="1" applyProtection="1">
      <alignment horizontal="center" vertical="center"/>
    </xf>
    <xf numFmtId="166" fontId="47" fillId="0" borderId="25" xfId="0" applyNumberFormat="1" applyFont="1" applyBorder="1" applyAlignment="1" applyProtection="1">
      <alignment horizontal="center" vertical="center" wrapText="1"/>
    </xf>
    <xf numFmtId="0" fontId="59" fillId="2" borderId="0" xfId="0" applyFont="1" applyFill="1" applyAlignment="1" applyProtection="1">
      <alignment horizontal="center" vertical="center"/>
    </xf>
    <xf numFmtId="0" fontId="43" fillId="6" borderId="5" xfId="0" applyFont="1" applyFill="1" applyBorder="1" applyAlignment="1" applyProtection="1">
      <alignment horizontal="left" vertical="center" wrapText="1"/>
    </xf>
    <xf numFmtId="0" fontId="6" fillId="0" borderId="0" xfId="0" applyFont="1" applyAlignment="1" applyProtection="1">
      <alignment horizontal="center" vertical="center" wrapText="1"/>
    </xf>
    <xf numFmtId="9" fontId="9" fillId="0" borderId="17" xfId="2" applyFont="1" applyBorder="1" applyAlignment="1" applyProtection="1">
      <alignment vertical="center" wrapText="1"/>
    </xf>
    <xf numFmtId="9" fontId="9" fillId="0" borderId="12" xfId="2" applyFont="1" applyBorder="1" applyAlignment="1" applyProtection="1">
      <alignment vertical="center" wrapText="1"/>
    </xf>
    <xf numFmtId="0" fontId="32" fillId="0" borderId="1" xfId="0" applyFont="1" applyBorder="1" applyAlignment="1" applyProtection="1">
      <alignment horizontal="left" vertical="center"/>
    </xf>
    <xf numFmtId="0" fontId="32" fillId="0" borderId="2" xfId="0" applyFont="1" applyBorder="1" applyAlignment="1" applyProtection="1">
      <alignment horizontal="left" vertical="center"/>
    </xf>
    <xf numFmtId="9" fontId="9" fillId="6" borderId="1" xfId="2" applyFont="1" applyFill="1" applyBorder="1" applyAlignment="1" applyProtection="1">
      <alignment horizontal="left" vertical="center" wrapText="1"/>
    </xf>
    <xf numFmtId="9" fontId="9" fillId="6" borderId="2" xfId="2" applyFont="1" applyFill="1" applyBorder="1" applyAlignment="1" applyProtection="1">
      <alignment horizontal="left" vertical="center" wrapText="1"/>
    </xf>
    <xf numFmtId="0" fontId="29" fillId="2" borderId="2" xfId="0" applyFont="1" applyFill="1" applyBorder="1" applyAlignment="1" applyProtection="1">
      <alignment horizontal="center" vertical="center"/>
      <protection locked="0"/>
    </xf>
    <xf numFmtId="0" fontId="29" fillId="2" borderId="4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 wrapText="1"/>
    </xf>
    <xf numFmtId="9" fontId="9" fillId="6" borderId="1" xfId="2" applyFont="1" applyFill="1" applyBorder="1" applyAlignment="1">
      <alignment horizontal="left" vertical="center" wrapText="1"/>
    </xf>
    <xf numFmtId="9" fontId="9" fillId="6" borderId="2" xfId="2" applyFont="1" applyFill="1" applyBorder="1" applyAlignment="1">
      <alignment horizontal="left" vertical="center" wrapText="1"/>
    </xf>
    <xf numFmtId="0" fontId="9" fillId="6" borderId="1" xfId="2" applyNumberFormat="1" applyFont="1" applyFill="1" applyBorder="1" applyAlignment="1" applyProtection="1">
      <alignment vertical="center" wrapText="1"/>
    </xf>
    <xf numFmtId="0" fontId="43" fillId="6" borderId="0" xfId="0" applyFont="1" applyFill="1" applyBorder="1" applyAlignment="1" applyProtection="1">
      <alignment horizontal="left" vertical="center" wrapText="1"/>
    </xf>
    <xf numFmtId="0" fontId="43" fillId="6" borderId="1" xfId="0" applyFont="1" applyFill="1" applyBorder="1" applyAlignment="1" applyProtection="1">
      <alignment horizontal="center" vertical="center" wrapText="1"/>
    </xf>
    <xf numFmtId="9" fontId="32" fillId="0" borderId="1" xfId="0" applyNumberFormat="1" applyFont="1" applyBorder="1" applyAlignment="1">
      <alignment horizontal="left" vertical="center"/>
    </xf>
    <xf numFmtId="3" fontId="8" fillId="2" borderId="1" xfId="1" applyNumberFormat="1" applyFont="1" applyFill="1" applyBorder="1" applyAlignment="1" applyProtection="1">
      <alignment horizontal="center" vertical="center"/>
    </xf>
    <xf numFmtId="9" fontId="32" fillId="0" borderId="1" xfId="0" applyNumberFormat="1" applyFont="1" applyBorder="1" applyAlignment="1">
      <alignment horizontal="left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29" fillId="6" borderId="31" xfId="0" applyFont="1" applyFill="1" applyBorder="1" applyAlignment="1">
      <alignment horizontal="center" vertical="center" wrapText="1"/>
    </xf>
    <xf numFmtId="0" fontId="29" fillId="6" borderId="19" xfId="0" applyFont="1" applyFill="1" applyBorder="1" applyAlignment="1">
      <alignment horizontal="center" vertical="center" wrapText="1"/>
    </xf>
    <xf numFmtId="0" fontId="29" fillId="6" borderId="2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70" fillId="7" borderId="0" xfId="7" applyFont="1" applyFill="1" applyAlignment="1">
      <alignment horizontal="center" wrapText="1"/>
    </xf>
    <xf numFmtId="3" fontId="30" fillId="6" borderId="1" xfId="1" applyNumberFormat="1" applyFont="1" applyFill="1" applyBorder="1" applyAlignment="1" applyProtection="1">
      <alignment horizontal="center" vertical="center"/>
    </xf>
    <xf numFmtId="167" fontId="8" fillId="6" borderId="1" xfId="2" applyNumberFormat="1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horizontal="left" vertical="center"/>
    </xf>
    <xf numFmtId="0" fontId="48" fillId="6" borderId="1" xfId="2" applyNumberFormat="1" applyFont="1" applyFill="1" applyBorder="1" applyAlignment="1" applyProtection="1">
      <alignment horizontal="center" vertical="center"/>
    </xf>
    <xf numFmtId="9" fontId="49" fillId="6" borderId="1" xfId="2" applyFont="1" applyFill="1" applyBorder="1" applyAlignment="1" applyProtection="1">
      <alignment horizontal="center" vertical="center"/>
    </xf>
    <xf numFmtId="0" fontId="47" fillId="0" borderId="2" xfId="0" applyFont="1" applyBorder="1" applyAlignment="1" applyProtection="1">
      <alignment horizontal="center" vertical="center" wrapText="1"/>
    </xf>
    <xf numFmtId="0" fontId="47" fillId="0" borderId="4" xfId="0" applyFont="1" applyBorder="1" applyAlignment="1" applyProtection="1">
      <alignment horizontal="center" vertical="center" wrapText="1"/>
    </xf>
    <xf numFmtId="0" fontId="47" fillId="0" borderId="1" xfId="0" applyFont="1" applyBorder="1" applyAlignment="1" applyProtection="1">
      <alignment horizontal="center" vertical="center" wrapText="1"/>
    </xf>
    <xf numFmtId="9" fontId="9" fillId="0" borderId="0" xfId="2" applyFont="1" applyBorder="1" applyAlignment="1" applyProtection="1">
      <alignment vertical="center" wrapText="1"/>
    </xf>
    <xf numFmtId="9" fontId="9" fillId="0" borderId="8" xfId="2" applyFont="1" applyBorder="1" applyAlignment="1" applyProtection="1">
      <alignment vertical="center" wrapText="1"/>
    </xf>
    <xf numFmtId="0" fontId="43" fillId="6" borderId="5" xfId="0" applyFont="1" applyFill="1" applyBorder="1" applyAlignment="1" applyProtection="1">
      <alignment horizontal="left" wrapText="1"/>
    </xf>
    <xf numFmtId="9" fontId="9" fillId="0" borderId="8" xfId="2" applyFont="1" applyBorder="1" applyAlignment="1" applyProtection="1">
      <alignment horizontal="left" vertical="center" wrapText="1"/>
    </xf>
    <xf numFmtId="3" fontId="7" fillId="0" borderId="1" xfId="1" applyNumberFormat="1" applyFont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/>
    </xf>
    <xf numFmtId="9" fontId="7" fillId="0" borderId="1" xfId="2" applyFont="1" applyBorder="1" applyAlignment="1" applyProtection="1">
      <alignment horizontal="center" vertical="center"/>
    </xf>
    <xf numFmtId="9" fontId="9" fillId="0" borderId="0" xfId="2" applyFont="1" applyBorder="1" applyAlignment="1" applyProtection="1">
      <alignment horizontal="left" vertical="center"/>
    </xf>
    <xf numFmtId="9" fontId="9" fillId="0" borderId="8" xfId="2" applyFont="1" applyBorder="1" applyAlignment="1" applyProtection="1">
      <alignment horizontal="left" vertical="center"/>
    </xf>
    <xf numFmtId="3" fontId="30" fillId="6" borderId="0" xfId="1" applyNumberFormat="1" applyFont="1" applyFill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 wrapText="1"/>
    </xf>
    <xf numFmtId="3" fontId="7" fillId="6" borderId="1" xfId="1" applyNumberFormat="1" applyFont="1" applyFill="1" applyBorder="1" applyAlignment="1" applyProtection="1">
      <alignment horizontal="center" vertical="center"/>
    </xf>
    <xf numFmtId="0" fontId="48" fillId="6" borderId="1" xfId="2" applyNumberFormat="1" applyFont="1" applyFill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/>
    </xf>
    <xf numFmtId="0" fontId="5" fillId="0" borderId="0" xfId="0" applyFont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9" fontId="8" fillId="0" borderId="0" xfId="2" applyFont="1" applyBorder="1" applyAlignment="1" applyProtection="1">
      <alignment horizontal="center" vertical="center" wrapText="1"/>
    </xf>
    <xf numFmtId="167" fontId="30" fillId="6" borderId="0" xfId="2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Border="1" applyAlignment="1" applyProtection="1">
      <alignment horizontal="center" vertical="center"/>
    </xf>
    <xf numFmtId="3" fontId="7" fillId="0" borderId="3" xfId="1" applyNumberFormat="1" applyFont="1" applyBorder="1" applyAlignment="1" applyProtection="1">
      <alignment horizontal="center" vertical="center"/>
    </xf>
    <xf numFmtId="3" fontId="7" fillId="0" borderId="4" xfId="1" applyNumberFormat="1" applyFont="1" applyBorder="1" applyAlignment="1" applyProtection="1">
      <alignment horizontal="center" vertical="center"/>
    </xf>
    <xf numFmtId="0" fontId="0" fillId="6" borderId="3" xfId="0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</xf>
    <xf numFmtId="0" fontId="4" fillId="6" borderId="2" xfId="0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 applyProtection="1">
      <alignment horizontal="center" vertical="center" wrapText="1"/>
    </xf>
    <xf numFmtId="3" fontId="8" fillId="6" borderId="2" xfId="2" applyNumberFormat="1" applyFont="1" applyFill="1" applyBorder="1" applyAlignment="1" applyProtection="1">
      <alignment horizontal="center" vertical="center"/>
    </xf>
    <xf numFmtId="3" fontId="8" fillId="6" borderId="4" xfId="2" applyNumberFormat="1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vertical="center"/>
    </xf>
    <xf numFmtId="0" fontId="35" fillId="6" borderId="2" xfId="3" applyFont="1" applyFill="1" applyBorder="1" applyAlignment="1" applyProtection="1">
      <alignment horizontal="center" vertical="center" wrapText="1"/>
    </xf>
    <xf numFmtId="0" fontId="35" fillId="6" borderId="3" xfId="3" applyFont="1" applyFill="1" applyBorder="1" applyAlignment="1" applyProtection="1">
      <alignment horizontal="center" vertical="center" wrapText="1"/>
    </xf>
    <xf numFmtId="0" fontId="35" fillId="6" borderId="4" xfId="3" applyFont="1" applyFill="1" applyBorder="1" applyAlignment="1" applyProtection="1">
      <alignment horizontal="center" vertical="center" wrapText="1"/>
    </xf>
    <xf numFmtId="0" fontId="35" fillId="0" borderId="2" xfId="3" applyFont="1" applyBorder="1" applyAlignment="1" applyProtection="1">
      <alignment horizontal="center" vertical="center" wrapText="1"/>
    </xf>
    <xf numFmtId="0" fontId="35" fillId="0" borderId="3" xfId="3" applyFont="1" applyBorder="1" applyAlignment="1" applyProtection="1">
      <alignment horizontal="center" vertical="center" wrapText="1"/>
    </xf>
    <xf numFmtId="0" fontId="35" fillId="0" borderId="4" xfId="3" applyFont="1" applyBorder="1" applyAlignment="1" applyProtection="1">
      <alignment horizontal="center" vertical="center" wrapText="1"/>
    </xf>
    <xf numFmtId="0" fontId="35" fillId="0" borderId="1" xfId="3" applyFont="1" applyBorder="1" applyAlignment="1" applyProtection="1">
      <alignment horizontal="center" vertical="center" wrapText="1"/>
    </xf>
    <xf numFmtId="0" fontId="39" fillId="4" borderId="0" xfId="0" applyFont="1" applyFill="1" applyBorder="1" applyAlignment="1" applyProtection="1">
      <alignment horizontal="center" vertical="center" wrapText="1"/>
    </xf>
    <xf numFmtId="0" fontId="39" fillId="4" borderId="9" xfId="0" applyFont="1" applyFill="1" applyBorder="1" applyAlignment="1" applyProtection="1">
      <alignment horizontal="center" vertical="center" wrapText="1"/>
    </xf>
    <xf numFmtId="0" fontId="29" fillId="0" borderId="0" xfId="0" applyFont="1" applyAlignment="1">
      <alignment horizontal="center" vertical="center" wrapText="1"/>
    </xf>
  </cellXfs>
  <cellStyles count="9">
    <cellStyle name="Excel Built-in Percent" xfId="8" xr:uid="{053B72D6-EC44-4128-BBB4-63F30AF3D9FB}"/>
    <cellStyle name="Обычный" xfId="0" builtinId="0"/>
    <cellStyle name="Обычный 2" xfId="6" xr:uid="{E16ACBFD-2BC9-4405-AABA-8886A2DFA3A4}"/>
    <cellStyle name="Обычный 2 2" xfId="7" xr:uid="{F2CB0AB7-5B64-4F86-BE5B-224D65F4B050}"/>
    <cellStyle name="Обычный_7.1. ТЭО (RH)" xfId="3" xr:uid="{00000000-0005-0000-0000-000001000000}"/>
    <cellStyle name="Процентный" xfId="2" builtinId="5"/>
    <cellStyle name="Процентный 2" xfId="4" xr:uid="{00000000-0005-0000-0000-000003000000}"/>
    <cellStyle name="Финансовый" xfId="1" builtinId="3"/>
    <cellStyle name="Финансовый 2" xfId="5" xr:uid="{00000000-0005-0000-0000-000005000000}"/>
  </cellStyles>
  <dxfs count="2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ДИНАМІКА РУХУ ГРОШОВИХ КОШТІВ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'ВД Графіки'!$F$2</c:f>
              <c:strCache>
                <c:ptCount val="1"/>
                <c:pt idx="0">
                  <c:v>ДИНАМІКА ПРОДАЖІВ, UAH/міс.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'ВД Графіки'!$G$1:$AP$1</c:f>
              <c:strCache>
                <c:ptCount val="36"/>
                <c:pt idx="0">
                  <c:v>січень</c:v>
                </c:pt>
                <c:pt idx="1">
                  <c:v>лютий</c:v>
                </c:pt>
                <c:pt idx="2">
                  <c:v>березень</c:v>
                </c:pt>
                <c:pt idx="3">
                  <c:v>квітень</c:v>
                </c:pt>
                <c:pt idx="4">
                  <c:v>травень</c:v>
                </c:pt>
                <c:pt idx="5">
                  <c:v>червень</c:v>
                </c:pt>
                <c:pt idx="6">
                  <c:v>липень</c:v>
                </c:pt>
                <c:pt idx="7">
                  <c:v>серпень</c:v>
                </c:pt>
                <c:pt idx="8">
                  <c:v>вересень</c:v>
                </c:pt>
                <c:pt idx="9">
                  <c:v>жовтень</c:v>
                </c:pt>
                <c:pt idx="10">
                  <c:v>листопад</c:v>
                </c:pt>
                <c:pt idx="11">
                  <c:v>грудень</c:v>
                </c:pt>
                <c:pt idx="12">
                  <c:v>січень</c:v>
                </c:pt>
                <c:pt idx="13">
                  <c:v>лютий</c:v>
                </c:pt>
                <c:pt idx="14">
                  <c:v>березень</c:v>
                </c:pt>
                <c:pt idx="15">
                  <c:v>квітень</c:v>
                </c:pt>
                <c:pt idx="16">
                  <c:v>травень</c:v>
                </c:pt>
                <c:pt idx="17">
                  <c:v>червень</c:v>
                </c:pt>
                <c:pt idx="18">
                  <c:v>липень</c:v>
                </c:pt>
                <c:pt idx="19">
                  <c:v>серпень</c:v>
                </c:pt>
                <c:pt idx="20">
                  <c:v>вересень</c:v>
                </c:pt>
                <c:pt idx="21">
                  <c:v>жовтень</c:v>
                </c:pt>
                <c:pt idx="22">
                  <c:v>листопад</c:v>
                </c:pt>
                <c:pt idx="23">
                  <c:v>грудень</c:v>
                </c:pt>
                <c:pt idx="24">
                  <c:v>січень</c:v>
                </c:pt>
                <c:pt idx="25">
                  <c:v>лютий</c:v>
                </c:pt>
                <c:pt idx="26">
                  <c:v>березень</c:v>
                </c:pt>
                <c:pt idx="27">
                  <c:v>квітень</c:v>
                </c:pt>
                <c:pt idx="28">
                  <c:v>травень</c:v>
                </c:pt>
                <c:pt idx="29">
                  <c:v>червень</c:v>
                </c:pt>
                <c:pt idx="30">
                  <c:v>липень</c:v>
                </c:pt>
                <c:pt idx="31">
                  <c:v>серпень</c:v>
                </c:pt>
                <c:pt idx="32">
                  <c:v>вересень</c:v>
                </c:pt>
                <c:pt idx="33">
                  <c:v>жовтень</c:v>
                </c:pt>
                <c:pt idx="34">
                  <c:v>листопад</c:v>
                </c:pt>
                <c:pt idx="35">
                  <c:v>грудень</c:v>
                </c:pt>
              </c:strCache>
            </c:strRef>
          </c:cat>
          <c:val>
            <c:numRef>
              <c:f>'ВД Графіки'!$G$2:$AP$2</c:f>
              <c:numCache>
                <c:formatCode>#,##0</c:formatCode>
                <c:ptCount val="36"/>
                <c:pt idx="0">
                  <c:v>1188000</c:v>
                </c:pt>
                <c:pt idx="1">
                  <c:v>1485000</c:v>
                </c:pt>
                <c:pt idx="2">
                  <c:v>1485000</c:v>
                </c:pt>
                <c:pt idx="3">
                  <c:v>1485000</c:v>
                </c:pt>
                <c:pt idx="4">
                  <c:v>1485000</c:v>
                </c:pt>
                <c:pt idx="5">
                  <c:v>1485000</c:v>
                </c:pt>
                <c:pt idx="6">
                  <c:v>1485000</c:v>
                </c:pt>
                <c:pt idx="7">
                  <c:v>1485000</c:v>
                </c:pt>
                <c:pt idx="8">
                  <c:v>1485000</c:v>
                </c:pt>
                <c:pt idx="9">
                  <c:v>1485000</c:v>
                </c:pt>
                <c:pt idx="10">
                  <c:v>1485000</c:v>
                </c:pt>
                <c:pt idx="11">
                  <c:v>1485000</c:v>
                </c:pt>
                <c:pt idx="12">
                  <c:v>1485000</c:v>
                </c:pt>
                <c:pt idx="13">
                  <c:v>1485000</c:v>
                </c:pt>
                <c:pt idx="14">
                  <c:v>1485000</c:v>
                </c:pt>
                <c:pt idx="15">
                  <c:v>1485000</c:v>
                </c:pt>
                <c:pt idx="16">
                  <c:v>1485000</c:v>
                </c:pt>
                <c:pt idx="17">
                  <c:v>1485000</c:v>
                </c:pt>
                <c:pt idx="18">
                  <c:v>1485000</c:v>
                </c:pt>
                <c:pt idx="19">
                  <c:v>1485000</c:v>
                </c:pt>
                <c:pt idx="20">
                  <c:v>1485000</c:v>
                </c:pt>
                <c:pt idx="21">
                  <c:v>1485000</c:v>
                </c:pt>
                <c:pt idx="22">
                  <c:v>1485000</c:v>
                </c:pt>
                <c:pt idx="23">
                  <c:v>1485000</c:v>
                </c:pt>
                <c:pt idx="24">
                  <c:v>1485000</c:v>
                </c:pt>
                <c:pt idx="25">
                  <c:v>1485000</c:v>
                </c:pt>
                <c:pt idx="26">
                  <c:v>1485000</c:v>
                </c:pt>
                <c:pt idx="27">
                  <c:v>1485000</c:v>
                </c:pt>
                <c:pt idx="28">
                  <c:v>1485000</c:v>
                </c:pt>
                <c:pt idx="29">
                  <c:v>1485000</c:v>
                </c:pt>
                <c:pt idx="30">
                  <c:v>1485000</c:v>
                </c:pt>
                <c:pt idx="31">
                  <c:v>1485000</c:v>
                </c:pt>
                <c:pt idx="32">
                  <c:v>1485000</c:v>
                </c:pt>
                <c:pt idx="33">
                  <c:v>1485000</c:v>
                </c:pt>
                <c:pt idx="34">
                  <c:v>1485000</c:v>
                </c:pt>
                <c:pt idx="35">
                  <c:v>1485000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9-4FAE-B59C-94782FD2666E}"/>
            </c:ext>
          </c:extLst>
        </c:ser>
        <c:ser>
          <c:idx val="2"/>
          <c:order val="2"/>
          <c:tx>
            <c:strRef>
              <c:f>'ВД Графіки'!$F$4</c:f>
              <c:strCache>
                <c:ptCount val="1"/>
                <c:pt idx="0">
                  <c:v>ДИНАМИКА СОБІВАРТОСТІ, UAH/міс.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'ВД Графіки'!$G$1:$AP$1</c:f>
              <c:strCache>
                <c:ptCount val="36"/>
                <c:pt idx="0">
                  <c:v>січень</c:v>
                </c:pt>
                <c:pt idx="1">
                  <c:v>лютий</c:v>
                </c:pt>
                <c:pt idx="2">
                  <c:v>березень</c:v>
                </c:pt>
                <c:pt idx="3">
                  <c:v>квітень</c:v>
                </c:pt>
                <c:pt idx="4">
                  <c:v>травень</c:v>
                </c:pt>
                <c:pt idx="5">
                  <c:v>червень</c:v>
                </c:pt>
                <c:pt idx="6">
                  <c:v>липень</c:v>
                </c:pt>
                <c:pt idx="7">
                  <c:v>серпень</c:v>
                </c:pt>
                <c:pt idx="8">
                  <c:v>вересень</c:v>
                </c:pt>
                <c:pt idx="9">
                  <c:v>жовтень</c:v>
                </c:pt>
                <c:pt idx="10">
                  <c:v>листопад</c:v>
                </c:pt>
                <c:pt idx="11">
                  <c:v>грудень</c:v>
                </c:pt>
                <c:pt idx="12">
                  <c:v>січень</c:v>
                </c:pt>
                <c:pt idx="13">
                  <c:v>лютий</c:v>
                </c:pt>
                <c:pt idx="14">
                  <c:v>березень</c:v>
                </c:pt>
                <c:pt idx="15">
                  <c:v>квітень</c:v>
                </c:pt>
                <c:pt idx="16">
                  <c:v>травень</c:v>
                </c:pt>
                <c:pt idx="17">
                  <c:v>червень</c:v>
                </c:pt>
                <c:pt idx="18">
                  <c:v>липень</c:v>
                </c:pt>
                <c:pt idx="19">
                  <c:v>серпень</c:v>
                </c:pt>
                <c:pt idx="20">
                  <c:v>вересень</c:v>
                </c:pt>
                <c:pt idx="21">
                  <c:v>жовтень</c:v>
                </c:pt>
                <c:pt idx="22">
                  <c:v>листопад</c:v>
                </c:pt>
                <c:pt idx="23">
                  <c:v>грудень</c:v>
                </c:pt>
                <c:pt idx="24">
                  <c:v>січень</c:v>
                </c:pt>
                <c:pt idx="25">
                  <c:v>лютий</c:v>
                </c:pt>
                <c:pt idx="26">
                  <c:v>березень</c:v>
                </c:pt>
                <c:pt idx="27">
                  <c:v>квітень</c:v>
                </c:pt>
                <c:pt idx="28">
                  <c:v>травень</c:v>
                </c:pt>
                <c:pt idx="29">
                  <c:v>червень</c:v>
                </c:pt>
                <c:pt idx="30">
                  <c:v>липень</c:v>
                </c:pt>
                <c:pt idx="31">
                  <c:v>серпень</c:v>
                </c:pt>
                <c:pt idx="32">
                  <c:v>вересень</c:v>
                </c:pt>
                <c:pt idx="33">
                  <c:v>жовтень</c:v>
                </c:pt>
                <c:pt idx="34">
                  <c:v>листопад</c:v>
                </c:pt>
                <c:pt idx="35">
                  <c:v>грудень</c:v>
                </c:pt>
              </c:strCache>
              <c:extLst xmlns:c15="http://schemas.microsoft.com/office/drawing/2012/chart"/>
            </c:strRef>
          </c:cat>
          <c:val>
            <c:numRef>
              <c:f>'ВД Графіки'!$G$4:$AP$4</c:f>
              <c:numCache>
                <c:formatCode>#,##0</c:formatCode>
                <c:ptCount val="36"/>
                <c:pt idx="0">
                  <c:v>594000</c:v>
                </c:pt>
                <c:pt idx="1">
                  <c:v>742500</c:v>
                </c:pt>
                <c:pt idx="2">
                  <c:v>742500</c:v>
                </c:pt>
                <c:pt idx="3">
                  <c:v>742500</c:v>
                </c:pt>
                <c:pt idx="4">
                  <c:v>742500</c:v>
                </c:pt>
                <c:pt idx="5">
                  <c:v>742500</c:v>
                </c:pt>
                <c:pt idx="6">
                  <c:v>742500</c:v>
                </c:pt>
                <c:pt idx="7">
                  <c:v>742500</c:v>
                </c:pt>
                <c:pt idx="8">
                  <c:v>742500</c:v>
                </c:pt>
                <c:pt idx="9">
                  <c:v>742500</c:v>
                </c:pt>
                <c:pt idx="10">
                  <c:v>742500</c:v>
                </c:pt>
                <c:pt idx="11">
                  <c:v>742500</c:v>
                </c:pt>
                <c:pt idx="12">
                  <c:v>742500</c:v>
                </c:pt>
                <c:pt idx="13">
                  <c:v>742500</c:v>
                </c:pt>
                <c:pt idx="14">
                  <c:v>742500</c:v>
                </c:pt>
                <c:pt idx="15">
                  <c:v>742500</c:v>
                </c:pt>
                <c:pt idx="16">
                  <c:v>742500</c:v>
                </c:pt>
                <c:pt idx="17">
                  <c:v>742500</c:v>
                </c:pt>
                <c:pt idx="18">
                  <c:v>742500</c:v>
                </c:pt>
                <c:pt idx="19">
                  <c:v>742500</c:v>
                </c:pt>
                <c:pt idx="20">
                  <c:v>742500</c:v>
                </c:pt>
                <c:pt idx="21">
                  <c:v>742500</c:v>
                </c:pt>
                <c:pt idx="22">
                  <c:v>742500</c:v>
                </c:pt>
                <c:pt idx="23">
                  <c:v>742500</c:v>
                </c:pt>
                <c:pt idx="24">
                  <c:v>742500</c:v>
                </c:pt>
                <c:pt idx="25">
                  <c:v>742500</c:v>
                </c:pt>
                <c:pt idx="26">
                  <c:v>742500</c:v>
                </c:pt>
                <c:pt idx="27">
                  <c:v>742500</c:v>
                </c:pt>
                <c:pt idx="28">
                  <c:v>742500</c:v>
                </c:pt>
                <c:pt idx="29">
                  <c:v>742500</c:v>
                </c:pt>
                <c:pt idx="30">
                  <c:v>742500</c:v>
                </c:pt>
                <c:pt idx="31">
                  <c:v>742500</c:v>
                </c:pt>
                <c:pt idx="32">
                  <c:v>742500</c:v>
                </c:pt>
                <c:pt idx="33">
                  <c:v>742500</c:v>
                </c:pt>
                <c:pt idx="34">
                  <c:v>742500</c:v>
                </c:pt>
                <c:pt idx="35">
                  <c:v>742500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8A09-4FAE-B59C-94782FD2666E}"/>
            </c:ext>
          </c:extLst>
        </c:ser>
        <c:ser>
          <c:idx val="3"/>
          <c:order val="3"/>
          <c:tx>
            <c:strRef>
              <c:f>'ВД Графіки'!$F$5</c:f>
              <c:strCache>
                <c:ptCount val="1"/>
                <c:pt idx="0">
                  <c:v>ПОТОЧНІ ВИТРАТИ, UAH/міс.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'ВД Графіки'!$G$1:$AP$1</c:f>
              <c:strCache>
                <c:ptCount val="36"/>
                <c:pt idx="0">
                  <c:v>січень</c:v>
                </c:pt>
                <c:pt idx="1">
                  <c:v>лютий</c:v>
                </c:pt>
                <c:pt idx="2">
                  <c:v>березень</c:v>
                </c:pt>
                <c:pt idx="3">
                  <c:v>квітень</c:v>
                </c:pt>
                <c:pt idx="4">
                  <c:v>травень</c:v>
                </c:pt>
                <c:pt idx="5">
                  <c:v>червень</c:v>
                </c:pt>
                <c:pt idx="6">
                  <c:v>липень</c:v>
                </c:pt>
                <c:pt idx="7">
                  <c:v>серпень</c:v>
                </c:pt>
                <c:pt idx="8">
                  <c:v>вересень</c:v>
                </c:pt>
                <c:pt idx="9">
                  <c:v>жовтень</c:v>
                </c:pt>
                <c:pt idx="10">
                  <c:v>листопад</c:v>
                </c:pt>
                <c:pt idx="11">
                  <c:v>грудень</c:v>
                </c:pt>
                <c:pt idx="12">
                  <c:v>січень</c:v>
                </c:pt>
                <c:pt idx="13">
                  <c:v>лютий</c:v>
                </c:pt>
                <c:pt idx="14">
                  <c:v>березень</c:v>
                </c:pt>
                <c:pt idx="15">
                  <c:v>квітень</c:v>
                </c:pt>
                <c:pt idx="16">
                  <c:v>травень</c:v>
                </c:pt>
                <c:pt idx="17">
                  <c:v>червень</c:v>
                </c:pt>
                <c:pt idx="18">
                  <c:v>липень</c:v>
                </c:pt>
                <c:pt idx="19">
                  <c:v>серпень</c:v>
                </c:pt>
                <c:pt idx="20">
                  <c:v>вересень</c:v>
                </c:pt>
                <c:pt idx="21">
                  <c:v>жовтень</c:v>
                </c:pt>
                <c:pt idx="22">
                  <c:v>листопад</c:v>
                </c:pt>
                <c:pt idx="23">
                  <c:v>грудень</c:v>
                </c:pt>
                <c:pt idx="24">
                  <c:v>січень</c:v>
                </c:pt>
                <c:pt idx="25">
                  <c:v>лютий</c:v>
                </c:pt>
                <c:pt idx="26">
                  <c:v>березень</c:v>
                </c:pt>
                <c:pt idx="27">
                  <c:v>квітень</c:v>
                </c:pt>
                <c:pt idx="28">
                  <c:v>травень</c:v>
                </c:pt>
                <c:pt idx="29">
                  <c:v>червень</c:v>
                </c:pt>
                <c:pt idx="30">
                  <c:v>липень</c:v>
                </c:pt>
                <c:pt idx="31">
                  <c:v>серпень</c:v>
                </c:pt>
                <c:pt idx="32">
                  <c:v>вересень</c:v>
                </c:pt>
                <c:pt idx="33">
                  <c:v>жовтень</c:v>
                </c:pt>
                <c:pt idx="34">
                  <c:v>листопад</c:v>
                </c:pt>
                <c:pt idx="35">
                  <c:v>грудень</c:v>
                </c:pt>
              </c:strCache>
              <c:extLst xmlns:c15="http://schemas.microsoft.com/office/drawing/2012/chart"/>
            </c:strRef>
          </c:cat>
          <c:val>
            <c:numRef>
              <c:f>'ВД Графіки'!$G$5:$AP$5</c:f>
              <c:numCache>
                <c:formatCode>#,##0</c:formatCode>
                <c:ptCount val="36"/>
                <c:pt idx="0">
                  <c:v>59827.083333333336</c:v>
                </c:pt>
                <c:pt idx="1">
                  <c:v>59827.083333333336</c:v>
                </c:pt>
                <c:pt idx="2">
                  <c:v>59827.083333333336</c:v>
                </c:pt>
                <c:pt idx="3">
                  <c:v>59827.083333333336</c:v>
                </c:pt>
                <c:pt idx="4">
                  <c:v>59827.083333333336</c:v>
                </c:pt>
                <c:pt idx="5">
                  <c:v>59827.083333333336</c:v>
                </c:pt>
                <c:pt idx="6">
                  <c:v>59827.083333333336</c:v>
                </c:pt>
                <c:pt idx="7">
                  <c:v>59827.083333333336</c:v>
                </c:pt>
                <c:pt idx="8">
                  <c:v>59827.083333333336</c:v>
                </c:pt>
                <c:pt idx="9">
                  <c:v>59827.083333333336</c:v>
                </c:pt>
                <c:pt idx="10">
                  <c:v>59827.083333333336</c:v>
                </c:pt>
                <c:pt idx="11">
                  <c:v>59827.083333333336</c:v>
                </c:pt>
                <c:pt idx="12">
                  <c:v>62927.083333333336</c:v>
                </c:pt>
                <c:pt idx="13">
                  <c:v>62927.083333333336</c:v>
                </c:pt>
                <c:pt idx="14">
                  <c:v>62927.083333333336</c:v>
                </c:pt>
                <c:pt idx="15">
                  <c:v>62927.083333333336</c:v>
                </c:pt>
                <c:pt idx="16">
                  <c:v>62927.083333333336</c:v>
                </c:pt>
                <c:pt idx="17">
                  <c:v>62927.083333333336</c:v>
                </c:pt>
                <c:pt idx="18">
                  <c:v>62927.083333333336</c:v>
                </c:pt>
                <c:pt idx="19">
                  <c:v>62927.083333333336</c:v>
                </c:pt>
                <c:pt idx="20">
                  <c:v>62927.083333333336</c:v>
                </c:pt>
                <c:pt idx="21">
                  <c:v>62927.083333333336</c:v>
                </c:pt>
                <c:pt idx="22">
                  <c:v>62927.083333333336</c:v>
                </c:pt>
                <c:pt idx="23">
                  <c:v>62927.083333333336</c:v>
                </c:pt>
                <c:pt idx="24">
                  <c:v>66027.083333333328</c:v>
                </c:pt>
                <c:pt idx="25">
                  <c:v>66027.083333333328</c:v>
                </c:pt>
                <c:pt idx="26">
                  <c:v>66027.083333333328</c:v>
                </c:pt>
                <c:pt idx="27">
                  <c:v>66027.083333333328</c:v>
                </c:pt>
                <c:pt idx="28">
                  <c:v>66027.083333333328</c:v>
                </c:pt>
                <c:pt idx="29">
                  <c:v>66027.083333333328</c:v>
                </c:pt>
                <c:pt idx="30">
                  <c:v>66027.083333333328</c:v>
                </c:pt>
                <c:pt idx="31">
                  <c:v>66027.083333333328</c:v>
                </c:pt>
                <c:pt idx="32">
                  <c:v>66027.083333333328</c:v>
                </c:pt>
                <c:pt idx="33">
                  <c:v>66027.083333333328</c:v>
                </c:pt>
                <c:pt idx="34">
                  <c:v>66027.083333333328</c:v>
                </c:pt>
                <c:pt idx="35">
                  <c:v>66027.083333333328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8A09-4FAE-B59C-94782FD2666E}"/>
            </c:ext>
          </c:extLst>
        </c:ser>
        <c:ser>
          <c:idx val="4"/>
          <c:order val="4"/>
          <c:tx>
            <c:strRef>
              <c:f>'ВД Графіки'!$F$6</c:f>
              <c:strCache>
                <c:ptCount val="1"/>
                <c:pt idx="0">
                  <c:v>ЧИСТИЙ ПРИБУТОК, UAH/міс.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'ВД Графіки'!$G$1:$AP$1</c:f>
              <c:strCache>
                <c:ptCount val="36"/>
                <c:pt idx="0">
                  <c:v>січень</c:v>
                </c:pt>
                <c:pt idx="1">
                  <c:v>лютий</c:v>
                </c:pt>
                <c:pt idx="2">
                  <c:v>березень</c:v>
                </c:pt>
                <c:pt idx="3">
                  <c:v>квітень</c:v>
                </c:pt>
                <c:pt idx="4">
                  <c:v>травень</c:v>
                </c:pt>
                <c:pt idx="5">
                  <c:v>червень</c:v>
                </c:pt>
                <c:pt idx="6">
                  <c:v>липень</c:v>
                </c:pt>
                <c:pt idx="7">
                  <c:v>серпень</c:v>
                </c:pt>
                <c:pt idx="8">
                  <c:v>вересень</c:v>
                </c:pt>
                <c:pt idx="9">
                  <c:v>жовтень</c:v>
                </c:pt>
                <c:pt idx="10">
                  <c:v>листопад</c:v>
                </c:pt>
                <c:pt idx="11">
                  <c:v>грудень</c:v>
                </c:pt>
                <c:pt idx="12">
                  <c:v>січень</c:v>
                </c:pt>
                <c:pt idx="13">
                  <c:v>лютий</c:v>
                </c:pt>
                <c:pt idx="14">
                  <c:v>березень</c:v>
                </c:pt>
                <c:pt idx="15">
                  <c:v>квітень</c:v>
                </c:pt>
                <c:pt idx="16">
                  <c:v>травень</c:v>
                </c:pt>
                <c:pt idx="17">
                  <c:v>червень</c:v>
                </c:pt>
                <c:pt idx="18">
                  <c:v>липень</c:v>
                </c:pt>
                <c:pt idx="19">
                  <c:v>серпень</c:v>
                </c:pt>
                <c:pt idx="20">
                  <c:v>вересень</c:v>
                </c:pt>
                <c:pt idx="21">
                  <c:v>жовтень</c:v>
                </c:pt>
                <c:pt idx="22">
                  <c:v>листопад</c:v>
                </c:pt>
                <c:pt idx="23">
                  <c:v>грудень</c:v>
                </c:pt>
                <c:pt idx="24">
                  <c:v>січень</c:v>
                </c:pt>
                <c:pt idx="25">
                  <c:v>лютий</c:v>
                </c:pt>
                <c:pt idx="26">
                  <c:v>березень</c:v>
                </c:pt>
                <c:pt idx="27">
                  <c:v>квітень</c:v>
                </c:pt>
                <c:pt idx="28">
                  <c:v>травень</c:v>
                </c:pt>
                <c:pt idx="29">
                  <c:v>червень</c:v>
                </c:pt>
                <c:pt idx="30">
                  <c:v>липень</c:v>
                </c:pt>
                <c:pt idx="31">
                  <c:v>серпень</c:v>
                </c:pt>
                <c:pt idx="32">
                  <c:v>вересень</c:v>
                </c:pt>
                <c:pt idx="33">
                  <c:v>жовтень</c:v>
                </c:pt>
                <c:pt idx="34">
                  <c:v>листопад</c:v>
                </c:pt>
                <c:pt idx="35">
                  <c:v>грудень</c:v>
                </c:pt>
              </c:strCache>
            </c:strRef>
          </c:cat>
          <c:val>
            <c:numRef>
              <c:f>'ВД Графіки'!$G$6:$AP$6</c:f>
              <c:numCache>
                <c:formatCode>#,##0</c:formatCode>
                <c:ptCount val="36"/>
                <c:pt idx="0">
                  <c:v>534172.91666666663</c:v>
                </c:pt>
                <c:pt idx="1">
                  <c:v>682672.91666666663</c:v>
                </c:pt>
                <c:pt idx="2">
                  <c:v>682672.91666666663</c:v>
                </c:pt>
                <c:pt idx="3">
                  <c:v>682672.91666666663</c:v>
                </c:pt>
                <c:pt idx="4">
                  <c:v>682672.91666666663</c:v>
                </c:pt>
                <c:pt idx="5">
                  <c:v>682672.91666666663</c:v>
                </c:pt>
                <c:pt idx="6">
                  <c:v>682672.91666666663</c:v>
                </c:pt>
                <c:pt idx="7">
                  <c:v>682672.91666666663</c:v>
                </c:pt>
                <c:pt idx="8">
                  <c:v>682672.91666666663</c:v>
                </c:pt>
                <c:pt idx="9">
                  <c:v>682672.91666666663</c:v>
                </c:pt>
                <c:pt idx="10">
                  <c:v>682672.91666666663</c:v>
                </c:pt>
                <c:pt idx="11">
                  <c:v>682672.91666666663</c:v>
                </c:pt>
                <c:pt idx="12">
                  <c:v>679572.91666666663</c:v>
                </c:pt>
                <c:pt idx="13">
                  <c:v>679572.91666666663</c:v>
                </c:pt>
                <c:pt idx="14">
                  <c:v>679572.91666666663</c:v>
                </c:pt>
                <c:pt idx="15">
                  <c:v>679572.91666666663</c:v>
                </c:pt>
                <c:pt idx="16">
                  <c:v>679572.91666666663</c:v>
                </c:pt>
                <c:pt idx="17">
                  <c:v>679572.91666666663</c:v>
                </c:pt>
                <c:pt idx="18">
                  <c:v>679572.91666666663</c:v>
                </c:pt>
                <c:pt idx="19">
                  <c:v>679572.91666666663</c:v>
                </c:pt>
                <c:pt idx="20">
                  <c:v>679572.91666666663</c:v>
                </c:pt>
                <c:pt idx="21">
                  <c:v>679572.91666666663</c:v>
                </c:pt>
                <c:pt idx="22">
                  <c:v>679572.91666666663</c:v>
                </c:pt>
                <c:pt idx="23">
                  <c:v>679572.91666666663</c:v>
                </c:pt>
                <c:pt idx="24">
                  <c:v>676472.91666666663</c:v>
                </c:pt>
                <c:pt idx="25">
                  <c:v>676472.91666666663</c:v>
                </c:pt>
                <c:pt idx="26">
                  <c:v>676472.91666666663</c:v>
                </c:pt>
                <c:pt idx="27">
                  <c:v>676472.91666666663</c:v>
                </c:pt>
                <c:pt idx="28">
                  <c:v>676472.91666666663</c:v>
                </c:pt>
                <c:pt idx="29">
                  <c:v>676472.91666666663</c:v>
                </c:pt>
                <c:pt idx="30">
                  <c:v>676472.91666666663</c:v>
                </c:pt>
                <c:pt idx="31">
                  <c:v>676472.91666666663</c:v>
                </c:pt>
                <c:pt idx="32">
                  <c:v>676472.91666666663</c:v>
                </c:pt>
                <c:pt idx="33">
                  <c:v>676472.91666666663</c:v>
                </c:pt>
                <c:pt idx="34">
                  <c:v>676472.91666666663</c:v>
                </c:pt>
                <c:pt idx="35">
                  <c:v>676472.91666666663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9-4FAE-B59C-94782FD26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746952"/>
        <c:axId val="43018636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'ВД Графіки'!$F$3</c15:sqref>
                        </c15:formulaRef>
                      </c:ext>
                    </c:extLst>
                    <c:strCache>
                      <c:ptCount val="1"/>
                      <c:pt idx="0">
                        <c:v>ДИНАМИКА ВИТРАТ, UAH/міс.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'ВД Графіки'!$G$1:$AP$1</c15:sqref>
                        </c15:formulaRef>
                      </c:ext>
                    </c:extLst>
                    <c:strCache>
                      <c:ptCount val="36"/>
                      <c:pt idx="0">
                        <c:v>січень</c:v>
                      </c:pt>
                      <c:pt idx="1">
                        <c:v>лютий</c:v>
                      </c:pt>
                      <c:pt idx="2">
                        <c:v>березень</c:v>
                      </c:pt>
                      <c:pt idx="3">
                        <c:v>квітень</c:v>
                      </c:pt>
                      <c:pt idx="4">
                        <c:v>травень</c:v>
                      </c:pt>
                      <c:pt idx="5">
                        <c:v>червень</c:v>
                      </c:pt>
                      <c:pt idx="6">
                        <c:v>липень</c:v>
                      </c:pt>
                      <c:pt idx="7">
                        <c:v>серпень</c:v>
                      </c:pt>
                      <c:pt idx="8">
                        <c:v>вересень</c:v>
                      </c:pt>
                      <c:pt idx="9">
                        <c:v>жовтень</c:v>
                      </c:pt>
                      <c:pt idx="10">
                        <c:v>листопад</c:v>
                      </c:pt>
                      <c:pt idx="11">
                        <c:v>грудень</c:v>
                      </c:pt>
                      <c:pt idx="12">
                        <c:v>січень</c:v>
                      </c:pt>
                      <c:pt idx="13">
                        <c:v>лютий</c:v>
                      </c:pt>
                      <c:pt idx="14">
                        <c:v>березень</c:v>
                      </c:pt>
                      <c:pt idx="15">
                        <c:v>квітень</c:v>
                      </c:pt>
                      <c:pt idx="16">
                        <c:v>травень</c:v>
                      </c:pt>
                      <c:pt idx="17">
                        <c:v>червень</c:v>
                      </c:pt>
                      <c:pt idx="18">
                        <c:v>липень</c:v>
                      </c:pt>
                      <c:pt idx="19">
                        <c:v>серпень</c:v>
                      </c:pt>
                      <c:pt idx="20">
                        <c:v>вересень</c:v>
                      </c:pt>
                      <c:pt idx="21">
                        <c:v>жовтень</c:v>
                      </c:pt>
                      <c:pt idx="22">
                        <c:v>листопад</c:v>
                      </c:pt>
                      <c:pt idx="23">
                        <c:v>грудень</c:v>
                      </c:pt>
                      <c:pt idx="24">
                        <c:v>січень</c:v>
                      </c:pt>
                      <c:pt idx="25">
                        <c:v>лютий</c:v>
                      </c:pt>
                      <c:pt idx="26">
                        <c:v>березень</c:v>
                      </c:pt>
                      <c:pt idx="27">
                        <c:v>квітень</c:v>
                      </c:pt>
                      <c:pt idx="28">
                        <c:v>травень</c:v>
                      </c:pt>
                      <c:pt idx="29">
                        <c:v>червень</c:v>
                      </c:pt>
                      <c:pt idx="30">
                        <c:v>липень</c:v>
                      </c:pt>
                      <c:pt idx="31">
                        <c:v>серпень</c:v>
                      </c:pt>
                      <c:pt idx="32">
                        <c:v>вересень</c:v>
                      </c:pt>
                      <c:pt idx="33">
                        <c:v>жовтень</c:v>
                      </c:pt>
                      <c:pt idx="34">
                        <c:v>листопад</c:v>
                      </c:pt>
                      <c:pt idx="35">
                        <c:v>грудень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'ВД Графіки'!$G$3:$AP$3</c15:sqref>
                        </c15:formulaRef>
                      </c:ext>
                    </c:extLst>
                    <c:numCache>
                      <c:formatCode>#,##0</c:formatCode>
                      <c:ptCount val="36"/>
                      <c:pt idx="0">
                        <c:v>653827.08333333337</c:v>
                      </c:pt>
                      <c:pt idx="1">
                        <c:v>802327.08333333337</c:v>
                      </c:pt>
                      <c:pt idx="2">
                        <c:v>802327.08333333337</c:v>
                      </c:pt>
                      <c:pt idx="3">
                        <c:v>802327.08333333337</c:v>
                      </c:pt>
                      <c:pt idx="4">
                        <c:v>802327.08333333337</c:v>
                      </c:pt>
                      <c:pt idx="5">
                        <c:v>802327.08333333337</c:v>
                      </c:pt>
                      <c:pt idx="6">
                        <c:v>802327.08333333337</c:v>
                      </c:pt>
                      <c:pt idx="7">
                        <c:v>802327.08333333337</c:v>
                      </c:pt>
                      <c:pt idx="8">
                        <c:v>802327.08333333337</c:v>
                      </c:pt>
                      <c:pt idx="9">
                        <c:v>802327.08333333337</c:v>
                      </c:pt>
                      <c:pt idx="10">
                        <c:v>802327.08333333337</c:v>
                      </c:pt>
                      <c:pt idx="11">
                        <c:v>802327.08333333337</c:v>
                      </c:pt>
                      <c:pt idx="12">
                        <c:v>805427.08333333337</c:v>
                      </c:pt>
                      <c:pt idx="13">
                        <c:v>805427.08333333337</c:v>
                      </c:pt>
                      <c:pt idx="14">
                        <c:v>805427.08333333337</c:v>
                      </c:pt>
                      <c:pt idx="15">
                        <c:v>805427.08333333337</c:v>
                      </c:pt>
                      <c:pt idx="16">
                        <c:v>805427.08333333337</c:v>
                      </c:pt>
                      <c:pt idx="17">
                        <c:v>805427.08333333337</c:v>
                      </c:pt>
                      <c:pt idx="18">
                        <c:v>805427.08333333337</c:v>
                      </c:pt>
                      <c:pt idx="19">
                        <c:v>805427.08333333337</c:v>
                      </c:pt>
                      <c:pt idx="20">
                        <c:v>805427.08333333337</c:v>
                      </c:pt>
                      <c:pt idx="21">
                        <c:v>805427.08333333337</c:v>
                      </c:pt>
                      <c:pt idx="22">
                        <c:v>805427.08333333337</c:v>
                      </c:pt>
                      <c:pt idx="23">
                        <c:v>805427.08333333337</c:v>
                      </c:pt>
                      <c:pt idx="24">
                        <c:v>808527.08333333337</c:v>
                      </c:pt>
                      <c:pt idx="25">
                        <c:v>808527.08333333337</c:v>
                      </c:pt>
                      <c:pt idx="26">
                        <c:v>808527.08333333337</c:v>
                      </c:pt>
                      <c:pt idx="27">
                        <c:v>808527.08333333337</c:v>
                      </c:pt>
                      <c:pt idx="28">
                        <c:v>808527.08333333337</c:v>
                      </c:pt>
                      <c:pt idx="29">
                        <c:v>808527.08333333337</c:v>
                      </c:pt>
                      <c:pt idx="30">
                        <c:v>808527.08333333337</c:v>
                      </c:pt>
                      <c:pt idx="31">
                        <c:v>808527.08333333337</c:v>
                      </c:pt>
                      <c:pt idx="32">
                        <c:v>808527.08333333337</c:v>
                      </c:pt>
                      <c:pt idx="33">
                        <c:v>808527.08333333337</c:v>
                      </c:pt>
                      <c:pt idx="34">
                        <c:v>808527.08333333337</c:v>
                      </c:pt>
                      <c:pt idx="35">
                        <c:v>808527.08333333337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A09-4FAE-B59C-94782FD2666E}"/>
                  </c:ext>
                </c:extLst>
              </c15:ser>
            </c15:filteredLineSeries>
          </c:ext>
        </c:extLst>
      </c:lineChart>
      <c:catAx>
        <c:axId val="39374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30186368"/>
        <c:crosses val="autoZero"/>
        <c:auto val="1"/>
        <c:lblAlgn val="ctr"/>
        <c:lblOffset val="100"/>
        <c:noMultiLvlLbl val="0"/>
      </c:catAx>
      <c:valAx>
        <c:axId val="4301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9374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effectLst/>
              </a:rPr>
              <a:t>Структура виручки за 1-й рік роботи</a:t>
            </a:r>
            <a:endParaRPr lang="ru-R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3-4D56-A97C-628BA9DD7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03-4D56-A97C-628BA9DD7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703-4D56-A97C-628BA9DD75A6}"/>
              </c:ext>
            </c:extLst>
          </c:dPt>
          <c:dLbls>
            <c:dLbl>
              <c:idx val="0"/>
              <c:layout>
                <c:manualLayout>
                  <c:x val="0.11559916776417183"/>
                  <c:y val="-2.76404128729192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3-4D56-A97C-628BA9DD75A6}"/>
                </c:ext>
              </c:extLst>
            </c:dLbl>
            <c:dLbl>
              <c:idx val="1"/>
              <c:layout>
                <c:manualLayout>
                  <c:x val="-9.8368803766077317E-2"/>
                  <c:y val="5.01022277875642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3-4D56-A97C-628BA9DD75A6}"/>
                </c:ext>
              </c:extLst>
            </c:dLbl>
            <c:dLbl>
              <c:idx val="2"/>
              <c:layout>
                <c:manualLayout>
                  <c:x val="-3.9996006949309271E-2"/>
                  <c:y val="-6.44031524361341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3-4D56-A97C-628BA9DD7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'ВД Графіки'!$A$3:$A$5</c:f>
              <c:strCache>
                <c:ptCount val="3"/>
                <c:pt idx="0">
                  <c:v>Собівартість, UAH/рік</c:v>
                </c:pt>
                <c:pt idx="1">
                  <c:v>Поточні витрати (без собівартості), UAH/рік</c:v>
                </c:pt>
                <c:pt idx="2">
                  <c:v>Чистий прибуток, UAH/рік</c:v>
                </c:pt>
              </c:strCache>
            </c:strRef>
          </c:cat>
          <c:val>
            <c:numRef>
              <c:f>'ВД Графіки'!$B$3:$B$5</c:f>
              <c:numCache>
                <c:formatCode>#,##0</c:formatCode>
                <c:ptCount val="3"/>
                <c:pt idx="0">
                  <c:v>8761500</c:v>
                </c:pt>
                <c:pt idx="1">
                  <c:v>717925.00000000012</c:v>
                </c:pt>
                <c:pt idx="2">
                  <c:v>8043575.0000000009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03-4D56-A97C-628BA9DD7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effectLst/>
              </a:rPr>
              <a:t>Структура виручки за 2-й рік роботи</a:t>
            </a:r>
            <a:endParaRPr lang="ru-R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98-4E61-B818-0BDFBCBAEC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98-4E61-B818-0BDFBCBAEC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98-4E61-B818-0BDFBCBAEC86}"/>
              </c:ext>
            </c:extLst>
          </c:dPt>
          <c:dLbls>
            <c:dLbl>
              <c:idx val="0"/>
              <c:layout>
                <c:manualLayout>
                  <c:x val="0.11557717690802212"/>
                  <c:y val="-1.416332392413212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98-4E61-B818-0BDFBCBAEC86}"/>
                </c:ext>
              </c:extLst>
            </c:dLbl>
            <c:dLbl>
              <c:idx val="1"/>
              <c:layout>
                <c:manualLayout>
                  <c:x val="-9.3904552504525243E-2"/>
                  <c:y val="3.6625138838777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8-4E61-B818-0BDFBCBAEC86}"/>
                </c:ext>
              </c:extLst>
            </c:dLbl>
            <c:dLbl>
              <c:idx val="2"/>
              <c:layout>
                <c:manualLayout>
                  <c:x val="-0.12448017141476701"/>
                  <c:y val="-5.99107894532051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8-4E61-B818-0BDFBCBAE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'ВД Графіки'!$A$3:$A$5</c:f>
              <c:strCache>
                <c:ptCount val="3"/>
                <c:pt idx="0">
                  <c:v>Собівартість, UAH/рік</c:v>
                </c:pt>
                <c:pt idx="1">
                  <c:v>Поточні витрати (без собівартості), UAH/рік</c:v>
                </c:pt>
                <c:pt idx="2">
                  <c:v>Чистий прибуток, UAH/рік</c:v>
                </c:pt>
              </c:strCache>
            </c:strRef>
          </c:cat>
          <c:val>
            <c:numRef>
              <c:f>'ВД Графіки'!$C$3:$C$5</c:f>
              <c:numCache>
                <c:formatCode>#,##0</c:formatCode>
                <c:ptCount val="3"/>
                <c:pt idx="0">
                  <c:v>8910000</c:v>
                </c:pt>
                <c:pt idx="1">
                  <c:v>755125.00000000012</c:v>
                </c:pt>
                <c:pt idx="2">
                  <c:v>8154875.0000000009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98-4E61-B818-0BDFBCBA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effectLst/>
              </a:rPr>
              <a:t>Структура виручки за 3-й рік роботи</a:t>
            </a:r>
            <a:endParaRPr lang="ru-R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27-427C-BCDA-B9494AB9B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27-427C-BCDA-B9494AB9B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27-427C-BCDA-B9494AB9B7A8}"/>
              </c:ext>
            </c:extLst>
          </c:dPt>
          <c:dLbls>
            <c:dLbl>
              <c:idx val="0"/>
              <c:layout>
                <c:manualLayout>
                  <c:x val="0.10225397203463438"/>
                  <c:y val="1.27908539734419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27-427C-BCDA-B9494AB9B7A8}"/>
                </c:ext>
              </c:extLst>
            </c:dLbl>
            <c:dLbl>
              <c:idx val="1"/>
              <c:layout>
                <c:manualLayout>
                  <c:x val="-0.12061079664863956"/>
                  <c:y val="3.21327758558482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27-427C-BCDA-B9494AB9B7A8}"/>
                </c:ext>
              </c:extLst>
            </c:dLbl>
            <c:dLbl>
              <c:idx val="2"/>
              <c:layout>
                <c:manualLayout>
                  <c:x val="-6.6686398408384084E-2"/>
                  <c:y val="-7.33878784019922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27-427C-BCDA-B9494AB9B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'ВД Графіки'!$A$3:$A$5</c:f>
              <c:strCache>
                <c:ptCount val="3"/>
                <c:pt idx="0">
                  <c:v>Собівартість, UAH/рік</c:v>
                </c:pt>
                <c:pt idx="1">
                  <c:v>Поточні витрати (без собівартості), UAH/рік</c:v>
                </c:pt>
                <c:pt idx="2">
                  <c:v>Чистий прибуток, UAH/рік</c:v>
                </c:pt>
              </c:strCache>
            </c:strRef>
          </c:cat>
          <c:val>
            <c:numRef>
              <c:f>'ВД Графіки'!$D$3:$D$5</c:f>
              <c:numCache>
                <c:formatCode>#,##0</c:formatCode>
                <c:ptCount val="3"/>
                <c:pt idx="0">
                  <c:v>8910000</c:v>
                </c:pt>
                <c:pt idx="1">
                  <c:v>792325.00000000012</c:v>
                </c:pt>
                <c:pt idx="2">
                  <c:v>8117675.0000000009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27-427C-BCDA-B9494AB9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Структура інвестицій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5322659135693146"/>
          <c:y val="0.15682335162650124"/>
          <c:w val="0.29933648111615224"/>
          <c:h val="0.696335268697473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335-441D-90C9-7DBF87FE3F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335-441D-90C9-7DBF87FE3F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335-441D-90C9-7DBF87FE3F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335-441D-90C9-7DBF87FE3F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335-441D-90C9-7DBF87FE3F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335-441D-90C9-7DBF87FE3F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335-441D-90C9-7DBF87FE3F6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335-441D-90C9-7DBF87FE3F6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335-441D-90C9-7DBF87FE3F6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978-4038-AFB8-C76C55C47E7E}"/>
              </c:ext>
            </c:extLst>
          </c:dPt>
          <c:dLbls>
            <c:dLbl>
              <c:idx val="0"/>
              <c:layout>
                <c:manualLayout>
                  <c:x val="2.3245042697930235E-2"/>
                  <c:y val="7.155014714069832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5-441D-90C9-7DBF87FE3F6A}"/>
                </c:ext>
              </c:extLst>
            </c:dLbl>
            <c:dLbl>
              <c:idx val="1"/>
              <c:layout>
                <c:manualLayout>
                  <c:x val="1.4036011456014807E-2"/>
                  <c:y val="-1.38887563297012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5-441D-90C9-7DBF87FE3F6A}"/>
                </c:ext>
              </c:extLst>
            </c:dLbl>
            <c:dLbl>
              <c:idx val="2"/>
              <c:layout>
                <c:manualLayout>
                  <c:x val="3.3193039319933033E-3"/>
                  <c:y val="-7.154749595694477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5-441D-90C9-7DBF87FE3F6A}"/>
                </c:ext>
              </c:extLst>
            </c:dLbl>
            <c:dLbl>
              <c:idx val="3"/>
              <c:layout>
                <c:manualLayout>
                  <c:x val="-4.3421623968736434E-3"/>
                  <c:y val="1.01010101010101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5-441D-90C9-7DBF87FE3F6A}"/>
                </c:ext>
              </c:extLst>
            </c:dLbl>
            <c:dLbl>
              <c:idx val="4"/>
              <c:layout>
                <c:manualLayout>
                  <c:x val="-8.6843247937472869E-3"/>
                  <c:y val="6.73400673400667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5-441D-90C9-7DBF87FE3F6A}"/>
                </c:ext>
              </c:extLst>
            </c:dLbl>
            <c:dLbl>
              <c:idx val="5"/>
              <c:layout>
                <c:manualLayout>
                  <c:x val="1.4473874656244945E-3"/>
                  <c:y val="-3.367003367003366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5-441D-90C9-7DBF87FE3F6A}"/>
                </c:ext>
              </c:extLst>
            </c:dLbl>
            <c:dLbl>
              <c:idx val="6"/>
              <c:layout>
                <c:manualLayout>
                  <c:x val="-4.3421623968736434E-3"/>
                  <c:y val="-6.734006734006733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5-441D-90C9-7DBF87FE3F6A}"/>
                </c:ext>
              </c:extLst>
            </c:dLbl>
            <c:dLbl>
              <c:idx val="7"/>
              <c:layout>
                <c:manualLayout>
                  <c:x val="3.4628232261240899E-2"/>
                  <c:y val="8.164055250669424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35-441D-90C9-7DBF87FE3F6A}"/>
                </c:ext>
              </c:extLst>
            </c:dLbl>
            <c:dLbl>
              <c:idx val="8"/>
              <c:layout>
                <c:manualLayout>
                  <c:x val="4.3421623968736434E-3"/>
                  <c:y val="-1.346801346801346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35-441D-90C9-7DBF87FE3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'ВД Графіки'!$A$9:$A$18</c:f>
              <c:strCache>
                <c:ptCount val="10"/>
                <c:pt idx="0">
                  <c:v>Авансовий платіж по оренді</c:v>
                </c:pt>
                <c:pt idx="1">
                  <c:v>Ремонт приміщення та вивіска</c:v>
                </c:pt>
                <c:pt idx="2">
                  <c:v>Сигналізація (охоронна та пожежна)</c:v>
                </c:pt>
                <c:pt idx="3">
                  <c:v>Відеоспостереження</c:v>
                </c:pt>
                <c:pt idx="4">
                  <c:v>Меблі та обладнання</c:v>
                </c:pt>
                <c:pt idx="5">
                  <c:v>Комп'ютери, каси та інша техніка</c:v>
                </c:pt>
                <c:pt idx="6">
                  <c:v>Первісний закуп товарів</c:v>
                </c:pt>
                <c:pt idx="7">
                  <c:v>Рекламна кампанія до відкриття</c:v>
                </c:pt>
                <c:pt idx="8">
                  <c:v>Паушальний внесок</c:v>
                </c:pt>
                <c:pt idx="9">
                  <c:v>Інше</c:v>
                </c:pt>
              </c:strCache>
            </c:strRef>
          </c:cat>
          <c:val>
            <c:numRef>
              <c:f>'ВД Графіки'!$B$9:$B$18</c:f>
              <c:numCache>
                <c:formatCode>#,##0</c:formatCode>
                <c:ptCount val="10"/>
                <c:pt idx="0">
                  <c:v>0</c:v>
                </c:pt>
                <c:pt idx="1">
                  <c:v>105000</c:v>
                </c:pt>
                <c:pt idx="2">
                  <c:v>0</c:v>
                </c:pt>
                <c:pt idx="3">
                  <c:v>0</c:v>
                </c:pt>
                <c:pt idx="4">
                  <c:v>471000</c:v>
                </c:pt>
                <c:pt idx="5">
                  <c:v>15000</c:v>
                </c:pt>
                <c:pt idx="6">
                  <c:v>30000</c:v>
                </c:pt>
                <c:pt idx="7">
                  <c:v>0</c:v>
                </c:pt>
                <c:pt idx="8">
                  <c:v>196000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335-441D-90C9-7DBF87FE3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428856347363894E-2"/>
          <c:y val="0.84634871486399199"/>
          <c:w val="0.92674715052715662"/>
          <c:h val="0.13344928236506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" dropStyle="combo" dx="22" fmlaLink="$R$2" fmlaRange="$S$2:$S$5" sel="1" val="0"/>
</file>

<file path=xl/ctrlProps/ctrlProp2.xml><?xml version="1.0" encoding="utf-8"?>
<formControlPr xmlns="http://schemas.microsoft.com/office/spreadsheetml/2009/9/main" objectType="Drop" dropLines="12" dropStyle="combo" dx="22" fmlaLink="T$2" fmlaRange="$U$2:$U$13" sel="1" val="0"/>
</file>

<file path=xl/ctrlProps/ctrlProp3.xml><?xml version="1.0" encoding="utf-8"?>
<formControlPr xmlns="http://schemas.microsoft.com/office/spreadsheetml/2009/9/main" objectType="Drop" dropLines="2" dropStyle="combo" dx="22" fmlaLink="$R$91" fmlaRange="$S$91:$S$92" sel="2" val="0"/>
</file>

<file path=xl/ctrlProps/ctrlProp4.xml><?xml version="1.0" encoding="utf-8"?>
<formControlPr xmlns="http://schemas.microsoft.com/office/spreadsheetml/2009/9/main" objectType="Drop" dropLines="2" dropStyle="combo" dx="22" fmlaLink="$R$92" fmlaRange="$S$91:$S$92" sel="2" val="0"/>
</file>

<file path=xl/ctrlProps/ctrlProp5.xml><?xml version="1.0" encoding="utf-8"?>
<formControlPr xmlns="http://schemas.microsoft.com/office/spreadsheetml/2009/9/main" objectType="Drop" dropLines="2" dropStyle="combo" dx="22" fmlaLink="$N$1" fmlaRange="$O$1:$O$2" sel="2" val="0"/>
</file>

<file path=xl/ctrlProps/ctrlProp6.xml><?xml version="1.0" encoding="utf-8"?>
<formControlPr xmlns="http://schemas.microsoft.com/office/spreadsheetml/2009/9/main" objectType="Drop" dropLines="3" dropStyle="combo" dx="22" fmlaLink="$P$1" fmlaRange="$Q$1:$Q$3" sel="3" val="0"/>
</file>

<file path=xl/ctrlProps/ctrlProp7.xml><?xml version="1.0" encoding="utf-8"?>
<formControlPr xmlns="http://schemas.microsoft.com/office/spreadsheetml/2009/9/main" objectType="Drop" dropLines="2" dropStyle="combo" dx="22" fmlaLink="$T$1" fmlaRange="$U$1:$U$2" sel="2" val="0"/>
</file>

<file path=xl/ctrlProps/ctrlProp8.xml><?xml version="1.0" encoding="utf-8"?>
<formControlPr xmlns="http://schemas.microsoft.com/office/spreadsheetml/2009/9/main" objectType="Drop" dropLines="2" dropStyle="combo" dx="22" fmlaLink="$R$1" fmlaRange="$S$1:$S$2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8.png"/><Relationship Id="rId2" Type="http://schemas.openxmlformats.org/officeDocument/2006/relationships/image" Target="../media/image16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104</xdr:row>
      <xdr:rowOff>26175</xdr:rowOff>
    </xdr:from>
    <xdr:to>
      <xdr:col>0</xdr:col>
      <xdr:colOff>542100</xdr:colOff>
      <xdr:row>104</xdr:row>
      <xdr:rowOff>530175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105</xdr:row>
      <xdr:rowOff>21300</xdr:rowOff>
    </xdr:from>
    <xdr:to>
      <xdr:col>0</xdr:col>
      <xdr:colOff>553875</xdr:colOff>
      <xdr:row>105</xdr:row>
      <xdr:rowOff>525300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90</xdr:row>
      <xdr:rowOff>38100</xdr:rowOff>
    </xdr:from>
    <xdr:to>
      <xdr:col>0</xdr:col>
      <xdr:colOff>551625</xdr:colOff>
      <xdr:row>90</xdr:row>
      <xdr:rowOff>542100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0706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52</xdr:row>
      <xdr:rowOff>28578</xdr:rowOff>
    </xdr:from>
    <xdr:to>
      <xdr:col>0</xdr:col>
      <xdr:colOff>546867</xdr:colOff>
      <xdr:row>52</xdr:row>
      <xdr:rowOff>532578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3158791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</xdr:row>
          <xdr:rowOff>57150</xdr:rowOff>
        </xdr:from>
        <xdr:to>
          <xdr:col>4</xdr:col>
          <xdr:colOff>426720</xdr:colOff>
          <xdr:row>2</xdr:row>
          <xdr:rowOff>342900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47622</xdr:colOff>
      <xdr:row>50</xdr:row>
      <xdr:rowOff>12814</xdr:rowOff>
    </xdr:from>
    <xdr:to>
      <xdr:col>0</xdr:col>
      <xdr:colOff>551622</xdr:colOff>
      <xdr:row>50</xdr:row>
      <xdr:rowOff>516815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213337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51</xdr:row>
      <xdr:rowOff>23815</xdr:rowOff>
    </xdr:from>
    <xdr:to>
      <xdr:col>0</xdr:col>
      <xdr:colOff>554426</xdr:colOff>
      <xdr:row>51</xdr:row>
      <xdr:rowOff>523331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2649203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45</xdr:row>
      <xdr:rowOff>9525</xdr:rowOff>
    </xdr:from>
    <xdr:to>
      <xdr:col>0</xdr:col>
      <xdr:colOff>570674</xdr:colOff>
      <xdr:row>45</xdr:row>
      <xdr:rowOff>513525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261270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49</xdr:row>
      <xdr:rowOff>90</xdr:rowOff>
    </xdr:from>
    <xdr:to>
      <xdr:col>0</xdr:col>
      <xdr:colOff>551623</xdr:colOff>
      <xdr:row>49</xdr:row>
      <xdr:rowOff>504091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615828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103</xdr:row>
      <xdr:rowOff>19050</xdr:rowOff>
    </xdr:from>
    <xdr:to>
      <xdr:col>0</xdr:col>
      <xdr:colOff>551625</xdr:colOff>
      <xdr:row>103</xdr:row>
      <xdr:rowOff>523050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</xdr:row>
          <xdr:rowOff>49530</xdr:rowOff>
        </xdr:from>
        <xdr:to>
          <xdr:col>4</xdr:col>
          <xdr:colOff>434340</xdr:colOff>
          <xdr:row>3</xdr:row>
          <xdr:rowOff>342900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44824</xdr:colOff>
      <xdr:row>98</xdr:row>
      <xdr:rowOff>22412</xdr:rowOff>
    </xdr:from>
    <xdr:to>
      <xdr:col>0</xdr:col>
      <xdr:colOff>548824</xdr:colOff>
      <xdr:row>98</xdr:row>
      <xdr:rowOff>526412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46</xdr:row>
      <xdr:rowOff>6442</xdr:rowOff>
    </xdr:from>
    <xdr:to>
      <xdr:col>0</xdr:col>
      <xdr:colOff>560030</xdr:colOff>
      <xdr:row>46</xdr:row>
      <xdr:rowOff>511003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030" y="32629567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97</xdr:row>
      <xdr:rowOff>0</xdr:rowOff>
    </xdr:from>
    <xdr:to>
      <xdr:col>0</xdr:col>
      <xdr:colOff>551630</xdr:colOff>
      <xdr:row>97</xdr:row>
      <xdr:rowOff>506721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57155</xdr:colOff>
      <xdr:row>96</xdr:row>
      <xdr:rowOff>19050</xdr:rowOff>
    </xdr:from>
    <xdr:to>
      <xdr:col>0</xdr:col>
      <xdr:colOff>561155</xdr:colOff>
      <xdr:row>96</xdr:row>
      <xdr:rowOff>525772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155" y="57092850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102</xdr:row>
      <xdr:rowOff>0</xdr:rowOff>
    </xdr:from>
    <xdr:to>
      <xdr:col>0</xdr:col>
      <xdr:colOff>556393</xdr:colOff>
      <xdr:row>102</xdr:row>
      <xdr:rowOff>504561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393" y="21383625"/>
          <a:ext cx="504000" cy="504561"/>
        </a:xfrm>
        <a:prstGeom prst="rect">
          <a:avLst/>
        </a:prstGeom>
      </xdr:spPr>
    </xdr:pic>
    <xdr:clientData/>
  </xdr:twoCellAnchor>
  <xdr:oneCellAnchor>
    <xdr:from>
      <xdr:col>0</xdr:col>
      <xdr:colOff>38104</xdr:colOff>
      <xdr:row>47</xdr:row>
      <xdr:rowOff>0</xdr:rowOff>
    </xdr:from>
    <xdr:ext cx="517622" cy="506721"/>
    <xdr:pic>
      <xdr:nvPicPr>
        <xdr:cNvPr id="39" name="Рисунок 2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2906374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51708</xdr:colOff>
      <xdr:row>48</xdr:row>
      <xdr:rowOff>19957</xdr:rowOff>
    </xdr:from>
    <xdr:to>
      <xdr:col>0</xdr:col>
      <xdr:colOff>555708</xdr:colOff>
      <xdr:row>48</xdr:row>
      <xdr:rowOff>519473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8" y="28804507"/>
          <a:ext cx="504000" cy="499516"/>
        </a:xfrm>
        <a:prstGeom prst="rect">
          <a:avLst/>
        </a:prstGeom>
      </xdr:spPr>
    </xdr:pic>
    <xdr:clientData/>
  </xdr:twoCellAnchor>
  <xdr:oneCellAnchor>
    <xdr:from>
      <xdr:col>0</xdr:col>
      <xdr:colOff>47626</xdr:colOff>
      <xdr:row>107</xdr:row>
      <xdr:rowOff>98425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4190365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56</xdr:row>
      <xdr:rowOff>9525</xdr:rowOff>
    </xdr:from>
    <xdr:to>
      <xdr:col>0</xdr:col>
      <xdr:colOff>561150</xdr:colOff>
      <xdr:row>56</xdr:row>
      <xdr:rowOff>509041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7727275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101</xdr:row>
      <xdr:rowOff>6350</xdr:rowOff>
    </xdr:from>
    <xdr:to>
      <xdr:col>0</xdr:col>
      <xdr:colOff>562160</xdr:colOff>
      <xdr:row>101</xdr:row>
      <xdr:rowOff>510350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" y="43980100"/>
          <a:ext cx="50501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52274</xdr:colOff>
      <xdr:row>111</xdr:row>
      <xdr:rowOff>23700</xdr:rowOff>
    </xdr:from>
    <xdr:to>
      <xdr:col>0</xdr:col>
      <xdr:colOff>592274</xdr:colOff>
      <xdr:row>111</xdr:row>
      <xdr:rowOff>515580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40741170"/>
          <a:ext cx="540000" cy="491880"/>
        </a:xfrm>
        <a:prstGeom prst="rect">
          <a:avLst/>
        </a:prstGeom>
      </xdr:spPr>
    </xdr:pic>
    <xdr:clientData/>
  </xdr:twoCellAnchor>
  <xdr:oneCellAnchor>
    <xdr:from>
      <xdr:col>0</xdr:col>
      <xdr:colOff>52274</xdr:colOff>
      <xdr:row>112</xdr:row>
      <xdr:rowOff>23700</xdr:rowOff>
    </xdr:from>
    <xdr:ext cx="540000" cy="491880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4183083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33224</xdr:colOff>
      <xdr:row>109</xdr:row>
      <xdr:rowOff>242775</xdr:rowOff>
    </xdr:from>
    <xdr:ext cx="540000" cy="49188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4" y="75309300"/>
          <a:ext cx="540000" cy="491880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44</xdr:row>
      <xdr:rowOff>0</xdr:rowOff>
    </xdr:from>
    <xdr:to>
      <xdr:col>0</xdr:col>
      <xdr:colOff>561150</xdr:colOff>
      <xdr:row>44</xdr:row>
      <xdr:rowOff>506722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150" y="33470850"/>
          <a:ext cx="504000" cy="506722"/>
        </a:xfrm>
        <a:prstGeom prst="rect">
          <a:avLst/>
        </a:prstGeom>
      </xdr:spPr>
    </xdr:pic>
    <xdr:clientData/>
  </xdr:twoCellAnchor>
  <xdr:oneCellAnchor>
    <xdr:from>
      <xdr:col>0</xdr:col>
      <xdr:colOff>60325</xdr:colOff>
      <xdr:row>94</xdr:row>
      <xdr:rowOff>295275</xdr:rowOff>
    </xdr:from>
    <xdr:ext cx="504000" cy="504000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39382065"/>
          <a:ext cx="504000" cy="50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91</xdr:row>
          <xdr:rowOff>0</xdr:rowOff>
        </xdr:from>
        <xdr:to>
          <xdr:col>2</xdr:col>
          <xdr:colOff>1078230</xdr:colOff>
          <xdr:row>91</xdr:row>
          <xdr:rowOff>392430</xdr:rowOff>
        </xdr:to>
        <xdr:sp macro="" textlink="">
          <xdr:nvSpPr>
            <xdr:cNvPr id="4099" name="Drop Down 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95</xdr:row>
          <xdr:rowOff>0</xdr:rowOff>
        </xdr:from>
        <xdr:to>
          <xdr:col>2</xdr:col>
          <xdr:colOff>1078230</xdr:colOff>
          <xdr:row>95</xdr:row>
          <xdr:rowOff>392430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38100</xdr:colOff>
      <xdr:row>57</xdr:row>
      <xdr:rowOff>0</xdr:rowOff>
    </xdr:from>
    <xdr:to>
      <xdr:col>0</xdr:col>
      <xdr:colOff>542100</xdr:colOff>
      <xdr:row>57</xdr:row>
      <xdr:rowOff>504002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1994475"/>
          <a:ext cx="504000" cy="504002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99</xdr:row>
      <xdr:rowOff>0</xdr:rowOff>
    </xdr:from>
    <xdr:ext cx="504000" cy="504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3768625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100</xdr:row>
      <xdr:rowOff>0</xdr:rowOff>
    </xdr:from>
    <xdr:to>
      <xdr:col>0</xdr:col>
      <xdr:colOff>561150</xdr:colOff>
      <xdr:row>100</xdr:row>
      <xdr:rowOff>504000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4854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52</xdr:row>
      <xdr:rowOff>28578</xdr:rowOff>
    </xdr:from>
    <xdr:to>
      <xdr:col>0</xdr:col>
      <xdr:colOff>546867</xdr:colOff>
      <xdr:row>53</xdr:row>
      <xdr:rowOff>5040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25513668"/>
          <a:ext cx="504000" cy="509862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92</xdr:row>
      <xdr:rowOff>38100</xdr:rowOff>
    </xdr:from>
    <xdr:ext cx="504000" cy="50400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3236475"/>
          <a:ext cx="504000" cy="504000"/>
        </a:xfrm>
        <a:prstGeom prst="rect">
          <a:avLst/>
        </a:prstGeom>
      </xdr:spPr>
    </xdr:pic>
    <xdr:clientData/>
  </xdr:oneCellAnchor>
  <xdr:twoCellAnchor>
    <xdr:from>
      <xdr:col>21</xdr:col>
      <xdr:colOff>180975</xdr:colOff>
      <xdr:row>0</xdr:row>
      <xdr:rowOff>342901</xdr:rowOff>
    </xdr:from>
    <xdr:to>
      <xdr:col>37</xdr:col>
      <xdr:colOff>428625</xdr:colOff>
      <xdr:row>13</xdr:row>
      <xdr:rowOff>289561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4595455" y="342901"/>
          <a:ext cx="10488930" cy="64160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Основні пояснення на фінансовій моделі: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Всі клітинки, що виділені сірим кольором, можуть (і повинні) бути змінені. Якщо ви будете вносити зміни до решти клітинок (які не виділені сірим кольором), це може призвести до видалення формул і спотворення обчислень.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Сірі клітини розташовані на сторінці «Вхідні дані» та «Інвестицій». Всі вхідні дані вводяться на сторінках «Вхідні дані» та «Інвестицій».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Валюта, в якій вказані всі дані - гривня. Ви можете вибрати валюту, в якій буде проводитися розрахунок, валюта вибирається на сторінці «Вхідні дані», при цьому усі дані, що вказані в гривнях, будуть переобчислені за курсом, вказаним у рядку 5 на сторінці «Вхідні дані». Курси валют та перелік валют (назви валют) у рядку 5 на сторінці «Вхідні дані», в які буде здійснено перерахунок, можна змінити.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 Всі вихідні дані вводяться на сторінці «Вхідні дані», а сторінці «Узагальнений розрахунок» необхідно вибрати один з форматів і розрахунок на сторінках «Узагальнений розрахунок» та «Детальний розрахунок» буде зроблений для обраного формату.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 Необхідний вид оподаткування слід вибрати на сторінці «Узагальнений розрахунок», а дані для цього виду оподаткування, що вказані на сторінці «Вхідні дані» в розділі «Поточні витрати», будуть використовуватися в обчисленні.</a:t>
          </a:r>
          <a:b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Ми радимо ваших партнерів надати сторінки «Узагальнений розрахунок» та «Детальний розрахунок» у форматі 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PDF. </a:t>
          </a: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 можете зробити це перебуваючи послідовно на сторінках «Узагальнений розрахунок» та «Детальний розрахунок», натиснувши кнопку «Зберегти як» та вибравши тип файлу 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PDF.</a:t>
          </a:r>
          <a:b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uk-UA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Для коректної роботи файлу, будь ласка, відкрийте його тільки в 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Excel.  </a:t>
          </a:r>
          <a:b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ru-RU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Щоб заблокувати сторінки та заборонити введення даних у всі клітинки за винятком сірих комірок, на кожному аркуші потрібно виконати такі дії: натисніть кнопку «Захистити аркуш» на вкладці «Рецензування» та введіть пароль 2 рази. Щоб відмінити пароль на вкладці «Рецензування», натисніть кнопку «Зняти захист із аркуша» та введіть пароль 2 рази.</a:t>
          </a:r>
          <a:endParaRPr lang="ru-RU" sz="1600"/>
        </a:p>
        <a:p>
          <a:endParaRPr lang="ru-RU" sz="16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40</xdr:row>
      <xdr:rowOff>26175</xdr:rowOff>
    </xdr:from>
    <xdr:ext cx="504000" cy="50400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39977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45</xdr:row>
      <xdr:rowOff>23700</xdr:rowOff>
    </xdr:from>
    <xdr:ext cx="540000" cy="49188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1721442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42255</xdr:colOff>
      <xdr:row>42</xdr:row>
      <xdr:rowOff>13680</xdr:rowOff>
    </xdr:from>
    <xdr:ext cx="504000" cy="504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5" y="261960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30</xdr:row>
      <xdr:rowOff>9525</xdr:rowOff>
    </xdr:from>
    <xdr:ext cx="504000" cy="50400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7144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42867</xdr:colOff>
      <xdr:row>20</xdr:row>
      <xdr:rowOff>28578</xdr:rowOff>
    </xdr:from>
    <xdr:ext cx="504000" cy="50400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2098658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47622</xdr:colOff>
      <xdr:row>18</xdr:row>
      <xdr:rowOff>12814</xdr:rowOff>
    </xdr:from>
    <xdr:ext cx="504000" cy="504001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1534254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50426</xdr:colOff>
      <xdr:row>19</xdr:row>
      <xdr:rowOff>23815</xdr:rowOff>
    </xdr:from>
    <xdr:ext cx="504000" cy="49951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1728135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11</xdr:row>
      <xdr:rowOff>0</xdr:rowOff>
    </xdr:from>
    <xdr:ext cx="504000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58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47623</xdr:colOff>
      <xdr:row>17</xdr:row>
      <xdr:rowOff>90</xdr:rowOff>
    </xdr:from>
    <xdr:ext cx="504000" cy="50400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338650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39</xdr:row>
      <xdr:rowOff>19050</xdr:rowOff>
    </xdr:from>
    <xdr:ext cx="504000" cy="504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4401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34</xdr:row>
      <xdr:rowOff>22412</xdr:rowOff>
    </xdr:from>
    <xdr:ext cx="504000" cy="50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16115852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12</xdr:row>
      <xdr:rowOff>0</xdr:rowOff>
    </xdr:from>
    <xdr:ext cx="504000" cy="50456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30" y="11154502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33</xdr:row>
      <xdr:rowOff>0</xdr:rowOff>
    </xdr:from>
    <xdr:ext cx="504000" cy="50672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5910560"/>
          <a:ext cx="504000" cy="50672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32</xdr:row>
      <xdr:rowOff>4763</xdr:rowOff>
    </xdr:from>
    <xdr:ext cx="504000" cy="5067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30" y="15732443"/>
          <a:ext cx="504000" cy="506722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38</xdr:row>
      <xdr:rowOff>0</xdr:rowOff>
    </xdr:from>
    <xdr:ext cx="504000" cy="504561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93" y="16642080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13</xdr:row>
      <xdr:rowOff>0</xdr:rowOff>
    </xdr:from>
    <xdr:ext cx="517622" cy="506721"/>
    <xdr:pic>
      <xdr:nvPicPr>
        <xdr:cNvPr id="31" name="Рисунок 2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0972799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63138</xdr:colOff>
      <xdr:row>14</xdr:row>
      <xdr:rowOff>2177</xdr:rowOff>
    </xdr:from>
    <xdr:ext cx="504000" cy="499516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8" y="9191897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55518</xdr:colOff>
      <xdr:row>43</xdr:row>
      <xdr:rowOff>7620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8" y="2672334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39008</xdr:colOff>
      <xdr:row>37</xdr:row>
      <xdr:rowOff>5443</xdr:rowOff>
    </xdr:from>
    <xdr:to>
      <xdr:col>0</xdr:col>
      <xdr:colOff>544018</xdr:colOff>
      <xdr:row>37</xdr:row>
      <xdr:rowOff>509443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008" y="26599243"/>
          <a:ext cx="50501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99060</xdr:colOff>
          <xdr:row>3</xdr:row>
          <xdr:rowOff>45720</xdr:rowOff>
        </xdr:from>
        <xdr:to>
          <xdr:col>9</xdr:col>
          <xdr:colOff>1158240</xdr:colOff>
          <xdr:row>3</xdr:row>
          <xdr:rowOff>396240</xdr:rowOff>
        </xdr:to>
        <xdr:sp macro="" textlink="">
          <xdr:nvSpPr>
            <xdr:cNvPr id="6150" name="Drop Down 1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59873</xdr:colOff>
      <xdr:row>29</xdr:row>
      <xdr:rowOff>0</xdr:rowOff>
    </xdr:from>
    <xdr:ext cx="479937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3" y="15963900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44</xdr:row>
      <xdr:rowOff>23700</xdr:rowOff>
    </xdr:from>
    <xdr:ext cx="540000" cy="491880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2292180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43544</xdr:colOff>
      <xdr:row>28</xdr:row>
      <xdr:rowOff>0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" y="16780329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54430</xdr:colOff>
      <xdr:row>10</xdr:row>
      <xdr:rowOff>5443</xdr:rowOff>
    </xdr:from>
    <xdr:to>
      <xdr:col>0</xdr:col>
      <xdr:colOff>558430</xdr:colOff>
      <xdr:row>10</xdr:row>
      <xdr:rowOff>512165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430" y="6362700"/>
          <a:ext cx="504000" cy="50672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99060</xdr:colOff>
          <xdr:row>1</xdr:row>
          <xdr:rowOff>45720</xdr:rowOff>
        </xdr:from>
        <xdr:to>
          <xdr:col>9</xdr:col>
          <xdr:colOff>1158240</xdr:colOff>
          <xdr:row>1</xdr:row>
          <xdr:rowOff>396240</xdr:rowOff>
        </xdr:to>
        <xdr:sp macro="" textlink="">
          <xdr:nvSpPr>
            <xdr:cNvPr id="6151" name="Drop Down 1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47625</xdr:colOff>
      <xdr:row>31</xdr:row>
      <xdr:rowOff>9525</xdr:rowOff>
    </xdr:from>
    <xdr:ext cx="504000" cy="504000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636365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55245</xdr:colOff>
      <xdr:row>15</xdr:row>
      <xdr:rowOff>30480</xdr:rowOff>
    </xdr:from>
    <xdr:to>
      <xdr:col>0</xdr:col>
      <xdr:colOff>559245</xdr:colOff>
      <xdr:row>16</xdr:row>
      <xdr:rowOff>1082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" y="11353800"/>
          <a:ext cx="504000" cy="504002"/>
        </a:xfrm>
        <a:prstGeom prst="rect">
          <a:avLst/>
        </a:prstGeom>
      </xdr:spPr>
    </xdr:pic>
    <xdr:clientData/>
  </xdr:twoCellAnchor>
  <xdr:oneCellAnchor>
    <xdr:from>
      <xdr:col>0</xdr:col>
      <xdr:colOff>70758</xdr:colOff>
      <xdr:row>16</xdr:row>
      <xdr:rowOff>25037</xdr:rowOff>
    </xdr:from>
    <xdr:ext cx="504000" cy="499516"/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8" y="10814957"/>
          <a:ext cx="504000" cy="499516"/>
        </a:xfrm>
        <a:prstGeom prst="rect">
          <a:avLst/>
        </a:prstGeom>
      </xdr:spPr>
    </xdr:pic>
    <xdr:clientData/>
  </xdr:oneCellAnchor>
  <xdr:twoCellAnchor editAs="oneCell">
    <xdr:from>
      <xdr:col>0</xdr:col>
      <xdr:colOff>32385</xdr:colOff>
      <xdr:row>36</xdr:row>
      <xdr:rowOff>9525</xdr:rowOff>
    </xdr:from>
    <xdr:to>
      <xdr:col>0</xdr:col>
      <xdr:colOff>536385</xdr:colOff>
      <xdr:row>36</xdr:row>
      <xdr:rowOff>513525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22458045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35</xdr:row>
      <xdr:rowOff>0</xdr:rowOff>
    </xdr:from>
    <xdr:ext cx="504000" cy="50400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38172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41</xdr:row>
      <xdr:rowOff>0</xdr:rowOff>
    </xdr:from>
    <xdr:ext cx="504000" cy="504000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7249120"/>
          <a:ext cx="504000" cy="50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99060</xdr:colOff>
          <xdr:row>4</xdr:row>
          <xdr:rowOff>45720</xdr:rowOff>
        </xdr:from>
        <xdr:to>
          <xdr:col>9</xdr:col>
          <xdr:colOff>1158240</xdr:colOff>
          <xdr:row>4</xdr:row>
          <xdr:rowOff>396240</xdr:rowOff>
        </xdr:to>
        <xdr:sp macro="" textlink="">
          <xdr:nvSpPr>
            <xdr:cNvPr id="6152" name="Drop Down 1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99060</xdr:colOff>
          <xdr:row>2</xdr:row>
          <xdr:rowOff>45720</xdr:rowOff>
        </xdr:from>
        <xdr:to>
          <xdr:col>9</xdr:col>
          <xdr:colOff>1158240</xdr:colOff>
          <xdr:row>2</xdr:row>
          <xdr:rowOff>396240</xdr:rowOff>
        </xdr:to>
        <xdr:sp macro="" textlink="">
          <xdr:nvSpPr>
            <xdr:cNvPr id="6153" name="Drop Down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13</xdr:col>
      <xdr:colOff>472440</xdr:colOff>
      <xdr:row>19</xdr:row>
      <xdr:rowOff>118110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3810</xdr:rowOff>
    </xdr:from>
    <xdr:to>
      <xdr:col>4</xdr:col>
      <xdr:colOff>289560</xdr:colOff>
      <xdr:row>35</xdr:row>
      <xdr:rowOff>68580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422910</xdr:colOff>
      <xdr:row>20</xdr:row>
      <xdr:rowOff>0</xdr:rowOff>
    </xdr:from>
    <xdr:to>
      <xdr:col>9</xdr:col>
      <xdr:colOff>72390</xdr:colOff>
      <xdr:row>35</xdr:row>
      <xdr:rowOff>64770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179070</xdr:colOff>
      <xdr:row>20</xdr:row>
      <xdr:rowOff>0</xdr:rowOff>
    </xdr:from>
    <xdr:to>
      <xdr:col>13</xdr:col>
      <xdr:colOff>468630</xdr:colOff>
      <xdr:row>35</xdr:row>
      <xdr:rowOff>64770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35</xdr:row>
      <xdr:rowOff>140970</xdr:rowOff>
    </xdr:from>
    <xdr:to>
      <xdr:col>13</xdr:col>
      <xdr:colOff>461010</xdr:colOff>
      <xdr:row>58</xdr:row>
      <xdr:rowOff>95250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~1\ZaziOne\LOCALS~1\Temp\bat\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nts%20and%20Settings\&#1052;&#1072;&#1088;&#1075;&#1086;\&#1056;&#1072;&#1073;&#1086;&#1095;&#1080;&#1081;%20&#1089;&#1090;&#1086;&#1083;\5.%20&#1058;&#1069;&#105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14"/>
  <sheetViews>
    <sheetView showGridLines="0" tabSelected="1" topLeftCell="A42" zoomScale="50" zoomScaleNormal="50" zoomScaleSheetLayoutView="30" workbookViewId="0">
      <selection activeCell="D51" sqref="D51:E51"/>
    </sheetView>
  </sheetViews>
  <sheetFormatPr defaultRowHeight="34.200000000000003" customHeight="1" x14ac:dyDescent="0.55000000000000004"/>
  <cols>
    <col min="1" max="1" width="8.41796875" style="15" customWidth="1"/>
    <col min="2" max="2" width="18.83984375" style="15" customWidth="1"/>
    <col min="3" max="3" width="20.05078125" style="15" customWidth="1"/>
    <col min="4" max="4" width="26.734375" style="15" customWidth="1"/>
    <col min="5" max="5" width="20.68359375" style="15" customWidth="1"/>
    <col min="6" max="6" width="24.62890625" style="15" customWidth="1"/>
    <col min="7" max="7" width="20.05078125" style="15" customWidth="1"/>
    <col min="8" max="8" width="24.1015625" style="15" customWidth="1"/>
    <col min="9" max="9" width="20.68359375" style="15" customWidth="1"/>
    <col min="10" max="10" width="24.62890625" style="15" customWidth="1"/>
    <col min="11" max="11" width="22" style="15" customWidth="1"/>
    <col min="12" max="12" width="29.3671875" style="15" customWidth="1"/>
    <col min="13" max="13" width="33.20703125" style="15" customWidth="1"/>
    <col min="14" max="14" width="31.62890625" style="15" customWidth="1"/>
    <col min="15" max="15" width="11.83984375" style="15" customWidth="1"/>
    <col min="16" max="17" width="9.15625" style="15" hidden="1" customWidth="1"/>
    <col min="18" max="21" width="6.05078125" style="15" hidden="1" customWidth="1"/>
    <col min="22" max="27" width="8.83984375" style="15" customWidth="1"/>
    <col min="28" max="16384" width="8.83984375" style="15"/>
  </cols>
  <sheetData>
    <row r="1" spans="1:26" ht="34.200000000000003" customHeight="1" x14ac:dyDescent="0.55000000000000004">
      <c r="A1" s="449" t="s">
        <v>5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175"/>
    </row>
    <row r="2" spans="1:26" ht="72.599999999999994" customHeight="1" x14ac:dyDescent="0.55000000000000004">
      <c r="A2" s="451" t="s">
        <v>157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10"/>
      <c r="R2" s="1">
        <v>1</v>
      </c>
      <c r="S2" s="186" t="s">
        <v>4</v>
      </c>
      <c r="T2" s="187">
        <v>1</v>
      </c>
      <c r="U2" s="187" t="s">
        <v>8</v>
      </c>
      <c r="W2" s="13"/>
      <c r="X2" s="13"/>
    </row>
    <row r="3" spans="1:26" ht="34.200000000000003" customHeight="1" x14ac:dyDescent="0.55000000000000004">
      <c r="A3" s="176" t="s">
        <v>6</v>
      </c>
      <c r="B3" s="19"/>
      <c r="N3" s="17"/>
      <c r="O3" s="177"/>
      <c r="P3" s="178"/>
      <c r="R3" s="186"/>
      <c r="S3" s="186" t="str">
        <f>E5</f>
        <v>USD</v>
      </c>
      <c r="T3" s="187"/>
      <c r="U3" s="187" t="s">
        <v>9</v>
      </c>
      <c r="W3" s="13"/>
      <c r="X3" s="13"/>
    </row>
    <row r="4" spans="1:26" ht="34.200000000000003" customHeight="1" x14ac:dyDescent="0.55000000000000004">
      <c r="A4" s="18" t="s">
        <v>7</v>
      </c>
      <c r="B4" s="19"/>
      <c r="K4" s="179"/>
      <c r="L4" s="179"/>
      <c r="N4" s="17"/>
      <c r="O4" s="17"/>
      <c r="P4" s="178"/>
      <c r="R4" s="186"/>
      <c r="S4" s="186" t="str">
        <f>I5</f>
        <v>EUR</v>
      </c>
      <c r="T4" s="187"/>
      <c r="U4" s="187" t="s">
        <v>10</v>
      </c>
    </row>
    <row r="5" spans="1:26" ht="46.5" customHeight="1" x14ac:dyDescent="0.55000000000000004">
      <c r="A5" s="426" t="s">
        <v>20</v>
      </c>
      <c r="B5" s="426"/>
      <c r="C5" s="426"/>
      <c r="D5" s="427"/>
      <c r="E5" s="458" t="s">
        <v>0</v>
      </c>
      <c r="F5" s="459"/>
      <c r="G5" s="389">
        <v>30</v>
      </c>
      <c r="H5" s="390"/>
      <c r="I5" s="458" t="s">
        <v>1</v>
      </c>
      <c r="J5" s="459"/>
      <c r="K5" s="2">
        <v>27</v>
      </c>
      <c r="L5" s="458" t="s">
        <v>2</v>
      </c>
      <c r="M5" s="459"/>
      <c r="N5" s="2">
        <v>0.4</v>
      </c>
      <c r="O5" s="17"/>
      <c r="P5" s="178"/>
      <c r="R5" s="186"/>
      <c r="S5" s="186" t="str">
        <f>L5</f>
        <v>RUB</v>
      </c>
      <c r="T5" s="187"/>
      <c r="U5" s="187" t="s">
        <v>11</v>
      </c>
    </row>
    <row r="6" spans="1:26" ht="17.7" customHeight="1" x14ac:dyDescent="0.55000000000000004">
      <c r="A6" s="21"/>
      <c r="R6" s="188"/>
      <c r="S6" s="186"/>
      <c r="T6" s="187"/>
      <c r="U6" s="187" t="s">
        <v>12</v>
      </c>
    </row>
    <row r="7" spans="1:26" ht="46.5" customHeight="1" x14ac:dyDescent="0.55000000000000004">
      <c r="A7" s="426" t="s">
        <v>158</v>
      </c>
      <c r="B7" s="426"/>
      <c r="C7" s="426"/>
      <c r="D7" s="427"/>
      <c r="E7" s="391" t="s">
        <v>159</v>
      </c>
      <c r="F7" s="392"/>
      <c r="G7" s="392"/>
      <c r="H7" s="393"/>
      <c r="I7" s="425" t="s">
        <v>160</v>
      </c>
      <c r="J7" s="425"/>
      <c r="K7" s="425"/>
      <c r="L7" s="425" t="s">
        <v>161</v>
      </c>
      <c r="M7" s="425"/>
      <c r="N7" s="425"/>
      <c r="O7" s="17"/>
      <c r="P7" s="178"/>
      <c r="R7" s="186"/>
      <c r="S7" s="186"/>
      <c r="T7" s="187"/>
      <c r="U7" s="187" t="s">
        <v>13</v>
      </c>
    </row>
    <row r="8" spans="1:26" ht="17.7" customHeight="1" x14ac:dyDescent="0.55000000000000004">
      <c r="A8" s="21"/>
      <c r="R8" s="188"/>
      <c r="S8" s="186"/>
      <c r="T8" s="187"/>
      <c r="U8" s="187" t="s">
        <v>14</v>
      </c>
    </row>
    <row r="9" spans="1:26" ht="46.5" customHeight="1" x14ac:dyDescent="0.55000000000000004">
      <c r="A9" s="426" t="s">
        <v>167</v>
      </c>
      <c r="B9" s="426"/>
      <c r="C9" s="426"/>
      <c r="D9" s="427"/>
      <c r="E9" s="425" t="s">
        <v>181</v>
      </c>
      <c r="F9" s="425"/>
      <c r="G9" s="425"/>
      <c r="H9" s="425"/>
      <c r="I9" s="425"/>
      <c r="J9" s="425"/>
      <c r="K9" s="391" t="s">
        <v>162</v>
      </c>
      <c r="L9" s="392"/>
      <c r="M9" s="392"/>
      <c r="N9" s="393"/>
      <c r="O9" s="17"/>
      <c r="P9" s="178"/>
      <c r="R9" s="186"/>
      <c r="S9" s="186"/>
      <c r="T9" s="187"/>
      <c r="U9" s="187" t="s">
        <v>15</v>
      </c>
    </row>
    <row r="10" spans="1:26" ht="17.7" customHeight="1" x14ac:dyDescent="0.6">
      <c r="A10" s="21"/>
      <c r="R10" s="188"/>
      <c r="S10" s="186"/>
      <c r="T10" s="187"/>
      <c r="U10" s="192" t="s">
        <v>16</v>
      </c>
    </row>
    <row r="11" spans="1:26" ht="34.200000000000003" customHeight="1" thickBot="1" x14ac:dyDescent="0.6">
      <c r="A11" s="21" t="s">
        <v>21</v>
      </c>
      <c r="R11" s="188"/>
      <c r="S11" s="186"/>
      <c r="T11" s="187"/>
      <c r="U11" s="187" t="s">
        <v>17</v>
      </c>
    </row>
    <row r="12" spans="1:26" ht="59.1" customHeight="1" x14ac:dyDescent="0.55000000000000004">
      <c r="A12" s="388" t="str">
        <f>A9</f>
        <v>Формати співробітництва (по площі торгової точки)</v>
      </c>
      <c r="B12" s="428"/>
      <c r="C12" s="398" t="str">
        <f>E9</f>
        <v>Площа торгової точки 65 кв.м.</v>
      </c>
      <c r="D12" s="399"/>
      <c r="E12" s="399"/>
      <c r="F12" s="400"/>
      <c r="G12" s="398" t="str">
        <f>K9</f>
        <v>Площа торгової точки більше 100 кв.м.</v>
      </c>
      <c r="H12" s="399"/>
      <c r="I12" s="399"/>
      <c r="J12" s="400"/>
      <c r="K12" s="297"/>
      <c r="L12" s="297"/>
      <c r="M12" s="297"/>
      <c r="N12" s="297"/>
      <c r="R12" s="188"/>
      <c r="S12" s="186"/>
      <c r="T12" s="187"/>
      <c r="U12" s="187" t="s">
        <v>18</v>
      </c>
    </row>
    <row r="13" spans="1:26" s="211" customFormat="1" ht="45.9" customHeight="1" x14ac:dyDescent="0.55000000000000004">
      <c r="A13" s="396" t="str">
        <f>A7</f>
        <v>Формати співробітництва (по кількості населення)</v>
      </c>
      <c r="B13" s="397"/>
      <c r="C13" s="401" t="s">
        <v>165</v>
      </c>
      <c r="D13" s="388"/>
      <c r="E13" s="388" t="s">
        <v>118</v>
      </c>
      <c r="F13" s="402" t="str">
        <f>"Середньомісячна виручка* у валюті, в якій виконується розрахунок, "&amp;CHOOSE($R$2,$S$2,$S$3,$S$4,$S$5)&amp;"/міс."</f>
        <v>Середньомісячна виручка* у валюті, в якій виконується розрахунок, UAH/міс.</v>
      </c>
      <c r="G13" s="401" t="s">
        <v>165</v>
      </c>
      <c r="H13" s="388"/>
      <c r="I13" s="388" t="s">
        <v>118</v>
      </c>
      <c r="J13" s="402" t="str">
        <f>"Середньомісячна виручка* у валюті, в якій виконується розрахунок, "&amp;CHOOSE($R$2,$S$2,$S$3,$S$4,$S$5)&amp;"/міс."</f>
        <v>Середньомісячна виручка* у валюті, в якій виконується розрахунок, UAH/міс.</v>
      </c>
      <c r="K13" s="387" t="s">
        <v>99</v>
      </c>
      <c r="L13" s="388"/>
      <c r="M13" s="388" t="s">
        <v>143</v>
      </c>
      <c r="N13" s="388" t="s">
        <v>189</v>
      </c>
      <c r="P13" s="189"/>
      <c r="Q13" s="190"/>
      <c r="R13" s="191"/>
      <c r="S13" s="187"/>
      <c r="T13" s="212"/>
      <c r="U13" s="187" t="s">
        <v>19</v>
      </c>
    </row>
    <row r="14" spans="1:26" s="211" customFormat="1" ht="71.099999999999994" customHeight="1" x14ac:dyDescent="0.55000000000000004">
      <c r="A14" s="396"/>
      <c r="B14" s="397"/>
      <c r="C14" s="303" t="s">
        <v>166</v>
      </c>
      <c r="D14" s="293" t="str">
        <f>"У валюті, в якій виконується розрахунок, "&amp;CHOOSE($R$2,$S$2,$S$3,$S$4,$S$5)&amp;"/день"</f>
        <v>У валюті, в якій виконується розрахунок, UAH/день</v>
      </c>
      <c r="E14" s="388"/>
      <c r="F14" s="402"/>
      <c r="G14" s="303" t="s">
        <v>166</v>
      </c>
      <c r="H14" s="284" t="str">
        <f>"У валюті, в якій виконується розрахунок, "&amp;CHOOSE($R$2,$S$2,$S$3,$S$4,$S$5)&amp;"/день"</f>
        <v>У валюті, в якій виконується розрахунок, UAH/день</v>
      </c>
      <c r="I14" s="388"/>
      <c r="J14" s="402"/>
      <c r="K14" s="298" t="s">
        <v>4</v>
      </c>
      <c r="L14" s="284" t="str">
        <f>"У валюті, в якій виконується розрахунок, "&amp;CHOOSE($R$2,$S$2,$S$3,$S$4,$S$5)&amp;""</f>
        <v>У валюті, в якій виконується розрахунок, UAH</v>
      </c>
      <c r="M14" s="388"/>
      <c r="N14" s="388"/>
      <c r="P14" s="189"/>
      <c r="Q14" s="190"/>
      <c r="R14" s="191"/>
      <c r="S14" s="187"/>
      <c r="T14" s="213"/>
      <c r="V14" s="214"/>
    </row>
    <row r="15" spans="1:26" customFormat="1" ht="70.8" customHeight="1" x14ac:dyDescent="0.6">
      <c r="A15" s="394" t="str">
        <f>E7</f>
        <v>Міста з населенням до 200 000 чол.</v>
      </c>
      <c r="B15" s="395"/>
      <c r="C15" s="314">
        <f>E15*K15</f>
        <v>37500</v>
      </c>
      <c r="D15" s="283">
        <f>C15/CHOOSE($R$2,1,$G$5,$K$5,$N$5)</f>
        <v>37500</v>
      </c>
      <c r="E15" s="238">
        <v>150</v>
      </c>
      <c r="F15" s="304">
        <f>C15*M15/CHOOSE($R$2,1,$G$5,$K$5,$N$5)</f>
        <v>1125000</v>
      </c>
      <c r="G15" s="314">
        <f>I15*K15</f>
        <v>50000</v>
      </c>
      <c r="H15" s="283">
        <f>G15/CHOOSE($R$2,1,$G$5,$K$5,$N$5)</f>
        <v>50000</v>
      </c>
      <c r="I15" s="238">
        <v>200</v>
      </c>
      <c r="J15" s="304">
        <f>G15*M15/CHOOSE($R$2,1,$G$5,$K$5,$N$5)</f>
        <v>1500000</v>
      </c>
      <c r="K15" s="307">
        <v>250</v>
      </c>
      <c r="L15" s="283">
        <f>K15/CHOOSE($R$2,1,$G$5,$K$5,$N$5)</f>
        <v>250</v>
      </c>
      <c r="M15" s="238">
        <v>30</v>
      </c>
      <c r="N15" s="300">
        <v>0.5</v>
      </c>
      <c r="O15" s="316"/>
      <c r="P15" s="15"/>
      <c r="Q15" s="15"/>
      <c r="R15" s="231"/>
      <c r="S15" s="49"/>
      <c r="T15" s="301"/>
      <c r="U15" s="49"/>
      <c r="V15" s="214"/>
      <c r="W15" s="215"/>
      <c r="X15" s="215"/>
      <c r="Y15" s="215"/>
      <c r="Z15" s="211"/>
    </row>
    <row r="16" spans="1:26" customFormat="1" ht="70.8" customHeight="1" x14ac:dyDescent="0.6">
      <c r="A16" s="394" t="str">
        <f>I7</f>
        <v>Міста з населенням 200 000 - 1 000 000 чол.</v>
      </c>
      <c r="B16" s="395"/>
      <c r="C16" s="314">
        <f t="shared" ref="C16:C17" si="0">E16*K16</f>
        <v>41250</v>
      </c>
      <c r="D16" s="283">
        <f t="shared" ref="D16:D17" si="1">C16/CHOOSE($R$2,1,$G$5,$K$5,$N$5)</f>
        <v>41250</v>
      </c>
      <c r="E16" s="238">
        <v>150</v>
      </c>
      <c r="F16" s="304">
        <f t="shared" ref="F16:F17" si="2">C16*M16/CHOOSE($R$2,1,$G$5,$K$5,$N$5)</f>
        <v>1237500</v>
      </c>
      <c r="G16" s="314">
        <f t="shared" ref="G16:G17" si="3">I16*K16</f>
        <v>55000</v>
      </c>
      <c r="H16" s="283">
        <f t="shared" ref="H16:H17" si="4">G16/CHOOSE($R$2,1,$G$5,$K$5,$N$5)</f>
        <v>55000</v>
      </c>
      <c r="I16" s="238">
        <v>200</v>
      </c>
      <c r="J16" s="304">
        <f t="shared" ref="J16:J17" si="5">G16*M16/CHOOSE($R$2,1,$G$5,$K$5,$N$5)</f>
        <v>1650000</v>
      </c>
      <c r="K16" s="307">
        <v>275</v>
      </c>
      <c r="L16" s="283">
        <f>K16/CHOOSE($R$2,1,$G$5,$K$5,$N$5)</f>
        <v>275</v>
      </c>
      <c r="M16" s="238">
        <v>30</v>
      </c>
      <c r="N16" s="300">
        <v>0.65</v>
      </c>
      <c r="O16" s="236"/>
      <c r="P16" s="15"/>
      <c r="Q16" s="15"/>
      <c r="R16" s="310"/>
      <c r="S16" s="49"/>
      <c r="T16" s="301"/>
      <c r="U16" s="49"/>
      <c r="V16" s="214"/>
      <c r="W16" s="215"/>
      <c r="X16" s="215"/>
      <c r="Y16" s="215"/>
      <c r="Z16" s="211"/>
    </row>
    <row r="17" spans="1:26" customFormat="1" ht="70.8" customHeight="1" thickBot="1" x14ac:dyDescent="0.65">
      <c r="A17" s="394" t="str">
        <f>L7</f>
        <v>Міста з населенням більше 1 000 000 чол.</v>
      </c>
      <c r="B17" s="395"/>
      <c r="C17" s="315">
        <f t="shared" si="0"/>
        <v>49500</v>
      </c>
      <c r="D17" s="305">
        <f t="shared" si="1"/>
        <v>49500</v>
      </c>
      <c r="E17" s="313">
        <v>150</v>
      </c>
      <c r="F17" s="306">
        <f t="shared" si="2"/>
        <v>1485000</v>
      </c>
      <c r="G17" s="315">
        <f t="shared" si="3"/>
        <v>66000</v>
      </c>
      <c r="H17" s="305">
        <f t="shared" si="4"/>
        <v>66000</v>
      </c>
      <c r="I17" s="313">
        <v>200</v>
      </c>
      <c r="J17" s="306">
        <f t="shared" si="5"/>
        <v>1980000</v>
      </c>
      <c r="K17" s="307">
        <v>330</v>
      </c>
      <c r="L17" s="283">
        <f t="shared" ref="L17" si="6">K17/CHOOSE($R$2,1,$G$5,$K$5,$N$5)</f>
        <v>330</v>
      </c>
      <c r="M17" s="238">
        <v>30</v>
      </c>
      <c r="N17" s="300">
        <v>1</v>
      </c>
      <c r="O17" s="236"/>
      <c r="P17" s="15"/>
      <c r="Q17" s="15"/>
      <c r="R17" s="311"/>
      <c r="S17" s="49"/>
      <c r="T17" s="302"/>
      <c r="U17" s="49"/>
      <c r="V17" s="214"/>
      <c r="W17" s="215"/>
      <c r="X17" s="215"/>
      <c r="Y17" s="215"/>
      <c r="Z17" s="211"/>
    </row>
    <row r="18" spans="1:26" ht="23.1" customHeight="1" x14ac:dyDescent="0.55000000000000004">
      <c r="A18" s="429" t="s">
        <v>119</v>
      </c>
      <c r="B18" s="429"/>
      <c r="C18" s="429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R18" s="49"/>
      <c r="S18" s="312"/>
      <c r="T18" s="177"/>
      <c r="U18" s="220"/>
      <c r="V18" s="206"/>
      <c r="W18" s="183"/>
      <c r="X18" s="207"/>
    </row>
    <row r="19" spans="1:26" ht="47.1" customHeight="1" x14ac:dyDescent="0.55000000000000004">
      <c r="A19" s="21" t="s">
        <v>100</v>
      </c>
      <c r="S19" s="14"/>
      <c r="T19" s="13"/>
      <c r="U19" s="220"/>
      <c r="V19" s="206"/>
      <c r="W19" s="183"/>
      <c r="X19" s="207"/>
    </row>
    <row r="20" spans="1:26" s="24" customFormat="1" ht="54" customHeight="1" x14ac:dyDescent="0.55000000000000004">
      <c r="A20" s="386" t="s">
        <v>144</v>
      </c>
      <c r="B20" s="386"/>
      <c r="C20" s="385" t="s">
        <v>104</v>
      </c>
      <c r="D20" s="385"/>
      <c r="E20" s="385"/>
      <c r="F20" s="385"/>
      <c r="G20" s="385"/>
      <c r="H20" s="385"/>
      <c r="J20" s="421" t="s">
        <v>101</v>
      </c>
      <c r="K20" s="422"/>
      <c r="L20" s="418" t="s">
        <v>105</v>
      </c>
      <c r="M20" s="419"/>
      <c r="N20" s="420"/>
      <c r="R20" s="180"/>
      <c r="S20" s="25"/>
      <c r="T20" s="26"/>
      <c r="V20" s="206"/>
      <c r="W20" s="183"/>
      <c r="X20" s="207"/>
    </row>
    <row r="21" spans="1:26" s="24" customFormat="1" ht="62.7" customHeight="1" x14ac:dyDescent="0.55000000000000004">
      <c r="A21" s="386"/>
      <c r="B21" s="386"/>
      <c r="C21" s="385" t="str">
        <f>E7</f>
        <v>Міста з населенням до 200 000 чол.</v>
      </c>
      <c r="D21" s="385"/>
      <c r="E21" s="385" t="str">
        <f>I7</f>
        <v>Міста з населенням 200 000 - 1 000 000 чол.</v>
      </c>
      <c r="F21" s="385"/>
      <c r="G21" s="385" t="str">
        <f>L7</f>
        <v>Міста з населенням більше 1 000 000 чол.</v>
      </c>
      <c r="H21" s="385"/>
      <c r="J21" s="423"/>
      <c r="K21" s="424"/>
      <c r="L21" s="234" t="str">
        <f>C21</f>
        <v>Міста з населенням до 200 000 чол.</v>
      </c>
      <c r="M21" s="234" t="str">
        <f>E21</f>
        <v>Міста з населенням 200 000 - 1 000 000 чол.</v>
      </c>
      <c r="N21" s="234" t="str">
        <f>G21</f>
        <v>Міста з населенням більше 1 000 000 чол.</v>
      </c>
      <c r="R21" s="180"/>
      <c r="S21" s="25"/>
      <c r="T21" s="26"/>
      <c r="U21" s="15"/>
      <c r="V21" s="206"/>
      <c r="W21" s="183"/>
      <c r="X21" s="207"/>
    </row>
    <row r="22" spans="1:26" s="24" customFormat="1" ht="35.049999999999997" customHeight="1" x14ac:dyDescent="0.55000000000000004">
      <c r="A22" s="382">
        <v>1</v>
      </c>
      <c r="B22" s="382"/>
      <c r="C22" s="383">
        <v>0.8</v>
      </c>
      <c r="D22" s="383"/>
      <c r="E22" s="383">
        <v>0.8</v>
      </c>
      <c r="F22" s="383"/>
      <c r="G22" s="383">
        <v>0.8</v>
      </c>
      <c r="H22" s="383"/>
      <c r="J22" s="403" t="str">
        <f t="shared" ref="J22:J33" si="7">U2</f>
        <v>січень</v>
      </c>
      <c r="K22" s="404"/>
      <c r="L22" s="266">
        <v>1</v>
      </c>
      <c r="M22" s="266">
        <v>1</v>
      </c>
      <c r="N22" s="266">
        <v>1</v>
      </c>
      <c r="R22" s="180"/>
      <c r="S22" s="25"/>
      <c r="T22" s="26"/>
      <c r="V22" s="206"/>
      <c r="W22" s="183"/>
      <c r="X22" s="207"/>
    </row>
    <row r="23" spans="1:26" ht="35.049999999999997" customHeight="1" x14ac:dyDescent="0.55000000000000004">
      <c r="A23" s="382">
        <v>2</v>
      </c>
      <c r="B23" s="382"/>
      <c r="C23" s="383">
        <v>1</v>
      </c>
      <c r="D23" s="383"/>
      <c r="E23" s="383">
        <v>1</v>
      </c>
      <c r="F23" s="383"/>
      <c r="G23" s="383">
        <v>1</v>
      </c>
      <c r="H23" s="383"/>
      <c r="J23" s="403" t="str">
        <f t="shared" si="7"/>
        <v>лютий</v>
      </c>
      <c r="K23" s="404"/>
      <c r="L23" s="274">
        <v>1</v>
      </c>
      <c r="M23" s="274">
        <v>1</v>
      </c>
      <c r="N23" s="274">
        <v>1</v>
      </c>
      <c r="R23" s="13"/>
      <c r="S23" s="13"/>
      <c r="T23" s="181"/>
      <c r="V23" s="208"/>
      <c r="W23" s="49"/>
      <c r="X23" s="49"/>
    </row>
    <row r="24" spans="1:26" ht="35.049999999999997" customHeight="1" x14ac:dyDescent="0.55000000000000004">
      <c r="A24" s="382">
        <v>3</v>
      </c>
      <c r="B24" s="382"/>
      <c r="C24" s="383">
        <v>1</v>
      </c>
      <c r="D24" s="383"/>
      <c r="E24" s="383">
        <v>1</v>
      </c>
      <c r="F24" s="383"/>
      <c r="G24" s="383">
        <v>1</v>
      </c>
      <c r="H24" s="383"/>
      <c r="J24" s="403" t="str">
        <f t="shared" si="7"/>
        <v>березень</v>
      </c>
      <c r="K24" s="404"/>
      <c r="L24" s="266">
        <v>1</v>
      </c>
      <c r="M24" s="266">
        <v>1</v>
      </c>
      <c r="N24" s="266">
        <v>1</v>
      </c>
      <c r="P24" s="182"/>
    </row>
    <row r="25" spans="1:26" s="24" customFormat="1" ht="35.049999999999997" customHeight="1" x14ac:dyDescent="0.55000000000000004">
      <c r="A25" s="382">
        <v>4</v>
      </c>
      <c r="B25" s="382"/>
      <c r="C25" s="383">
        <v>1</v>
      </c>
      <c r="D25" s="383"/>
      <c r="E25" s="383">
        <v>1</v>
      </c>
      <c r="F25" s="383"/>
      <c r="G25" s="383">
        <v>1</v>
      </c>
      <c r="H25" s="383"/>
      <c r="J25" s="403" t="str">
        <f t="shared" si="7"/>
        <v>квітень</v>
      </c>
      <c r="K25" s="404"/>
      <c r="L25" s="274">
        <v>1</v>
      </c>
      <c r="M25" s="274">
        <v>1</v>
      </c>
      <c r="N25" s="274">
        <v>1</v>
      </c>
      <c r="R25" s="180"/>
      <c r="S25" s="25"/>
      <c r="T25" s="26"/>
      <c r="V25" s="27"/>
    </row>
    <row r="26" spans="1:26" ht="35.049999999999997" customHeight="1" x14ac:dyDescent="0.55000000000000004">
      <c r="A26" s="382">
        <v>5</v>
      </c>
      <c r="B26" s="382"/>
      <c r="C26" s="383">
        <v>1</v>
      </c>
      <c r="D26" s="383"/>
      <c r="E26" s="383">
        <v>1</v>
      </c>
      <c r="F26" s="383"/>
      <c r="G26" s="383">
        <v>1</v>
      </c>
      <c r="H26" s="383"/>
      <c r="J26" s="403" t="str">
        <f t="shared" si="7"/>
        <v>травень</v>
      </c>
      <c r="K26" s="404"/>
      <c r="L26" s="274">
        <v>1</v>
      </c>
      <c r="M26" s="274">
        <v>1</v>
      </c>
      <c r="N26" s="274">
        <v>1</v>
      </c>
      <c r="R26" s="13"/>
      <c r="S26" s="13"/>
      <c r="T26" s="181"/>
      <c r="V26" s="181"/>
    </row>
    <row r="27" spans="1:26" ht="35.049999999999997" customHeight="1" x14ac:dyDescent="0.55000000000000004">
      <c r="A27" s="382">
        <v>6</v>
      </c>
      <c r="B27" s="382"/>
      <c r="C27" s="383">
        <v>1</v>
      </c>
      <c r="D27" s="383"/>
      <c r="E27" s="383">
        <v>1</v>
      </c>
      <c r="F27" s="383"/>
      <c r="G27" s="383">
        <v>1</v>
      </c>
      <c r="H27" s="383"/>
      <c r="J27" s="403" t="str">
        <f t="shared" si="7"/>
        <v>червень</v>
      </c>
      <c r="K27" s="404"/>
      <c r="L27" s="274">
        <v>1</v>
      </c>
      <c r="M27" s="274">
        <v>1</v>
      </c>
      <c r="N27" s="274">
        <v>1</v>
      </c>
      <c r="P27" s="182"/>
    </row>
    <row r="28" spans="1:26" s="24" customFormat="1" ht="35.049999999999997" customHeight="1" x14ac:dyDescent="0.55000000000000004">
      <c r="A28" s="382">
        <v>7</v>
      </c>
      <c r="B28" s="382"/>
      <c r="C28" s="383">
        <v>1</v>
      </c>
      <c r="D28" s="383"/>
      <c r="E28" s="383">
        <v>1</v>
      </c>
      <c r="F28" s="383"/>
      <c r="G28" s="383">
        <v>1</v>
      </c>
      <c r="H28" s="383"/>
      <c r="J28" s="403" t="str">
        <f t="shared" si="7"/>
        <v>липень</v>
      </c>
      <c r="K28" s="404"/>
      <c r="L28" s="274">
        <v>1</v>
      </c>
      <c r="M28" s="274">
        <v>1</v>
      </c>
      <c r="N28" s="274">
        <v>1</v>
      </c>
      <c r="R28" s="180"/>
      <c r="S28" s="25"/>
      <c r="T28" s="26"/>
      <c r="V28" s="27"/>
    </row>
    <row r="29" spans="1:26" ht="35.049999999999997" customHeight="1" x14ac:dyDescent="0.55000000000000004">
      <c r="A29" s="382">
        <v>8</v>
      </c>
      <c r="B29" s="382"/>
      <c r="C29" s="383">
        <v>1</v>
      </c>
      <c r="D29" s="383"/>
      <c r="E29" s="383">
        <v>1</v>
      </c>
      <c r="F29" s="383"/>
      <c r="G29" s="383">
        <v>1</v>
      </c>
      <c r="H29" s="383"/>
      <c r="J29" s="403" t="str">
        <f t="shared" si="7"/>
        <v>серпень</v>
      </c>
      <c r="K29" s="404"/>
      <c r="L29" s="274">
        <v>1</v>
      </c>
      <c r="M29" s="274">
        <v>1</v>
      </c>
      <c r="N29" s="274">
        <v>1</v>
      </c>
      <c r="R29" s="13"/>
      <c r="S29" s="13"/>
      <c r="T29" s="181"/>
      <c r="V29" s="181"/>
    </row>
    <row r="30" spans="1:26" ht="35.049999999999997" customHeight="1" x14ac:dyDescent="0.55000000000000004">
      <c r="A30" s="382">
        <v>9</v>
      </c>
      <c r="B30" s="382"/>
      <c r="C30" s="383">
        <v>1</v>
      </c>
      <c r="D30" s="383"/>
      <c r="E30" s="383">
        <v>1</v>
      </c>
      <c r="F30" s="383"/>
      <c r="G30" s="383">
        <v>1</v>
      </c>
      <c r="H30" s="383"/>
      <c r="J30" s="403" t="str">
        <f t="shared" si="7"/>
        <v>вересень</v>
      </c>
      <c r="K30" s="404"/>
      <c r="L30" s="274">
        <v>1</v>
      </c>
      <c r="M30" s="274">
        <v>1</v>
      </c>
      <c r="N30" s="274">
        <v>1</v>
      </c>
      <c r="P30" s="182"/>
    </row>
    <row r="31" spans="1:26" s="24" customFormat="1" ht="35.049999999999997" customHeight="1" x14ac:dyDescent="0.55000000000000004">
      <c r="A31" s="382">
        <v>10</v>
      </c>
      <c r="B31" s="382"/>
      <c r="C31" s="383">
        <v>1</v>
      </c>
      <c r="D31" s="383"/>
      <c r="E31" s="383">
        <v>1</v>
      </c>
      <c r="F31" s="383"/>
      <c r="G31" s="383">
        <v>1</v>
      </c>
      <c r="H31" s="383"/>
      <c r="J31" s="403" t="str">
        <f t="shared" si="7"/>
        <v>жовтень</v>
      </c>
      <c r="K31" s="404"/>
      <c r="L31" s="274">
        <v>1</v>
      </c>
      <c r="M31" s="274">
        <v>1</v>
      </c>
      <c r="N31" s="274">
        <v>1</v>
      </c>
      <c r="Q31" s="15"/>
      <c r="R31" s="180"/>
      <c r="S31" s="25"/>
      <c r="T31" s="26"/>
      <c r="V31" s="27"/>
    </row>
    <row r="32" spans="1:26" ht="35.049999999999997" customHeight="1" x14ac:dyDescent="0.55000000000000004">
      <c r="A32" s="382">
        <v>11</v>
      </c>
      <c r="B32" s="382"/>
      <c r="C32" s="383">
        <v>1</v>
      </c>
      <c r="D32" s="383"/>
      <c r="E32" s="383">
        <v>1</v>
      </c>
      <c r="F32" s="383"/>
      <c r="G32" s="383">
        <v>1</v>
      </c>
      <c r="H32" s="383"/>
      <c r="J32" s="403" t="str">
        <f t="shared" si="7"/>
        <v>листопад</v>
      </c>
      <c r="K32" s="404"/>
      <c r="L32" s="274">
        <v>1</v>
      </c>
      <c r="M32" s="274">
        <v>1</v>
      </c>
      <c r="N32" s="274">
        <v>1</v>
      </c>
      <c r="R32" s="13"/>
      <c r="S32" s="13"/>
      <c r="T32" s="181"/>
      <c r="V32" s="181"/>
    </row>
    <row r="33" spans="1:31" ht="35.049999999999997" customHeight="1" x14ac:dyDescent="0.55000000000000004">
      <c r="A33" s="382">
        <v>12</v>
      </c>
      <c r="B33" s="382"/>
      <c r="C33" s="383">
        <v>1</v>
      </c>
      <c r="D33" s="383"/>
      <c r="E33" s="383">
        <v>1</v>
      </c>
      <c r="F33" s="383"/>
      <c r="G33" s="383">
        <v>1</v>
      </c>
      <c r="H33" s="383"/>
      <c r="J33" s="403" t="str">
        <f t="shared" si="7"/>
        <v>грудень</v>
      </c>
      <c r="K33" s="404"/>
      <c r="L33" s="274">
        <v>1</v>
      </c>
      <c r="M33" s="274">
        <v>1</v>
      </c>
      <c r="N33" s="274">
        <v>1</v>
      </c>
      <c r="P33" s="182"/>
    </row>
    <row r="34" spans="1:31" ht="35.049999999999997" customHeight="1" x14ac:dyDescent="0.55000000000000004">
      <c r="A34" s="382" t="str">
        <f>A38</f>
        <v>2-й рік роботи</v>
      </c>
      <c r="B34" s="382"/>
      <c r="C34" s="383">
        <v>1</v>
      </c>
      <c r="D34" s="383"/>
      <c r="E34" s="383">
        <v>1</v>
      </c>
      <c r="F34" s="383"/>
      <c r="G34" s="383">
        <v>1</v>
      </c>
      <c r="H34" s="383"/>
      <c r="J34" s="308"/>
      <c r="P34" s="182"/>
    </row>
    <row r="35" spans="1:31" ht="35.049999999999997" customHeight="1" x14ac:dyDescent="0.55000000000000004">
      <c r="A35" s="382" t="str">
        <f>A39</f>
        <v>3-й рік роботи</v>
      </c>
      <c r="B35" s="382"/>
      <c r="C35" s="383">
        <v>1</v>
      </c>
      <c r="D35" s="383"/>
      <c r="E35" s="383">
        <v>1</v>
      </c>
      <c r="F35" s="383"/>
      <c r="G35" s="383">
        <v>1</v>
      </c>
      <c r="H35" s="383"/>
      <c r="J35" s="308"/>
      <c r="P35" s="182"/>
    </row>
    <row r="36" spans="1:31" ht="32.4" customHeight="1" x14ac:dyDescent="0.55000000000000004">
      <c r="A36" s="464"/>
      <c r="B36" s="464"/>
      <c r="C36" s="464"/>
      <c r="D36" s="464"/>
      <c r="E36" s="464"/>
      <c r="F36" s="464"/>
      <c r="G36" s="464"/>
      <c r="H36" s="464"/>
      <c r="I36" s="464"/>
      <c r="J36" s="464"/>
      <c r="K36" s="464"/>
      <c r="L36" s="464"/>
      <c r="M36" s="464"/>
      <c r="N36" s="464"/>
      <c r="S36" s="14"/>
      <c r="T36" s="13"/>
    </row>
    <row r="37" spans="1:31" ht="54.3" customHeight="1" x14ac:dyDescent="0.55000000000000004">
      <c r="A37" s="465"/>
      <c r="B37" s="465"/>
      <c r="C37" s="362" t="s">
        <v>26</v>
      </c>
      <c r="D37" s="384"/>
      <c r="E37" s="364"/>
      <c r="F37" s="362" t="s">
        <v>27</v>
      </c>
      <c r="G37" s="384"/>
      <c r="H37" s="384"/>
      <c r="I37" s="364"/>
      <c r="J37" s="362" t="s">
        <v>168</v>
      </c>
      <c r="K37" s="384"/>
      <c r="L37" s="364"/>
      <c r="M37" s="359" t="s">
        <v>28</v>
      </c>
      <c r="N37" s="359"/>
      <c r="S37" s="14"/>
      <c r="T37" s="13"/>
    </row>
    <row r="38" spans="1:31" ht="43.8" customHeight="1" x14ac:dyDescent="0.55000000000000004">
      <c r="A38" s="463" t="s">
        <v>24</v>
      </c>
      <c r="B38" s="463"/>
      <c r="C38" s="370">
        <v>1</v>
      </c>
      <c r="D38" s="371"/>
      <c r="E38" s="372"/>
      <c r="F38" s="370">
        <v>1.1000000000000001</v>
      </c>
      <c r="G38" s="371"/>
      <c r="H38" s="371"/>
      <c r="I38" s="372"/>
      <c r="J38" s="370">
        <v>1.05</v>
      </c>
      <c r="K38" s="371"/>
      <c r="L38" s="372"/>
      <c r="M38" s="383">
        <v>0.1</v>
      </c>
      <c r="N38" s="383"/>
      <c r="O38" s="49"/>
      <c r="P38" s="182"/>
    </row>
    <row r="39" spans="1:31" ht="43.8" customHeight="1" x14ac:dyDescent="0.55000000000000004">
      <c r="A39" s="463" t="s">
        <v>25</v>
      </c>
      <c r="B39" s="463"/>
      <c r="C39" s="370">
        <v>1</v>
      </c>
      <c r="D39" s="371"/>
      <c r="E39" s="372"/>
      <c r="F39" s="370">
        <v>1.2</v>
      </c>
      <c r="G39" s="371"/>
      <c r="H39" s="371"/>
      <c r="I39" s="372"/>
      <c r="J39" s="370">
        <v>1.1000000000000001</v>
      </c>
      <c r="K39" s="371"/>
      <c r="L39" s="372"/>
      <c r="M39" s="383"/>
      <c r="N39" s="383"/>
      <c r="P39" s="182"/>
    </row>
    <row r="40" spans="1:31" ht="56.1" customHeight="1" x14ac:dyDescent="0.55000000000000004">
      <c r="A40" s="450" t="s">
        <v>102</v>
      </c>
      <c r="B40" s="450"/>
      <c r="C40" s="450"/>
      <c r="D40" s="450"/>
      <c r="E40" s="450"/>
      <c r="F40" s="450"/>
      <c r="G40" s="450"/>
      <c r="H40" s="450"/>
      <c r="I40" s="450"/>
      <c r="J40" s="450"/>
      <c r="K40" s="450"/>
      <c r="L40" s="450"/>
      <c r="M40" s="450"/>
      <c r="N40" s="450"/>
      <c r="S40" s="14"/>
      <c r="T40" s="13"/>
    </row>
    <row r="41" spans="1:31" ht="34.200000000000003" customHeight="1" x14ac:dyDescent="0.55000000000000004">
      <c r="A41" s="28" t="s">
        <v>29</v>
      </c>
      <c r="J41" s="29"/>
      <c r="K41" s="29"/>
      <c r="L41" s="29"/>
      <c r="M41" s="29"/>
    </row>
    <row r="42" spans="1:31" ht="34.200000000000003" customHeight="1" thickBot="1" x14ac:dyDescent="0.6">
      <c r="A42" s="28"/>
      <c r="D42" s="369" t="str">
        <f>A41</f>
        <v>Інвестиції у відкриття</v>
      </c>
      <c r="E42" s="369"/>
      <c r="F42" s="369"/>
      <c r="G42" s="369"/>
      <c r="H42" s="369"/>
      <c r="I42" s="369"/>
      <c r="J42" s="369"/>
      <c r="K42" s="369"/>
      <c r="L42" s="369"/>
      <c r="M42" s="369"/>
      <c r="N42" s="369"/>
    </row>
    <row r="43" spans="1:31" ht="52.2" customHeight="1" x14ac:dyDescent="0.55000000000000004">
      <c r="A43" s="28"/>
      <c r="D43" s="376" t="str">
        <f>$E$7</f>
        <v>Міста з населенням до 200 000 чол.</v>
      </c>
      <c r="E43" s="377"/>
      <c r="F43" s="377"/>
      <c r="G43" s="378"/>
      <c r="H43" s="379" t="str">
        <f>$I$7</f>
        <v>Міста з населенням 200 000 - 1 000 000 чол.</v>
      </c>
      <c r="I43" s="379"/>
      <c r="J43" s="379"/>
      <c r="K43" s="380"/>
      <c r="L43" s="379" t="str">
        <f>$L$7</f>
        <v>Міста з населенням більше 1 000 000 чол.</v>
      </c>
      <c r="M43" s="379"/>
      <c r="N43" s="380"/>
    </row>
    <row r="44" spans="1:31" ht="45" customHeight="1" x14ac:dyDescent="0.6">
      <c r="D44" s="358" t="s">
        <v>4</v>
      </c>
      <c r="E44" s="359"/>
      <c r="F44" s="362" t="str">
        <f>"У валюті, в якій виконується розрахунок, "&amp;CHOOSE($R$2,$S$2,$S$3,$S$4,$S$5)&amp;""</f>
        <v>У валюті, в якій виконується розрахунок, UAH</v>
      </c>
      <c r="G44" s="363"/>
      <c r="H44" s="364" t="s">
        <v>4</v>
      </c>
      <c r="I44" s="359"/>
      <c r="J44" s="362" t="str">
        <f>"У валюті, в якій виконується розрахунок, "&amp;CHOOSE($R$2,$S$2,$S$3,$S$4,$S$5)&amp;""</f>
        <v>У валюті, в якій виконується розрахунок, UAH</v>
      </c>
      <c r="K44" s="363"/>
      <c r="L44" s="286" t="s">
        <v>4</v>
      </c>
      <c r="M44" s="362" t="str">
        <f>"У валюті, в якій виконується розрахунок, "&amp;CHOOSE($R$2,$S$2,$S$3,$S$4,$S$5)&amp;""</f>
        <v>У валюті, в якій виконується розрахунок, UAH</v>
      </c>
      <c r="N44" s="363"/>
      <c r="O44" s="30"/>
      <c r="P44" s="30"/>
      <c r="S44" s="33"/>
      <c r="T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spans="1:31" ht="42" customHeight="1" x14ac:dyDescent="0.6">
      <c r="A45" s="34"/>
      <c r="B45" s="461" t="s">
        <v>112</v>
      </c>
      <c r="C45" s="462"/>
      <c r="D45" s="351"/>
      <c r="E45" s="352"/>
      <c r="F45" s="322">
        <f t="shared" ref="F45:F53" si="8">D45/CHOOSE($R$2,1,$G$5,$K$5,$N$5)</f>
        <v>0</v>
      </c>
      <c r="G45" s="356"/>
      <c r="H45" s="353"/>
      <c r="I45" s="352"/>
      <c r="J45" s="322">
        <f t="shared" ref="J45:J53" si="9">H45/CHOOSE($R$2,1,$G$5,$K$5,$N$5)</f>
        <v>0</v>
      </c>
      <c r="K45" s="356"/>
      <c r="L45" s="223"/>
      <c r="M45" s="322">
        <f t="shared" ref="M45:M53" si="10">L45/CHOOSE($R$2,1,$G$5,$K$5,$N$5)</f>
        <v>0</v>
      </c>
      <c r="N45" s="356"/>
      <c r="O45" s="32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1:31" ht="42" customHeight="1" x14ac:dyDescent="0.6">
      <c r="A46" s="30"/>
      <c r="B46" s="360" t="s">
        <v>185</v>
      </c>
      <c r="C46" s="361"/>
      <c r="D46" s="351">
        <f>3500*30</f>
        <v>105000</v>
      </c>
      <c r="E46" s="352"/>
      <c r="F46" s="322">
        <f t="shared" si="8"/>
        <v>105000</v>
      </c>
      <c r="G46" s="356"/>
      <c r="H46" s="351">
        <f>3500*30</f>
        <v>105000</v>
      </c>
      <c r="I46" s="352"/>
      <c r="J46" s="322">
        <f t="shared" si="9"/>
        <v>105000</v>
      </c>
      <c r="K46" s="356"/>
      <c r="L46" s="223">
        <f>3500*30</f>
        <v>105000</v>
      </c>
      <c r="M46" s="322">
        <f t="shared" si="10"/>
        <v>105000</v>
      </c>
      <c r="N46" s="356"/>
      <c r="O46" s="32"/>
      <c r="R46" s="33"/>
      <c r="S46" s="33"/>
      <c r="T46" s="33"/>
      <c r="V46" s="33"/>
      <c r="W46" s="33"/>
      <c r="X46" s="33"/>
      <c r="Y46" s="33"/>
      <c r="Z46" s="33"/>
      <c r="AA46" s="33"/>
      <c r="AB46" s="33"/>
      <c r="AC46" s="33"/>
      <c r="AD46" s="33"/>
    </row>
    <row r="47" spans="1:31" ht="42" customHeight="1" x14ac:dyDescent="0.6">
      <c r="A47" s="34"/>
      <c r="B47" s="360" t="s">
        <v>31</v>
      </c>
      <c r="C47" s="361"/>
      <c r="D47" s="351"/>
      <c r="E47" s="352"/>
      <c r="F47" s="322">
        <f t="shared" si="8"/>
        <v>0</v>
      </c>
      <c r="G47" s="356"/>
      <c r="H47" s="351"/>
      <c r="I47" s="352"/>
      <c r="J47" s="322">
        <f t="shared" si="9"/>
        <v>0</v>
      </c>
      <c r="K47" s="356"/>
      <c r="L47" s="223"/>
      <c r="M47" s="322">
        <f t="shared" si="10"/>
        <v>0</v>
      </c>
      <c r="N47" s="356"/>
      <c r="O47" s="32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1:31" ht="42" customHeight="1" x14ac:dyDescent="0.6">
      <c r="A48" s="34"/>
      <c r="B48" s="360" t="s">
        <v>30</v>
      </c>
      <c r="C48" s="361"/>
      <c r="D48" s="351"/>
      <c r="E48" s="352"/>
      <c r="F48" s="322">
        <f t="shared" si="8"/>
        <v>0</v>
      </c>
      <c r="G48" s="356"/>
      <c r="H48" s="351"/>
      <c r="I48" s="352"/>
      <c r="J48" s="322">
        <f t="shared" si="9"/>
        <v>0</v>
      </c>
      <c r="K48" s="356"/>
      <c r="L48" s="223"/>
      <c r="M48" s="322">
        <f t="shared" si="10"/>
        <v>0</v>
      </c>
      <c r="N48" s="356"/>
      <c r="O48" s="32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1:31" ht="42" customHeight="1" x14ac:dyDescent="0.6">
      <c r="A49" s="30"/>
      <c r="B49" s="360" t="s">
        <v>116</v>
      </c>
      <c r="C49" s="361"/>
      <c r="D49" s="351">
        <f>1000*30</f>
        <v>30000</v>
      </c>
      <c r="E49" s="352"/>
      <c r="F49" s="322">
        <f t="shared" si="8"/>
        <v>30000</v>
      </c>
      <c r="G49" s="356"/>
      <c r="H49" s="351">
        <f>1000*30</f>
        <v>30000</v>
      </c>
      <c r="I49" s="352"/>
      <c r="J49" s="322">
        <f t="shared" si="9"/>
        <v>30000</v>
      </c>
      <c r="K49" s="356"/>
      <c r="L49" s="223">
        <f>1000*30</f>
        <v>30000</v>
      </c>
      <c r="M49" s="322">
        <f t="shared" si="10"/>
        <v>30000</v>
      </c>
      <c r="N49" s="356"/>
      <c r="O49" s="32"/>
      <c r="R49" s="33"/>
      <c r="S49" s="33"/>
      <c r="T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1:31" ht="42" customHeight="1" x14ac:dyDescent="0.6">
      <c r="A50" s="30"/>
      <c r="B50" s="456" t="s">
        <v>32</v>
      </c>
      <c r="C50" s="457"/>
      <c r="D50" s="351"/>
      <c r="E50" s="352"/>
      <c r="F50" s="322">
        <f t="shared" si="8"/>
        <v>0</v>
      </c>
      <c r="G50" s="356"/>
      <c r="H50" s="351"/>
      <c r="I50" s="352"/>
      <c r="J50" s="322">
        <f t="shared" si="9"/>
        <v>0</v>
      </c>
      <c r="K50" s="356"/>
      <c r="L50" s="223"/>
      <c r="M50" s="322">
        <f t="shared" si="10"/>
        <v>0</v>
      </c>
      <c r="N50" s="356"/>
      <c r="O50" s="32"/>
      <c r="R50" s="33"/>
      <c r="S50" s="33"/>
      <c r="T50" s="33"/>
      <c r="V50" s="33"/>
      <c r="W50" s="33"/>
      <c r="X50" s="33"/>
      <c r="Y50" s="33"/>
      <c r="Z50" s="33"/>
      <c r="AA50" s="33"/>
      <c r="AB50" s="33"/>
      <c r="AC50" s="33"/>
      <c r="AD50" s="33"/>
    </row>
    <row r="51" spans="1:31" ht="42" customHeight="1" x14ac:dyDescent="0.6">
      <c r="A51" s="30"/>
      <c r="B51" s="360" t="s">
        <v>33</v>
      </c>
      <c r="C51" s="361"/>
      <c r="D51" s="351">
        <f>7000*28</f>
        <v>196000</v>
      </c>
      <c r="E51" s="352"/>
      <c r="F51" s="322">
        <f t="shared" si="8"/>
        <v>196000</v>
      </c>
      <c r="G51" s="356"/>
      <c r="H51" s="351">
        <f>7000*28</f>
        <v>196000</v>
      </c>
      <c r="I51" s="352"/>
      <c r="J51" s="322">
        <f t="shared" si="9"/>
        <v>196000</v>
      </c>
      <c r="K51" s="356"/>
      <c r="L51" s="299">
        <f>7000*28</f>
        <v>196000</v>
      </c>
      <c r="M51" s="322">
        <f t="shared" si="10"/>
        <v>196000</v>
      </c>
      <c r="N51" s="356"/>
      <c r="O51" s="32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1:31" ht="42" customHeight="1" x14ac:dyDescent="0.6">
      <c r="A52" s="30"/>
      <c r="B52" s="360" t="s">
        <v>34</v>
      </c>
      <c r="C52" s="361"/>
      <c r="D52" s="351"/>
      <c r="E52" s="352"/>
      <c r="F52" s="322">
        <f t="shared" si="8"/>
        <v>0</v>
      </c>
      <c r="G52" s="356"/>
      <c r="H52" s="353"/>
      <c r="I52" s="352"/>
      <c r="J52" s="322">
        <f t="shared" si="9"/>
        <v>0</v>
      </c>
      <c r="K52" s="356"/>
      <c r="L52" s="223"/>
      <c r="M52" s="322">
        <f t="shared" si="10"/>
        <v>0</v>
      </c>
      <c r="N52" s="356"/>
      <c r="O52" s="32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1:31" ht="42" customHeight="1" thickBot="1" x14ac:dyDescent="0.65">
      <c r="A53" s="30"/>
      <c r="B53" s="454" t="s">
        <v>35</v>
      </c>
      <c r="C53" s="455"/>
      <c r="D53" s="375">
        <f>SUM(D45:E52)</f>
        <v>331000</v>
      </c>
      <c r="E53" s="355"/>
      <c r="F53" s="334">
        <f t="shared" si="8"/>
        <v>331000</v>
      </c>
      <c r="G53" s="357"/>
      <c r="H53" s="354">
        <f>SUM(H45:I52)</f>
        <v>331000</v>
      </c>
      <c r="I53" s="355"/>
      <c r="J53" s="334">
        <f t="shared" si="9"/>
        <v>331000</v>
      </c>
      <c r="K53" s="357"/>
      <c r="L53" s="239">
        <f>SUM(L45:L52)</f>
        <v>331000</v>
      </c>
      <c r="M53" s="334">
        <f t="shared" si="10"/>
        <v>331000</v>
      </c>
      <c r="N53" s="357"/>
      <c r="O53" s="32"/>
      <c r="P53" s="35"/>
      <c r="R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</row>
    <row r="54" spans="1:31" customFormat="1" ht="42" customHeight="1" thickBot="1" x14ac:dyDescent="0.65">
      <c r="A54" s="381"/>
      <c r="B54" s="381"/>
      <c r="C54" s="381"/>
      <c r="D54" s="381"/>
      <c r="E54" s="381"/>
      <c r="F54" s="381"/>
      <c r="G54" s="381"/>
      <c r="H54" s="381"/>
      <c r="I54" s="381"/>
      <c r="J54" s="381"/>
      <c r="K54" s="381"/>
      <c r="L54" s="381"/>
      <c r="M54" s="381"/>
      <c r="N54" s="381"/>
      <c r="O54" s="32"/>
      <c r="P54" s="258"/>
      <c r="R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</row>
    <row r="55" spans="1:31" ht="52.2" customHeight="1" x14ac:dyDescent="0.55000000000000004">
      <c r="A55" s="28"/>
      <c r="D55" s="376" t="str">
        <f>$E$9</f>
        <v>Площа торгової точки 65 кв.м.</v>
      </c>
      <c r="E55" s="377"/>
      <c r="F55" s="377"/>
      <c r="G55" s="378"/>
      <c r="H55" s="379" t="str">
        <f>$K$9</f>
        <v>Площа торгової точки більше 100 кв.м.</v>
      </c>
      <c r="I55" s="379"/>
      <c r="J55" s="379"/>
      <c r="K55" s="380"/>
    </row>
    <row r="56" spans="1:31" ht="45" customHeight="1" x14ac:dyDescent="0.6">
      <c r="D56" s="358" t="s">
        <v>4</v>
      </c>
      <c r="E56" s="359"/>
      <c r="F56" s="362" t="str">
        <f>"У валюті, в якій виконується розрахунок, "&amp;CHOOSE($R$2,$S$2,$S$3,$S$4,$S$5)&amp;""</f>
        <v>У валюті, в якій виконується розрахунок, UAH</v>
      </c>
      <c r="G56" s="363"/>
      <c r="H56" s="364" t="s">
        <v>4</v>
      </c>
      <c r="I56" s="359"/>
      <c r="J56" s="362" t="str">
        <f>"У валюті, в якій виконується розрахунок, "&amp;CHOOSE($R$2,$S$2,$S$3,$S$4,$S$5)&amp;""</f>
        <v>У валюті, в якій виконується розрахунок, UAH</v>
      </c>
      <c r="K56" s="363"/>
      <c r="L56" s="30"/>
      <c r="M56" s="30"/>
      <c r="N56" s="30"/>
      <c r="O56" s="30"/>
      <c r="P56" s="30"/>
      <c r="S56" s="33"/>
      <c r="T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spans="1:31" ht="42" customHeight="1" x14ac:dyDescent="0.6">
      <c r="A57" s="30"/>
      <c r="B57" s="456" t="s">
        <v>131</v>
      </c>
      <c r="C57" s="457"/>
      <c r="D57" s="373">
        <f>Інвестиції!D6</f>
        <v>471000</v>
      </c>
      <c r="E57" s="366"/>
      <c r="F57" s="322">
        <f>D57/CHOOSE($R$2,1,$G$5,$K$5,$N$5)</f>
        <v>471000</v>
      </c>
      <c r="G57" s="356"/>
      <c r="H57" s="365">
        <f>Інвестиції!I6</f>
        <v>0</v>
      </c>
      <c r="I57" s="366"/>
      <c r="J57" s="322">
        <f>H57/CHOOSE($R$2,1,$G$5,$K$5,$N$5)</f>
        <v>0</v>
      </c>
      <c r="K57" s="356"/>
      <c r="L57" s="32"/>
      <c r="M57" s="32"/>
      <c r="N57" s="32"/>
      <c r="O57" s="32"/>
      <c r="R57" s="33"/>
      <c r="S57" s="33"/>
      <c r="T57" s="33"/>
      <c r="V57" s="33"/>
      <c r="W57" s="33"/>
      <c r="X57" s="33"/>
      <c r="Y57" s="33"/>
      <c r="Z57" s="33"/>
      <c r="AA57" s="33"/>
      <c r="AB57" s="33"/>
      <c r="AC57" s="33"/>
      <c r="AD57" s="33"/>
    </row>
    <row r="58" spans="1:31" ht="42" customHeight="1" thickBot="1" x14ac:dyDescent="0.65">
      <c r="A58" s="30"/>
      <c r="B58" s="456" t="s">
        <v>130</v>
      </c>
      <c r="C58" s="457"/>
      <c r="D58" s="374">
        <f>Інвестиції!D34</f>
        <v>15000</v>
      </c>
      <c r="E58" s="368"/>
      <c r="F58" s="334">
        <f>D58/CHOOSE($R$2,1,$G$5,$K$5,$N$5)</f>
        <v>15000</v>
      </c>
      <c r="G58" s="357"/>
      <c r="H58" s="367">
        <f>Інвестиції!I34</f>
        <v>0</v>
      </c>
      <c r="I58" s="368"/>
      <c r="J58" s="334">
        <f>H58/CHOOSE($R$2,1,$G$5,$K$5,$N$5)</f>
        <v>0</v>
      </c>
      <c r="K58" s="357"/>
      <c r="L58" s="32"/>
      <c r="M58" s="32"/>
      <c r="N58" s="32"/>
      <c r="O58" s="32"/>
      <c r="R58" s="33"/>
      <c r="S58" s="33"/>
      <c r="T58" s="33"/>
      <c r="V58" s="33"/>
      <c r="W58" s="33"/>
      <c r="X58" s="33"/>
      <c r="Y58" s="33"/>
      <c r="Z58" s="33"/>
      <c r="AA58" s="33"/>
      <c r="AB58" s="33"/>
      <c r="AC58" s="33"/>
      <c r="AD58" s="33"/>
    </row>
    <row r="59" spans="1:31" customFormat="1" ht="42" customHeight="1" x14ac:dyDescent="0.6">
      <c r="A59" s="381" t="s">
        <v>173</v>
      </c>
      <c r="B59" s="381"/>
      <c r="C59" s="381"/>
      <c r="D59" s="381"/>
      <c r="E59" s="381"/>
      <c r="F59" s="381"/>
      <c r="G59" s="381"/>
      <c r="H59" s="381"/>
      <c r="I59" s="381"/>
      <c r="J59" s="381"/>
      <c r="K59" s="381"/>
      <c r="L59" s="381"/>
      <c r="M59" s="381"/>
      <c r="N59" s="381"/>
      <c r="O59" s="32"/>
      <c r="P59" s="258"/>
      <c r="R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</row>
    <row r="60" spans="1:31" customFormat="1" ht="42" customHeight="1" x14ac:dyDescent="0.6">
      <c r="A60" s="264" t="s">
        <v>145</v>
      </c>
      <c r="B60" s="265"/>
      <c r="C60" s="265"/>
      <c r="D60" s="262"/>
      <c r="E60" s="43"/>
      <c r="F60" s="43"/>
      <c r="G60" s="262"/>
      <c r="H60" s="289"/>
      <c r="I60" s="262"/>
      <c r="J60" s="43"/>
      <c r="K60" s="43"/>
      <c r="L60" s="262"/>
      <c r="M60" s="43"/>
      <c r="N60" s="43"/>
      <c r="O60" s="32"/>
      <c r="P60" s="258"/>
      <c r="R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</row>
    <row r="61" spans="1:31" customFormat="1" ht="42" customHeight="1" x14ac:dyDescent="0.6">
      <c r="A61" s="264"/>
      <c r="B61" s="469" t="s">
        <v>146</v>
      </c>
      <c r="C61" s="470"/>
      <c r="D61" s="321" t="s">
        <v>147</v>
      </c>
      <c r="E61" s="321"/>
      <c r="F61" s="321"/>
      <c r="G61" s="262"/>
      <c r="H61" s="289"/>
      <c r="I61" s="262"/>
      <c r="J61" s="43"/>
      <c r="K61" s="43"/>
      <c r="L61" s="262"/>
      <c r="M61" s="43"/>
      <c r="N61" s="43"/>
      <c r="O61" s="32"/>
      <c r="P61" s="258"/>
      <c r="R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</row>
    <row r="62" spans="1:31" customFormat="1" ht="42" customHeight="1" x14ac:dyDescent="0.6">
      <c r="A62" s="216"/>
      <c r="B62" s="466" t="s">
        <v>128</v>
      </c>
      <c r="C62" s="466"/>
      <c r="D62" s="467">
        <v>12</v>
      </c>
      <c r="E62" s="467"/>
      <c r="F62" s="467"/>
      <c r="G62" s="262"/>
      <c r="H62" s="289"/>
      <c r="I62" s="262"/>
      <c r="J62" s="43"/>
      <c r="K62" s="43"/>
      <c r="L62" s="262"/>
      <c r="M62" s="43"/>
      <c r="N62" s="43"/>
      <c r="O62" s="32"/>
      <c r="P62" s="258"/>
      <c r="R62" s="263"/>
      <c r="T62" s="263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</row>
    <row r="63" spans="1:31" customFormat="1" ht="42" customHeight="1" x14ac:dyDescent="0.6">
      <c r="A63" s="216"/>
      <c r="B63" s="468" t="s">
        <v>129</v>
      </c>
      <c r="C63" s="468"/>
      <c r="D63" s="467">
        <v>8</v>
      </c>
      <c r="E63" s="467"/>
      <c r="F63" s="467"/>
      <c r="G63" s="262"/>
      <c r="H63" s="289"/>
      <c r="I63" s="262"/>
      <c r="J63" s="43"/>
      <c r="K63" s="43"/>
      <c r="L63" s="262"/>
      <c r="M63" s="43"/>
      <c r="N63" s="43"/>
      <c r="O63" s="32"/>
      <c r="P63" s="258"/>
      <c r="R63" s="263"/>
      <c r="T63" s="263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</row>
    <row r="64" spans="1:31" ht="34.200000000000003" customHeight="1" x14ac:dyDescent="0.6">
      <c r="A64" s="450"/>
      <c r="B64" s="450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0"/>
      <c r="O64" s="32"/>
      <c r="R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</row>
    <row r="65" spans="1:30" ht="34.200000000000003" customHeight="1" x14ac:dyDescent="0.7">
      <c r="A65" s="28" t="s">
        <v>3</v>
      </c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2"/>
      <c r="R65" s="33"/>
      <c r="T65" s="33"/>
      <c r="U65" s="33"/>
      <c r="W65" s="33"/>
      <c r="X65" s="33"/>
      <c r="Y65" s="33"/>
      <c r="Z65" s="33"/>
      <c r="AA65" s="33"/>
      <c r="AB65" s="33"/>
      <c r="AC65" s="33"/>
      <c r="AD65" s="33"/>
    </row>
    <row r="66" spans="1:30" ht="34.200000000000003" customHeight="1" x14ac:dyDescent="0.7">
      <c r="A66" s="28" t="str">
        <f>"Персонал для формату "&amp;E7&amp;""</f>
        <v>Персонал для формату Міста з населенням до 200 000 чол.</v>
      </c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2"/>
      <c r="R66" s="33"/>
      <c r="T66" s="33"/>
      <c r="U66" s="33"/>
      <c r="W66" s="33"/>
      <c r="X66" s="33"/>
      <c r="Y66" s="33"/>
      <c r="Z66" s="33"/>
      <c r="AA66" s="33"/>
      <c r="AB66" s="33"/>
      <c r="AC66" s="33"/>
      <c r="AD66" s="33"/>
    </row>
    <row r="67" spans="1:30" ht="34.200000000000003" customHeight="1" x14ac:dyDescent="0.7">
      <c r="A67" s="28"/>
      <c r="B67" s="36"/>
      <c r="C67" s="36"/>
      <c r="D67" s="36"/>
      <c r="E67" s="36"/>
      <c r="F67" s="36"/>
      <c r="G67" s="36"/>
      <c r="H67" s="36"/>
      <c r="I67" s="345" t="str">
        <f>$D$55</f>
        <v>Площа торгової точки 65 кв.м.</v>
      </c>
      <c r="J67" s="346"/>
      <c r="K67" s="345" t="str">
        <f>$H$55</f>
        <v>Площа торгової точки більше 100 кв.м.</v>
      </c>
      <c r="L67" s="346"/>
      <c r="M67" s="36"/>
      <c r="N67" s="36"/>
      <c r="O67" s="32"/>
      <c r="R67" s="33"/>
      <c r="T67" s="33"/>
      <c r="U67" s="33"/>
      <c r="W67" s="33"/>
      <c r="X67" s="33"/>
      <c r="Y67" s="33"/>
      <c r="Z67" s="33"/>
      <c r="AA67" s="33"/>
      <c r="AB67" s="33"/>
      <c r="AC67" s="33"/>
      <c r="AD67" s="33"/>
    </row>
    <row r="68" spans="1:30" ht="52.2" customHeight="1" x14ac:dyDescent="0.6">
      <c r="A68" s="349" t="s">
        <v>36</v>
      </c>
      <c r="B68" s="349"/>
      <c r="C68" s="349"/>
      <c r="D68" s="344" t="s">
        <v>37</v>
      </c>
      <c r="E68" s="344" t="s">
        <v>103</v>
      </c>
      <c r="F68" s="345" t="s">
        <v>132</v>
      </c>
      <c r="G68" s="350"/>
      <c r="H68" s="344" t="s">
        <v>134</v>
      </c>
      <c r="I68" s="345" t="s">
        <v>174</v>
      </c>
      <c r="J68" s="346"/>
      <c r="K68" s="345" t="s">
        <v>174</v>
      </c>
      <c r="L68" s="346"/>
      <c r="M68" s="349" t="s">
        <v>137</v>
      </c>
      <c r="N68" s="349" t="s">
        <v>38</v>
      </c>
      <c r="O68" s="32"/>
      <c r="R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</row>
    <row r="69" spans="1:30" ht="100.8" customHeight="1" x14ac:dyDescent="0.6">
      <c r="A69" s="349"/>
      <c r="B69" s="349"/>
      <c r="C69" s="349"/>
      <c r="D69" s="344"/>
      <c r="E69" s="344"/>
      <c r="F69" s="233" t="s">
        <v>133</v>
      </c>
      <c r="G69" s="281" t="str">
        <f>"У валюті, в якій виконується розрахунок, "&amp;CHOOSE($R$2,$S$2,$S$3,$S$4,$S$5)&amp;"/зміна"</f>
        <v>У валюті, в якій виконується розрахунок, UAH/зміна</v>
      </c>
      <c r="H69" s="344"/>
      <c r="I69" s="281" t="s">
        <v>22</v>
      </c>
      <c r="J69" s="280" t="str">
        <f>"У валюті, в якій виконується розрахунок, "&amp;CHOOSE($R$2,$S$2,$S$3,$S$4,$S$5)&amp;"/міс."</f>
        <v>У валюті, в якій виконується розрахунок, UAH/міс.</v>
      </c>
      <c r="K69" s="281" t="s">
        <v>22</v>
      </c>
      <c r="L69" s="280" t="str">
        <f>"У валюті, в якій виконується розрахунок, "&amp;CHOOSE($R$2,$S$2,$S$3,$S$4,$S$5)&amp;"/міс."</f>
        <v>У валюті, в якій виконується розрахунок, UAH/міс.</v>
      </c>
      <c r="M69" s="349"/>
      <c r="N69" s="349"/>
      <c r="O69" s="32"/>
      <c r="R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</row>
    <row r="70" spans="1:30" s="24" customFormat="1" ht="40" customHeight="1" x14ac:dyDescent="0.55000000000000004">
      <c r="A70" s="407" t="s">
        <v>148</v>
      </c>
      <c r="B70" s="407"/>
      <c r="C70" s="407"/>
      <c r="D70" s="210">
        <v>2</v>
      </c>
      <c r="E70" s="210">
        <v>2</v>
      </c>
      <c r="F70" s="210">
        <v>500</v>
      </c>
      <c r="G70" s="279">
        <f t="shared" ref="G70" si="11">F70/CHOOSE($R$2,1,$G$5,$K$5,$N$5)</f>
        <v>500</v>
      </c>
      <c r="H70" s="210">
        <v>15</v>
      </c>
      <c r="I70" s="271">
        <f>J70*CHOOSE($R$2,1,$G$5,$K$5,$N$5)</f>
        <v>7500</v>
      </c>
      <c r="J70" s="278">
        <f>$G$70*$H$70+$M$70*$F$15/$D$70</f>
        <v>7500</v>
      </c>
      <c r="K70" s="271">
        <f>L70*CHOOSE($R$2,1,$G$5,$K$5,$N$5)</f>
        <v>7500</v>
      </c>
      <c r="L70" s="278">
        <f>$G$70*$H$70+$M$70*$J$15/$D$70</f>
        <v>7500</v>
      </c>
      <c r="M70" s="261"/>
      <c r="N70" s="241" t="s">
        <v>175</v>
      </c>
      <c r="O70" s="32"/>
      <c r="Q70" s="38">
        <f>D70*I70</f>
        <v>15000</v>
      </c>
      <c r="R70" s="38">
        <f>D70*K70</f>
        <v>15000</v>
      </c>
      <c r="S70" s="38"/>
      <c r="T70" s="38"/>
      <c r="U70" s="38"/>
      <c r="W70" s="38"/>
      <c r="X70" s="38"/>
      <c r="Y70" s="38"/>
      <c r="Z70" s="38"/>
      <c r="AA70" s="38"/>
      <c r="AB70" s="38"/>
      <c r="AC70" s="38"/>
      <c r="AD70" s="38"/>
    </row>
    <row r="71" spans="1:30" s="183" customFormat="1" ht="40" customHeight="1" x14ac:dyDescent="0.55000000000000004">
      <c r="A71" s="408" t="s">
        <v>35</v>
      </c>
      <c r="B71" s="408"/>
      <c r="C71" s="408"/>
      <c r="D71" s="232">
        <f>SUM(D70:D70)</f>
        <v>2</v>
      </c>
      <c r="E71" s="232">
        <f>SUM(E70:E70)</f>
        <v>2</v>
      </c>
      <c r="F71" s="347" t="s">
        <v>120</v>
      </c>
      <c r="G71" s="348"/>
      <c r="H71" s="348"/>
      <c r="I71" s="278">
        <f>Q71</f>
        <v>15000</v>
      </c>
      <c r="J71" s="278">
        <f>I71/CHOOSE($R$2,1,$G$5,$K$5,$N$5)</f>
        <v>15000</v>
      </c>
      <c r="K71" s="278">
        <f>R71</f>
        <v>15000</v>
      </c>
      <c r="L71" s="278">
        <f>K71/CHOOSE($R$2,1,$G$5,$K$5,$N$5)</f>
        <v>15000</v>
      </c>
      <c r="M71" s="237"/>
      <c r="N71" s="235"/>
      <c r="O71" s="32"/>
      <c r="Q71" s="183">
        <f>SUM(Q70:Q70)</f>
        <v>15000</v>
      </c>
      <c r="R71" s="184">
        <f>SUM(R70:R70)</f>
        <v>15000</v>
      </c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</row>
    <row r="72" spans="1:30" ht="25.8" customHeight="1" x14ac:dyDescent="0.7">
      <c r="A72" s="430"/>
      <c r="B72" s="430"/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M72" s="430"/>
      <c r="N72" s="430"/>
      <c r="O72" s="32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</row>
    <row r="73" spans="1:30" ht="34.200000000000003" customHeight="1" x14ac:dyDescent="0.7">
      <c r="A73" s="28" t="str">
        <f>"Персонал для формату "&amp;I7&amp;""</f>
        <v>Персонал для формату Міста з населенням 200 000 - 1 000 000 чол.</v>
      </c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2"/>
      <c r="R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</row>
    <row r="74" spans="1:30" ht="34.200000000000003" customHeight="1" x14ac:dyDescent="0.7">
      <c r="A74" s="28"/>
      <c r="B74" s="36"/>
      <c r="C74" s="36"/>
      <c r="D74" s="36"/>
      <c r="E74" s="36"/>
      <c r="F74" s="36"/>
      <c r="G74" s="36"/>
      <c r="H74" s="36"/>
      <c r="I74" s="345" t="str">
        <f>$D$55</f>
        <v>Площа торгової точки 65 кв.м.</v>
      </c>
      <c r="J74" s="346"/>
      <c r="K74" s="345" t="str">
        <f>$H$55</f>
        <v>Площа торгової точки більше 100 кв.м.</v>
      </c>
      <c r="L74" s="346"/>
      <c r="M74" s="36"/>
      <c r="N74" s="36"/>
      <c r="O74" s="32"/>
      <c r="R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</row>
    <row r="75" spans="1:30" ht="52.2" customHeight="1" x14ac:dyDescent="0.6">
      <c r="A75" s="349" t="s">
        <v>36</v>
      </c>
      <c r="B75" s="349"/>
      <c r="C75" s="349"/>
      <c r="D75" s="344" t="s">
        <v>37</v>
      </c>
      <c r="E75" s="344" t="s">
        <v>103</v>
      </c>
      <c r="F75" s="345" t="s">
        <v>132</v>
      </c>
      <c r="G75" s="350"/>
      <c r="H75" s="344" t="s">
        <v>134</v>
      </c>
      <c r="I75" s="345" t="s">
        <v>174</v>
      </c>
      <c r="J75" s="346"/>
      <c r="K75" s="345" t="s">
        <v>174</v>
      </c>
      <c r="L75" s="346"/>
      <c r="M75" s="349" t="s">
        <v>137</v>
      </c>
      <c r="N75" s="349" t="s">
        <v>38</v>
      </c>
      <c r="O75" s="32"/>
      <c r="R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</row>
    <row r="76" spans="1:30" ht="100.8" customHeight="1" x14ac:dyDescent="0.6">
      <c r="A76" s="349"/>
      <c r="B76" s="349"/>
      <c r="C76" s="349"/>
      <c r="D76" s="344"/>
      <c r="E76" s="344"/>
      <c r="F76" s="280" t="s">
        <v>133</v>
      </c>
      <c r="G76" s="281" t="str">
        <f>"У валюті, в якій виконується розрахунок, "&amp;CHOOSE($R$2,$S$2,$S$3,$S$4,$S$5)&amp;"/зміна"</f>
        <v>У валюті, в якій виконується розрахунок, UAH/зміна</v>
      </c>
      <c r="H76" s="344"/>
      <c r="I76" s="281" t="s">
        <v>22</v>
      </c>
      <c r="J76" s="280" t="str">
        <f>"У валюті, в якій виконується розрахунок, "&amp;CHOOSE($R$2,$S$2,$S$3,$S$4,$S$5)&amp;"/міс."</f>
        <v>У валюті, в якій виконується розрахунок, UAH/міс.</v>
      </c>
      <c r="K76" s="281" t="s">
        <v>22</v>
      </c>
      <c r="L76" s="280" t="str">
        <f>"У валюті, в якій виконується розрахунок, "&amp;CHOOSE($R$2,$S$2,$S$3,$S$4,$S$5)&amp;"/міс."</f>
        <v>У валюті, в якій виконується розрахунок, UAH/міс.</v>
      </c>
      <c r="M76" s="349"/>
      <c r="N76" s="349"/>
      <c r="O76" s="32"/>
      <c r="R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</row>
    <row r="77" spans="1:30" s="24" customFormat="1" ht="40" customHeight="1" x14ac:dyDescent="0.55000000000000004">
      <c r="A77" s="407" t="s">
        <v>148</v>
      </c>
      <c r="B77" s="407"/>
      <c r="C77" s="407"/>
      <c r="D77" s="210">
        <v>2</v>
      </c>
      <c r="E77" s="210">
        <v>2</v>
      </c>
      <c r="F77" s="210">
        <v>500</v>
      </c>
      <c r="G77" s="292">
        <f t="shared" ref="G77" si="12">F77/CHOOSE($R$2,1,$G$5,$K$5,$N$5)</f>
        <v>500</v>
      </c>
      <c r="H77" s="210">
        <v>15</v>
      </c>
      <c r="I77" s="271">
        <f>J77*CHOOSE($R$2,1,$G$5,$K$5,$N$5)</f>
        <v>7500</v>
      </c>
      <c r="J77" s="278">
        <f>$G$77*$H$77+$M$77*$F$16/$D$77</f>
        <v>7500</v>
      </c>
      <c r="K77" s="271">
        <f>L77*CHOOSE($R$2,1,$G$5,$K$5,$N$5)</f>
        <v>7500</v>
      </c>
      <c r="L77" s="278">
        <f>$G$77*$H$77+$M$77*$J$16/$D$77</f>
        <v>7500</v>
      </c>
      <c r="M77" s="261"/>
      <c r="N77" s="287" t="s">
        <v>175</v>
      </c>
      <c r="O77" s="32"/>
      <c r="Q77" s="38">
        <f>D77*I77</f>
        <v>15000</v>
      </c>
      <c r="R77" s="38">
        <f>D77*K77</f>
        <v>15000</v>
      </c>
      <c r="S77" s="38"/>
      <c r="T77" s="38"/>
      <c r="U77" s="38"/>
      <c r="W77" s="38"/>
      <c r="X77" s="38"/>
      <c r="Y77" s="38"/>
      <c r="Z77" s="38"/>
      <c r="AA77" s="38"/>
      <c r="AB77" s="38"/>
      <c r="AC77" s="38"/>
      <c r="AD77" s="38"/>
    </row>
    <row r="78" spans="1:30" s="183" customFormat="1" ht="40" customHeight="1" x14ac:dyDescent="0.55000000000000004">
      <c r="A78" s="408" t="s">
        <v>35</v>
      </c>
      <c r="B78" s="408"/>
      <c r="C78" s="408"/>
      <c r="D78" s="278">
        <f>SUM(D77:D77)</f>
        <v>2</v>
      </c>
      <c r="E78" s="278">
        <f>SUM(E77:E77)</f>
        <v>2</v>
      </c>
      <c r="F78" s="347" t="s">
        <v>120</v>
      </c>
      <c r="G78" s="348"/>
      <c r="H78" s="348"/>
      <c r="I78" s="278">
        <f>Q78</f>
        <v>15000</v>
      </c>
      <c r="J78" s="278">
        <f>I78/CHOOSE($R$2,1,$G$5,$K$5,$N$5)</f>
        <v>15000</v>
      </c>
      <c r="K78" s="278">
        <f>R78</f>
        <v>15000</v>
      </c>
      <c r="L78" s="278">
        <f>K78/CHOOSE($R$2,1,$G$5,$K$5,$N$5)</f>
        <v>15000</v>
      </c>
      <c r="M78" s="278"/>
      <c r="N78" s="287"/>
      <c r="O78" s="32"/>
      <c r="Q78" s="183">
        <f>SUM(Q77:Q77)</f>
        <v>15000</v>
      </c>
      <c r="R78" s="184">
        <f>SUM(R77:R77)</f>
        <v>15000</v>
      </c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</row>
    <row r="79" spans="1:30" ht="25.8" customHeight="1" x14ac:dyDescent="0.7">
      <c r="A79" s="430"/>
      <c r="B79" s="430"/>
      <c r="C79" s="430"/>
      <c r="D79" s="430"/>
      <c r="E79" s="430"/>
      <c r="F79" s="430"/>
      <c r="G79" s="430"/>
      <c r="H79" s="430"/>
      <c r="I79" s="430"/>
      <c r="J79" s="430"/>
      <c r="K79" s="430"/>
      <c r="L79" s="430"/>
      <c r="M79" s="430"/>
      <c r="N79" s="430"/>
      <c r="O79" s="32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</row>
    <row r="80" spans="1:30" ht="34.200000000000003" customHeight="1" x14ac:dyDescent="0.7">
      <c r="A80" s="28" t="str">
        <f>"Персонал для формату "&amp;L7&amp;""</f>
        <v>Персонал для формату Міста з населенням більше 1 000 000 чол.</v>
      </c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2"/>
      <c r="R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</row>
    <row r="81" spans="1:30" ht="52.2" customHeight="1" x14ac:dyDescent="0.7">
      <c r="A81" s="28"/>
      <c r="B81" s="36"/>
      <c r="C81" s="36"/>
      <c r="D81" s="36"/>
      <c r="E81" s="36"/>
      <c r="F81" s="36"/>
      <c r="G81" s="36"/>
      <c r="H81" s="36"/>
      <c r="I81" s="345" t="str">
        <f>$D$55</f>
        <v>Площа торгової точки 65 кв.м.</v>
      </c>
      <c r="J81" s="346"/>
      <c r="K81" s="345" t="str">
        <f>$H$55</f>
        <v>Площа торгової точки більше 100 кв.м.</v>
      </c>
      <c r="L81" s="346"/>
      <c r="M81" s="36"/>
      <c r="N81" s="36"/>
      <c r="O81" s="32"/>
      <c r="R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</row>
    <row r="82" spans="1:30" ht="52.2" customHeight="1" x14ac:dyDescent="0.6">
      <c r="A82" s="349" t="s">
        <v>36</v>
      </c>
      <c r="B82" s="349"/>
      <c r="C82" s="349"/>
      <c r="D82" s="344" t="s">
        <v>37</v>
      </c>
      <c r="E82" s="344" t="s">
        <v>103</v>
      </c>
      <c r="F82" s="345" t="s">
        <v>132</v>
      </c>
      <c r="G82" s="350"/>
      <c r="H82" s="344" t="s">
        <v>134</v>
      </c>
      <c r="I82" s="345" t="s">
        <v>174</v>
      </c>
      <c r="J82" s="346"/>
      <c r="K82" s="345" t="s">
        <v>174</v>
      </c>
      <c r="L82" s="346"/>
      <c r="M82" s="349" t="s">
        <v>137</v>
      </c>
      <c r="N82" s="349" t="s">
        <v>38</v>
      </c>
      <c r="O82" s="32"/>
      <c r="R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</row>
    <row r="83" spans="1:30" ht="100.8" customHeight="1" x14ac:dyDescent="0.6">
      <c r="A83" s="349"/>
      <c r="B83" s="349"/>
      <c r="C83" s="349"/>
      <c r="D83" s="344"/>
      <c r="E83" s="344"/>
      <c r="F83" s="280" t="s">
        <v>133</v>
      </c>
      <c r="G83" s="281" t="str">
        <f>"У валюті, в якій виконується розрахунок, "&amp;CHOOSE($R$2,$S$2,$S$3,$S$4,$S$5)&amp;"/зміна"</f>
        <v>У валюті, в якій виконується розрахунок, UAH/зміна</v>
      </c>
      <c r="H83" s="344"/>
      <c r="I83" s="281" t="s">
        <v>22</v>
      </c>
      <c r="J83" s="280" t="str">
        <f>"У валюті, в якій виконується розрахунок, "&amp;CHOOSE($R$2,$S$2,$S$3,$S$4,$S$5)&amp;"/міс."</f>
        <v>У валюті, в якій виконується розрахунок, UAH/міс.</v>
      </c>
      <c r="K83" s="281" t="s">
        <v>22</v>
      </c>
      <c r="L83" s="280" t="str">
        <f>"У валюті, в якій виконується розрахунок, "&amp;CHOOSE($R$2,$S$2,$S$3,$S$4,$S$5)&amp;"/міс."</f>
        <v>У валюті, в якій виконується розрахунок, UAH/міс.</v>
      </c>
      <c r="M83" s="349"/>
      <c r="N83" s="349"/>
      <c r="O83" s="32"/>
      <c r="R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</row>
    <row r="84" spans="1:30" s="183" customFormat="1" ht="40" customHeight="1" x14ac:dyDescent="0.55000000000000004">
      <c r="A84" s="407" t="s">
        <v>148</v>
      </c>
      <c r="B84" s="407"/>
      <c r="C84" s="407"/>
      <c r="D84" s="210">
        <v>2</v>
      </c>
      <c r="E84" s="210">
        <v>2</v>
      </c>
      <c r="F84" s="210">
        <v>500</v>
      </c>
      <c r="G84" s="292">
        <f t="shared" ref="G84" si="13">F84/CHOOSE($R$2,1,$G$5,$K$5,$N$5)</f>
        <v>500</v>
      </c>
      <c r="H84" s="210">
        <v>15</v>
      </c>
      <c r="I84" s="271">
        <f>J84*CHOOSE($R$2,1,$G$5,$K$5,$N$5)</f>
        <v>7500</v>
      </c>
      <c r="J84" s="278">
        <f>$G$84*$H$84+$M$84*$F$17/$D$84</f>
        <v>7500</v>
      </c>
      <c r="K84" s="271">
        <f>L84*CHOOSE($R$2,1,$G$5,$K$5,$N$5)</f>
        <v>7500</v>
      </c>
      <c r="L84" s="278">
        <f>$G$84*$H$84+$M$84*$J$17/$D$84</f>
        <v>7500</v>
      </c>
      <c r="M84" s="261"/>
      <c r="N84" s="287" t="s">
        <v>175</v>
      </c>
      <c r="O84" s="32"/>
      <c r="P84" s="24"/>
      <c r="Q84" s="38">
        <f>D84*I84</f>
        <v>15000</v>
      </c>
      <c r="R84" s="38">
        <f>D84*K84</f>
        <v>15000</v>
      </c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</row>
    <row r="85" spans="1:30" s="183" customFormat="1" ht="40" customHeight="1" x14ac:dyDescent="0.55000000000000004">
      <c r="A85" s="408" t="s">
        <v>35</v>
      </c>
      <c r="B85" s="408"/>
      <c r="C85" s="408"/>
      <c r="D85" s="278">
        <f>SUM(D84:D84)</f>
        <v>2</v>
      </c>
      <c r="E85" s="278">
        <f>SUM(E84:E84)</f>
        <v>2</v>
      </c>
      <c r="F85" s="347" t="s">
        <v>120</v>
      </c>
      <c r="G85" s="348"/>
      <c r="H85" s="348"/>
      <c r="I85" s="278">
        <f>Q85</f>
        <v>15000</v>
      </c>
      <c r="J85" s="278">
        <f>I85/CHOOSE($R$2,1,$G$5,$K$5,$N$5)</f>
        <v>15000</v>
      </c>
      <c r="K85" s="278">
        <f>R85</f>
        <v>15000</v>
      </c>
      <c r="L85" s="278">
        <f>K85/CHOOSE($R$2,1,$G$5,$K$5,$N$5)</f>
        <v>15000</v>
      </c>
      <c r="M85" s="278"/>
      <c r="N85" s="287"/>
      <c r="O85" s="32"/>
      <c r="Q85" s="183">
        <f>SUM(Q84:Q84)</f>
        <v>15000</v>
      </c>
      <c r="R85" s="184">
        <f>SUM(R84:R84)</f>
        <v>15000</v>
      </c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</row>
    <row r="86" spans="1:30" ht="25.8" customHeight="1" x14ac:dyDescent="0.7">
      <c r="A86" s="430"/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32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</row>
    <row r="87" spans="1:30" ht="42" customHeight="1" x14ac:dyDescent="0.55000000000000004">
      <c r="A87" s="21" t="s">
        <v>39</v>
      </c>
      <c r="D87" s="39"/>
      <c r="E87" s="39"/>
      <c r="F87" s="39"/>
      <c r="J87" s="460"/>
      <c r="K87" s="460"/>
      <c r="L87" s="460"/>
      <c r="M87" s="460"/>
      <c r="N87" s="460"/>
    </row>
    <row r="88" spans="1:30" ht="42" customHeight="1" thickBot="1" x14ac:dyDescent="0.6">
      <c r="D88" s="433" t="s">
        <v>176</v>
      </c>
      <c r="E88" s="433"/>
      <c r="F88" s="433"/>
      <c r="G88" s="433"/>
      <c r="H88" s="433"/>
      <c r="I88" s="433"/>
      <c r="J88" s="433"/>
      <c r="K88" s="433"/>
      <c r="L88" s="433"/>
      <c r="M88" s="433"/>
      <c r="N88" s="433"/>
    </row>
    <row r="89" spans="1:30" ht="42" customHeight="1" x14ac:dyDescent="0.55000000000000004">
      <c r="D89" s="325" t="str">
        <f>D43</f>
        <v>Міста з населенням до 200 000 чол.</v>
      </c>
      <c r="E89" s="326"/>
      <c r="F89" s="326"/>
      <c r="G89" s="328"/>
      <c r="H89" s="325" t="str">
        <f>H43</f>
        <v>Міста з населенням 200 000 - 1 000 000 чол.</v>
      </c>
      <c r="I89" s="326"/>
      <c r="J89" s="326"/>
      <c r="K89" s="327"/>
      <c r="L89" s="438" t="str">
        <f>L43</f>
        <v>Міста з населенням більше 1 000 000 чол.</v>
      </c>
      <c r="M89" s="326"/>
      <c r="N89" s="327"/>
    </row>
    <row r="90" spans="1:30" ht="58.8" customHeight="1" thickBot="1" x14ac:dyDescent="0.6">
      <c r="A90" s="21"/>
      <c r="D90" s="277" t="s">
        <v>40</v>
      </c>
      <c r="E90" s="329" t="str">
        <f>"У валюті, в якій виконується розрахунок, "&amp;CHOOSE($R$2,$S$2,$S$3,$S$4,$S$5)&amp;"/міс.*"</f>
        <v>У валюті, в якій виконується розрахунок, UAH/міс.*</v>
      </c>
      <c r="F90" s="329"/>
      <c r="G90" s="330"/>
      <c r="H90" s="277" t="str">
        <f>D90</f>
        <v>UAH/міс.* або %</v>
      </c>
      <c r="I90" s="329" t="str">
        <f>E90</f>
        <v>У валюті, в якій виконується розрахунок, UAH/міс.*</v>
      </c>
      <c r="J90" s="329"/>
      <c r="K90" s="417"/>
      <c r="L90" s="224" t="str">
        <f>H90</f>
        <v>UAH/міс.* або %</v>
      </c>
      <c r="M90" s="329" t="str">
        <f>I90</f>
        <v>У валюті, в якій виконується розрахунок, UAH/міс.*</v>
      </c>
      <c r="N90" s="417"/>
      <c r="Q90"/>
    </row>
    <row r="91" spans="1:30" customFormat="1" ht="43" customHeight="1" x14ac:dyDescent="0.55000000000000004">
      <c r="A91" s="221"/>
      <c r="B91" s="434" t="s">
        <v>153</v>
      </c>
      <c r="C91" s="435"/>
      <c r="D91" s="269">
        <v>0</v>
      </c>
      <c r="E91" s="331" t="s">
        <v>48</v>
      </c>
      <c r="F91" s="331"/>
      <c r="G91" s="332"/>
      <c r="H91" s="269">
        <v>0</v>
      </c>
      <c r="I91" s="331" t="s">
        <v>48</v>
      </c>
      <c r="J91" s="331"/>
      <c r="K91" s="335"/>
      <c r="L91" s="269">
        <v>0</v>
      </c>
      <c r="M91" s="331" t="s">
        <v>48</v>
      </c>
      <c r="N91" s="335"/>
      <c r="P91" s="15"/>
      <c r="Q91" s="15"/>
      <c r="R91" s="222">
        <v>2</v>
      </c>
      <c r="S91" s="222" t="s">
        <v>48</v>
      </c>
      <c r="X91" s="15"/>
    </row>
    <row r="92" spans="1:30" customFormat="1" ht="43" customHeight="1" thickBot="1" x14ac:dyDescent="0.6">
      <c r="A92" s="216"/>
      <c r="B92" s="436"/>
      <c r="C92" s="437"/>
      <c r="D92" s="270">
        <v>2000</v>
      </c>
      <c r="E92" s="333">
        <f>D92/CHOOSE($R$2,1,$G$5,$K$5,$N$5)</f>
        <v>2000</v>
      </c>
      <c r="F92" s="333"/>
      <c r="G92" s="334"/>
      <c r="H92" s="270">
        <v>2000</v>
      </c>
      <c r="I92" s="333">
        <f>H92/CHOOSE($R$2,1,$G$5,$K$5,$N$5)</f>
        <v>2000</v>
      </c>
      <c r="J92" s="333"/>
      <c r="K92" s="336"/>
      <c r="L92" s="270">
        <v>2000</v>
      </c>
      <c r="M92" s="333">
        <f>L92/CHOOSE($R$2,1,$G$5,$K$5,$N$5)</f>
        <v>2000</v>
      </c>
      <c r="N92" s="336"/>
      <c r="P92" s="15"/>
      <c r="Q92" s="15"/>
      <c r="R92" s="222">
        <v>2</v>
      </c>
      <c r="S92" s="222" t="s">
        <v>52</v>
      </c>
    </row>
    <row r="93" spans="1:30" customFormat="1" ht="43" customHeight="1" x14ac:dyDescent="0.55000000000000004">
      <c r="A93" s="221"/>
      <c r="B93" s="434" t="s">
        <v>154</v>
      </c>
      <c r="C93" s="435"/>
      <c r="D93" s="269">
        <v>0</v>
      </c>
      <c r="E93" s="331" t="s">
        <v>48</v>
      </c>
      <c r="F93" s="331"/>
      <c r="G93" s="332"/>
      <c r="H93" s="269">
        <v>0</v>
      </c>
      <c r="I93" s="331" t="s">
        <v>48</v>
      </c>
      <c r="J93" s="331"/>
      <c r="K93" s="335"/>
      <c r="L93" s="269">
        <v>0</v>
      </c>
      <c r="M93" s="331" t="s">
        <v>48</v>
      </c>
      <c r="N93" s="335"/>
      <c r="P93" s="15"/>
      <c r="Q93" s="15"/>
      <c r="R93" s="222"/>
      <c r="S93" s="222"/>
      <c r="X93" s="15"/>
    </row>
    <row r="94" spans="1:30" customFormat="1" ht="43" customHeight="1" thickBot="1" x14ac:dyDescent="0.6">
      <c r="A94" s="216"/>
      <c r="B94" s="436"/>
      <c r="C94" s="437"/>
      <c r="D94" s="270">
        <v>2000</v>
      </c>
      <c r="E94" s="333">
        <f>D94/CHOOSE($R$2,1,$G$5,$K$5,$N$5)</f>
        <v>2000</v>
      </c>
      <c r="F94" s="333"/>
      <c r="G94" s="334"/>
      <c r="H94" s="270">
        <v>2000</v>
      </c>
      <c r="I94" s="333">
        <f>H94/CHOOSE($R$2,1,$G$5,$K$5,$N$5)</f>
        <v>2000</v>
      </c>
      <c r="J94" s="333"/>
      <c r="K94" s="336"/>
      <c r="L94" s="270">
        <v>2000</v>
      </c>
      <c r="M94" s="333">
        <f>L94/CHOOSE($R$2,1,$G$5,$K$5,$N$5)</f>
        <v>2000</v>
      </c>
      <c r="N94" s="336"/>
      <c r="P94" s="15"/>
      <c r="Q94" s="15"/>
      <c r="R94" s="222"/>
      <c r="S94" s="222"/>
    </row>
    <row r="95" spans="1:30" customFormat="1" ht="43" customHeight="1" x14ac:dyDescent="0.55000000000000004">
      <c r="A95" s="221"/>
      <c r="B95" s="434" t="s">
        <v>114</v>
      </c>
      <c r="C95" s="435"/>
      <c r="D95" s="269">
        <v>0</v>
      </c>
      <c r="E95" s="331" t="s">
        <v>48</v>
      </c>
      <c r="F95" s="331"/>
      <c r="G95" s="332"/>
      <c r="H95" s="269">
        <v>0</v>
      </c>
      <c r="I95" s="331" t="s">
        <v>48</v>
      </c>
      <c r="J95" s="331"/>
      <c r="K95" s="335"/>
      <c r="L95" s="269">
        <v>0</v>
      </c>
      <c r="M95" s="331" t="s">
        <v>48</v>
      </c>
      <c r="N95" s="335"/>
    </row>
    <row r="96" spans="1:30" customFormat="1" ht="43" customHeight="1" thickBot="1" x14ac:dyDescent="0.6">
      <c r="A96" s="216"/>
      <c r="B96" s="436"/>
      <c r="C96" s="437"/>
      <c r="D96" s="270">
        <v>0</v>
      </c>
      <c r="E96" s="333">
        <f>D96/CHOOSE($R$2,1,$G$5,$K$5,$N$5)</f>
        <v>0</v>
      </c>
      <c r="F96" s="333"/>
      <c r="G96" s="334"/>
      <c r="H96" s="270">
        <v>0</v>
      </c>
      <c r="I96" s="333">
        <f>H96/CHOOSE($R$2,1,$G$5,$K$5,$N$5)</f>
        <v>0</v>
      </c>
      <c r="J96" s="333"/>
      <c r="K96" s="336"/>
      <c r="L96" s="270">
        <v>0</v>
      </c>
      <c r="M96" s="333">
        <f>L96/CHOOSE($R$2,1,$G$5,$K$5,$N$5)</f>
        <v>0</v>
      </c>
      <c r="N96" s="336"/>
    </row>
    <row r="97" spans="1:31" s="22" customFormat="1" ht="43" customHeight="1" x14ac:dyDescent="0.6">
      <c r="A97" s="30"/>
      <c r="B97" s="431" t="s">
        <v>177</v>
      </c>
      <c r="C97" s="432"/>
      <c r="D97" s="276">
        <f>200*65</f>
        <v>13000</v>
      </c>
      <c r="E97" s="319">
        <f>D97/CHOOSE($R$2,1,$G$5,$K$5,$N$5)</f>
        <v>13000</v>
      </c>
      <c r="F97" s="319"/>
      <c r="G97" s="320"/>
      <c r="H97" s="276">
        <f>300*65</f>
        <v>19500</v>
      </c>
      <c r="I97" s="319">
        <f>H97/CHOOSE($R$2,1,$G$5,$K$5,$N$5)</f>
        <v>19500</v>
      </c>
      <c r="J97" s="319"/>
      <c r="K97" s="343"/>
      <c r="L97" s="276">
        <f>400*65</f>
        <v>26000</v>
      </c>
      <c r="M97" s="319">
        <f>L97/CHOOSE($R$2,1,$G$5,$K$5,$N$5)</f>
        <v>26000</v>
      </c>
      <c r="N97" s="343"/>
      <c r="O97" s="32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</row>
    <row r="98" spans="1:31" ht="43" customHeight="1" x14ac:dyDescent="0.55000000000000004">
      <c r="A98" s="30"/>
      <c r="B98" s="452" t="s">
        <v>42</v>
      </c>
      <c r="C98" s="453"/>
      <c r="D98" s="282">
        <v>10000</v>
      </c>
      <c r="E98" s="321">
        <f>D98/CHOOSE($R$2,1,$G$5,$K$5,$N$5)</f>
        <v>10000</v>
      </c>
      <c r="F98" s="321"/>
      <c r="G98" s="322"/>
      <c r="H98" s="294">
        <v>10000</v>
      </c>
      <c r="I98" s="321">
        <f>H98/CHOOSE($R$2,1,$G$5,$K$5,$N$5)</f>
        <v>10000</v>
      </c>
      <c r="J98" s="321"/>
      <c r="K98" s="337"/>
      <c r="L98" s="294">
        <v>10000</v>
      </c>
      <c r="M98" s="321">
        <f>L98/CHOOSE($R$2,1,$G$5,$K$5,$N$5)</f>
        <v>10000</v>
      </c>
      <c r="N98" s="337"/>
      <c r="P98" s="24"/>
    </row>
    <row r="99" spans="1:31" ht="43" customHeight="1" x14ac:dyDescent="0.55000000000000004">
      <c r="A99" s="22"/>
      <c r="B99" s="360" t="s">
        <v>43</v>
      </c>
      <c r="C99" s="361"/>
      <c r="D99" s="282">
        <v>3000</v>
      </c>
      <c r="E99" s="321">
        <f>D99/CHOOSE($R$2,1,$G$5,$K$5,$N$5)</f>
        <v>3000</v>
      </c>
      <c r="F99" s="321"/>
      <c r="G99" s="322"/>
      <c r="H99" s="294">
        <v>3000</v>
      </c>
      <c r="I99" s="321">
        <f>H99/CHOOSE($R$2,1,$G$5,$K$5,$N$5)</f>
        <v>3000</v>
      </c>
      <c r="J99" s="321"/>
      <c r="K99" s="337"/>
      <c r="L99" s="294">
        <v>3000</v>
      </c>
      <c r="M99" s="321">
        <f>L99/CHOOSE($R$2,1,$G$5,$K$5,$N$5)</f>
        <v>3000</v>
      </c>
      <c r="N99" s="337"/>
      <c r="P99" s="24"/>
    </row>
    <row r="100" spans="1:31" ht="43" customHeight="1" x14ac:dyDescent="0.55000000000000004">
      <c r="A100" s="22"/>
      <c r="B100" s="360" t="s">
        <v>121</v>
      </c>
      <c r="C100" s="361"/>
      <c r="D100" s="273">
        <v>0</v>
      </c>
      <c r="E100" s="323" t="s">
        <v>48</v>
      </c>
      <c r="F100" s="323"/>
      <c r="G100" s="324"/>
      <c r="H100" s="273">
        <v>0</v>
      </c>
      <c r="I100" s="323" t="s">
        <v>48</v>
      </c>
      <c r="J100" s="323"/>
      <c r="K100" s="342"/>
      <c r="L100" s="273">
        <v>0</v>
      </c>
      <c r="M100" s="323" t="s">
        <v>48</v>
      </c>
      <c r="N100" s="342"/>
      <c r="P100" s="24"/>
    </row>
    <row r="101" spans="1:31" ht="43" customHeight="1" x14ac:dyDescent="0.55000000000000004">
      <c r="A101" s="22"/>
      <c r="B101" s="361" t="s">
        <v>178</v>
      </c>
      <c r="C101" s="444"/>
      <c r="D101" s="282"/>
      <c r="E101" s="321">
        <f t="shared" ref="E101:E107" si="14">D101/CHOOSE($R$2,1,$G$5,$K$5,$N$5)</f>
        <v>0</v>
      </c>
      <c r="F101" s="321"/>
      <c r="G101" s="322"/>
      <c r="H101" s="294"/>
      <c r="I101" s="321">
        <f t="shared" ref="I101:I107" si="15">H101/CHOOSE($R$2,1,$G$5,$K$5,$N$5)</f>
        <v>0</v>
      </c>
      <c r="J101" s="321"/>
      <c r="K101" s="337"/>
      <c r="L101" s="294"/>
      <c r="M101" s="321">
        <f t="shared" ref="M101:M107" si="16">L101/CHOOSE($R$2,1,$G$5,$K$5,$N$5)</f>
        <v>0</v>
      </c>
      <c r="N101" s="337"/>
      <c r="P101" s="24"/>
    </row>
    <row r="102" spans="1:31" ht="43" customHeight="1" x14ac:dyDescent="0.55000000000000004">
      <c r="A102" s="30"/>
      <c r="B102" s="360" t="s">
        <v>44</v>
      </c>
      <c r="C102" s="361"/>
      <c r="D102" s="282"/>
      <c r="E102" s="321">
        <f t="shared" si="14"/>
        <v>0</v>
      </c>
      <c r="F102" s="321"/>
      <c r="G102" s="322"/>
      <c r="H102" s="294"/>
      <c r="I102" s="321">
        <f t="shared" si="15"/>
        <v>0</v>
      </c>
      <c r="J102" s="321"/>
      <c r="K102" s="337"/>
      <c r="L102" s="294"/>
      <c r="M102" s="321">
        <f t="shared" si="16"/>
        <v>0</v>
      </c>
      <c r="N102" s="337"/>
      <c r="P102" s="24"/>
    </row>
    <row r="103" spans="1:31" ht="43" customHeight="1" x14ac:dyDescent="0.55000000000000004">
      <c r="A103" s="22"/>
      <c r="B103" s="360" t="s">
        <v>45</v>
      </c>
      <c r="C103" s="361"/>
      <c r="D103" s="282"/>
      <c r="E103" s="321">
        <f t="shared" si="14"/>
        <v>0</v>
      </c>
      <c r="F103" s="321"/>
      <c r="G103" s="322"/>
      <c r="H103" s="294"/>
      <c r="I103" s="321">
        <f t="shared" si="15"/>
        <v>0</v>
      </c>
      <c r="J103" s="321"/>
      <c r="K103" s="337"/>
      <c r="L103" s="294"/>
      <c r="M103" s="321">
        <f t="shared" si="16"/>
        <v>0</v>
      </c>
      <c r="N103" s="337"/>
    </row>
    <row r="104" spans="1:31" ht="43" customHeight="1" x14ac:dyDescent="0.6">
      <c r="A104" s="22"/>
      <c r="B104" s="360" t="s">
        <v>46</v>
      </c>
      <c r="C104" s="361"/>
      <c r="D104" s="282">
        <v>400</v>
      </c>
      <c r="E104" s="321">
        <f t="shared" si="14"/>
        <v>400</v>
      </c>
      <c r="F104" s="321"/>
      <c r="G104" s="322"/>
      <c r="H104" s="294">
        <v>400</v>
      </c>
      <c r="I104" s="321">
        <f t="shared" si="15"/>
        <v>400</v>
      </c>
      <c r="J104" s="321"/>
      <c r="K104" s="337"/>
      <c r="L104" s="294">
        <v>400</v>
      </c>
      <c r="M104" s="321">
        <f t="shared" si="16"/>
        <v>400</v>
      </c>
      <c r="N104" s="337"/>
      <c r="O104" s="44"/>
      <c r="P104" s="30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spans="1:31" ht="43" customHeight="1" x14ac:dyDescent="0.55000000000000004">
      <c r="A105" s="22"/>
      <c r="B105" s="442" t="s">
        <v>135</v>
      </c>
      <c r="C105" s="443"/>
      <c r="D105" s="282"/>
      <c r="E105" s="321">
        <f t="shared" si="14"/>
        <v>0</v>
      </c>
      <c r="F105" s="321"/>
      <c r="G105" s="322"/>
      <c r="H105" s="294"/>
      <c r="I105" s="321">
        <f t="shared" si="15"/>
        <v>0</v>
      </c>
      <c r="J105" s="321"/>
      <c r="K105" s="337"/>
      <c r="L105" s="294"/>
      <c r="M105" s="321">
        <f t="shared" si="16"/>
        <v>0</v>
      </c>
      <c r="N105" s="337"/>
    </row>
    <row r="106" spans="1:31" ht="43" customHeight="1" thickBot="1" x14ac:dyDescent="0.6">
      <c r="A106" s="22"/>
      <c r="B106" s="440" t="s">
        <v>34</v>
      </c>
      <c r="C106" s="441"/>
      <c r="D106" s="309"/>
      <c r="E106" s="338">
        <f t="shared" si="14"/>
        <v>0</v>
      </c>
      <c r="F106" s="338"/>
      <c r="G106" s="446"/>
      <c r="H106" s="309"/>
      <c r="I106" s="338">
        <f t="shared" si="15"/>
        <v>0</v>
      </c>
      <c r="J106" s="338"/>
      <c r="K106" s="339"/>
      <c r="L106" s="309"/>
      <c r="M106" s="338">
        <f t="shared" si="16"/>
        <v>0</v>
      </c>
      <c r="N106" s="339"/>
    </row>
    <row r="107" spans="1:31" ht="43" customHeight="1" x14ac:dyDescent="0.6">
      <c r="A107" s="22"/>
      <c r="B107" s="411" t="s">
        <v>180</v>
      </c>
      <c r="C107" s="412"/>
      <c r="D107" s="275"/>
      <c r="E107" s="340">
        <f t="shared" si="14"/>
        <v>0</v>
      </c>
      <c r="F107" s="340"/>
      <c r="G107" s="447"/>
      <c r="H107" s="275"/>
      <c r="I107" s="340">
        <f t="shared" si="15"/>
        <v>0</v>
      </c>
      <c r="J107" s="340"/>
      <c r="K107" s="341"/>
      <c r="L107" s="275"/>
      <c r="M107" s="340">
        <f t="shared" si="16"/>
        <v>0</v>
      </c>
      <c r="N107" s="341"/>
      <c r="O107" s="44"/>
      <c r="P107" s="30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pans="1:31" ht="80.400000000000006" customHeight="1" x14ac:dyDescent="0.55000000000000004">
      <c r="A108" s="22"/>
      <c r="B108" s="413"/>
      <c r="C108" s="414"/>
      <c r="D108" s="240">
        <v>0</v>
      </c>
      <c r="E108" s="323" t="s">
        <v>50</v>
      </c>
      <c r="F108" s="323"/>
      <c r="G108" s="324"/>
      <c r="H108" s="240">
        <v>0</v>
      </c>
      <c r="I108" s="323" t="s">
        <v>50</v>
      </c>
      <c r="J108" s="323"/>
      <c r="K108" s="342"/>
      <c r="L108" s="240">
        <v>0</v>
      </c>
      <c r="M108" s="323" t="s">
        <v>50</v>
      </c>
      <c r="N108" s="342"/>
    </row>
    <row r="109" spans="1:31" ht="42" customHeight="1" thickBot="1" x14ac:dyDescent="0.65">
      <c r="A109" s="22"/>
      <c r="B109" s="415"/>
      <c r="C109" s="416"/>
      <c r="D109" s="272">
        <v>0</v>
      </c>
      <c r="E109" s="409" t="s">
        <v>51</v>
      </c>
      <c r="F109" s="409"/>
      <c r="G109" s="448"/>
      <c r="H109" s="272">
        <v>0</v>
      </c>
      <c r="I109" s="409" t="s">
        <v>51</v>
      </c>
      <c r="J109" s="409"/>
      <c r="K109" s="410"/>
      <c r="L109" s="272">
        <v>0</v>
      </c>
      <c r="M109" s="409" t="s">
        <v>51</v>
      </c>
      <c r="N109" s="410"/>
      <c r="O109" s="44"/>
      <c r="P109" s="30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pans="1:31" ht="43" customHeight="1" x14ac:dyDescent="0.6">
      <c r="A110" s="22"/>
      <c r="B110" s="405" t="s">
        <v>152</v>
      </c>
      <c r="C110" s="267" t="s">
        <v>149</v>
      </c>
      <c r="D110" s="275">
        <v>0</v>
      </c>
      <c r="E110" s="340">
        <f>D110/CHOOSE($R$2,1,$G$5,$K$5,$N$5)</f>
        <v>0</v>
      </c>
      <c r="F110" s="340"/>
      <c r="G110" s="447"/>
      <c r="H110" s="275">
        <v>0</v>
      </c>
      <c r="I110" s="340">
        <f>H110/CHOOSE($R$2,1,$G$5,$K$5,$N$5)</f>
        <v>0</v>
      </c>
      <c r="J110" s="340"/>
      <c r="K110" s="341"/>
      <c r="L110" s="275">
        <v>0</v>
      </c>
      <c r="M110" s="340">
        <f>L110/CHOOSE($R$2,1,$G$5,$K$5,$N$5)</f>
        <v>0</v>
      </c>
      <c r="N110" s="341"/>
      <c r="O110" s="44"/>
      <c r="P110" s="30"/>
      <c r="S110" s="33"/>
    </row>
    <row r="111" spans="1:31" ht="43" customHeight="1" thickBot="1" x14ac:dyDescent="0.6">
      <c r="A111" s="22"/>
      <c r="B111" s="406"/>
      <c r="C111" s="268" t="str">
        <f>E111</f>
        <v>% від фонду оплати праці</v>
      </c>
      <c r="D111" s="272">
        <v>0</v>
      </c>
      <c r="E111" s="409" t="s">
        <v>151</v>
      </c>
      <c r="F111" s="409"/>
      <c r="G111" s="448"/>
      <c r="H111" s="272">
        <v>0</v>
      </c>
      <c r="I111" s="409" t="str">
        <f>E111</f>
        <v>% від фонду оплати праці</v>
      </c>
      <c r="J111" s="409"/>
      <c r="K111" s="410"/>
      <c r="L111" s="272">
        <v>0</v>
      </c>
      <c r="M111" s="409" t="str">
        <f>I111</f>
        <v>% від фонду оплати праці</v>
      </c>
      <c r="N111" s="410"/>
    </row>
    <row r="112" spans="1:31" ht="43" customHeight="1" x14ac:dyDescent="0.6">
      <c r="A112" s="22"/>
      <c r="B112" s="442" t="s">
        <v>47</v>
      </c>
      <c r="C112" s="443"/>
      <c r="D112" s="285">
        <v>0</v>
      </c>
      <c r="E112" s="317" t="s">
        <v>48</v>
      </c>
      <c r="F112" s="317"/>
      <c r="G112" s="318"/>
      <c r="H112" s="285">
        <v>0</v>
      </c>
      <c r="I112" s="317" t="s">
        <v>48</v>
      </c>
      <c r="J112" s="317"/>
      <c r="K112" s="445"/>
      <c r="L112" s="285">
        <v>0</v>
      </c>
      <c r="M112" s="317" t="s">
        <v>48</v>
      </c>
      <c r="N112" s="445"/>
      <c r="O112" s="44"/>
      <c r="P112" s="30"/>
      <c r="S112" s="33"/>
    </row>
    <row r="113" spans="1:19" ht="43" customHeight="1" thickBot="1" x14ac:dyDescent="0.65">
      <c r="A113" s="22"/>
      <c r="B113" s="360" t="s">
        <v>49</v>
      </c>
      <c r="C113" s="361"/>
      <c r="D113" s="270">
        <v>0</v>
      </c>
      <c r="E113" s="333">
        <f>D113/CHOOSE($R$2,1,$G$5,$K$5,$N$5)</f>
        <v>0</v>
      </c>
      <c r="F113" s="333"/>
      <c r="G113" s="334"/>
      <c r="H113" s="270">
        <v>0</v>
      </c>
      <c r="I113" s="333">
        <f>H113/CHOOSE($R$2,1,$G$5,$K$5,$N$5)</f>
        <v>0</v>
      </c>
      <c r="J113" s="333"/>
      <c r="K113" s="336"/>
      <c r="L113" s="270">
        <v>0</v>
      </c>
      <c r="M113" s="333">
        <f>L113/CHOOSE($R$2,1,$G$5,$K$5,$N$5)</f>
        <v>0</v>
      </c>
      <c r="N113" s="336"/>
      <c r="O113" s="44"/>
      <c r="P113" s="30"/>
      <c r="S113" s="33"/>
    </row>
    <row r="114" spans="1:19" ht="45.9" customHeight="1" x14ac:dyDescent="0.55000000000000004">
      <c r="A114" s="439" t="s">
        <v>179</v>
      </c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</row>
  </sheetData>
  <sheetProtection formatCells="0" formatColumns="0" formatRows="0" insertColumns="0" insertRows="0" insertHyperlinks="0" deleteColumns="0" deleteRows="0" sort="0" autoFilter="0" pivotTables="0"/>
  <mergeCells count="350">
    <mergeCell ref="A40:N40"/>
    <mergeCell ref="A37:B37"/>
    <mergeCell ref="M37:N37"/>
    <mergeCell ref="D61:F61"/>
    <mergeCell ref="B62:C62"/>
    <mergeCell ref="D62:F62"/>
    <mergeCell ref="B63:C63"/>
    <mergeCell ref="D63:F63"/>
    <mergeCell ref="J53:K53"/>
    <mergeCell ref="M51:N51"/>
    <mergeCell ref="M52:N52"/>
    <mergeCell ref="M53:N53"/>
    <mergeCell ref="L43:N43"/>
    <mergeCell ref="B58:C58"/>
    <mergeCell ref="B49:C49"/>
    <mergeCell ref="M44:N44"/>
    <mergeCell ref="M45:N45"/>
    <mergeCell ref="M46:N46"/>
    <mergeCell ref="A59:N59"/>
    <mergeCell ref="B61:C61"/>
    <mergeCell ref="J38:L38"/>
    <mergeCell ref="J39:L39"/>
    <mergeCell ref="F44:G44"/>
    <mergeCell ref="F45:G45"/>
    <mergeCell ref="A68:C69"/>
    <mergeCell ref="A71:C71"/>
    <mergeCell ref="M75:M76"/>
    <mergeCell ref="N75:N76"/>
    <mergeCell ref="E5:F5"/>
    <mergeCell ref="A75:C76"/>
    <mergeCell ref="D75:D76"/>
    <mergeCell ref="E75:E76"/>
    <mergeCell ref="F75:G75"/>
    <mergeCell ref="J57:K57"/>
    <mergeCell ref="J58:K58"/>
    <mergeCell ref="J49:K49"/>
    <mergeCell ref="J50:K50"/>
    <mergeCell ref="B45:C45"/>
    <mergeCell ref="B57:C57"/>
    <mergeCell ref="L5:M5"/>
    <mergeCell ref="E13:E14"/>
    <mergeCell ref="A38:B38"/>
    <mergeCell ref="A39:B39"/>
    <mergeCell ref="A36:N36"/>
    <mergeCell ref="M38:N39"/>
    <mergeCell ref="C37:E37"/>
    <mergeCell ref="C38:E38"/>
    <mergeCell ref="C39:E39"/>
    <mergeCell ref="E68:E69"/>
    <mergeCell ref="M68:M69"/>
    <mergeCell ref="N68:N69"/>
    <mergeCell ref="B91:C92"/>
    <mergeCell ref="A72:N72"/>
    <mergeCell ref="A79:N79"/>
    <mergeCell ref="A1:N1"/>
    <mergeCell ref="A64:N64"/>
    <mergeCell ref="B105:C105"/>
    <mergeCell ref="B104:C104"/>
    <mergeCell ref="B99:C99"/>
    <mergeCell ref="A2:N2"/>
    <mergeCell ref="B103:C103"/>
    <mergeCell ref="B98:C98"/>
    <mergeCell ref="B48:C48"/>
    <mergeCell ref="B53:C53"/>
    <mergeCell ref="B51:C51"/>
    <mergeCell ref="A5:D5"/>
    <mergeCell ref="B50:C50"/>
    <mergeCell ref="B47:C47"/>
    <mergeCell ref="I5:J5"/>
    <mergeCell ref="J87:N87"/>
    <mergeCell ref="B52:C52"/>
    <mergeCell ref="D68:D69"/>
    <mergeCell ref="A114:N114"/>
    <mergeCell ref="B106:C106"/>
    <mergeCell ref="B102:C102"/>
    <mergeCell ref="B113:C113"/>
    <mergeCell ref="B112:C112"/>
    <mergeCell ref="B100:C100"/>
    <mergeCell ref="M100:N100"/>
    <mergeCell ref="B101:C101"/>
    <mergeCell ref="M101:N101"/>
    <mergeCell ref="M112:N112"/>
    <mergeCell ref="M113:N113"/>
    <mergeCell ref="I109:K109"/>
    <mergeCell ref="I110:K110"/>
    <mergeCell ref="I111:K111"/>
    <mergeCell ref="I112:K112"/>
    <mergeCell ref="I113:K113"/>
    <mergeCell ref="E113:G113"/>
    <mergeCell ref="E105:G105"/>
    <mergeCell ref="E106:G106"/>
    <mergeCell ref="E107:G107"/>
    <mergeCell ref="E108:G108"/>
    <mergeCell ref="E109:G109"/>
    <mergeCell ref="E110:G110"/>
    <mergeCell ref="E111:G111"/>
    <mergeCell ref="A70:C70"/>
    <mergeCell ref="A86:N86"/>
    <mergeCell ref="A85:C85"/>
    <mergeCell ref="A84:C84"/>
    <mergeCell ref="B97:C97"/>
    <mergeCell ref="D88:N88"/>
    <mergeCell ref="B95:C96"/>
    <mergeCell ref="J31:K31"/>
    <mergeCell ref="J32:K32"/>
    <mergeCell ref="J33:K33"/>
    <mergeCell ref="L89:N89"/>
    <mergeCell ref="M90:N90"/>
    <mergeCell ref="M91:N91"/>
    <mergeCell ref="M92:N92"/>
    <mergeCell ref="J51:K51"/>
    <mergeCell ref="J52:K52"/>
    <mergeCell ref="M47:N47"/>
    <mergeCell ref="M48:N48"/>
    <mergeCell ref="M49:N49"/>
    <mergeCell ref="M50:N50"/>
    <mergeCell ref="J47:K47"/>
    <mergeCell ref="J48:K48"/>
    <mergeCell ref="B93:C94"/>
    <mergeCell ref="M93:N93"/>
    <mergeCell ref="L20:N20"/>
    <mergeCell ref="J20:K21"/>
    <mergeCell ref="I7:K7"/>
    <mergeCell ref="A7:D7"/>
    <mergeCell ref="L7:N7"/>
    <mergeCell ref="A9:D9"/>
    <mergeCell ref="E9:J9"/>
    <mergeCell ref="K9:N9"/>
    <mergeCell ref="A12:B12"/>
    <mergeCell ref="A18:N18"/>
    <mergeCell ref="J25:K25"/>
    <mergeCell ref="J26:K26"/>
    <mergeCell ref="J27:K27"/>
    <mergeCell ref="J28:K28"/>
    <mergeCell ref="J29:K29"/>
    <mergeCell ref="J30:K30"/>
    <mergeCell ref="G23:H23"/>
    <mergeCell ref="G24:H24"/>
    <mergeCell ref="G25:H25"/>
    <mergeCell ref="G26:H26"/>
    <mergeCell ref="G27:H27"/>
    <mergeCell ref="G28:H28"/>
    <mergeCell ref="G29:H29"/>
    <mergeCell ref="G30:H30"/>
    <mergeCell ref="M94:N94"/>
    <mergeCell ref="B110:B111"/>
    <mergeCell ref="A77:C77"/>
    <mergeCell ref="A78:C78"/>
    <mergeCell ref="M104:N104"/>
    <mergeCell ref="M107:N107"/>
    <mergeCell ref="M108:N108"/>
    <mergeCell ref="M109:N109"/>
    <mergeCell ref="M105:N105"/>
    <mergeCell ref="M106:N106"/>
    <mergeCell ref="M111:N111"/>
    <mergeCell ref="M95:N95"/>
    <mergeCell ref="M96:N96"/>
    <mergeCell ref="M97:N97"/>
    <mergeCell ref="M98:N98"/>
    <mergeCell ref="M99:N99"/>
    <mergeCell ref="M102:N102"/>
    <mergeCell ref="M103:N103"/>
    <mergeCell ref="M110:N110"/>
    <mergeCell ref="B107:C109"/>
    <mergeCell ref="M82:M83"/>
    <mergeCell ref="N82:N83"/>
    <mergeCell ref="F85:H85"/>
    <mergeCell ref="I90:K90"/>
    <mergeCell ref="A30:B30"/>
    <mergeCell ref="A31:B31"/>
    <mergeCell ref="K13:L13"/>
    <mergeCell ref="M13:M14"/>
    <mergeCell ref="N13:N14"/>
    <mergeCell ref="G5:H5"/>
    <mergeCell ref="E7:H7"/>
    <mergeCell ref="A22:B22"/>
    <mergeCell ref="G21:H21"/>
    <mergeCell ref="G22:H22"/>
    <mergeCell ref="A15:B15"/>
    <mergeCell ref="A16:B16"/>
    <mergeCell ref="A17:B17"/>
    <mergeCell ref="A13:B14"/>
    <mergeCell ref="I13:I14"/>
    <mergeCell ref="C12:F12"/>
    <mergeCell ref="G12:J12"/>
    <mergeCell ref="C13:D13"/>
    <mergeCell ref="F13:F14"/>
    <mergeCell ref="J13:J14"/>
    <mergeCell ref="G13:H13"/>
    <mergeCell ref="J22:K22"/>
    <mergeCell ref="J23:K23"/>
    <mergeCell ref="J24:K24"/>
    <mergeCell ref="A32:B32"/>
    <mergeCell ref="A33:B33"/>
    <mergeCell ref="A20:B21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20:H20"/>
    <mergeCell ref="A23:B23"/>
    <mergeCell ref="A24:B24"/>
    <mergeCell ref="A25:B25"/>
    <mergeCell ref="A26:B26"/>
    <mergeCell ref="A27:B27"/>
    <mergeCell ref="A28:B28"/>
    <mergeCell ref="A29:B29"/>
    <mergeCell ref="G31:H31"/>
    <mergeCell ref="G32:H32"/>
    <mergeCell ref="G33:H33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A34:B34"/>
    <mergeCell ref="C34:D34"/>
    <mergeCell ref="E34:F34"/>
    <mergeCell ref="G34:H34"/>
    <mergeCell ref="A35:B35"/>
    <mergeCell ref="C35:D35"/>
    <mergeCell ref="E35:F35"/>
    <mergeCell ref="G35:H35"/>
    <mergeCell ref="J37:L37"/>
    <mergeCell ref="F37:I37"/>
    <mergeCell ref="D42:N42"/>
    <mergeCell ref="J44:K44"/>
    <mergeCell ref="J45:K45"/>
    <mergeCell ref="J46:K46"/>
    <mergeCell ref="F38:I38"/>
    <mergeCell ref="F39:I39"/>
    <mergeCell ref="D57:E57"/>
    <mergeCell ref="D58:E58"/>
    <mergeCell ref="D49:E49"/>
    <mergeCell ref="D50:E50"/>
    <mergeCell ref="D51:E51"/>
    <mergeCell ref="D52:E52"/>
    <mergeCell ref="D53:E53"/>
    <mergeCell ref="D56:E56"/>
    <mergeCell ref="F56:G56"/>
    <mergeCell ref="D43:G43"/>
    <mergeCell ref="H43:K43"/>
    <mergeCell ref="A54:N54"/>
    <mergeCell ref="D55:G55"/>
    <mergeCell ref="H55:K55"/>
    <mergeCell ref="F49:G49"/>
    <mergeCell ref="F50:G50"/>
    <mergeCell ref="F51:G51"/>
    <mergeCell ref="F46:G46"/>
    <mergeCell ref="D44:E44"/>
    <mergeCell ref="D45:E45"/>
    <mergeCell ref="D46:E46"/>
    <mergeCell ref="D47:E47"/>
    <mergeCell ref="D48:E48"/>
    <mergeCell ref="B46:C46"/>
    <mergeCell ref="F71:H71"/>
    <mergeCell ref="K68:L68"/>
    <mergeCell ref="I68:J68"/>
    <mergeCell ref="I67:J67"/>
    <mergeCell ref="K67:L67"/>
    <mergeCell ref="J56:K56"/>
    <mergeCell ref="F47:G47"/>
    <mergeCell ref="F48:G48"/>
    <mergeCell ref="F57:G57"/>
    <mergeCell ref="F58:G58"/>
    <mergeCell ref="H44:I44"/>
    <mergeCell ref="H45:I45"/>
    <mergeCell ref="H46:I46"/>
    <mergeCell ref="H47:I47"/>
    <mergeCell ref="H48:I48"/>
    <mergeCell ref="H57:I57"/>
    <mergeCell ref="H58:I58"/>
    <mergeCell ref="H56:I56"/>
    <mergeCell ref="I74:J74"/>
    <mergeCell ref="K74:L74"/>
    <mergeCell ref="H49:I49"/>
    <mergeCell ref="H50:I50"/>
    <mergeCell ref="H51:I51"/>
    <mergeCell ref="H52:I52"/>
    <mergeCell ref="H53:I53"/>
    <mergeCell ref="H68:H69"/>
    <mergeCell ref="F68:G68"/>
    <mergeCell ref="F52:G52"/>
    <mergeCell ref="F53:G53"/>
    <mergeCell ref="H75:H76"/>
    <mergeCell ref="I75:J75"/>
    <mergeCell ref="K75:L75"/>
    <mergeCell ref="F78:H78"/>
    <mergeCell ref="I81:J81"/>
    <mergeCell ref="K81:L81"/>
    <mergeCell ref="A82:C83"/>
    <mergeCell ref="D82:D83"/>
    <mergeCell ref="E82:E83"/>
    <mergeCell ref="F82:G82"/>
    <mergeCell ref="H82:H83"/>
    <mergeCell ref="I82:J82"/>
    <mergeCell ref="K82:L82"/>
    <mergeCell ref="I105:K105"/>
    <mergeCell ref="I106:K106"/>
    <mergeCell ref="I107:K107"/>
    <mergeCell ref="I108:K108"/>
    <mergeCell ref="I96:K96"/>
    <mergeCell ref="I97:K97"/>
    <mergeCell ref="I98:K98"/>
    <mergeCell ref="I99:K99"/>
    <mergeCell ref="I100:K100"/>
    <mergeCell ref="I101:K101"/>
    <mergeCell ref="I102:K102"/>
    <mergeCell ref="I103:K103"/>
    <mergeCell ref="I104:K104"/>
    <mergeCell ref="H89:K89"/>
    <mergeCell ref="D89:G89"/>
    <mergeCell ref="E90:G90"/>
    <mergeCell ref="E91:G91"/>
    <mergeCell ref="E92:G92"/>
    <mergeCell ref="E93:G93"/>
    <mergeCell ref="E94:G94"/>
    <mergeCell ref="E95:G95"/>
    <mergeCell ref="E96:G96"/>
    <mergeCell ref="I91:K91"/>
    <mergeCell ref="I92:K92"/>
    <mergeCell ref="I93:K93"/>
    <mergeCell ref="I94:K94"/>
    <mergeCell ref="I95:K95"/>
    <mergeCell ref="E112:G112"/>
    <mergeCell ref="E97:G97"/>
    <mergeCell ref="E98:G98"/>
    <mergeCell ref="E99:G99"/>
    <mergeCell ref="E100:G100"/>
    <mergeCell ref="E101:G101"/>
    <mergeCell ref="E102:G102"/>
    <mergeCell ref="E103:G103"/>
    <mergeCell ref="E104:G10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8" orientation="portrait" r:id="rId1"/>
  <rowBreaks count="1" manualBreakCount="1">
    <brk id="64" max="1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3</xdr:col>
                    <xdr:colOff>704850</xdr:colOff>
                    <xdr:row>2</xdr:row>
                    <xdr:rowOff>57150</xdr:rowOff>
                  </from>
                  <to>
                    <xdr:col>4</xdr:col>
                    <xdr:colOff>426720</xdr:colOff>
                    <xdr:row>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3</xdr:col>
                    <xdr:colOff>685800</xdr:colOff>
                    <xdr:row>3</xdr:row>
                    <xdr:rowOff>49530</xdr:rowOff>
                  </from>
                  <to>
                    <xdr:col>4</xdr:col>
                    <xdr:colOff>434340</xdr:colOff>
                    <xdr:row>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locked="0" defaultSize="0" autoLine="0" autoPict="0">
                <anchor moveWithCells="1">
                  <from>
                    <xdr:col>1</xdr:col>
                    <xdr:colOff>57150</xdr:colOff>
                    <xdr:row>91</xdr:row>
                    <xdr:rowOff>0</xdr:rowOff>
                  </from>
                  <to>
                    <xdr:col>2</xdr:col>
                    <xdr:colOff>1078230</xdr:colOff>
                    <xdr:row>91</xdr:row>
                    <xdr:rowOff>392430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locked="0" defaultSize="0" autoLine="0" autoPict="0">
                <anchor moveWithCells="1">
                  <from>
                    <xdr:col>1</xdr:col>
                    <xdr:colOff>57150</xdr:colOff>
                    <xdr:row>95</xdr:row>
                    <xdr:rowOff>0</xdr:rowOff>
                  </from>
                  <to>
                    <xdr:col>2</xdr:col>
                    <xdr:colOff>1078230</xdr:colOff>
                    <xdr:row>95</xdr:row>
                    <xdr:rowOff>392430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C74CB-F2D6-4875-A42E-6009CDC89B56}">
  <dimension ref="A1:J58"/>
  <sheetViews>
    <sheetView zoomScale="30" zoomScaleNormal="30" zoomScaleSheetLayoutView="10" workbookViewId="0">
      <pane ySplit="5" topLeftCell="A6" activePane="bottomLeft" state="frozen"/>
      <selection pane="bottomLeft" activeCell="A36" sqref="A36"/>
    </sheetView>
  </sheetViews>
  <sheetFormatPr defaultRowHeight="14.4" outlineLevelRow="1" x14ac:dyDescent="0.55000000000000004"/>
  <cols>
    <col min="1" max="1" width="98.7890625" customWidth="1"/>
    <col min="2" max="2" width="17.20703125" customWidth="1"/>
    <col min="3" max="3" width="20.3125" customWidth="1"/>
    <col min="4" max="4" width="25.05078125" customWidth="1"/>
    <col min="5" max="5" width="51" customWidth="1"/>
    <col min="6" max="6" width="98.7890625" customWidth="1"/>
    <col min="7" max="7" width="17.20703125" customWidth="1"/>
    <col min="8" max="8" width="20.3125" customWidth="1"/>
    <col min="9" max="9" width="25.05078125" customWidth="1"/>
    <col min="10" max="10" width="51" customWidth="1"/>
  </cols>
  <sheetData>
    <row r="1" spans="1:10" ht="15.6" x14ac:dyDescent="0.55000000000000004">
      <c r="A1" s="474" t="s">
        <v>5</v>
      </c>
      <c r="B1" s="474"/>
      <c r="C1" s="474"/>
      <c r="D1" s="474"/>
      <c r="E1" s="474"/>
      <c r="F1" s="474" t="str">
        <f>A1</f>
        <v>Зміни необхідно вносити тільки в комірки, які окрашені в сірий колір</v>
      </c>
      <c r="G1" s="474"/>
      <c r="H1" s="474"/>
      <c r="I1" s="474"/>
      <c r="J1" s="474"/>
    </row>
    <row r="2" spans="1:10" ht="25.8" x14ac:dyDescent="0.55000000000000004">
      <c r="A2" s="475" t="s">
        <v>156</v>
      </c>
      <c r="B2" s="475"/>
      <c r="C2" s="475"/>
      <c r="D2" s="475"/>
      <c r="E2" s="475"/>
      <c r="F2" s="476" t="str">
        <f>A2</f>
        <v>Інвестиції для запуску франчайзингової точки "Галя Балувана"</v>
      </c>
      <c r="G2" s="476"/>
      <c r="H2" s="476"/>
      <c r="I2" s="476"/>
      <c r="J2" s="476"/>
    </row>
    <row r="3" spans="1:10" ht="15.6" thickBot="1" x14ac:dyDescent="0.6">
      <c r="A3" s="477"/>
      <c r="B3" s="477"/>
      <c r="C3" s="477"/>
      <c r="D3" s="477"/>
      <c r="E3" s="477"/>
      <c r="F3" s="477"/>
      <c r="G3" s="477"/>
      <c r="H3" s="477"/>
      <c r="I3" s="477"/>
      <c r="J3" s="477"/>
    </row>
    <row r="4" spans="1:10" ht="23.1" x14ac:dyDescent="0.55000000000000004">
      <c r="A4" s="471" t="str">
        <f>'Вхідні дані'!E9</f>
        <v>Площа торгової точки 65 кв.м.</v>
      </c>
      <c r="B4" s="472"/>
      <c r="C4" s="472"/>
      <c r="D4" s="472"/>
      <c r="E4" s="473"/>
      <c r="F4" s="471" t="str">
        <f>'Вхідні дані'!K9</f>
        <v>Площа торгової точки більше 100 кв.м.</v>
      </c>
      <c r="G4" s="472"/>
      <c r="H4" s="472"/>
      <c r="I4" s="472"/>
      <c r="J4" s="473"/>
    </row>
    <row r="5" spans="1:10" ht="40.799999999999997" x14ac:dyDescent="0.55000000000000004">
      <c r="A5" s="243" t="s">
        <v>124</v>
      </c>
      <c r="B5" s="244" t="s">
        <v>125</v>
      </c>
      <c r="C5" s="244" t="s">
        <v>126</v>
      </c>
      <c r="D5" s="244" t="s">
        <v>127</v>
      </c>
      <c r="E5" s="245" t="str">
        <f>"Загальна вартість у валюті, в якій виконується розрахунок, "&amp;CHOOSE('Вхідні дані'!$R$2,'Вхідні дані'!$S$2,'Вхідні дані'!$S$3,'Вхідні дані'!$S$4,'Вхідні дані'!$S$5)&amp;""</f>
        <v>Загальна вартість у валюті, в якій виконується розрахунок, UAH</v>
      </c>
      <c r="F5" s="243" t="str">
        <f t="shared" ref="F5:J5" si="0">A5</f>
        <v>Назва</v>
      </c>
      <c r="G5" s="244" t="str">
        <f t="shared" si="0"/>
        <v>Кількість,од.</v>
      </c>
      <c r="H5" s="244" t="str">
        <f t="shared" si="0"/>
        <v>Вартість одиниці, UAH</v>
      </c>
      <c r="I5" s="244" t="str">
        <f t="shared" si="0"/>
        <v>Загальна вартість, UAH</v>
      </c>
      <c r="J5" s="245" t="str">
        <f t="shared" si="0"/>
        <v>Загальна вартість у валюті, в якій виконується розрахунок, UAH</v>
      </c>
    </row>
    <row r="6" spans="1:10" ht="25.8" x14ac:dyDescent="0.55000000000000004">
      <c r="A6" s="246" t="s">
        <v>128</v>
      </c>
      <c r="B6" s="247"/>
      <c r="C6" s="247"/>
      <c r="D6" s="242">
        <f>SUM(D7:D33)</f>
        <v>471000</v>
      </c>
      <c r="E6" s="248">
        <f>SUM(E7:E33)</f>
        <v>471000</v>
      </c>
      <c r="F6" s="246" t="str">
        <f>A6</f>
        <v>Меблі та обладнання</v>
      </c>
      <c r="G6" s="247"/>
      <c r="H6" s="247"/>
      <c r="I6" s="242">
        <f>SUM(I7:I33)</f>
        <v>0</v>
      </c>
      <c r="J6" s="248">
        <f>SUM(J7:J33)</f>
        <v>0</v>
      </c>
    </row>
    <row r="7" spans="1:10" ht="20.399999999999999" outlineLevel="1" x14ac:dyDescent="0.55000000000000004">
      <c r="A7" s="249" t="s">
        <v>182</v>
      </c>
      <c r="B7" s="250">
        <v>1</v>
      </c>
      <c r="C7" s="250">
        <f>11000*30</f>
        <v>330000</v>
      </c>
      <c r="D7" s="251">
        <f t="shared" ref="D7:D33" si="1">B7*C7</f>
        <v>330000</v>
      </c>
      <c r="E7" s="252">
        <f>D7/CHOOSE('Вхідні дані'!$R$2,1,'Вхідні дані'!$G$5,'Вхідні дані'!$K$5,'Вхідні дані'!$N$5)</f>
        <v>330000</v>
      </c>
      <c r="F7" s="249"/>
      <c r="G7" s="250"/>
      <c r="H7" s="250"/>
      <c r="I7" s="251">
        <f t="shared" ref="I7:I33" si="2">G7*H7</f>
        <v>0</v>
      </c>
      <c r="J7" s="252">
        <f>I7/CHOOSE('Вхідні дані'!$R$2,1,'Вхідні дані'!$G$5,'Вхідні дані'!$K$5,'Вхідні дані'!$N$5)</f>
        <v>0</v>
      </c>
    </row>
    <row r="8" spans="1:10" ht="20.399999999999999" outlineLevel="1" x14ac:dyDescent="0.55000000000000004">
      <c r="A8" s="249" t="s">
        <v>186</v>
      </c>
      <c r="B8" s="250">
        <v>1</v>
      </c>
      <c r="C8" s="250">
        <f>1200*30</f>
        <v>36000</v>
      </c>
      <c r="D8" s="251">
        <f t="shared" si="1"/>
        <v>36000</v>
      </c>
      <c r="E8" s="252">
        <f>D8/CHOOSE('Вхідні дані'!$R$2,1,'Вхідні дані'!$G$5,'Вхідні дані'!$K$5,'Вхідні дані'!$N$5)</f>
        <v>36000</v>
      </c>
      <c r="F8" s="249"/>
      <c r="G8" s="250"/>
      <c r="H8" s="250"/>
      <c r="I8" s="251">
        <f t="shared" si="2"/>
        <v>0</v>
      </c>
      <c r="J8" s="252">
        <f>I8/CHOOSE('Вхідні дані'!$R$2,1,'Вхідні дані'!$G$5,'Вхідні дані'!$K$5,'Вхідні дані'!$N$5)</f>
        <v>0</v>
      </c>
    </row>
    <row r="9" spans="1:10" ht="20.399999999999999" outlineLevel="1" x14ac:dyDescent="0.55000000000000004">
      <c r="A9" s="249" t="s">
        <v>187</v>
      </c>
      <c r="B9" s="250">
        <v>1</v>
      </c>
      <c r="C9" s="250">
        <f>1000*30</f>
        <v>30000</v>
      </c>
      <c r="D9" s="251">
        <f t="shared" si="1"/>
        <v>30000</v>
      </c>
      <c r="E9" s="252">
        <f>D9/CHOOSE('Вхідні дані'!$R$2,1,'Вхідні дані'!$G$5,'Вхідні дані'!$K$5,'Вхідні дані'!$N$5)</f>
        <v>30000</v>
      </c>
      <c r="F9" s="249"/>
      <c r="G9" s="250"/>
      <c r="H9" s="250"/>
      <c r="I9" s="251">
        <f t="shared" si="2"/>
        <v>0</v>
      </c>
      <c r="J9" s="252">
        <f>I9/CHOOSE('Вхідні дані'!$R$2,1,'Вхідні дані'!$G$5,'Вхідні дані'!$K$5,'Вхідні дані'!$N$5)</f>
        <v>0</v>
      </c>
    </row>
    <row r="10" spans="1:10" ht="20.399999999999999" outlineLevel="1" x14ac:dyDescent="0.55000000000000004">
      <c r="A10" s="249" t="s">
        <v>183</v>
      </c>
      <c r="B10" s="250">
        <v>1</v>
      </c>
      <c r="C10" s="250">
        <f>1000*30</f>
        <v>30000</v>
      </c>
      <c r="D10" s="251">
        <f t="shared" si="1"/>
        <v>30000</v>
      </c>
      <c r="E10" s="252">
        <f>D10/CHOOSE('Вхідні дані'!$R$2,1,'Вхідні дані'!$G$5,'Вхідні дані'!$K$5,'Вхідні дані'!$N$5)</f>
        <v>30000</v>
      </c>
      <c r="F10" s="249"/>
      <c r="G10" s="250"/>
      <c r="H10" s="250"/>
      <c r="I10" s="251">
        <f t="shared" si="2"/>
        <v>0</v>
      </c>
      <c r="J10" s="252">
        <f>I10/CHOOSE('Вхідні дані'!$R$2,1,'Вхідні дані'!$G$5,'Вхідні дані'!$K$5,'Вхідні дані'!$N$5)</f>
        <v>0</v>
      </c>
    </row>
    <row r="11" spans="1:10" ht="20.399999999999999" outlineLevel="1" x14ac:dyDescent="0.55000000000000004">
      <c r="A11" s="249" t="s">
        <v>188</v>
      </c>
      <c r="B11" s="250">
        <v>1</v>
      </c>
      <c r="C11" s="250">
        <f>1500*30</f>
        <v>45000</v>
      </c>
      <c r="D11" s="251">
        <f t="shared" si="1"/>
        <v>45000</v>
      </c>
      <c r="E11" s="252">
        <f>D11/CHOOSE('Вхідні дані'!$R$2,1,'Вхідні дані'!$G$5,'Вхідні дані'!$K$5,'Вхідні дані'!$N$5)</f>
        <v>45000</v>
      </c>
      <c r="F11" s="249"/>
      <c r="G11" s="250"/>
      <c r="H11" s="250"/>
      <c r="I11" s="251">
        <f t="shared" si="2"/>
        <v>0</v>
      </c>
      <c r="J11" s="252">
        <f>I11/CHOOSE('Вхідні дані'!$R$2,1,'Вхідні дані'!$G$5,'Вхідні дані'!$K$5,'Вхідні дані'!$N$5)</f>
        <v>0</v>
      </c>
    </row>
    <row r="12" spans="1:10" ht="20.399999999999999" outlineLevel="1" x14ac:dyDescent="0.55000000000000004">
      <c r="A12" s="249"/>
      <c r="B12" s="250"/>
      <c r="C12" s="250"/>
      <c r="D12" s="251">
        <f t="shared" si="1"/>
        <v>0</v>
      </c>
      <c r="E12" s="252">
        <f>D12/CHOOSE('Вхідні дані'!$R$2,1,'Вхідні дані'!$G$5,'Вхідні дані'!$K$5,'Вхідні дані'!$N$5)</f>
        <v>0</v>
      </c>
      <c r="F12" s="249"/>
      <c r="G12" s="250"/>
      <c r="H12" s="250"/>
      <c r="I12" s="251">
        <f t="shared" si="2"/>
        <v>0</v>
      </c>
      <c r="J12" s="252">
        <f>I12/CHOOSE('Вхідні дані'!$R$2,1,'Вхідні дані'!$G$5,'Вхідні дані'!$K$5,'Вхідні дані'!$N$5)</f>
        <v>0</v>
      </c>
    </row>
    <row r="13" spans="1:10" ht="20.399999999999999" outlineLevel="1" x14ac:dyDescent="0.55000000000000004">
      <c r="A13" s="249"/>
      <c r="B13" s="250"/>
      <c r="C13" s="250"/>
      <c r="D13" s="251">
        <f t="shared" si="1"/>
        <v>0</v>
      </c>
      <c r="E13" s="252">
        <f>D13/CHOOSE('Вхідні дані'!$R$2,1,'Вхідні дані'!$G$5,'Вхідні дані'!$K$5,'Вхідні дані'!$N$5)</f>
        <v>0</v>
      </c>
      <c r="F13" s="249"/>
      <c r="G13" s="250"/>
      <c r="H13" s="250"/>
      <c r="I13" s="251">
        <f t="shared" si="2"/>
        <v>0</v>
      </c>
      <c r="J13" s="252">
        <f>I13/CHOOSE('Вхідні дані'!$R$2,1,'Вхідні дані'!$G$5,'Вхідні дані'!$K$5,'Вхідні дані'!$N$5)</f>
        <v>0</v>
      </c>
    </row>
    <row r="14" spans="1:10" ht="20.399999999999999" outlineLevel="1" x14ac:dyDescent="0.55000000000000004">
      <c r="A14" s="249"/>
      <c r="B14" s="250"/>
      <c r="C14" s="250"/>
      <c r="D14" s="251">
        <f t="shared" si="1"/>
        <v>0</v>
      </c>
      <c r="E14" s="252">
        <f>D14/CHOOSE('Вхідні дані'!$R$2,1,'Вхідні дані'!$G$5,'Вхідні дані'!$K$5,'Вхідні дані'!$N$5)</f>
        <v>0</v>
      </c>
      <c r="F14" s="249"/>
      <c r="G14" s="250"/>
      <c r="H14" s="250"/>
      <c r="I14" s="251">
        <f t="shared" si="2"/>
        <v>0</v>
      </c>
      <c r="J14" s="252">
        <f>I14/CHOOSE('Вхідні дані'!$R$2,1,'Вхідні дані'!$G$5,'Вхідні дані'!$K$5,'Вхідні дані'!$N$5)</f>
        <v>0</v>
      </c>
    </row>
    <row r="15" spans="1:10" ht="20.399999999999999" outlineLevel="1" x14ac:dyDescent="0.55000000000000004">
      <c r="A15" s="249"/>
      <c r="B15" s="250"/>
      <c r="C15" s="250"/>
      <c r="D15" s="251">
        <f t="shared" si="1"/>
        <v>0</v>
      </c>
      <c r="E15" s="252">
        <f>D15/CHOOSE('Вхідні дані'!$R$2,1,'Вхідні дані'!$G$5,'Вхідні дані'!$K$5,'Вхідні дані'!$N$5)</f>
        <v>0</v>
      </c>
      <c r="F15" s="249"/>
      <c r="G15" s="250"/>
      <c r="H15" s="250"/>
      <c r="I15" s="251">
        <f t="shared" si="2"/>
        <v>0</v>
      </c>
      <c r="J15" s="252">
        <f>I15/CHOOSE('Вхідні дані'!$R$2,1,'Вхідні дані'!$G$5,'Вхідні дані'!$K$5,'Вхідні дані'!$N$5)</f>
        <v>0</v>
      </c>
    </row>
    <row r="16" spans="1:10" ht="20.399999999999999" outlineLevel="1" x14ac:dyDescent="0.55000000000000004">
      <c r="A16" s="249"/>
      <c r="B16" s="250"/>
      <c r="C16" s="250"/>
      <c r="D16" s="251">
        <f t="shared" si="1"/>
        <v>0</v>
      </c>
      <c r="E16" s="252">
        <f>D16/CHOOSE('Вхідні дані'!$R$2,1,'Вхідні дані'!$G$5,'Вхідні дані'!$K$5,'Вхідні дані'!$N$5)</f>
        <v>0</v>
      </c>
      <c r="F16" s="249"/>
      <c r="G16" s="250"/>
      <c r="H16" s="250"/>
      <c r="I16" s="251">
        <f t="shared" si="2"/>
        <v>0</v>
      </c>
      <c r="J16" s="252">
        <f>I16/CHOOSE('Вхідні дані'!$R$2,1,'Вхідні дані'!$G$5,'Вхідні дані'!$K$5,'Вхідні дані'!$N$5)</f>
        <v>0</v>
      </c>
    </row>
    <row r="17" spans="1:10" ht="20.399999999999999" outlineLevel="1" x14ac:dyDescent="0.55000000000000004">
      <c r="A17" s="249"/>
      <c r="B17" s="250"/>
      <c r="C17" s="250"/>
      <c r="D17" s="251">
        <f t="shared" si="1"/>
        <v>0</v>
      </c>
      <c r="E17" s="252">
        <f>D17/CHOOSE('Вхідні дані'!$R$2,1,'Вхідні дані'!$G$5,'Вхідні дані'!$K$5,'Вхідні дані'!$N$5)</f>
        <v>0</v>
      </c>
      <c r="F17" s="249"/>
      <c r="G17" s="250"/>
      <c r="H17" s="250"/>
      <c r="I17" s="251">
        <f t="shared" si="2"/>
        <v>0</v>
      </c>
      <c r="J17" s="252">
        <f>I17/CHOOSE('Вхідні дані'!$R$2,1,'Вхідні дані'!$G$5,'Вхідні дані'!$K$5,'Вхідні дані'!$N$5)</f>
        <v>0</v>
      </c>
    </row>
    <row r="18" spans="1:10" ht="20.399999999999999" outlineLevel="1" x14ac:dyDescent="0.55000000000000004">
      <c r="A18" s="249"/>
      <c r="B18" s="250"/>
      <c r="C18" s="250"/>
      <c r="D18" s="251">
        <f t="shared" si="1"/>
        <v>0</v>
      </c>
      <c r="E18" s="252">
        <f>D18/CHOOSE('Вхідні дані'!$R$2,1,'Вхідні дані'!$G$5,'Вхідні дані'!$K$5,'Вхідні дані'!$N$5)</f>
        <v>0</v>
      </c>
      <c r="F18" s="249"/>
      <c r="G18" s="250"/>
      <c r="H18" s="250"/>
      <c r="I18" s="251">
        <f t="shared" si="2"/>
        <v>0</v>
      </c>
      <c r="J18" s="252">
        <f>I18/CHOOSE('Вхідні дані'!$R$2,1,'Вхідні дані'!$G$5,'Вхідні дані'!$K$5,'Вхідні дані'!$N$5)</f>
        <v>0</v>
      </c>
    </row>
    <row r="19" spans="1:10" ht="20.399999999999999" outlineLevel="1" x14ac:dyDescent="0.55000000000000004">
      <c r="A19" s="249"/>
      <c r="B19" s="250"/>
      <c r="C19" s="250"/>
      <c r="D19" s="251">
        <f t="shared" si="1"/>
        <v>0</v>
      </c>
      <c r="E19" s="252">
        <f>D19/CHOOSE('Вхідні дані'!$R$2,1,'Вхідні дані'!$G$5,'Вхідні дані'!$K$5,'Вхідні дані'!$N$5)</f>
        <v>0</v>
      </c>
      <c r="F19" s="249"/>
      <c r="G19" s="250"/>
      <c r="H19" s="250"/>
      <c r="I19" s="251">
        <f t="shared" si="2"/>
        <v>0</v>
      </c>
      <c r="J19" s="252">
        <f>I19/CHOOSE('Вхідні дані'!$R$2,1,'Вхідні дані'!$G$5,'Вхідні дані'!$K$5,'Вхідні дані'!$N$5)</f>
        <v>0</v>
      </c>
    </row>
    <row r="20" spans="1:10" ht="20.399999999999999" outlineLevel="1" x14ac:dyDescent="0.55000000000000004">
      <c r="A20" s="249"/>
      <c r="B20" s="250"/>
      <c r="C20" s="250"/>
      <c r="D20" s="251">
        <f t="shared" si="1"/>
        <v>0</v>
      </c>
      <c r="E20" s="252">
        <f>D20/CHOOSE('Вхідні дані'!$R$2,1,'Вхідні дані'!$G$5,'Вхідні дані'!$K$5,'Вхідні дані'!$N$5)</f>
        <v>0</v>
      </c>
      <c r="F20" s="249"/>
      <c r="G20" s="250"/>
      <c r="H20" s="250"/>
      <c r="I20" s="251">
        <f t="shared" si="2"/>
        <v>0</v>
      </c>
      <c r="J20" s="252">
        <f>I20/CHOOSE('Вхідні дані'!$R$2,1,'Вхідні дані'!$G$5,'Вхідні дані'!$K$5,'Вхідні дані'!$N$5)</f>
        <v>0</v>
      </c>
    </row>
    <row r="21" spans="1:10" ht="20.399999999999999" outlineLevel="1" x14ac:dyDescent="0.55000000000000004">
      <c r="A21" s="249"/>
      <c r="B21" s="250"/>
      <c r="C21" s="250"/>
      <c r="D21" s="251">
        <f t="shared" si="1"/>
        <v>0</v>
      </c>
      <c r="E21" s="252">
        <f>D21/CHOOSE('Вхідні дані'!$R$2,1,'Вхідні дані'!$G$5,'Вхідні дані'!$K$5,'Вхідні дані'!$N$5)</f>
        <v>0</v>
      </c>
      <c r="F21" s="249"/>
      <c r="G21" s="250"/>
      <c r="H21" s="250"/>
      <c r="I21" s="251">
        <f t="shared" si="2"/>
        <v>0</v>
      </c>
      <c r="J21" s="252">
        <f>I21/CHOOSE('Вхідні дані'!$R$2,1,'Вхідні дані'!$G$5,'Вхідні дані'!$K$5,'Вхідні дані'!$N$5)</f>
        <v>0</v>
      </c>
    </row>
    <row r="22" spans="1:10" ht="20.399999999999999" outlineLevel="1" x14ac:dyDescent="0.55000000000000004">
      <c r="A22" s="249"/>
      <c r="B22" s="250"/>
      <c r="C22" s="250"/>
      <c r="D22" s="251">
        <f t="shared" si="1"/>
        <v>0</v>
      </c>
      <c r="E22" s="252">
        <f>D22/CHOOSE('Вхідні дані'!$R$2,1,'Вхідні дані'!$G$5,'Вхідні дані'!$K$5,'Вхідні дані'!$N$5)</f>
        <v>0</v>
      </c>
      <c r="F22" s="249"/>
      <c r="G22" s="250"/>
      <c r="H22" s="250"/>
      <c r="I22" s="251">
        <f t="shared" si="2"/>
        <v>0</v>
      </c>
      <c r="J22" s="252">
        <f>I22/CHOOSE('Вхідні дані'!$R$2,1,'Вхідні дані'!$G$5,'Вхідні дані'!$K$5,'Вхідні дані'!$N$5)</f>
        <v>0</v>
      </c>
    </row>
    <row r="23" spans="1:10" ht="20.399999999999999" outlineLevel="1" x14ac:dyDescent="0.55000000000000004">
      <c r="A23" s="249"/>
      <c r="B23" s="250"/>
      <c r="C23" s="250"/>
      <c r="D23" s="251">
        <f t="shared" si="1"/>
        <v>0</v>
      </c>
      <c r="E23" s="252">
        <f>D23/CHOOSE('Вхідні дані'!$R$2,1,'Вхідні дані'!$G$5,'Вхідні дані'!$K$5,'Вхідні дані'!$N$5)</f>
        <v>0</v>
      </c>
      <c r="F23" s="249"/>
      <c r="G23" s="250"/>
      <c r="H23" s="250"/>
      <c r="I23" s="251">
        <f t="shared" si="2"/>
        <v>0</v>
      </c>
      <c r="J23" s="252">
        <f>I23/CHOOSE('Вхідні дані'!$R$2,1,'Вхідні дані'!$G$5,'Вхідні дані'!$K$5,'Вхідні дані'!$N$5)</f>
        <v>0</v>
      </c>
    </row>
    <row r="24" spans="1:10" ht="20.399999999999999" outlineLevel="1" x14ac:dyDescent="0.55000000000000004">
      <c r="A24" s="249"/>
      <c r="B24" s="250"/>
      <c r="C24" s="250"/>
      <c r="D24" s="251">
        <f t="shared" si="1"/>
        <v>0</v>
      </c>
      <c r="E24" s="252">
        <f>D24/CHOOSE('Вхідні дані'!$R$2,1,'Вхідні дані'!$G$5,'Вхідні дані'!$K$5,'Вхідні дані'!$N$5)</f>
        <v>0</v>
      </c>
      <c r="F24" s="249"/>
      <c r="G24" s="250"/>
      <c r="H24" s="250"/>
      <c r="I24" s="251">
        <f t="shared" si="2"/>
        <v>0</v>
      </c>
      <c r="J24" s="252">
        <f>I24/CHOOSE('Вхідні дані'!$R$2,1,'Вхідні дані'!$G$5,'Вхідні дані'!$K$5,'Вхідні дані'!$N$5)</f>
        <v>0</v>
      </c>
    </row>
    <row r="25" spans="1:10" ht="20.399999999999999" outlineLevel="1" x14ac:dyDescent="0.55000000000000004">
      <c r="A25" s="249"/>
      <c r="B25" s="250"/>
      <c r="C25" s="250"/>
      <c r="D25" s="251">
        <f t="shared" si="1"/>
        <v>0</v>
      </c>
      <c r="E25" s="252">
        <f>D25/CHOOSE('Вхідні дані'!$R$2,1,'Вхідні дані'!$G$5,'Вхідні дані'!$K$5,'Вхідні дані'!$N$5)</f>
        <v>0</v>
      </c>
      <c r="F25" s="249"/>
      <c r="G25" s="250"/>
      <c r="H25" s="250"/>
      <c r="I25" s="251">
        <f t="shared" si="2"/>
        <v>0</v>
      </c>
      <c r="J25" s="252">
        <f>I25/CHOOSE('Вхідні дані'!$R$2,1,'Вхідні дані'!$G$5,'Вхідні дані'!$K$5,'Вхідні дані'!$N$5)</f>
        <v>0</v>
      </c>
    </row>
    <row r="26" spans="1:10" ht="20.399999999999999" outlineLevel="1" x14ac:dyDescent="0.55000000000000004">
      <c r="A26" s="249"/>
      <c r="B26" s="250"/>
      <c r="C26" s="250"/>
      <c r="D26" s="251">
        <f t="shared" si="1"/>
        <v>0</v>
      </c>
      <c r="E26" s="252">
        <f>D26/CHOOSE('Вхідні дані'!$R$2,1,'Вхідні дані'!$G$5,'Вхідні дані'!$K$5,'Вхідні дані'!$N$5)</f>
        <v>0</v>
      </c>
      <c r="F26" s="249"/>
      <c r="G26" s="250"/>
      <c r="H26" s="250"/>
      <c r="I26" s="251">
        <f t="shared" si="2"/>
        <v>0</v>
      </c>
      <c r="J26" s="252">
        <f>I26/CHOOSE('Вхідні дані'!$R$2,1,'Вхідні дані'!$G$5,'Вхідні дані'!$K$5,'Вхідні дані'!$N$5)</f>
        <v>0</v>
      </c>
    </row>
    <row r="27" spans="1:10" ht="20.399999999999999" outlineLevel="1" x14ac:dyDescent="0.55000000000000004">
      <c r="A27" s="249"/>
      <c r="B27" s="250"/>
      <c r="C27" s="250"/>
      <c r="D27" s="251">
        <f t="shared" si="1"/>
        <v>0</v>
      </c>
      <c r="E27" s="252">
        <f>D27/CHOOSE('Вхідні дані'!$R$2,1,'Вхідні дані'!$G$5,'Вхідні дані'!$K$5,'Вхідні дані'!$N$5)</f>
        <v>0</v>
      </c>
      <c r="F27" s="249"/>
      <c r="G27" s="250"/>
      <c r="H27" s="250"/>
      <c r="I27" s="251">
        <f t="shared" si="2"/>
        <v>0</v>
      </c>
      <c r="J27" s="252">
        <f>I27/CHOOSE('Вхідні дані'!$R$2,1,'Вхідні дані'!$G$5,'Вхідні дані'!$K$5,'Вхідні дані'!$N$5)</f>
        <v>0</v>
      </c>
    </row>
    <row r="28" spans="1:10" ht="20.399999999999999" outlineLevel="1" x14ac:dyDescent="0.55000000000000004">
      <c r="A28" s="249"/>
      <c r="B28" s="250"/>
      <c r="C28" s="250"/>
      <c r="D28" s="251">
        <f t="shared" si="1"/>
        <v>0</v>
      </c>
      <c r="E28" s="252">
        <f>D28/CHOOSE('Вхідні дані'!$R$2,1,'Вхідні дані'!$G$5,'Вхідні дані'!$K$5,'Вхідні дані'!$N$5)</f>
        <v>0</v>
      </c>
      <c r="F28" s="249"/>
      <c r="G28" s="250"/>
      <c r="H28" s="250"/>
      <c r="I28" s="251">
        <f t="shared" si="2"/>
        <v>0</v>
      </c>
      <c r="J28" s="252">
        <f>I28/CHOOSE('Вхідні дані'!$R$2,1,'Вхідні дані'!$G$5,'Вхідні дані'!$K$5,'Вхідні дані'!$N$5)</f>
        <v>0</v>
      </c>
    </row>
    <row r="29" spans="1:10" ht="20.399999999999999" outlineLevel="1" x14ac:dyDescent="0.55000000000000004">
      <c r="A29" s="249"/>
      <c r="B29" s="250"/>
      <c r="C29" s="250"/>
      <c r="D29" s="251">
        <f t="shared" si="1"/>
        <v>0</v>
      </c>
      <c r="E29" s="252">
        <f>D29/CHOOSE('Вхідні дані'!$R$2,1,'Вхідні дані'!$G$5,'Вхідні дані'!$K$5,'Вхідні дані'!$N$5)</f>
        <v>0</v>
      </c>
      <c r="F29" s="249"/>
      <c r="G29" s="250"/>
      <c r="H29" s="250"/>
      <c r="I29" s="251">
        <f t="shared" si="2"/>
        <v>0</v>
      </c>
      <c r="J29" s="252">
        <f>I29/CHOOSE('Вхідні дані'!$R$2,1,'Вхідні дані'!$G$5,'Вхідні дані'!$K$5,'Вхідні дані'!$N$5)</f>
        <v>0</v>
      </c>
    </row>
    <row r="30" spans="1:10" ht="20.399999999999999" outlineLevel="1" x14ac:dyDescent="0.55000000000000004">
      <c r="A30" s="249"/>
      <c r="B30" s="250"/>
      <c r="C30" s="250"/>
      <c r="D30" s="251">
        <f t="shared" si="1"/>
        <v>0</v>
      </c>
      <c r="E30" s="252">
        <f>D30/CHOOSE('Вхідні дані'!$R$2,1,'Вхідні дані'!$G$5,'Вхідні дані'!$K$5,'Вхідні дані'!$N$5)</f>
        <v>0</v>
      </c>
      <c r="F30" s="249"/>
      <c r="G30" s="250"/>
      <c r="H30" s="250"/>
      <c r="I30" s="251">
        <f t="shared" si="2"/>
        <v>0</v>
      </c>
      <c r="J30" s="252">
        <f>I30/CHOOSE('Вхідні дані'!$R$2,1,'Вхідні дані'!$G$5,'Вхідні дані'!$K$5,'Вхідні дані'!$N$5)</f>
        <v>0</v>
      </c>
    </row>
    <row r="31" spans="1:10" ht="20.399999999999999" outlineLevel="1" x14ac:dyDescent="0.55000000000000004">
      <c r="A31" s="249"/>
      <c r="B31" s="250"/>
      <c r="C31" s="250"/>
      <c r="D31" s="251">
        <f t="shared" si="1"/>
        <v>0</v>
      </c>
      <c r="E31" s="252">
        <f>D31/CHOOSE('Вхідні дані'!$R$2,1,'Вхідні дані'!$G$5,'Вхідні дані'!$K$5,'Вхідні дані'!$N$5)</f>
        <v>0</v>
      </c>
      <c r="F31" s="249"/>
      <c r="G31" s="250"/>
      <c r="H31" s="250"/>
      <c r="I31" s="251">
        <f t="shared" si="2"/>
        <v>0</v>
      </c>
      <c r="J31" s="252">
        <f>I31/CHOOSE('Вхідні дані'!$R$2,1,'Вхідні дані'!$G$5,'Вхідні дані'!$K$5,'Вхідні дані'!$N$5)</f>
        <v>0</v>
      </c>
    </row>
    <row r="32" spans="1:10" ht="20.399999999999999" outlineLevel="1" x14ac:dyDescent="0.55000000000000004">
      <c r="A32" s="249"/>
      <c r="B32" s="250"/>
      <c r="C32" s="250"/>
      <c r="D32" s="251">
        <f t="shared" si="1"/>
        <v>0</v>
      </c>
      <c r="E32" s="252">
        <f>D32/CHOOSE('Вхідні дані'!$R$2,1,'Вхідні дані'!$G$5,'Вхідні дані'!$K$5,'Вхідні дані'!$N$5)</f>
        <v>0</v>
      </c>
      <c r="F32" s="249"/>
      <c r="G32" s="250"/>
      <c r="H32" s="250"/>
      <c r="I32" s="251">
        <f t="shared" si="2"/>
        <v>0</v>
      </c>
      <c r="J32" s="252">
        <f>I32/CHOOSE('Вхідні дані'!$R$2,1,'Вхідні дані'!$G$5,'Вхідні дані'!$K$5,'Вхідні дані'!$N$5)</f>
        <v>0</v>
      </c>
    </row>
    <row r="33" spans="1:10" ht="20.7" outlineLevel="1" thickBot="1" x14ac:dyDescent="0.6">
      <c r="A33" s="253"/>
      <c r="B33" s="254"/>
      <c r="C33" s="254"/>
      <c r="D33" s="255">
        <f t="shared" si="1"/>
        <v>0</v>
      </c>
      <c r="E33" s="256">
        <f>D33/CHOOSE('Вхідні дані'!$R$2,1,'Вхідні дані'!$G$5,'Вхідні дані'!$K$5,'Вхідні дані'!$N$5)</f>
        <v>0</v>
      </c>
      <c r="F33" s="253"/>
      <c r="G33" s="254"/>
      <c r="H33" s="254"/>
      <c r="I33" s="255">
        <f t="shared" si="2"/>
        <v>0</v>
      </c>
      <c r="J33" s="256">
        <f>I33/CHOOSE('Вхідні дані'!$R$2,1,'Вхідні дані'!$G$5,'Вхідні дані'!$K$5,'Вхідні дані'!$N$5)</f>
        <v>0</v>
      </c>
    </row>
    <row r="34" spans="1:10" ht="25.8" x14ac:dyDescent="0.55000000000000004">
      <c r="A34" s="246" t="s">
        <v>129</v>
      </c>
      <c r="B34" s="247"/>
      <c r="C34" s="247"/>
      <c r="D34" s="242">
        <f>SUM(D35:D58)</f>
        <v>15000</v>
      </c>
      <c r="E34" s="248">
        <f>SUM(E35:E58)</f>
        <v>15000</v>
      </c>
      <c r="F34" s="246" t="str">
        <f>A34</f>
        <v>Комп'ютери, каси та інша техніка</v>
      </c>
      <c r="G34" s="247"/>
      <c r="H34" s="247"/>
      <c r="I34" s="242">
        <f>SUM(I35:I58)</f>
        <v>0</v>
      </c>
      <c r="J34" s="248">
        <f>SUM(J35:J58)</f>
        <v>0</v>
      </c>
    </row>
    <row r="35" spans="1:10" ht="20.399999999999999" outlineLevel="1" x14ac:dyDescent="0.55000000000000004">
      <c r="A35" s="249" t="s">
        <v>184</v>
      </c>
      <c r="B35" s="250">
        <v>1</v>
      </c>
      <c r="C35" s="250">
        <v>15000</v>
      </c>
      <c r="D35" s="251">
        <f t="shared" ref="D35:D58" si="3">B35*C35</f>
        <v>15000</v>
      </c>
      <c r="E35" s="252">
        <f>D35/CHOOSE('Вхідні дані'!$R$2,1,'Вхідні дані'!$G$5,'Вхідні дані'!$K$5,'Вхідні дані'!$N$5)</f>
        <v>15000</v>
      </c>
      <c r="F35" s="249"/>
      <c r="G35" s="250"/>
      <c r="H35" s="250"/>
      <c r="I35" s="251">
        <f t="shared" ref="I35:I58" si="4">G35*H35</f>
        <v>0</v>
      </c>
      <c r="J35" s="252">
        <f>I35/CHOOSE('Вхідні дані'!$R$2,1,'Вхідні дані'!$G$5,'Вхідні дані'!$K$5,'Вхідні дані'!$N$5)</f>
        <v>0</v>
      </c>
    </row>
    <row r="36" spans="1:10" ht="20.399999999999999" outlineLevel="1" x14ac:dyDescent="0.55000000000000004">
      <c r="A36" s="249"/>
      <c r="B36" s="250"/>
      <c r="C36" s="250"/>
      <c r="D36" s="251">
        <f t="shared" si="3"/>
        <v>0</v>
      </c>
      <c r="E36" s="252">
        <f>D36/CHOOSE('Вхідні дані'!$R$2,1,'Вхідні дані'!$G$5,'Вхідні дані'!$K$5,'Вхідні дані'!$N$5)</f>
        <v>0</v>
      </c>
      <c r="F36" s="249"/>
      <c r="G36" s="250"/>
      <c r="H36" s="250"/>
      <c r="I36" s="251">
        <f t="shared" si="4"/>
        <v>0</v>
      </c>
      <c r="J36" s="252">
        <f>I36/CHOOSE('Вхідні дані'!$R$2,1,'Вхідні дані'!$G$5,'Вхідні дані'!$K$5,'Вхідні дані'!$N$5)</f>
        <v>0</v>
      </c>
    </row>
    <row r="37" spans="1:10" ht="20.399999999999999" outlineLevel="1" x14ac:dyDescent="0.55000000000000004">
      <c r="A37" s="249"/>
      <c r="B37" s="250"/>
      <c r="C37" s="250"/>
      <c r="D37" s="251">
        <f t="shared" si="3"/>
        <v>0</v>
      </c>
      <c r="E37" s="252">
        <f>D37/CHOOSE('Вхідні дані'!$R$2,1,'Вхідні дані'!$G$5,'Вхідні дані'!$K$5,'Вхідні дані'!$N$5)</f>
        <v>0</v>
      </c>
      <c r="F37" s="249"/>
      <c r="G37" s="250"/>
      <c r="H37" s="250"/>
      <c r="I37" s="251">
        <f t="shared" si="4"/>
        <v>0</v>
      </c>
      <c r="J37" s="252">
        <f>I37/CHOOSE('Вхідні дані'!$R$2,1,'Вхідні дані'!$G$5,'Вхідні дані'!$K$5,'Вхідні дані'!$N$5)</f>
        <v>0</v>
      </c>
    </row>
    <row r="38" spans="1:10" ht="20.399999999999999" outlineLevel="1" x14ac:dyDescent="0.55000000000000004">
      <c r="A38" s="249"/>
      <c r="B38" s="250"/>
      <c r="C38" s="250"/>
      <c r="D38" s="251">
        <f t="shared" si="3"/>
        <v>0</v>
      </c>
      <c r="E38" s="252">
        <f>D38/CHOOSE('Вхідні дані'!$R$2,1,'Вхідні дані'!$G$5,'Вхідні дані'!$K$5,'Вхідні дані'!$N$5)</f>
        <v>0</v>
      </c>
      <c r="F38" s="249"/>
      <c r="G38" s="250"/>
      <c r="H38" s="250"/>
      <c r="I38" s="251">
        <f t="shared" si="4"/>
        <v>0</v>
      </c>
      <c r="J38" s="252">
        <f>I38/CHOOSE('Вхідні дані'!$R$2,1,'Вхідні дані'!$G$5,'Вхідні дані'!$K$5,'Вхідні дані'!$N$5)</f>
        <v>0</v>
      </c>
    </row>
    <row r="39" spans="1:10" ht="20.399999999999999" outlineLevel="1" x14ac:dyDescent="0.55000000000000004">
      <c r="A39" s="249"/>
      <c r="B39" s="250"/>
      <c r="C39" s="250"/>
      <c r="D39" s="251">
        <f t="shared" si="3"/>
        <v>0</v>
      </c>
      <c r="E39" s="252">
        <f>D39/CHOOSE('Вхідні дані'!$R$2,1,'Вхідні дані'!$G$5,'Вхідні дані'!$K$5,'Вхідні дані'!$N$5)</f>
        <v>0</v>
      </c>
      <c r="F39" s="249"/>
      <c r="G39" s="250"/>
      <c r="H39" s="250"/>
      <c r="I39" s="251">
        <f t="shared" si="4"/>
        <v>0</v>
      </c>
      <c r="J39" s="252">
        <f>I39/CHOOSE('Вхідні дані'!$R$2,1,'Вхідні дані'!$G$5,'Вхідні дані'!$K$5,'Вхідні дані'!$N$5)</f>
        <v>0</v>
      </c>
    </row>
    <row r="40" spans="1:10" ht="20.399999999999999" outlineLevel="1" x14ac:dyDescent="0.55000000000000004">
      <c r="A40" s="249"/>
      <c r="B40" s="250"/>
      <c r="C40" s="250"/>
      <c r="D40" s="251">
        <f t="shared" si="3"/>
        <v>0</v>
      </c>
      <c r="E40" s="252">
        <f>D40/CHOOSE('Вхідні дані'!$R$2,1,'Вхідні дані'!$G$5,'Вхідні дані'!$K$5,'Вхідні дані'!$N$5)</f>
        <v>0</v>
      </c>
      <c r="F40" s="249"/>
      <c r="G40" s="250"/>
      <c r="H40" s="250"/>
      <c r="I40" s="251">
        <f t="shared" si="4"/>
        <v>0</v>
      </c>
      <c r="J40" s="252">
        <f>I40/CHOOSE('Вхідні дані'!$R$2,1,'Вхідні дані'!$G$5,'Вхідні дані'!$K$5,'Вхідні дані'!$N$5)</f>
        <v>0</v>
      </c>
    </row>
    <row r="41" spans="1:10" ht="20.399999999999999" outlineLevel="1" x14ac:dyDescent="0.55000000000000004">
      <c r="A41" s="249"/>
      <c r="B41" s="250"/>
      <c r="C41" s="250"/>
      <c r="D41" s="251">
        <f t="shared" si="3"/>
        <v>0</v>
      </c>
      <c r="E41" s="252">
        <f>D41/CHOOSE('Вхідні дані'!$R$2,1,'Вхідні дані'!$G$5,'Вхідні дані'!$K$5,'Вхідні дані'!$N$5)</f>
        <v>0</v>
      </c>
      <c r="F41" s="249"/>
      <c r="G41" s="250"/>
      <c r="H41" s="250"/>
      <c r="I41" s="251">
        <f t="shared" si="4"/>
        <v>0</v>
      </c>
      <c r="J41" s="252">
        <f>I41/CHOOSE('Вхідні дані'!$R$2,1,'Вхідні дані'!$G$5,'Вхідні дані'!$K$5,'Вхідні дані'!$N$5)</f>
        <v>0</v>
      </c>
    </row>
    <row r="42" spans="1:10" ht="20.399999999999999" outlineLevel="1" x14ac:dyDescent="0.55000000000000004">
      <c r="A42" s="249"/>
      <c r="B42" s="250"/>
      <c r="C42" s="250"/>
      <c r="D42" s="251">
        <f t="shared" si="3"/>
        <v>0</v>
      </c>
      <c r="E42" s="252">
        <f>D42/CHOOSE('Вхідні дані'!$R$2,1,'Вхідні дані'!$G$5,'Вхідні дані'!$K$5,'Вхідні дані'!$N$5)</f>
        <v>0</v>
      </c>
      <c r="F42" s="249"/>
      <c r="G42" s="250"/>
      <c r="H42" s="250"/>
      <c r="I42" s="251">
        <f t="shared" si="4"/>
        <v>0</v>
      </c>
      <c r="J42" s="252">
        <f>I42/CHOOSE('Вхідні дані'!$R$2,1,'Вхідні дані'!$G$5,'Вхідні дані'!$K$5,'Вхідні дані'!$N$5)</f>
        <v>0</v>
      </c>
    </row>
    <row r="43" spans="1:10" ht="20.399999999999999" outlineLevel="1" x14ac:dyDescent="0.55000000000000004">
      <c r="A43" s="249"/>
      <c r="B43" s="250"/>
      <c r="C43" s="250"/>
      <c r="D43" s="251">
        <f t="shared" si="3"/>
        <v>0</v>
      </c>
      <c r="E43" s="252">
        <f>D43/CHOOSE('Вхідні дані'!$R$2,1,'Вхідні дані'!$G$5,'Вхідні дані'!$K$5,'Вхідні дані'!$N$5)</f>
        <v>0</v>
      </c>
      <c r="F43" s="249"/>
      <c r="G43" s="250"/>
      <c r="H43" s="250"/>
      <c r="I43" s="251">
        <f t="shared" si="4"/>
        <v>0</v>
      </c>
      <c r="J43" s="252">
        <f>I43/CHOOSE('Вхідні дані'!$R$2,1,'Вхідні дані'!$G$5,'Вхідні дані'!$K$5,'Вхідні дані'!$N$5)</f>
        <v>0</v>
      </c>
    </row>
    <row r="44" spans="1:10" ht="20.399999999999999" outlineLevel="1" x14ac:dyDescent="0.55000000000000004">
      <c r="A44" s="249"/>
      <c r="B44" s="250"/>
      <c r="C44" s="250"/>
      <c r="D44" s="251">
        <f t="shared" si="3"/>
        <v>0</v>
      </c>
      <c r="E44" s="252">
        <f>D44/CHOOSE('Вхідні дані'!$R$2,1,'Вхідні дані'!$G$5,'Вхідні дані'!$K$5,'Вхідні дані'!$N$5)</f>
        <v>0</v>
      </c>
      <c r="F44" s="249"/>
      <c r="G44" s="250"/>
      <c r="H44" s="250"/>
      <c r="I44" s="251">
        <f t="shared" si="4"/>
        <v>0</v>
      </c>
      <c r="J44" s="252">
        <f>I44/CHOOSE('Вхідні дані'!$R$2,1,'Вхідні дані'!$G$5,'Вхідні дані'!$K$5,'Вхідні дані'!$N$5)</f>
        <v>0</v>
      </c>
    </row>
    <row r="45" spans="1:10" ht="20.399999999999999" outlineLevel="1" x14ac:dyDescent="0.55000000000000004">
      <c r="A45" s="249"/>
      <c r="B45" s="250"/>
      <c r="C45" s="250"/>
      <c r="D45" s="251">
        <f t="shared" si="3"/>
        <v>0</v>
      </c>
      <c r="E45" s="252">
        <f>D45/CHOOSE('Вхідні дані'!$R$2,1,'Вхідні дані'!$G$5,'Вхідні дані'!$K$5,'Вхідні дані'!$N$5)</f>
        <v>0</v>
      </c>
      <c r="F45" s="249"/>
      <c r="G45" s="250"/>
      <c r="H45" s="250"/>
      <c r="I45" s="251">
        <f t="shared" si="4"/>
        <v>0</v>
      </c>
      <c r="J45" s="252">
        <f>I45/CHOOSE('Вхідні дані'!$R$2,1,'Вхідні дані'!$G$5,'Вхідні дані'!$K$5,'Вхідні дані'!$N$5)</f>
        <v>0</v>
      </c>
    </row>
    <row r="46" spans="1:10" ht="20.399999999999999" outlineLevel="1" x14ac:dyDescent="0.55000000000000004">
      <c r="A46" s="249"/>
      <c r="B46" s="250"/>
      <c r="C46" s="250"/>
      <c r="D46" s="251">
        <f t="shared" si="3"/>
        <v>0</v>
      </c>
      <c r="E46" s="252">
        <f>D46/CHOOSE('Вхідні дані'!$R$2,1,'Вхідні дані'!$G$5,'Вхідні дані'!$K$5,'Вхідні дані'!$N$5)</f>
        <v>0</v>
      </c>
      <c r="F46" s="249"/>
      <c r="G46" s="250"/>
      <c r="H46" s="250"/>
      <c r="I46" s="251">
        <f t="shared" si="4"/>
        <v>0</v>
      </c>
      <c r="J46" s="252">
        <f>I46/CHOOSE('Вхідні дані'!$R$2,1,'Вхідні дані'!$G$5,'Вхідні дані'!$K$5,'Вхідні дані'!$N$5)</f>
        <v>0</v>
      </c>
    </row>
    <row r="47" spans="1:10" ht="20.399999999999999" outlineLevel="1" x14ac:dyDescent="0.55000000000000004">
      <c r="A47" s="249"/>
      <c r="B47" s="250"/>
      <c r="C47" s="250"/>
      <c r="D47" s="251">
        <f t="shared" si="3"/>
        <v>0</v>
      </c>
      <c r="E47" s="252">
        <f>D47/CHOOSE('Вхідні дані'!$R$2,1,'Вхідні дані'!$G$5,'Вхідні дані'!$K$5,'Вхідні дані'!$N$5)</f>
        <v>0</v>
      </c>
      <c r="F47" s="249"/>
      <c r="G47" s="250"/>
      <c r="H47" s="250"/>
      <c r="I47" s="251">
        <f t="shared" si="4"/>
        <v>0</v>
      </c>
      <c r="J47" s="252">
        <f>I47/CHOOSE('Вхідні дані'!$R$2,1,'Вхідні дані'!$G$5,'Вхідні дані'!$K$5,'Вхідні дані'!$N$5)</f>
        <v>0</v>
      </c>
    </row>
    <row r="48" spans="1:10" ht="20.399999999999999" outlineLevel="1" x14ac:dyDescent="0.55000000000000004">
      <c r="A48" s="249"/>
      <c r="B48" s="250"/>
      <c r="C48" s="250"/>
      <c r="D48" s="251">
        <f t="shared" si="3"/>
        <v>0</v>
      </c>
      <c r="E48" s="252">
        <f>D48/CHOOSE('Вхідні дані'!$R$2,1,'Вхідні дані'!$G$5,'Вхідні дані'!$K$5,'Вхідні дані'!$N$5)</f>
        <v>0</v>
      </c>
      <c r="F48" s="249"/>
      <c r="G48" s="250"/>
      <c r="H48" s="250"/>
      <c r="I48" s="251">
        <f t="shared" si="4"/>
        <v>0</v>
      </c>
      <c r="J48" s="252">
        <f>I48/CHOOSE('Вхідні дані'!$R$2,1,'Вхідні дані'!$G$5,'Вхідні дані'!$K$5,'Вхідні дані'!$N$5)</f>
        <v>0</v>
      </c>
    </row>
    <row r="49" spans="1:10" ht="20.399999999999999" outlineLevel="1" x14ac:dyDescent="0.55000000000000004">
      <c r="A49" s="249"/>
      <c r="B49" s="250"/>
      <c r="C49" s="250"/>
      <c r="D49" s="251">
        <f t="shared" si="3"/>
        <v>0</v>
      </c>
      <c r="E49" s="252">
        <f>D49/CHOOSE('Вхідні дані'!$R$2,1,'Вхідні дані'!$G$5,'Вхідні дані'!$K$5,'Вхідні дані'!$N$5)</f>
        <v>0</v>
      </c>
      <c r="F49" s="249"/>
      <c r="G49" s="250"/>
      <c r="H49" s="250"/>
      <c r="I49" s="251">
        <f t="shared" si="4"/>
        <v>0</v>
      </c>
      <c r="J49" s="252">
        <f>I49/CHOOSE('Вхідні дані'!$R$2,1,'Вхідні дані'!$G$5,'Вхідні дані'!$K$5,'Вхідні дані'!$N$5)</f>
        <v>0</v>
      </c>
    </row>
    <row r="50" spans="1:10" ht="20.399999999999999" outlineLevel="1" x14ac:dyDescent="0.55000000000000004">
      <c r="A50" s="249"/>
      <c r="B50" s="250"/>
      <c r="C50" s="250"/>
      <c r="D50" s="251">
        <f t="shared" si="3"/>
        <v>0</v>
      </c>
      <c r="E50" s="252">
        <f>D50/CHOOSE('Вхідні дані'!$R$2,1,'Вхідні дані'!$G$5,'Вхідні дані'!$K$5,'Вхідні дані'!$N$5)</f>
        <v>0</v>
      </c>
      <c r="F50" s="249"/>
      <c r="G50" s="250"/>
      <c r="H50" s="250"/>
      <c r="I50" s="251">
        <f t="shared" si="4"/>
        <v>0</v>
      </c>
      <c r="J50" s="252">
        <f>I50/CHOOSE('Вхідні дані'!$R$2,1,'Вхідні дані'!$G$5,'Вхідні дані'!$K$5,'Вхідні дані'!$N$5)</f>
        <v>0</v>
      </c>
    </row>
    <row r="51" spans="1:10" ht="20.399999999999999" outlineLevel="1" x14ac:dyDescent="0.55000000000000004">
      <c r="A51" s="249"/>
      <c r="B51" s="250"/>
      <c r="C51" s="250"/>
      <c r="D51" s="251">
        <f t="shared" si="3"/>
        <v>0</v>
      </c>
      <c r="E51" s="252">
        <f>D51/CHOOSE('Вхідні дані'!$R$2,1,'Вхідні дані'!$G$5,'Вхідні дані'!$K$5,'Вхідні дані'!$N$5)</f>
        <v>0</v>
      </c>
      <c r="F51" s="249"/>
      <c r="G51" s="250"/>
      <c r="H51" s="250"/>
      <c r="I51" s="251">
        <f t="shared" si="4"/>
        <v>0</v>
      </c>
      <c r="J51" s="252">
        <f>I51/CHOOSE('Вхідні дані'!$R$2,1,'Вхідні дані'!$G$5,'Вхідні дані'!$K$5,'Вхідні дані'!$N$5)</f>
        <v>0</v>
      </c>
    </row>
    <row r="52" spans="1:10" ht="20.399999999999999" outlineLevel="1" x14ac:dyDescent="0.55000000000000004">
      <c r="A52" s="249"/>
      <c r="B52" s="250"/>
      <c r="C52" s="250"/>
      <c r="D52" s="251">
        <f t="shared" si="3"/>
        <v>0</v>
      </c>
      <c r="E52" s="252">
        <f>D52/CHOOSE('Вхідні дані'!$R$2,1,'Вхідні дані'!$G$5,'Вхідні дані'!$K$5,'Вхідні дані'!$N$5)</f>
        <v>0</v>
      </c>
      <c r="F52" s="249"/>
      <c r="G52" s="250"/>
      <c r="H52" s="250"/>
      <c r="I52" s="251">
        <f t="shared" si="4"/>
        <v>0</v>
      </c>
      <c r="J52" s="252">
        <f>I52/CHOOSE('Вхідні дані'!$R$2,1,'Вхідні дані'!$G$5,'Вхідні дані'!$K$5,'Вхідні дані'!$N$5)</f>
        <v>0</v>
      </c>
    </row>
    <row r="53" spans="1:10" ht="20.399999999999999" outlineLevel="1" x14ac:dyDescent="0.55000000000000004">
      <c r="A53" s="249"/>
      <c r="B53" s="250"/>
      <c r="C53" s="250"/>
      <c r="D53" s="251">
        <f t="shared" si="3"/>
        <v>0</v>
      </c>
      <c r="E53" s="252">
        <f>D53/CHOOSE('Вхідні дані'!$R$2,1,'Вхідні дані'!$G$5,'Вхідні дані'!$K$5,'Вхідні дані'!$N$5)</f>
        <v>0</v>
      </c>
      <c r="F53" s="249"/>
      <c r="G53" s="250"/>
      <c r="H53" s="250"/>
      <c r="I53" s="251">
        <f t="shared" si="4"/>
        <v>0</v>
      </c>
      <c r="J53" s="252">
        <f>I53/CHOOSE('Вхідні дані'!$R$2,1,'Вхідні дані'!$G$5,'Вхідні дані'!$K$5,'Вхідні дані'!$N$5)</f>
        <v>0</v>
      </c>
    </row>
    <row r="54" spans="1:10" ht="20.399999999999999" outlineLevel="1" x14ac:dyDescent="0.55000000000000004">
      <c r="A54" s="249"/>
      <c r="B54" s="250"/>
      <c r="C54" s="250"/>
      <c r="D54" s="251">
        <f t="shared" si="3"/>
        <v>0</v>
      </c>
      <c r="E54" s="252">
        <f>D54/CHOOSE('Вхідні дані'!$R$2,1,'Вхідні дані'!$G$5,'Вхідні дані'!$K$5,'Вхідні дані'!$N$5)</f>
        <v>0</v>
      </c>
      <c r="F54" s="249"/>
      <c r="G54" s="250"/>
      <c r="H54" s="250"/>
      <c r="I54" s="251">
        <f t="shared" si="4"/>
        <v>0</v>
      </c>
      <c r="J54" s="252">
        <f>I54/CHOOSE('Вхідні дані'!$R$2,1,'Вхідні дані'!$G$5,'Вхідні дані'!$K$5,'Вхідні дані'!$N$5)</f>
        <v>0</v>
      </c>
    </row>
    <row r="55" spans="1:10" ht="20.399999999999999" outlineLevel="1" x14ac:dyDescent="0.55000000000000004">
      <c r="A55" s="249"/>
      <c r="B55" s="250"/>
      <c r="C55" s="250"/>
      <c r="D55" s="251">
        <f t="shared" si="3"/>
        <v>0</v>
      </c>
      <c r="E55" s="252">
        <f>D55/CHOOSE('Вхідні дані'!$R$2,1,'Вхідні дані'!$G$5,'Вхідні дані'!$K$5,'Вхідні дані'!$N$5)</f>
        <v>0</v>
      </c>
      <c r="F55" s="249"/>
      <c r="G55" s="250"/>
      <c r="H55" s="250"/>
      <c r="I55" s="251">
        <f t="shared" si="4"/>
        <v>0</v>
      </c>
      <c r="J55" s="252">
        <f>I55/CHOOSE('Вхідні дані'!$R$2,1,'Вхідні дані'!$G$5,'Вхідні дані'!$K$5,'Вхідні дані'!$N$5)</f>
        <v>0</v>
      </c>
    </row>
    <row r="56" spans="1:10" ht="20.399999999999999" outlineLevel="1" x14ac:dyDescent="0.55000000000000004">
      <c r="A56" s="249"/>
      <c r="B56" s="250"/>
      <c r="C56" s="250"/>
      <c r="D56" s="251">
        <f t="shared" si="3"/>
        <v>0</v>
      </c>
      <c r="E56" s="252">
        <f>D56/CHOOSE('Вхідні дані'!$R$2,1,'Вхідні дані'!$G$5,'Вхідні дані'!$K$5,'Вхідні дані'!$N$5)</f>
        <v>0</v>
      </c>
      <c r="F56" s="249"/>
      <c r="G56" s="250"/>
      <c r="H56" s="250"/>
      <c r="I56" s="251">
        <f t="shared" si="4"/>
        <v>0</v>
      </c>
      <c r="J56" s="252">
        <f>I56/CHOOSE('Вхідні дані'!$R$2,1,'Вхідні дані'!$G$5,'Вхідні дані'!$K$5,'Вхідні дані'!$N$5)</f>
        <v>0</v>
      </c>
    </row>
    <row r="57" spans="1:10" ht="20.399999999999999" outlineLevel="1" x14ac:dyDescent="0.55000000000000004">
      <c r="A57" s="249"/>
      <c r="B57" s="250"/>
      <c r="C57" s="250"/>
      <c r="D57" s="251">
        <f t="shared" si="3"/>
        <v>0</v>
      </c>
      <c r="E57" s="252">
        <f>D57/CHOOSE('Вхідні дані'!$R$2,1,'Вхідні дані'!$G$5,'Вхідні дані'!$K$5,'Вхідні дані'!$N$5)</f>
        <v>0</v>
      </c>
      <c r="F57" s="249"/>
      <c r="G57" s="250"/>
      <c r="H57" s="250"/>
      <c r="I57" s="251">
        <f t="shared" si="4"/>
        <v>0</v>
      </c>
      <c r="J57" s="252">
        <f>I57/CHOOSE('Вхідні дані'!$R$2,1,'Вхідні дані'!$G$5,'Вхідні дані'!$K$5,'Вхідні дані'!$N$5)</f>
        <v>0</v>
      </c>
    </row>
    <row r="58" spans="1:10" ht="20.7" outlineLevel="1" thickBot="1" x14ac:dyDescent="0.6">
      <c r="A58" s="253"/>
      <c r="B58" s="254"/>
      <c r="C58" s="254"/>
      <c r="D58" s="255">
        <f t="shared" si="3"/>
        <v>0</v>
      </c>
      <c r="E58" s="256">
        <f>D58/CHOOSE('Вхідні дані'!$R$2,1,'Вхідні дані'!$G$5,'Вхідні дані'!$K$5,'Вхідні дані'!$N$5)</f>
        <v>0</v>
      </c>
      <c r="F58" s="253"/>
      <c r="G58" s="254"/>
      <c r="H58" s="254"/>
      <c r="I58" s="255">
        <f t="shared" si="4"/>
        <v>0</v>
      </c>
      <c r="J58" s="256">
        <f>I58/CHOOSE('Вхідні дані'!$R$2,1,'Вхідні дані'!$G$5,'Вхідні дані'!$K$5,'Вхідні дані'!$N$5)</f>
        <v>0</v>
      </c>
    </row>
  </sheetData>
  <mergeCells count="8">
    <mergeCell ref="A4:E4"/>
    <mergeCell ref="F4:J4"/>
    <mergeCell ref="A1:E1"/>
    <mergeCell ref="F1:J1"/>
    <mergeCell ref="A2:E2"/>
    <mergeCell ref="F2:J2"/>
    <mergeCell ref="A3:E3"/>
    <mergeCell ref="F3:J3"/>
  </mergeCells>
  <pageMargins left="0.39370078740157483" right="0.39370078740157483" top="0.39370078740157483" bottom="0.39370078740157483" header="0.31496062992125984" footer="0.31496062992125984"/>
  <pageSetup paperSize="9" scale="43" orientation="portrait" r:id="rId1"/>
  <colBreaks count="1" manualBreakCount="1">
    <brk id="5" min="1" max="5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0EF0-B160-43F5-ABE2-7DAF51CC1651}">
  <sheetPr>
    <pageSetUpPr fitToPage="1"/>
  </sheetPr>
  <dimension ref="A1:AA59"/>
  <sheetViews>
    <sheetView showGridLines="0" zoomScale="50" zoomScaleNormal="50" zoomScaleSheetLayoutView="30" workbookViewId="0">
      <selection activeCell="L1" sqref="L1:U1048576"/>
    </sheetView>
  </sheetViews>
  <sheetFormatPr defaultRowHeight="34.200000000000003" customHeight="1" x14ac:dyDescent="0.55000000000000004"/>
  <cols>
    <col min="1" max="1" width="8.41796875" style="15" customWidth="1"/>
    <col min="2" max="2" width="24.41796875" style="15" customWidth="1"/>
    <col min="3" max="3" width="24" style="15" customWidth="1"/>
    <col min="4" max="4" width="23.41796875" style="15" customWidth="1"/>
    <col min="5" max="5" width="25.20703125" style="15" customWidth="1"/>
    <col min="6" max="6" width="28.3671875" style="15" customWidth="1"/>
    <col min="7" max="7" width="23.05078125" style="15" customWidth="1"/>
    <col min="8" max="8" width="21.26171875" style="15" customWidth="1"/>
    <col min="9" max="9" width="20.83984375" style="15" customWidth="1"/>
    <col min="10" max="10" width="33.68359375" style="15" customWidth="1"/>
    <col min="11" max="11" width="11.83984375" style="15" customWidth="1"/>
    <col min="12" max="12" width="10.89453125" style="15" hidden="1" customWidth="1"/>
    <col min="13" max="13" width="9.15625" style="15" hidden="1" customWidth="1"/>
    <col min="14" max="14" width="5" style="15" hidden="1" customWidth="1"/>
    <col min="15" max="15" width="20.47265625" style="15" hidden="1" customWidth="1"/>
    <col min="16" max="16" width="6.20703125" style="15" hidden="1" customWidth="1"/>
    <col min="17" max="17" width="21.1015625" style="15" hidden="1" customWidth="1"/>
    <col min="18" max="18" width="12.47265625" style="15" hidden="1" customWidth="1"/>
    <col min="19" max="19" width="19" style="15" hidden="1" customWidth="1"/>
    <col min="20" max="21" width="8.83984375" style="15" hidden="1" customWidth="1"/>
    <col min="22" max="22" width="8.83984375" style="15" customWidth="1"/>
    <col min="23" max="16384" width="8.83984375" style="15"/>
  </cols>
  <sheetData>
    <row r="1" spans="1:26" ht="59.4" customHeight="1" x14ac:dyDescent="0.55000000000000004">
      <c r="A1" s="451" t="s">
        <v>155</v>
      </c>
      <c r="B1" s="451"/>
      <c r="C1" s="451"/>
      <c r="D1" s="451"/>
      <c r="E1" s="451"/>
      <c r="F1" s="451"/>
      <c r="G1" s="451"/>
      <c r="H1" s="451"/>
      <c r="I1" s="451"/>
      <c r="J1" s="451"/>
      <c r="K1" s="10"/>
      <c r="L1" s="11">
        <f>D50</f>
        <v>670297.91666666674</v>
      </c>
      <c r="M1" s="12">
        <f>I50</f>
        <v>0.45902956114820526</v>
      </c>
      <c r="N1" s="187">
        <v>2</v>
      </c>
      <c r="O1" s="187" t="s">
        <v>48</v>
      </c>
      <c r="P1" s="14">
        <v>3</v>
      </c>
      <c r="Q1" s="14" t="str">
        <f>'Вхідні дані'!E7</f>
        <v>Міста з населенням до 200 000 чол.</v>
      </c>
      <c r="R1" s="14">
        <v>1</v>
      </c>
      <c r="S1" s="14" t="str">
        <f>'Вхідні дані'!E9</f>
        <v>Площа торгової точки 65 кв.м.</v>
      </c>
      <c r="T1" s="13">
        <v>2</v>
      </c>
      <c r="U1" s="187" t="s">
        <v>151</v>
      </c>
    </row>
    <row r="2" spans="1:26" ht="34.200000000000003" customHeight="1" x14ac:dyDescent="0.55000000000000004">
      <c r="A2" s="517" t="s">
        <v>6</v>
      </c>
      <c r="B2" s="517"/>
      <c r="C2" s="517"/>
      <c r="D2" s="16" t="str">
        <f>CHOOSE('Вхідні дані'!$R$2,'Вхідні дані'!$S$2,'Вхідні дані'!$S$3,'Вхідні дані'!$S$4,'Вхідні дані'!$S$5)</f>
        <v>UAH</v>
      </c>
      <c r="F2" s="219"/>
      <c r="G2" s="219"/>
      <c r="H2" s="217" t="s">
        <v>163</v>
      </c>
      <c r="J2" s="17"/>
      <c r="K2" s="17"/>
      <c r="L2" s="11">
        <f>D52</f>
        <v>679572.91666666674</v>
      </c>
      <c r="M2" s="12">
        <f>I52</f>
        <v>0.45762485970819311</v>
      </c>
      <c r="N2" s="187"/>
      <c r="O2" s="187" t="s">
        <v>52</v>
      </c>
      <c r="P2" s="14"/>
      <c r="Q2" s="14" t="str">
        <f>'Вхідні дані'!I7</f>
        <v>Міста з населенням 200 000 - 1 000 000 чол.</v>
      </c>
      <c r="R2" s="14"/>
      <c r="S2" s="14" t="str">
        <f>'Вхідні дані'!K9</f>
        <v>Площа торгової точки більше 100 кв.м.</v>
      </c>
      <c r="T2" s="13"/>
      <c r="U2" s="187" t="s">
        <v>52</v>
      </c>
    </row>
    <row r="3" spans="1:26" ht="34.200000000000003" customHeight="1" x14ac:dyDescent="0.55000000000000004">
      <c r="A3" s="480" t="s">
        <v>7</v>
      </c>
      <c r="B3" s="480"/>
      <c r="C3" s="480"/>
      <c r="D3" s="296" t="str">
        <f>CHOOSE('Вхідні дані'!$T$2,'Вхідні дані'!$U$2,'Вхідні дані'!$U$3,'Вхідні дані'!$U$4,'Вхідні дані'!$U$5,'Вхідні дані'!$U$6,'Вхідні дані'!$U$7,'Вхідні дані'!#REF!,'Вхідні дані'!$U$9,'Вхідні дані'!$U$10,'Вхідні дані'!$U$11,'Вхідні дані'!$U$12,'Вхідні дані'!$U$13)</f>
        <v>січень</v>
      </c>
      <c r="H3" s="217" t="s">
        <v>164</v>
      </c>
      <c r="J3" s="17"/>
      <c r="K3" s="17"/>
      <c r="L3" s="11">
        <f>D54</f>
        <v>676472.91666666674</v>
      </c>
      <c r="M3" s="12">
        <f>I54</f>
        <v>0.45553731762065103</v>
      </c>
      <c r="N3" s="187"/>
      <c r="Q3" s="14" t="str">
        <f>'Вхідні дані'!L7</f>
        <v>Міста з населенням більше 1 000 000 чол.</v>
      </c>
      <c r="R3" s="14"/>
      <c r="S3" s="14"/>
    </row>
    <row r="4" spans="1:26" ht="34.200000000000003" customHeight="1" x14ac:dyDescent="0.55000000000000004">
      <c r="A4" s="480"/>
      <c r="B4" s="480"/>
      <c r="C4" s="480"/>
      <c r="D4" s="295"/>
      <c r="H4" s="20" t="s">
        <v>53</v>
      </c>
      <c r="J4" s="17"/>
      <c r="K4" s="17"/>
      <c r="L4" s="11">
        <f>D56</f>
        <v>1</v>
      </c>
      <c r="M4" s="12"/>
      <c r="N4" s="187"/>
      <c r="Q4" s="14"/>
      <c r="R4" s="14"/>
      <c r="S4" s="14"/>
    </row>
    <row r="5" spans="1:26" ht="34.200000000000003" customHeight="1" x14ac:dyDescent="0.55000000000000004">
      <c r="A5" s="288"/>
      <c r="B5" s="288"/>
      <c r="C5" s="288"/>
      <c r="D5" s="295"/>
      <c r="H5" s="217" t="s">
        <v>150</v>
      </c>
      <c r="J5" s="17"/>
      <c r="K5" s="17"/>
      <c r="L5" s="11"/>
      <c r="M5" s="12"/>
      <c r="N5" s="187"/>
      <c r="Q5" s="14"/>
      <c r="R5" s="14"/>
      <c r="S5" s="14"/>
    </row>
    <row r="6" spans="1:26" ht="34.200000000000003" customHeight="1" x14ac:dyDescent="0.55000000000000004">
      <c r="A6" s="21" t="str">
        <f>'Вхідні дані'!A11</f>
        <v>Фінансові параметри</v>
      </c>
      <c r="L6" s="11">
        <f>D58</f>
        <v>2</v>
      </c>
      <c r="M6" s="23"/>
      <c r="N6" s="13"/>
      <c r="O6" s="13"/>
    </row>
    <row r="7" spans="1:26" s="24" customFormat="1" ht="57" customHeight="1" x14ac:dyDescent="0.55000000000000004">
      <c r="A7" s="511" t="str">
        <f>"Середній чек, "&amp;CHOOSE('Вхідні дані'!$R$2,'Вхідні дані'!$S$2,'Вхідні дані'!$S$3,'Вхідні дані'!$S$4,'Вхідні дані'!$S$5)&amp;""</f>
        <v>Середній чек, UAH</v>
      </c>
      <c r="B7" s="511"/>
      <c r="C7" s="218" t="s">
        <v>170</v>
      </c>
      <c r="D7" s="218" t="s">
        <v>172</v>
      </c>
      <c r="E7" s="513" t="str">
        <f>"Середня виручка в день за 1-й рік роботи*, "&amp;CHOOSE('Вхідні дані'!$R$2,'Вхідні дані'!$S$2,'Вхідні дані'!$S$3,'Вхідні дані'!$S$4,'Вхідні дані'!$S$5)&amp;"/день"</f>
        <v>Середня виручка в день за 1-й рік роботи*, UAH/день</v>
      </c>
      <c r="F7" s="514"/>
      <c r="G7" s="513" t="str">
        <f>"Середньомісячна виручка за 1-й рік роботи*, "&amp;CHOOSE('Вхідні дані'!$R$2,'Вхідні дані'!$S$2,'Вхідні дані'!$S$3,'Вхідні дані'!$S$4,'Вхідні дані'!$S$5)&amp;"/міс."</f>
        <v>Середньомісячна виручка за 1-й рік роботи*, UAH/міс.</v>
      </c>
      <c r="H7" s="514"/>
      <c r="I7" s="511" t="str">
        <f>"Середньомісячний валовий прибуток (виручка - собівартість) за 1-й рік роботи*, "&amp;CHOOSE('Вхідні дані'!$R$2,'Вхідні дані'!$S$2,'Вхідні дані'!$S$3,'Вхідні дані'!$S$4,'Вхідні дані'!$S$5)&amp;"/міс."</f>
        <v>Середньомісячний валовий прибуток (виручка - собівартість) за 1-й рік роботи*, UAH/міс.</v>
      </c>
      <c r="J7" s="511"/>
      <c r="L7" s="11">
        <f>D19</f>
        <v>196000</v>
      </c>
      <c r="N7" s="25"/>
      <c r="O7" s="26"/>
      <c r="P7" s="13"/>
      <c r="Q7" s="27"/>
      <c r="R7" s="27"/>
      <c r="S7" s="27"/>
    </row>
    <row r="8" spans="1:26" s="24" customFormat="1" ht="40" customHeight="1" x14ac:dyDescent="0.55000000000000004">
      <c r="A8" s="512">
        <f>CHOOSE($P$1,'Вхідні дані'!L15,'Вхідні дані'!L16,'Вхідні дані'!L17)</f>
        <v>330</v>
      </c>
      <c r="B8" s="512"/>
      <c r="C8" s="291">
        <f>D8/CHOOSE($P$1,'Вхідні дані'!$M$15,'Вхідні дані'!$M$16,'Вхідні дані'!$M$17)</f>
        <v>147.5</v>
      </c>
      <c r="D8" s="291">
        <f>'Детальний розрахунок'!Q14</f>
        <v>4425</v>
      </c>
      <c r="E8" s="515">
        <f>G8/CHOOSE($P$1,'Вхідні дані'!$M$15,'Вхідні дані'!$M$16,'Вхідні дані'!$M$17)</f>
        <v>48675</v>
      </c>
      <c r="F8" s="516"/>
      <c r="G8" s="515">
        <f>'Детальний розрахунок'!Q18</f>
        <v>1460250</v>
      </c>
      <c r="H8" s="516"/>
      <c r="I8" s="512">
        <f>G8-'Детальний розрахунок'!Q22</f>
        <v>730125</v>
      </c>
      <c r="J8" s="512"/>
      <c r="L8" s="11">
        <f>D21-D19</f>
        <v>621000</v>
      </c>
      <c r="N8" s="25"/>
      <c r="O8" s="26"/>
      <c r="P8" s="13"/>
      <c r="Q8" s="27"/>
      <c r="R8" s="27"/>
      <c r="S8" s="27"/>
    </row>
    <row r="9" spans="1:26" ht="34.200000000000003" customHeight="1" x14ac:dyDescent="0.55000000000000004">
      <c r="A9" s="510" t="s">
        <v>171</v>
      </c>
      <c r="B9" s="510"/>
      <c r="C9" s="510"/>
      <c r="D9" s="510"/>
      <c r="E9" s="510"/>
      <c r="F9" s="510"/>
      <c r="G9" s="510"/>
      <c r="H9" s="510"/>
      <c r="I9" s="510"/>
      <c r="J9" s="510"/>
    </row>
    <row r="10" spans="1:26" ht="34.200000000000003" customHeight="1" x14ac:dyDescent="0.55000000000000004">
      <c r="A10" s="28" t="str">
        <f>'Вхідні дані'!A41</f>
        <v>Інвестиції у відкриття</v>
      </c>
      <c r="G10" s="29"/>
      <c r="H10" s="29"/>
      <c r="I10" s="29"/>
    </row>
    <row r="11" spans="1:26" ht="42" customHeight="1" x14ac:dyDescent="0.6">
      <c r="A11" s="34"/>
      <c r="B11" s="414" t="str">
        <f>'Вхідні дані'!B45:C45</f>
        <v>Авансовий платіж по оренді</v>
      </c>
      <c r="C11" s="489"/>
      <c r="D11" s="321">
        <f>CHOOSE($P$1,'Вхідні дані'!F45,'Вхідні дані'!J45,'Вхідні дані'!M45)</f>
        <v>0</v>
      </c>
      <c r="E11" s="321"/>
      <c r="F11" s="321"/>
      <c r="G11" s="321"/>
      <c r="H11" s="321"/>
      <c r="I11" s="321"/>
      <c r="J11" s="31" t="str">
        <f>""&amp;CHOOSE('Вхідні дані'!$R$2,'Вхідні дані'!$S$2,'Вхідні дані'!$S$3,'Вхідні дані'!$S$4,'Вхідні дані'!$S$5)&amp;""</f>
        <v>UAH</v>
      </c>
      <c r="K11" s="32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42" customHeight="1" x14ac:dyDescent="0.6">
      <c r="A12" s="30"/>
      <c r="B12" s="414" t="str">
        <f>'Вхідні дані'!B46</f>
        <v>Ремонт приміщення та вивіска</v>
      </c>
      <c r="C12" s="489"/>
      <c r="D12" s="321">
        <f>CHOOSE($P$1,'Вхідні дані'!F46,'Вхідні дані'!J46,'Вхідні дані'!M46)</f>
        <v>105000</v>
      </c>
      <c r="E12" s="321"/>
      <c r="F12" s="321"/>
      <c r="G12" s="321"/>
      <c r="H12" s="321"/>
      <c r="I12" s="321"/>
      <c r="J12" s="31" t="str">
        <f>""&amp;CHOOSE('Вхідні дані'!$R$2,'Вхідні дані'!$S$2,'Вхідні дані'!$S$3,'Вхідні дані'!$S$4,'Вхідні дані'!$S$5)&amp;""</f>
        <v>UAH</v>
      </c>
      <c r="K12" s="32"/>
      <c r="N12" s="33"/>
      <c r="P12" s="33" t="s">
        <v>117</v>
      </c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42" customHeight="1" x14ac:dyDescent="0.6">
      <c r="A13" s="34"/>
      <c r="B13" s="414" t="str">
        <f>'Вхідні дані'!B47:C47</f>
        <v>Сигналізація (охоронна та пожежна)</v>
      </c>
      <c r="C13" s="489"/>
      <c r="D13" s="321">
        <f>CHOOSE($P$1,'Вхідні дані'!F47,'Вхідні дані'!J47,'Вхідні дані'!M47)</f>
        <v>0</v>
      </c>
      <c r="E13" s="321"/>
      <c r="F13" s="321"/>
      <c r="G13" s="321"/>
      <c r="H13" s="321"/>
      <c r="I13" s="321"/>
      <c r="J13" s="31" t="str">
        <f>""&amp;CHOOSE('Вхідні дані'!$R$2,'Вхідні дані'!$S$2,'Вхідні дані'!$S$3,'Вхідні дані'!$S$4,'Вхідні дані'!$S$5)&amp;""</f>
        <v>UAH</v>
      </c>
      <c r="K13" s="32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42" customHeight="1" x14ac:dyDescent="0.6">
      <c r="A14" s="34"/>
      <c r="B14" s="414" t="str">
        <f>'Вхідні дані'!B48:C48</f>
        <v>Відеоспостереження</v>
      </c>
      <c r="C14" s="489"/>
      <c r="D14" s="321">
        <f>CHOOSE($P$1,'Вхідні дані'!F48,'Вхідні дані'!J48,'Вхідні дані'!M48)</f>
        <v>0</v>
      </c>
      <c r="E14" s="321"/>
      <c r="F14" s="321"/>
      <c r="G14" s="321"/>
      <c r="H14" s="321"/>
      <c r="I14" s="321"/>
      <c r="J14" s="31" t="str">
        <f>""&amp;CHOOSE('Вхідні дані'!$R$2,'Вхідні дані'!$S$2,'Вхідні дані'!$S$3,'Вхідні дані'!$S$4,'Вхідні дані'!$S$5)&amp;""</f>
        <v>UAH</v>
      </c>
      <c r="K14" s="32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42" customHeight="1" x14ac:dyDescent="0.6">
      <c r="A15" s="30"/>
      <c r="B15" s="414" t="s">
        <v>128</v>
      </c>
      <c r="C15" s="489"/>
      <c r="D15" s="321">
        <f>CHOOSE($R$1,'Вхідні дані'!F57,'Вхідні дані'!J57)</f>
        <v>471000</v>
      </c>
      <c r="E15" s="321"/>
      <c r="F15" s="321"/>
      <c r="G15" s="321"/>
      <c r="H15" s="321"/>
      <c r="I15" s="321"/>
      <c r="J15" s="31" t="str">
        <f>""&amp;CHOOSE('Вхідні дані'!$R$2,'Вхідні дані'!$S$2,'Вхідні дані'!$S$3,'Вхідні дані'!$S$4,'Вхідні дані'!$S$5)&amp;""</f>
        <v>UAH</v>
      </c>
      <c r="K15" s="32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42" customHeight="1" x14ac:dyDescent="0.6">
      <c r="A16" s="30"/>
      <c r="B16" s="414" t="s">
        <v>129</v>
      </c>
      <c r="C16" s="489"/>
      <c r="D16" s="321">
        <f>CHOOSE($R$1,'Вхідні дані'!F58,'Вхідні дані'!J58)</f>
        <v>15000</v>
      </c>
      <c r="E16" s="321"/>
      <c r="F16" s="321"/>
      <c r="G16" s="321"/>
      <c r="H16" s="321"/>
      <c r="I16" s="321"/>
      <c r="J16" s="31" t="str">
        <f>""&amp;CHOOSE('Вхідні дані'!$R$2,'Вхідні дані'!$S$2,'Вхідні дані'!$S$3,'Вхідні дані'!$S$4,'Вхідні дані'!$S$5)&amp;""</f>
        <v>UAH</v>
      </c>
      <c r="K16" s="32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7" ht="42" customHeight="1" x14ac:dyDescent="0.6">
      <c r="A17" s="34"/>
      <c r="B17" s="414" t="str">
        <f>'Вхідні дані'!B49</f>
        <v>Первісний закуп товарів</v>
      </c>
      <c r="C17" s="489"/>
      <c r="D17" s="321">
        <f>CHOOSE($P$1,'Вхідні дані'!F49,'Вхідні дані'!J49,'Вхідні дані'!M49)</f>
        <v>30000</v>
      </c>
      <c r="E17" s="321"/>
      <c r="F17" s="321"/>
      <c r="G17" s="321"/>
      <c r="H17" s="321"/>
      <c r="I17" s="321"/>
      <c r="J17" s="31" t="str">
        <f>""&amp;CHOOSE('Вхідні дані'!$R$2,'Вхідні дані'!$S$2,'Вхідні дані'!$S$3,'Вхідні дані'!$S$4,'Вхідні дані'!$S$5)&amp;""</f>
        <v>UAH</v>
      </c>
      <c r="K17" s="32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7" ht="42" customHeight="1" x14ac:dyDescent="0.6">
      <c r="A18" s="30"/>
      <c r="B18" s="414" t="str">
        <f>'Вхідні дані'!B50:C50</f>
        <v>Рекламна кампанія до відкриття</v>
      </c>
      <c r="C18" s="489"/>
      <c r="D18" s="321">
        <f>CHOOSE($P$1,'Вхідні дані'!F50,'Вхідні дані'!J50,'Вхідні дані'!M50)</f>
        <v>0</v>
      </c>
      <c r="E18" s="321"/>
      <c r="F18" s="321"/>
      <c r="G18" s="321"/>
      <c r="H18" s="321"/>
      <c r="I18" s="321"/>
      <c r="J18" s="31" t="str">
        <f>""&amp;CHOOSE('Вхідні дані'!$R$2,'Вхідні дані'!$S$2,'Вхідні дані'!$S$3,'Вхідні дані'!$S$4,'Вхідні дані'!$S$5)&amp;""</f>
        <v>UAH</v>
      </c>
      <c r="K18" s="32"/>
      <c r="N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7" ht="42" customHeight="1" x14ac:dyDescent="0.6">
      <c r="A19" s="30"/>
      <c r="B19" s="414" t="str">
        <f>'Вхідні дані'!B51:C51</f>
        <v>Паушальний внесок</v>
      </c>
      <c r="C19" s="489"/>
      <c r="D19" s="321">
        <f>CHOOSE($P$1,'Вхідні дані'!F51,'Вхідні дані'!J51,'Вхідні дані'!M51)</f>
        <v>196000</v>
      </c>
      <c r="E19" s="321"/>
      <c r="F19" s="321"/>
      <c r="G19" s="321"/>
      <c r="H19" s="321"/>
      <c r="I19" s="321"/>
      <c r="J19" s="31" t="str">
        <f>""&amp;CHOOSE('Вхідні дані'!$R$2,'Вхідні дані'!$S$2,'Вхідні дані'!$S$3,'Вхідні дані'!$S$4,'Вхідні дані'!$S$5)&amp;""</f>
        <v>UAH</v>
      </c>
      <c r="K19" s="32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7" ht="42" customHeight="1" x14ac:dyDescent="0.6">
      <c r="A20" s="30"/>
      <c r="B20" s="414" t="str">
        <f>'Вхідні дані'!B52:C52</f>
        <v>Інше</v>
      </c>
      <c r="C20" s="489"/>
      <c r="D20" s="321">
        <f>CHOOSE($P$1,'Вхідні дані'!F52,'Вхідні дані'!J52,'Вхідні дані'!M52)</f>
        <v>0</v>
      </c>
      <c r="E20" s="321"/>
      <c r="F20" s="321"/>
      <c r="G20" s="321"/>
      <c r="H20" s="321"/>
      <c r="I20" s="321"/>
      <c r="J20" s="31" t="str">
        <f>""&amp;CHOOSE('Вхідні дані'!$R$2,'Вхідні дані'!$S$2,'Вхідні дані'!$S$3,'Вхідні дані'!$S$4,'Вхідні дані'!$S$5)&amp;""</f>
        <v>UAH</v>
      </c>
      <c r="K20" s="32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7" ht="42" customHeight="1" x14ac:dyDescent="0.6">
      <c r="A21" s="30"/>
      <c r="B21" s="414" t="str">
        <f>'Вхідні дані'!B53:C53</f>
        <v>Разом:</v>
      </c>
      <c r="C21" s="489"/>
      <c r="D21" s="478">
        <f>SUM(D11:I20)</f>
        <v>817000</v>
      </c>
      <c r="E21" s="478"/>
      <c r="F21" s="478"/>
      <c r="G21" s="478"/>
      <c r="H21" s="478"/>
      <c r="I21" s="478"/>
      <c r="J21" s="31" t="str">
        <f>""&amp;CHOOSE('Вхідні дані'!$R$2,'Вхідні дані'!$S$2,'Вхідні дані'!$S$3,'Вхідні дані'!$S$4,'Вхідні дані'!$S$5)&amp;""</f>
        <v>UAH</v>
      </c>
      <c r="K21" s="32"/>
      <c r="L21" s="35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7" ht="34.200000000000003" customHeight="1" x14ac:dyDescent="0.7">
      <c r="A22" s="488"/>
      <c r="B22" s="488"/>
      <c r="C22" s="488"/>
      <c r="D22" s="488"/>
      <c r="E22" s="488"/>
      <c r="F22" s="488"/>
      <c r="G22" s="488"/>
      <c r="H22" s="488"/>
      <c r="I22" s="488"/>
      <c r="J22" s="488"/>
      <c r="K22" s="32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7" ht="34.200000000000003" customHeight="1" x14ac:dyDescent="0.7">
      <c r="A23" s="21" t="s">
        <v>3</v>
      </c>
      <c r="B23" s="36"/>
      <c r="C23" s="36"/>
      <c r="D23" s="36"/>
      <c r="E23" s="36"/>
      <c r="F23" s="36"/>
      <c r="G23" s="36"/>
      <c r="H23" s="36"/>
      <c r="I23" s="36"/>
      <c r="J23" s="36"/>
      <c r="K23" s="3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7" ht="57.3" customHeight="1" x14ac:dyDescent="0.6">
      <c r="A24" s="485" t="str">
        <f>'Вхідні дані'!A68</f>
        <v>Посадові одиниці</v>
      </c>
      <c r="B24" s="485"/>
      <c r="C24" s="485"/>
      <c r="D24" s="37" t="str">
        <f>'Вхідні дані'!D68</f>
        <v>Кількість співробітників, чол.</v>
      </c>
      <c r="E24" s="290" t="str">
        <f>"Фіксований оклад за зміну, "&amp;CHOOSE('Вхідні дані'!$R$2,'Вхідні дані'!$S$2,'Вхідні дані'!$S$3,'Вхідні дані'!$S$4,'Вхідні дані'!$S$5)&amp;"/зміна"</f>
        <v>Фіксований оклад за зміну, UAH/зміна</v>
      </c>
      <c r="F24" s="290" t="str">
        <f>'Вхідні дані'!H68</f>
        <v>Кількість змін у кожного співробітника на місяць, змін/міс.</v>
      </c>
      <c r="G24" s="485" t="str">
        <f>'Вхідні дані'!M68</f>
        <v>Базовий розмір бонусу для всіх співробітників, % від бази нарахування*</v>
      </c>
      <c r="H24" s="485"/>
      <c r="I24" s="483" t="str">
        <f>'Вхідні дані'!N68</f>
        <v xml:space="preserve"> * - База нарахування бонусу</v>
      </c>
      <c r="J24" s="484"/>
      <c r="L24" s="32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s="24" customFormat="1" ht="40" customHeight="1" x14ac:dyDescent="0.55000000000000004">
      <c r="A25" s="498" t="str">
        <f>CHOOSE($P$1,'Вхідні дані'!A71,'Вхідні дані'!A78,'Вхідні дані'!A84)</f>
        <v>Продавець</v>
      </c>
      <c r="B25" s="498"/>
      <c r="C25" s="498"/>
      <c r="D25" s="278">
        <f>CHOOSE($P$1,'Вхідні дані'!D71,'Вхідні дані'!D78,'Вхідні дані'!D84)</f>
        <v>2</v>
      </c>
      <c r="E25" s="278">
        <f>CHOOSE($P$1,'Вхідні дані'!G70,'Вхідні дані'!G77,'Вхідні дані'!G84)</f>
        <v>500</v>
      </c>
      <c r="F25" s="278">
        <f>CHOOSE($P$1,'Вхідні дані'!H70,'Вхідні дані'!H77,'Вхідні дані'!H84)</f>
        <v>15</v>
      </c>
      <c r="G25" s="482">
        <f>CHOOSE($P$1,'Вхідні дані'!M70,'Вхідні дані'!M77,'Вхідні дані'!M84)</f>
        <v>0</v>
      </c>
      <c r="H25" s="482"/>
      <c r="I25" s="481" t="str">
        <f>CHOOSE($P$1,'Вхідні дані'!N70,'Вхідні дані'!N77,'Вхідні дані'!N84)</f>
        <v>загальна виручка</v>
      </c>
      <c r="J25" s="481"/>
      <c r="L25" s="32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 spans="1:27" ht="34.200000000000003" customHeight="1" x14ac:dyDescent="0.7">
      <c r="A26" s="430"/>
      <c r="B26" s="430"/>
      <c r="C26" s="430"/>
      <c r="D26" s="430"/>
      <c r="E26" s="430"/>
      <c r="F26" s="430"/>
      <c r="G26" s="430"/>
      <c r="H26" s="430"/>
      <c r="I26" s="430"/>
      <c r="J26" s="430"/>
      <c r="K26" s="32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7" ht="34.200000000000003" customHeight="1" x14ac:dyDescent="0.55000000000000004">
      <c r="A27" s="21" t="str">
        <f>'Вхідні дані'!A87</f>
        <v>Поточні витрати</v>
      </c>
      <c r="L27" s="24"/>
    </row>
    <row r="28" spans="1:27" ht="40.200000000000003" customHeight="1" x14ac:dyDescent="0.55000000000000004">
      <c r="A28" s="21"/>
      <c r="D28" s="496" t="s">
        <v>67</v>
      </c>
      <c r="E28" s="496"/>
      <c r="G28" s="496" t="s">
        <v>55</v>
      </c>
      <c r="H28" s="496"/>
      <c r="I28" s="496"/>
      <c r="J28" s="39"/>
      <c r="L28" s="24"/>
    </row>
    <row r="29" spans="1:27" ht="42" customHeight="1" x14ac:dyDescent="0.55000000000000004">
      <c r="A29" s="22"/>
      <c r="B29" s="486" t="s">
        <v>54</v>
      </c>
      <c r="C29" s="487"/>
      <c r="D29" s="479">
        <f>G29/'Детальний розрахунок'!$Q$18</f>
        <v>0.5</v>
      </c>
      <c r="E29" s="479"/>
      <c r="G29" s="321">
        <f>'Детальний розрахунок'!Q22</f>
        <v>730125</v>
      </c>
      <c r="H29" s="321"/>
      <c r="I29" s="321"/>
      <c r="J29" s="40" t="str">
        <f>""&amp;CHOOSE('Вхідні дані'!$R$2,'Вхідні дані'!$S$2,'Вхідні дані'!$S$3,'Вхідні дані'!$S$4,'Вхідні дані'!$S$5)&amp;"/міс."</f>
        <v>UAH/міс.</v>
      </c>
    </row>
    <row r="30" spans="1:27" ht="42" customHeight="1" x14ac:dyDescent="0.55000000000000004">
      <c r="A30" s="22"/>
      <c r="B30" s="414" t="s">
        <v>56</v>
      </c>
      <c r="C30" s="489"/>
      <c r="D30" s="479">
        <f>G30/'Детальний розрахунок'!$Q$18</f>
        <v>1.027221366204417E-2</v>
      </c>
      <c r="E30" s="479"/>
      <c r="G30" s="321">
        <f>'Детальний розрахунок'!Q40</f>
        <v>15000</v>
      </c>
      <c r="H30" s="321"/>
      <c r="I30" s="321"/>
      <c r="J30" s="40" t="str">
        <f>""&amp;CHOOSE('Вхідні дані'!$R$2,'Вхідні дані'!$S$2,'Вхідні дані'!$S$3,'Вхідні дані'!$S$4,'Вхідні дані'!$S$5)&amp;"/міс."</f>
        <v>UAH/міс.</v>
      </c>
    </row>
    <row r="31" spans="1:27" ht="42" customHeight="1" x14ac:dyDescent="0.55000000000000004">
      <c r="A31" s="41"/>
      <c r="B31" s="493" t="s">
        <v>41</v>
      </c>
      <c r="C31" s="494"/>
      <c r="D31" s="479">
        <f>G31/'Детальний розрахунок'!$Q$18</f>
        <v>1.369628488272556E-3</v>
      </c>
      <c r="E31" s="479"/>
      <c r="F31" s="42"/>
      <c r="G31" s="321">
        <f>'Детальний розрахунок'!Q41</f>
        <v>2000</v>
      </c>
      <c r="H31" s="321"/>
      <c r="I31" s="321"/>
      <c r="J31" s="40" t="str">
        <f>""&amp;CHOOSE('Вхідні дані'!$R$2,'Вхідні дані'!$S$2,'Вхідні дані'!$S$3,'Вхідні дані'!$S$4,'Вхідні дані'!$S$5)&amp;"/міс."</f>
        <v>UAH/міс.</v>
      </c>
    </row>
    <row r="32" spans="1:27" ht="42" customHeight="1" x14ac:dyDescent="0.55000000000000004">
      <c r="A32" s="41"/>
      <c r="B32" s="493" t="s">
        <v>113</v>
      </c>
      <c r="C32" s="494"/>
      <c r="D32" s="479">
        <f>G32/'Детальний розрахунок'!$Q$18</f>
        <v>0</v>
      </c>
      <c r="E32" s="479"/>
      <c r="F32" s="42"/>
      <c r="G32" s="321">
        <f>'Детальний розрахунок'!Q42</f>
        <v>0</v>
      </c>
      <c r="H32" s="321"/>
      <c r="I32" s="321"/>
      <c r="J32" s="40" t="str">
        <f>""&amp;CHOOSE('Вхідні дані'!$R$2,'Вхідні дані'!$S$2,'Вхідні дані'!$S$3,'Вхідні дані'!$S$4,'Вхідні дані'!$S$5)&amp;"/міс."</f>
        <v>UAH/міс.</v>
      </c>
    </row>
    <row r="33" spans="1:27" ht="42" customHeight="1" x14ac:dyDescent="0.6">
      <c r="A33" s="30"/>
      <c r="B33" s="486" t="str">
        <f>'Вхідні дані'!B97</f>
        <v>Оренда</v>
      </c>
      <c r="C33" s="487"/>
      <c r="D33" s="479">
        <f>G33/'Детальний розрахунок'!$Q$18</f>
        <v>1.7805170347543229E-2</v>
      </c>
      <c r="E33" s="479"/>
      <c r="F33" s="43"/>
      <c r="G33" s="321">
        <f>'Детальний розрахунок'!Q43</f>
        <v>26000</v>
      </c>
      <c r="H33" s="321"/>
      <c r="I33" s="321"/>
      <c r="J33" s="40" t="str">
        <f>""&amp;CHOOSE('Вхідні дані'!$R$2,'Вхідні дані'!$S$2,'Вхідні дані'!$S$3,'Вхідні дані'!$S$4,'Вхідні дані'!$S$5)&amp;"/міс."</f>
        <v>UAH/міс.</v>
      </c>
      <c r="K33" s="44"/>
      <c r="L33" s="30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42" customHeight="1" x14ac:dyDescent="0.6">
      <c r="A34" s="30"/>
      <c r="B34" s="486" t="str">
        <f>'Вхідні дані'!B98</f>
        <v>Комунальні платежі</v>
      </c>
      <c r="C34" s="487"/>
      <c r="D34" s="479">
        <f>G34/'Детальний розрахунок'!$Q$18</f>
        <v>6.8481424413627803E-3</v>
      </c>
      <c r="E34" s="479"/>
      <c r="F34" s="43"/>
      <c r="G34" s="321">
        <f>'Детальний розрахунок'!Q44</f>
        <v>10000</v>
      </c>
      <c r="H34" s="321"/>
      <c r="I34" s="321"/>
      <c r="J34" s="40" t="str">
        <f>""&amp;CHOOSE('Вхідні дані'!$R$2,'Вхідні дані'!$S$2,'Вхідні дані'!$S$3,'Вхідні дані'!$S$4,'Вхідні дані'!$S$5)&amp;"/міс."</f>
        <v>UAH/міс.</v>
      </c>
      <c r="K34" s="44"/>
      <c r="L34" s="30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42" customHeight="1" x14ac:dyDescent="0.55000000000000004">
      <c r="A35" s="22"/>
      <c r="B35" s="486" t="str">
        <f>'Вхідні дані'!B99</f>
        <v>Господарські потреби</v>
      </c>
      <c r="C35" s="487"/>
      <c r="D35" s="479">
        <f>G35/'Детальний розрахунок'!$Q$18</f>
        <v>2.0544427324088342E-3</v>
      </c>
      <c r="E35" s="479"/>
      <c r="G35" s="321">
        <f>'Детальний розрахунок'!Q45</f>
        <v>3000</v>
      </c>
      <c r="H35" s="321"/>
      <c r="I35" s="321"/>
      <c r="J35" s="40" t="str">
        <f>""&amp;CHOOSE('Вхідні дані'!$R$2,'Вхідні дані'!$S$2,'Вхідні дані'!$S$3,'Вхідні дані'!$S$4,'Вхідні дані'!$S$5)&amp;"/міс."</f>
        <v>UAH/міс.</v>
      </c>
    </row>
    <row r="36" spans="1:27" ht="42" customHeight="1" x14ac:dyDescent="0.55000000000000004">
      <c r="A36" s="22"/>
      <c r="B36" s="486" t="str">
        <f>'Вхідні дані'!B100</f>
        <v>Списання</v>
      </c>
      <c r="C36" s="487"/>
      <c r="D36" s="479">
        <f>G36/'Детальний розрахунок'!$Q$18</f>
        <v>0</v>
      </c>
      <c r="E36" s="479"/>
      <c r="G36" s="321">
        <f>'Детальний розрахунок'!Q46</f>
        <v>0</v>
      </c>
      <c r="H36" s="321"/>
      <c r="I36" s="321"/>
      <c r="J36" s="40" t="str">
        <f>""&amp;CHOOSE('Вхідні дані'!$R$2,'Вхідні дані'!$S$2,'Вхідні дані'!$S$3,'Вхідні дані'!$S$4,'Вхідні дані'!$S$5)&amp;"/міс."</f>
        <v>UAH/міс.</v>
      </c>
    </row>
    <row r="37" spans="1:27" ht="42" customHeight="1" x14ac:dyDescent="0.55000000000000004">
      <c r="A37" s="22"/>
      <c r="B37" s="486" t="s">
        <v>136</v>
      </c>
      <c r="C37" s="487"/>
      <c r="D37" s="479">
        <f>G37/'Детальний розрахунок'!$Q$18</f>
        <v>0</v>
      </c>
      <c r="E37" s="479"/>
      <c r="G37" s="321">
        <f>'Детальний розрахунок'!Q47</f>
        <v>0</v>
      </c>
      <c r="H37" s="321"/>
      <c r="I37" s="321"/>
      <c r="J37" s="40" t="str">
        <f>""&amp;CHOOSE('Вхідні дані'!$R$2,'Вхідні дані'!$S$2,'Вхідні дані'!$S$3,'Вхідні дані'!$S$4,'Вхідні дані'!$S$5)&amp;"/міс."</f>
        <v>UAH/міс.</v>
      </c>
    </row>
    <row r="38" spans="1:27" ht="42" customHeight="1" x14ac:dyDescent="0.55000000000000004">
      <c r="A38" s="22"/>
      <c r="B38" s="486" t="s">
        <v>57</v>
      </c>
      <c r="C38" s="487"/>
      <c r="D38" s="479">
        <f>G38/'Детальний розрахунок'!$Q$18</f>
        <v>0</v>
      </c>
      <c r="E38" s="479"/>
      <c r="G38" s="321">
        <f>'Детальний розрахунок'!Q48</f>
        <v>0</v>
      </c>
      <c r="H38" s="321"/>
      <c r="I38" s="321"/>
      <c r="J38" s="40" t="str">
        <f>""&amp;CHOOSE('Вхідні дані'!$R$2,'Вхідні дані'!$S$2,'Вхідні дані'!$S$3,'Вхідні дані'!$S$4,'Вхідні дані'!$S$5)&amp;"/міс."</f>
        <v>UAH/міс.</v>
      </c>
    </row>
    <row r="39" spans="1:27" ht="42" customHeight="1" x14ac:dyDescent="0.55000000000000004">
      <c r="A39" s="22"/>
      <c r="B39" s="486" t="str">
        <f>'Вхідні дані'!B103</f>
        <v>Охорона</v>
      </c>
      <c r="C39" s="487"/>
      <c r="D39" s="479">
        <f>G39/'Детальний розрахунок'!$Q$18</f>
        <v>0</v>
      </c>
      <c r="E39" s="479"/>
      <c r="G39" s="321">
        <f>'Детальний розрахунок'!Q49</f>
        <v>0</v>
      </c>
      <c r="H39" s="321"/>
      <c r="I39" s="321"/>
      <c r="J39" s="40" t="str">
        <f>""&amp;CHOOSE('Вхідні дані'!$R$2,'Вхідні дані'!$S$2,'Вхідні дані'!$S$3,'Вхідні дані'!$S$4,'Вхідні дані'!$S$5)&amp;"/міс."</f>
        <v>UAH/міс.</v>
      </c>
    </row>
    <row r="40" spans="1:27" ht="42" customHeight="1" x14ac:dyDescent="0.55000000000000004">
      <c r="A40" s="22"/>
      <c r="B40" s="486" t="str">
        <f>'Вхідні дані'!B104</f>
        <v>Послуги зв'язку та інтернет</v>
      </c>
      <c r="C40" s="487"/>
      <c r="D40" s="479">
        <f>G40/'Детальний розрахунок'!$Q$18</f>
        <v>2.7392569765451121E-4</v>
      </c>
      <c r="E40" s="479"/>
      <c r="G40" s="321">
        <f>'Детальний розрахунок'!Q50</f>
        <v>400</v>
      </c>
      <c r="H40" s="321"/>
      <c r="I40" s="321"/>
      <c r="J40" s="40" t="str">
        <f>""&amp;CHOOSE('Вхідні дані'!$R$2,'Вхідні дані'!$S$2,'Вхідні дані'!$S$3,'Вхідні дані'!$S$4,'Вхідні дані'!$S$5)&amp;"/міс."</f>
        <v>UAH/міс.</v>
      </c>
    </row>
    <row r="41" spans="1:27" ht="42" customHeight="1" x14ac:dyDescent="0.55000000000000004">
      <c r="A41" s="22"/>
      <c r="B41" s="414" t="str">
        <f>'Вхідні дані'!B105</f>
        <v>Власний маркетинг</v>
      </c>
      <c r="C41" s="489"/>
      <c r="D41" s="479">
        <f>G41/'Детальний розрахунок'!$Q$18</f>
        <v>0</v>
      </c>
      <c r="E41" s="479"/>
      <c r="G41" s="321">
        <f>'Детальний розрахунок'!Q51</f>
        <v>0</v>
      </c>
      <c r="H41" s="321"/>
      <c r="I41" s="321"/>
      <c r="J41" s="40" t="str">
        <f>""&amp;CHOOSE('Вхідні дані'!$R$2,'Вхідні дані'!$S$2,'Вхідні дані'!$S$3,'Вхідні дані'!$S$4,'Вхідні дані'!$S$5)&amp;"/міс."</f>
        <v>UAH/міс.</v>
      </c>
    </row>
    <row r="42" spans="1:27" ht="42" customHeight="1" x14ac:dyDescent="0.55000000000000004">
      <c r="A42" s="22"/>
      <c r="B42" s="486" t="str">
        <f>'Вхідні дані'!A60</f>
        <v>Амортизаційні витрати</v>
      </c>
      <c r="C42" s="487"/>
      <c r="D42" s="479">
        <f>G42/'Детальний розрахунок'!$Q$18</f>
        <v>2.3469154825087029E-3</v>
      </c>
      <c r="E42" s="479"/>
      <c r="G42" s="321">
        <f>'Детальний розрахунок'!Q52</f>
        <v>3427.0833333333335</v>
      </c>
      <c r="H42" s="321"/>
      <c r="I42" s="321"/>
      <c r="J42" s="40" t="str">
        <f>""&amp;CHOOSE('Вхідні дані'!$R$2,'Вхідні дані'!$S$2,'Вхідні дані'!$S$3,'Вхідні дані'!$S$4,'Вхідні дані'!$S$5)&amp;"/міс."</f>
        <v>UAH/міс.</v>
      </c>
    </row>
    <row r="43" spans="1:27" ht="42" customHeight="1" x14ac:dyDescent="0.55000000000000004">
      <c r="A43" s="22"/>
      <c r="B43" s="414" t="str">
        <f>'Вхідні дані'!B106</f>
        <v>Інше</v>
      </c>
      <c r="C43" s="489"/>
      <c r="D43" s="479">
        <f>G43/'Детальний розрахунок'!$Q$18</f>
        <v>0</v>
      </c>
      <c r="E43" s="479"/>
      <c r="G43" s="321">
        <f>'Детальний розрахунок'!Q53</f>
        <v>0</v>
      </c>
      <c r="H43" s="321"/>
      <c r="I43" s="321"/>
      <c r="J43" s="40" t="str">
        <f>""&amp;CHOOSE('Вхідні дані'!$R$2,'Вхідні дані'!$S$2,'Вхідні дані'!$S$3,'Вхідні дані'!$S$4,'Вхідні дані'!$S$5)&amp;"/міс."</f>
        <v>UAH/міс.</v>
      </c>
    </row>
    <row r="44" spans="1:27" ht="42" customHeight="1" x14ac:dyDescent="0.55000000000000004">
      <c r="A44" s="22"/>
      <c r="B44" s="486" t="str">
        <f>'Вхідні дані'!B107</f>
        <v>Банковське обслуговування</v>
      </c>
      <c r="C44" s="487"/>
      <c r="D44" s="479">
        <f>G44/'Детальний розрахунок'!$Q$18</f>
        <v>0</v>
      </c>
      <c r="E44" s="479"/>
      <c r="G44" s="321">
        <f>'Детальний розрахунок'!Q54</f>
        <v>0</v>
      </c>
      <c r="H44" s="321"/>
      <c r="I44" s="321"/>
      <c r="J44" s="40" t="str">
        <f>""&amp;CHOOSE('Вхідні дані'!$R$2,'Вхідні дані'!$S$2,'Вхідні дані'!$S$3,'Вхідні дані'!$S$4,'Вхідні дані'!$S$5)&amp;"/міс."</f>
        <v>UAH/міс.</v>
      </c>
    </row>
    <row r="45" spans="1:27" ht="42" customHeight="1" x14ac:dyDescent="0.55000000000000004">
      <c r="A45" s="22"/>
      <c r="B45" s="414" t="s">
        <v>58</v>
      </c>
      <c r="C45" s="489"/>
      <c r="D45" s="479">
        <f>G45/'Детальний розрахунок'!$Q$18</f>
        <v>0</v>
      </c>
      <c r="E45" s="479"/>
      <c r="F45" s="42"/>
      <c r="G45" s="321">
        <f>'Детальний розрахунок'!Q55</f>
        <v>0</v>
      </c>
      <c r="H45" s="321"/>
      <c r="I45" s="321"/>
      <c r="J45" s="40" t="str">
        <f>""&amp;CHOOSE('Вхідні дані'!$R$2,'Вхідні дані'!$S$2,'Вхідні дані'!$S$3,'Вхідні дані'!$S$4,'Вхідні дані'!$S$5)&amp;"/міс."</f>
        <v>UAH/міс.</v>
      </c>
    </row>
    <row r="46" spans="1:27" ht="42" customHeight="1" x14ac:dyDescent="0.55000000000000004">
      <c r="A46" s="22"/>
      <c r="B46" s="414" t="s">
        <v>59</v>
      </c>
      <c r="C46" s="489"/>
      <c r="D46" s="479">
        <f>G46/'Детальний розрахунок'!$Q$18</f>
        <v>0</v>
      </c>
      <c r="E46" s="479"/>
      <c r="F46" s="42"/>
      <c r="G46" s="321">
        <f>'Детальний розрахунок'!Q56</f>
        <v>0</v>
      </c>
      <c r="H46" s="321"/>
      <c r="I46" s="321"/>
      <c r="J46" s="40" t="str">
        <f>""&amp;CHOOSE('Вхідні дані'!$R$2,'Вхідні дані'!$S$2,'Вхідні дані'!$S$3,'Вхідні дані'!$S$4,'Вхідні дані'!$S$5)&amp;"/міс."</f>
        <v>UAH/міс.</v>
      </c>
    </row>
    <row r="47" spans="1:27" ht="34.200000000000003" customHeight="1" x14ac:dyDescent="0.55000000000000004">
      <c r="A47" s="22"/>
      <c r="B47" s="505" t="s">
        <v>23</v>
      </c>
      <c r="C47" s="505"/>
      <c r="D47" s="506">
        <f>SUM(D29:E46)</f>
        <v>0.54097043885179474</v>
      </c>
      <c r="E47" s="506"/>
      <c r="G47" s="495">
        <f>SUM(G29:I46)</f>
        <v>789952.08333333337</v>
      </c>
      <c r="H47" s="495"/>
      <c r="I47" s="495"/>
      <c r="J47" s="40" t="str">
        <f>""&amp;CHOOSE('Вхідні дані'!$R$2,'Вхідні дані'!$S$2,'Вхідні дані'!$S$3,'Вхідні дані'!$S$4,'Вхідні дані'!$S$5)&amp;"/міс."</f>
        <v>UAH/міс.</v>
      </c>
    </row>
    <row r="48" spans="1:27" ht="16.2" customHeight="1" x14ac:dyDescent="0.6">
      <c r="A48" s="450"/>
      <c r="B48" s="450"/>
      <c r="C48" s="450"/>
      <c r="D48" s="450"/>
      <c r="E48" s="450"/>
      <c r="F48" s="450"/>
      <c r="G48" s="450"/>
      <c r="H48" s="450"/>
      <c r="I48" s="450"/>
      <c r="J48" s="450"/>
      <c r="K48" s="32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4" ht="52.5" customHeight="1" x14ac:dyDescent="0.55000000000000004">
      <c r="A49" s="45"/>
      <c r="B49" s="45"/>
      <c r="C49" s="45"/>
      <c r="D49" s="46"/>
      <c r="E49" s="46"/>
      <c r="F49" s="46"/>
      <c r="G49" s="47"/>
      <c r="H49" s="46"/>
      <c r="I49" s="384" t="s">
        <v>60</v>
      </c>
      <c r="J49" s="384"/>
      <c r="K49" s="32"/>
    </row>
    <row r="50" spans="1:24" ht="45" customHeight="1" x14ac:dyDescent="0.55000000000000004">
      <c r="A50" s="500" t="s">
        <v>62</v>
      </c>
      <c r="B50" s="500"/>
      <c r="C50" s="502"/>
      <c r="D50" s="490">
        <f>'Детальний розрахунок'!Q66</f>
        <v>670297.91666666674</v>
      </c>
      <c r="E50" s="490"/>
      <c r="F50" s="490"/>
      <c r="G50" s="490"/>
      <c r="H50" s="40" t="str">
        <f>""&amp;CHOOSE('Вхідні дані'!$R$2,'Вхідні дані'!$S$2,'Вхідні дані'!$S$3,'Вхідні дані'!$S$4,'Вхідні дані'!$S$5)&amp;"/міс."</f>
        <v>UAH/міс.</v>
      </c>
      <c r="I50" s="492">
        <f>IF('Детальний розрахунок'!Q66&gt;0,'Детальний розрахунок'!Q66/'Детальний розрахунок'!Q60,0)</f>
        <v>0.45902956114820526</v>
      </c>
      <c r="J50" s="492"/>
      <c r="K50" s="49"/>
    </row>
    <row r="51" spans="1:24" ht="8.0500000000000007" customHeight="1" x14ac:dyDescent="0.55000000000000004">
      <c r="A51" s="22"/>
      <c r="B51" s="22"/>
      <c r="C51" s="22"/>
      <c r="D51" s="499"/>
      <c r="E51" s="499"/>
      <c r="F51" s="499"/>
      <c r="G51" s="499"/>
      <c r="H51" s="50"/>
      <c r="I51" s="491"/>
      <c r="J51" s="491"/>
      <c r="K51" s="49"/>
      <c r="X51" s="230"/>
    </row>
    <row r="52" spans="1:24" ht="45" customHeight="1" x14ac:dyDescent="0.55000000000000004">
      <c r="A52" s="500" t="s">
        <v>63</v>
      </c>
      <c r="B52" s="500"/>
      <c r="C52" s="502"/>
      <c r="D52" s="490">
        <f>'Детальний розрахунок'!AE66</f>
        <v>679572.91666666674</v>
      </c>
      <c r="E52" s="490"/>
      <c r="F52" s="490"/>
      <c r="G52" s="490"/>
      <c r="H52" s="48" t="str">
        <f>""&amp;CHOOSE('Вхідні дані'!$R$2,'Вхідні дані'!$S$2,'Вхідні дані'!$S$3,'Вхідні дані'!$S$4,'Вхідні дані'!$S$5)&amp;"/міс."</f>
        <v>UAH/міс.</v>
      </c>
      <c r="I52" s="492">
        <f>IF('Детальний розрахунок'!AE66&gt;0,'Детальний розрахунок'!AE66/'Детальний розрахунок'!AE60,0)</f>
        <v>0.45762485970819311</v>
      </c>
      <c r="J52" s="492"/>
      <c r="K52" s="49"/>
    </row>
    <row r="53" spans="1:24" ht="8.0500000000000007" customHeight="1" x14ac:dyDescent="0.55000000000000004">
      <c r="A53" s="22"/>
      <c r="B53" s="22"/>
      <c r="C53" s="22"/>
      <c r="D53" s="499"/>
      <c r="E53" s="499"/>
      <c r="F53" s="499"/>
      <c r="G53" s="499"/>
      <c r="H53" s="50"/>
      <c r="I53" s="491"/>
      <c r="J53" s="491"/>
    </row>
    <row r="54" spans="1:24" ht="45" customHeight="1" x14ac:dyDescent="0.55000000000000004">
      <c r="A54" s="500" t="s">
        <v>64</v>
      </c>
      <c r="B54" s="500"/>
      <c r="C54" s="502"/>
      <c r="D54" s="497">
        <f>'Детальний розрахунок'!AS66</f>
        <v>676472.91666666674</v>
      </c>
      <c r="E54" s="497"/>
      <c r="F54" s="497"/>
      <c r="G54" s="497"/>
      <c r="H54" s="48" t="str">
        <f>""&amp;CHOOSE('Вхідні дані'!$R$2,'Вхідні дані'!$S$2,'Вхідні дані'!$S$3,'Вхідні дані'!$S$4,'Вхідні дані'!$S$5)&amp;"/міс."</f>
        <v>UAH/міс.</v>
      </c>
      <c r="I54" s="492">
        <f>IF('Детальний розрахунок'!AS66&gt;0,'Детальний розрахунок'!AS66/'Детальний розрахунок'!AS60,0)</f>
        <v>0.45553731762065103</v>
      </c>
      <c r="J54" s="492"/>
    </row>
    <row r="55" spans="1:24" ht="8.0500000000000007" customHeight="1" x14ac:dyDescent="0.55000000000000004">
      <c r="A55" s="22"/>
      <c r="B55" s="22"/>
      <c r="C55" s="22"/>
      <c r="D55" s="22"/>
      <c r="E55" s="22"/>
      <c r="F55" s="22"/>
      <c r="H55" s="51"/>
      <c r="I55" s="51"/>
      <c r="J55" s="51"/>
    </row>
    <row r="56" spans="1:24" ht="45" customHeight="1" x14ac:dyDescent="0.55000000000000004">
      <c r="A56" s="503" t="s">
        <v>65</v>
      </c>
      <c r="B56" s="503"/>
      <c r="C56" s="504"/>
      <c r="D56" s="507">
        <f>'Детальний розрахунок'!B90</f>
        <v>1</v>
      </c>
      <c r="E56" s="508"/>
      <c r="F56" s="508"/>
      <c r="G56" s="508"/>
      <c r="H56" s="509"/>
      <c r="I56" s="52" t="s">
        <v>61</v>
      </c>
    </row>
    <row r="57" spans="1:24" ht="8.0500000000000007" customHeight="1" x14ac:dyDescent="0.55000000000000004">
      <c r="A57" s="22"/>
      <c r="B57" s="22"/>
      <c r="C57" s="22"/>
      <c r="D57" s="491"/>
      <c r="E57" s="491"/>
      <c r="F57" s="491"/>
      <c r="G57" s="491"/>
      <c r="H57" s="491"/>
      <c r="I57" s="51"/>
    </row>
    <row r="58" spans="1:24" ht="45" customHeight="1" x14ac:dyDescent="0.55000000000000004">
      <c r="A58" s="500" t="s">
        <v>66</v>
      </c>
      <c r="B58" s="500"/>
      <c r="C58" s="501"/>
      <c r="D58" s="507">
        <f>'Детальний розрахунок'!B89</f>
        <v>2</v>
      </c>
      <c r="E58" s="508"/>
      <c r="F58" s="508"/>
      <c r="G58" s="508"/>
      <c r="H58" s="509"/>
      <c r="I58" s="52" t="s">
        <v>61</v>
      </c>
    </row>
    <row r="59" spans="1:24" ht="27" customHeight="1" x14ac:dyDescent="0.55000000000000004">
      <c r="A59" s="53"/>
      <c r="B59" s="54"/>
      <c r="C59" s="54"/>
      <c r="D59" s="54"/>
      <c r="E59" s="54"/>
      <c r="F59" s="54"/>
      <c r="G59" s="55"/>
      <c r="H59" s="55"/>
      <c r="I59" s="55"/>
      <c r="J59" s="54"/>
    </row>
  </sheetData>
  <sheetProtection formatCells="0" formatColumns="0" formatRows="0" insertColumns="0" insertRows="0" insertHyperlinks="0" deleteColumns="0" deleteRows="0" sort="0" autoFilter="0" pivotTables="0"/>
  <mergeCells count="122">
    <mergeCell ref="B13:C13"/>
    <mergeCell ref="G28:I28"/>
    <mergeCell ref="B29:C29"/>
    <mergeCell ref="D29:E29"/>
    <mergeCell ref="G29:I29"/>
    <mergeCell ref="B15:C15"/>
    <mergeCell ref="B16:C16"/>
    <mergeCell ref="B19:C19"/>
    <mergeCell ref="D19:I19"/>
    <mergeCell ref="D20:I20"/>
    <mergeCell ref="A1:J1"/>
    <mergeCell ref="A9:J9"/>
    <mergeCell ref="B12:C12"/>
    <mergeCell ref="D12:I12"/>
    <mergeCell ref="A7:B7"/>
    <mergeCell ref="A8:B8"/>
    <mergeCell ref="G7:H7"/>
    <mergeCell ref="G8:H8"/>
    <mergeCell ref="I7:J7"/>
    <mergeCell ref="I8:J8"/>
    <mergeCell ref="E7:F7"/>
    <mergeCell ref="E8:F8"/>
    <mergeCell ref="D11:I11"/>
    <mergeCell ref="B11:C11"/>
    <mergeCell ref="A2:C2"/>
    <mergeCell ref="A3:C3"/>
    <mergeCell ref="A58:C58"/>
    <mergeCell ref="A54:C54"/>
    <mergeCell ref="A56:C56"/>
    <mergeCell ref="B41:C41"/>
    <mergeCell ref="D41:E41"/>
    <mergeCell ref="B43:C43"/>
    <mergeCell ref="D43:E43"/>
    <mergeCell ref="B47:C47"/>
    <mergeCell ref="D47:E47"/>
    <mergeCell ref="A48:J48"/>
    <mergeCell ref="A50:C50"/>
    <mergeCell ref="A52:C52"/>
    <mergeCell ref="D56:H56"/>
    <mergeCell ref="D57:H57"/>
    <mergeCell ref="D58:H58"/>
    <mergeCell ref="I49:J49"/>
    <mergeCell ref="G43:I43"/>
    <mergeCell ref="B44:C44"/>
    <mergeCell ref="D53:G53"/>
    <mergeCell ref="B42:C42"/>
    <mergeCell ref="D42:E42"/>
    <mergeCell ref="G42:I42"/>
    <mergeCell ref="G44:I44"/>
    <mergeCell ref="I53:J53"/>
    <mergeCell ref="I54:J54"/>
    <mergeCell ref="D54:G54"/>
    <mergeCell ref="G41:I41"/>
    <mergeCell ref="B30:C30"/>
    <mergeCell ref="A24:C24"/>
    <mergeCell ref="D16:I16"/>
    <mergeCell ref="G36:I36"/>
    <mergeCell ref="A25:C25"/>
    <mergeCell ref="D33:E33"/>
    <mergeCell ref="B34:C34"/>
    <mergeCell ref="B35:C35"/>
    <mergeCell ref="D35:E35"/>
    <mergeCell ref="B31:C31"/>
    <mergeCell ref="B38:C38"/>
    <mergeCell ref="B40:C40"/>
    <mergeCell ref="B21:C21"/>
    <mergeCell ref="B17:C17"/>
    <mergeCell ref="D40:E40"/>
    <mergeCell ref="B39:C39"/>
    <mergeCell ref="D39:E39"/>
    <mergeCell ref="G37:I37"/>
    <mergeCell ref="G32:I32"/>
    <mergeCell ref="G30:I30"/>
    <mergeCell ref="D51:G51"/>
    <mergeCell ref="D52:G52"/>
    <mergeCell ref="I51:J51"/>
    <mergeCell ref="I52:J52"/>
    <mergeCell ref="A26:J26"/>
    <mergeCell ref="I50:J50"/>
    <mergeCell ref="B32:C32"/>
    <mergeCell ref="D32:E32"/>
    <mergeCell ref="B46:C46"/>
    <mergeCell ref="D46:E46"/>
    <mergeCell ref="D45:E45"/>
    <mergeCell ref="G45:I45"/>
    <mergeCell ref="G47:I47"/>
    <mergeCell ref="D50:G50"/>
    <mergeCell ref="G35:I35"/>
    <mergeCell ref="D44:E44"/>
    <mergeCell ref="G46:I46"/>
    <mergeCell ref="B45:C45"/>
    <mergeCell ref="G40:I40"/>
    <mergeCell ref="D30:E30"/>
    <mergeCell ref="D34:E34"/>
    <mergeCell ref="D28:E28"/>
    <mergeCell ref="B36:C36"/>
    <mergeCell ref="D36:E36"/>
    <mergeCell ref="B33:C33"/>
    <mergeCell ref="G38:I38"/>
    <mergeCell ref="D21:I21"/>
    <mergeCell ref="D38:E38"/>
    <mergeCell ref="D31:E31"/>
    <mergeCell ref="G31:I31"/>
    <mergeCell ref="G39:I39"/>
    <mergeCell ref="A4:C4"/>
    <mergeCell ref="I25:J25"/>
    <mergeCell ref="G25:H25"/>
    <mergeCell ref="I24:J24"/>
    <mergeCell ref="D17:I17"/>
    <mergeCell ref="G24:H24"/>
    <mergeCell ref="B37:C37"/>
    <mergeCell ref="D37:E37"/>
    <mergeCell ref="G33:I33"/>
    <mergeCell ref="G34:I34"/>
    <mergeCell ref="D14:I14"/>
    <mergeCell ref="D13:I13"/>
    <mergeCell ref="A22:J22"/>
    <mergeCell ref="B14:C14"/>
    <mergeCell ref="B20:C20"/>
    <mergeCell ref="D18:I18"/>
    <mergeCell ref="B18:C18"/>
    <mergeCell ref="D15:I1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4" orientation="portrait" r:id="rId1"/>
  <rowBreaks count="1" manualBreakCount="1">
    <brk id="26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0" r:id="rId4" name="Drop Down 1">
              <controlPr locked="0" defaultSize="0" autoLine="0" autoPict="0">
                <anchor moveWithCells="1">
                  <from>
                    <xdr:col>8</xdr:col>
                    <xdr:colOff>99060</xdr:colOff>
                    <xdr:row>3</xdr:row>
                    <xdr:rowOff>45720</xdr:rowOff>
                  </from>
                  <to>
                    <xdr:col>9</xdr:col>
                    <xdr:colOff>1158240</xdr:colOff>
                    <xdr:row>3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5" name="Drop Down 7">
              <controlPr locked="0" defaultSize="0" autoLine="0" autoPict="0">
                <anchor moveWithCells="1">
                  <from>
                    <xdr:col>8</xdr:col>
                    <xdr:colOff>99060</xdr:colOff>
                    <xdr:row>1</xdr:row>
                    <xdr:rowOff>45720</xdr:rowOff>
                  </from>
                  <to>
                    <xdr:col>9</xdr:col>
                    <xdr:colOff>1158240</xdr:colOff>
                    <xdr:row>1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6" name="Drop Down 8">
              <controlPr locked="0" defaultSize="0" autoLine="0" autoPict="0">
                <anchor moveWithCells="1">
                  <from>
                    <xdr:col>8</xdr:col>
                    <xdr:colOff>99060</xdr:colOff>
                    <xdr:row>4</xdr:row>
                    <xdr:rowOff>45720</xdr:rowOff>
                  </from>
                  <to>
                    <xdr:col>9</xdr:col>
                    <xdr:colOff>1158240</xdr:colOff>
                    <xdr:row>4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7" name="Drop Down 9">
              <controlPr locked="0" defaultSize="0" autoLine="0" autoPict="0">
                <anchor moveWithCells="1">
                  <from>
                    <xdr:col>8</xdr:col>
                    <xdr:colOff>99060</xdr:colOff>
                    <xdr:row>2</xdr:row>
                    <xdr:rowOff>45720</xdr:rowOff>
                  </from>
                  <to>
                    <xdr:col>9</xdr:col>
                    <xdr:colOff>1158240</xdr:colOff>
                    <xdr:row>2</xdr:row>
                    <xdr:rowOff>396240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W108"/>
  <sheetViews>
    <sheetView zoomScale="70" zoomScaleNormal="70" zoomScaleSheetLayoutView="70" workbookViewId="0">
      <pane xSplit="2" ySplit="5" topLeftCell="C14" activePane="bottomRight" state="frozen"/>
      <selection pane="topRight" activeCell="C1" sqref="C1"/>
      <selection pane="bottomLeft" activeCell="A7" sqref="A7"/>
      <selection pane="bottomRight" activeCell="D21" sqref="D21"/>
    </sheetView>
  </sheetViews>
  <sheetFormatPr defaultRowHeight="12.3" outlineLevelRow="1" outlineLevelCol="1" x14ac:dyDescent="0.4"/>
  <cols>
    <col min="1" max="1" width="51.20703125" style="8" bestFit="1" customWidth="1"/>
    <col min="2" max="3" width="12.578125" style="8" customWidth="1"/>
    <col min="4" max="15" width="11" style="56" customWidth="1" outlineLevel="1"/>
    <col min="16" max="16" width="11" style="174" customWidth="1"/>
    <col min="17" max="17" width="13.83984375" style="174" customWidth="1"/>
    <col min="18" max="29" width="11" style="56" customWidth="1" outlineLevel="1"/>
    <col min="30" max="30" width="11" style="174" customWidth="1"/>
    <col min="31" max="31" width="14.26171875" style="174" customWidth="1"/>
    <col min="32" max="43" width="11" style="56" customWidth="1" outlineLevel="1"/>
    <col min="44" max="44" width="11" style="174" customWidth="1"/>
    <col min="45" max="45" width="14.26171875" style="174" customWidth="1"/>
    <col min="46" max="46" width="12.83984375" style="56" customWidth="1"/>
    <col min="47" max="47" width="10" style="56" bestFit="1" customWidth="1"/>
    <col min="48" max="286" width="9.15625" style="56"/>
    <col min="287" max="287" width="53" style="56" customWidth="1"/>
    <col min="288" max="288" width="14.41796875" style="56" customWidth="1"/>
    <col min="289" max="301" width="11" style="56" customWidth="1"/>
    <col min="302" max="302" width="12.83984375" style="56" customWidth="1"/>
    <col min="303" max="303" width="10" style="56" bestFit="1" customWidth="1"/>
    <col min="304" max="542" width="9.15625" style="56"/>
    <col min="543" max="543" width="53" style="56" customWidth="1"/>
    <col min="544" max="544" width="14.41796875" style="56" customWidth="1"/>
    <col min="545" max="557" width="11" style="56" customWidth="1"/>
    <col min="558" max="558" width="12.83984375" style="56" customWidth="1"/>
    <col min="559" max="559" width="10" style="56" bestFit="1" customWidth="1"/>
    <col min="560" max="798" width="9.15625" style="56"/>
    <col min="799" max="799" width="53" style="56" customWidth="1"/>
    <col min="800" max="800" width="14.41796875" style="56" customWidth="1"/>
    <col min="801" max="813" width="11" style="56" customWidth="1"/>
    <col min="814" max="814" width="12.83984375" style="56" customWidth="1"/>
    <col min="815" max="815" width="10" style="56" bestFit="1" customWidth="1"/>
    <col min="816" max="1054" width="9.15625" style="56"/>
    <col min="1055" max="1055" width="53" style="56" customWidth="1"/>
    <col min="1056" max="1056" width="14.41796875" style="56" customWidth="1"/>
    <col min="1057" max="1069" width="11" style="56" customWidth="1"/>
    <col min="1070" max="1070" width="12.83984375" style="56" customWidth="1"/>
    <col min="1071" max="1071" width="10" style="56" bestFit="1" customWidth="1"/>
    <col min="1072" max="1310" width="9.15625" style="56"/>
    <col min="1311" max="1311" width="53" style="56" customWidth="1"/>
    <col min="1312" max="1312" width="14.41796875" style="56" customWidth="1"/>
    <col min="1313" max="1325" width="11" style="56" customWidth="1"/>
    <col min="1326" max="1326" width="12.83984375" style="56" customWidth="1"/>
    <col min="1327" max="1327" width="10" style="56" bestFit="1" customWidth="1"/>
    <col min="1328" max="1566" width="9.15625" style="56"/>
    <col min="1567" max="1567" width="53" style="56" customWidth="1"/>
    <col min="1568" max="1568" width="14.41796875" style="56" customWidth="1"/>
    <col min="1569" max="1581" width="11" style="56" customWidth="1"/>
    <col min="1582" max="1582" width="12.83984375" style="56" customWidth="1"/>
    <col min="1583" max="1583" width="10" style="56" bestFit="1" customWidth="1"/>
    <col min="1584" max="1822" width="9.15625" style="56"/>
    <col min="1823" max="1823" width="53" style="56" customWidth="1"/>
    <col min="1824" max="1824" width="14.41796875" style="56" customWidth="1"/>
    <col min="1825" max="1837" width="11" style="56" customWidth="1"/>
    <col min="1838" max="1838" width="12.83984375" style="56" customWidth="1"/>
    <col min="1839" max="1839" width="10" style="56" bestFit="1" customWidth="1"/>
    <col min="1840" max="2078" width="9.15625" style="56"/>
    <col min="2079" max="2079" width="53" style="56" customWidth="1"/>
    <col min="2080" max="2080" width="14.41796875" style="56" customWidth="1"/>
    <col min="2081" max="2093" width="11" style="56" customWidth="1"/>
    <col min="2094" max="2094" width="12.83984375" style="56" customWidth="1"/>
    <col min="2095" max="2095" width="10" style="56" bestFit="1" customWidth="1"/>
    <col min="2096" max="2334" width="9.15625" style="56"/>
    <col min="2335" max="2335" width="53" style="56" customWidth="1"/>
    <col min="2336" max="2336" width="14.41796875" style="56" customWidth="1"/>
    <col min="2337" max="2349" width="11" style="56" customWidth="1"/>
    <col min="2350" max="2350" width="12.83984375" style="56" customWidth="1"/>
    <col min="2351" max="2351" width="10" style="56" bestFit="1" customWidth="1"/>
    <col min="2352" max="2590" width="9.15625" style="56"/>
    <col min="2591" max="2591" width="53" style="56" customWidth="1"/>
    <col min="2592" max="2592" width="14.41796875" style="56" customWidth="1"/>
    <col min="2593" max="2605" width="11" style="56" customWidth="1"/>
    <col min="2606" max="2606" width="12.83984375" style="56" customWidth="1"/>
    <col min="2607" max="2607" width="10" style="56" bestFit="1" customWidth="1"/>
    <col min="2608" max="2846" width="9.15625" style="56"/>
    <col min="2847" max="2847" width="53" style="56" customWidth="1"/>
    <col min="2848" max="2848" width="14.41796875" style="56" customWidth="1"/>
    <col min="2849" max="2861" width="11" style="56" customWidth="1"/>
    <col min="2862" max="2862" width="12.83984375" style="56" customWidth="1"/>
    <col min="2863" max="2863" width="10" style="56" bestFit="1" customWidth="1"/>
    <col min="2864" max="3102" width="9.15625" style="56"/>
    <col min="3103" max="3103" width="53" style="56" customWidth="1"/>
    <col min="3104" max="3104" width="14.41796875" style="56" customWidth="1"/>
    <col min="3105" max="3117" width="11" style="56" customWidth="1"/>
    <col min="3118" max="3118" width="12.83984375" style="56" customWidth="1"/>
    <col min="3119" max="3119" width="10" style="56" bestFit="1" customWidth="1"/>
    <col min="3120" max="3358" width="9.15625" style="56"/>
    <col min="3359" max="3359" width="53" style="56" customWidth="1"/>
    <col min="3360" max="3360" width="14.41796875" style="56" customWidth="1"/>
    <col min="3361" max="3373" width="11" style="56" customWidth="1"/>
    <col min="3374" max="3374" width="12.83984375" style="56" customWidth="1"/>
    <col min="3375" max="3375" width="10" style="56" bestFit="1" customWidth="1"/>
    <col min="3376" max="3614" width="9.15625" style="56"/>
    <col min="3615" max="3615" width="53" style="56" customWidth="1"/>
    <col min="3616" max="3616" width="14.41796875" style="56" customWidth="1"/>
    <col min="3617" max="3629" width="11" style="56" customWidth="1"/>
    <col min="3630" max="3630" width="12.83984375" style="56" customWidth="1"/>
    <col min="3631" max="3631" width="10" style="56" bestFit="1" customWidth="1"/>
    <col min="3632" max="3870" width="9.15625" style="56"/>
    <col min="3871" max="3871" width="53" style="56" customWidth="1"/>
    <col min="3872" max="3872" width="14.41796875" style="56" customWidth="1"/>
    <col min="3873" max="3885" width="11" style="56" customWidth="1"/>
    <col min="3886" max="3886" width="12.83984375" style="56" customWidth="1"/>
    <col min="3887" max="3887" width="10" style="56" bestFit="1" customWidth="1"/>
    <col min="3888" max="4126" width="9.15625" style="56"/>
    <col min="4127" max="4127" width="53" style="56" customWidth="1"/>
    <col min="4128" max="4128" width="14.41796875" style="56" customWidth="1"/>
    <col min="4129" max="4141" width="11" style="56" customWidth="1"/>
    <col min="4142" max="4142" width="12.83984375" style="56" customWidth="1"/>
    <col min="4143" max="4143" width="10" style="56" bestFit="1" customWidth="1"/>
    <col min="4144" max="4382" width="9.15625" style="56"/>
    <col min="4383" max="4383" width="53" style="56" customWidth="1"/>
    <col min="4384" max="4384" width="14.41796875" style="56" customWidth="1"/>
    <col min="4385" max="4397" width="11" style="56" customWidth="1"/>
    <col min="4398" max="4398" width="12.83984375" style="56" customWidth="1"/>
    <col min="4399" max="4399" width="10" style="56" bestFit="1" customWidth="1"/>
    <col min="4400" max="4638" width="9.15625" style="56"/>
    <col min="4639" max="4639" width="53" style="56" customWidth="1"/>
    <col min="4640" max="4640" width="14.41796875" style="56" customWidth="1"/>
    <col min="4641" max="4653" width="11" style="56" customWidth="1"/>
    <col min="4654" max="4654" width="12.83984375" style="56" customWidth="1"/>
    <col min="4655" max="4655" width="10" style="56" bestFit="1" customWidth="1"/>
    <col min="4656" max="4894" width="9.15625" style="56"/>
    <col min="4895" max="4895" width="53" style="56" customWidth="1"/>
    <col min="4896" max="4896" width="14.41796875" style="56" customWidth="1"/>
    <col min="4897" max="4909" width="11" style="56" customWidth="1"/>
    <col min="4910" max="4910" width="12.83984375" style="56" customWidth="1"/>
    <col min="4911" max="4911" width="10" style="56" bestFit="1" customWidth="1"/>
    <col min="4912" max="5150" width="9.15625" style="56"/>
    <col min="5151" max="5151" width="53" style="56" customWidth="1"/>
    <col min="5152" max="5152" width="14.41796875" style="56" customWidth="1"/>
    <col min="5153" max="5165" width="11" style="56" customWidth="1"/>
    <col min="5166" max="5166" width="12.83984375" style="56" customWidth="1"/>
    <col min="5167" max="5167" width="10" style="56" bestFit="1" customWidth="1"/>
    <col min="5168" max="5406" width="9.15625" style="56"/>
    <col min="5407" max="5407" width="53" style="56" customWidth="1"/>
    <col min="5408" max="5408" width="14.41796875" style="56" customWidth="1"/>
    <col min="5409" max="5421" width="11" style="56" customWidth="1"/>
    <col min="5422" max="5422" width="12.83984375" style="56" customWidth="1"/>
    <col min="5423" max="5423" width="10" style="56" bestFit="1" customWidth="1"/>
    <col min="5424" max="5662" width="9.15625" style="56"/>
    <col min="5663" max="5663" width="53" style="56" customWidth="1"/>
    <col min="5664" max="5664" width="14.41796875" style="56" customWidth="1"/>
    <col min="5665" max="5677" width="11" style="56" customWidth="1"/>
    <col min="5678" max="5678" width="12.83984375" style="56" customWidth="1"/>
    <col min="5679" max="5679" width="10" style="56" bestFit="1" customWidth="1"/>
    <col min="5680" max="5918" width="9.15625" style="56"/>
    <col min="5919" max="5919" width="53" style="56" customWidth="1"/>
    <col min="5920" max="5920" width="14.41796875" style="56" customWidth="1"/>
    <col min="5921" max="5933" width="11" style="56" customWidth="1"/>
    <col min="5934" max="5934" width="12.83984375" style="56" customWidth="1"/>
    <col min="5935" max="5935" width="10" style="56" bestFit="1" customWidth="1"/>
    <col min="5936" max="6174" width="9.15625" style="56"/>
    <col min="6175" max="6175" width="53" style="56" customWidth="1"/>
    <col min="6176" max="6176" width="14.41796875" style="56" customWidth="1"/>
    <col min="6177" max="6189" width="11" style="56" customWidth="1"/>
    <col min="6190" max="6190" width="12.83984375" style="56" customWidth="1"/>
    <col min="6191" max="6191" width="10" style="56" bestFit="1" customWidth="1"/>
    <col min="6192" max="6430" width="9.15625" style="56"/>
    <col min="6431" max="6431" width="53" style="56" customWidth="1"/>
    <col min="6432" max="6432" width="14.41796875" style="56" customWidth="1"/>
    <col min="6433" max="6445" width="11" style="56" customWidth="1"/>
    <col min="6446" max="6446" width="12.83984375" style="56" customWidth="1"/>
    <col min="6447" max="6447" width="10" style="56" bestFit="1" customWidth="1"/>
    <col min="6448" max="6686" width="9.15625" style="56"/>
    <col min="6687" max="6687" width="53" style="56" customWidth="1"/>
    <col min="6688" max="6688" width="14.41796875" style="56" customWidth="1"/>
    <col min="6689" max="6701" width="11" style="56" customWidth="1"/>
    <col min="6702" max="6702" width="12.83984375" style="56" customWidth="1"/>
    <col min="6703" max="6703" width="10" style="56" bestFit="1" customWidth="1"/>
    <col min="6704" max="6942" width="9.15625" style="56"/>
    <col min="6943" max="6943" width="53" style="56" customWidth="1"/>
    <col min="6944" max="6944" width="14.41796875" style="56" customWidth="1"/>
    <col min="6945" max="6957" width="11" style="56" customWidth="1"/>
    <col min="6958" max="6958" width="12.83984375" style="56" customWidth="1"/>
    <col min="6959" max="6959" width="10" style="56" bestFit="1" customWidth="1"/>
    <col min="6960" max="7198" width="9.15625" style="56"/>
    <col min="7199" max="7199" width="53" style="56" customWidth="1"/>
    <col min="7200" max="7200" width="14.41796875" style="56" customWidth="1"/>
    <col min="7201" max="7213" width="11" style="56" customWidth="1"/>
    <col min="7214" max="7214" width="12.83984375" style="56" customWidth="1"/>
    <col min="7215" max="7215" width="10" style="56" bestFit="1" customWidth="1"/>
    <col min="7216" max="7454" width="9.15625" style="56"/>
    <col min="7455" max="7455" width="53" style="56" customWidth="1"/>
    <col min="7456" max="7456" width="14.41796875" style="56" customWidth="1"/>
    <col min="7457" max="7469" width="11" style="56" customWidth="1"/>
    <col min="7470" max="7470" width="12.83984375" style="56" customWidth="1"/>
    <col min="7471" max="7471" width="10" style="56" bestFit="1" customWidth="1"/>
    <col min="7472" max="7710" width="9.15625" style="56"/>
    <col min="7711" max="7711" width="53" style="56" customWidth="1"/>
    <col min="7712" max="7712" width="14.41796875" style="56" customWidth="1"/>
    <col min="7713" max="7725" width="11" style="56" customWidth="1"/>
    <col min="7726" max="7726" width="12.83984375" style="56" customWidth="1"/>
    <col min="7727" max="7727" width="10" style="56" bestFit="1" customWidth="1"/>
    <col min="7728" max="7966" width="9.15625" style="56"/>
    <col min="7967" max="7967" width="53" style="56" customWidth="1"/>
    <col min="7968" max="7968" width="14.41796875" style="56" customWidth="1"/>
    <col min="7969" max="7981" width="11" style="56" customWidth="1"/>
    <col min="7982" max="7982" width="12.83984375" style="56" customWidth="1"/>
    <col min="7983" max="7983" width="10" style="56" bestFit="1" customWidth="1"/>
    <col min="7984" max="8222" width="9.15625" style="56"/>
    <col min="8223" max="8223" width="53" style="56" customWidth="1"/>
    <col min="8224" max="8224" width="14.41796875" style="56" customWidth="1"/>
    <col min="8225" max="8237" width="11" style="56" customWidth="1"/>
    <col min="8238" max="8238" width="12.83984375" style="56" customWidth="1"/>
    <col min="8239" max="8239" width="10" style="56" bestFit="1" customWidth="1"/>
    <col min="8240" max="8478" width="9.15625" style="56"/>
    <col min="8479" max="8479" width="53" style="56" customWidth="1"/>
    <col min="8480" max="8480" width="14.41796875" style="56" customWidth="1"/>
    <col min="8481" max="8493" width="11" style="56" customWidth="1"/>
    <col min="8494" max="8494" width="12.83984375" style="56" customWidth="1"/>
    <col min="8495" max="8495" width="10" style="56" bestFit="1" customWidth="1"/>
    <col min="8496" max="8734" width="9.15625" style="56"/>
    <col min="8735" max="8735" width="53" style="56" customWidth="1"/>
    <col min="8736" max="8736" width="14.41796875" style="56" customWidth="1"/>
    <col min="8737" max="8749" width="11" style="56" customWidth="1"/>
    <col min="8750" max="8750" width="12.83984375" style="56" customWidth="1"/>
    <col min="8751" max="8751" width="10" style="56" bestFit="1" customWidth="1"/>
    <col min="8752" max="8990" width="9.15625" style="56"/>
    <col min="8991" max="8991" width="53" style="56" customWidth="1"/>
    <col min="8992" max="8992" width="14.41796875" style="56" customWidth="1"/>
    <col min="8993" max="9005" width="11" style="56" customWidth="1"/>
    <col min="9006" max="9006" width="12.83984375" style="56" customWidth="1"/>
    <col min="9007" max="9007" width="10" style="56" bestFit="1" customWidth="1"/>
    <col min="9008" max="9246" width="9.15625" style="56"/>
    <col min="9247" max="9247" width="53" style="56" customWidth="1"/>
    <col min="9248" max="9248" width="14.41796875" style="56" customWidth="1"/>
    <col min="9249" max="9261" width="11" style="56" customWidth="1"/>
    <col min="9262" max="9262" width="12.83984375" style="56" customWidth="1"/>
    <col min="9263" max="9263" width="10" style="56" bestFit="1" customWidth="1"/>
    <col min="9264" max="9502" width="9.15625" style="56"/>
    <col min="9503" max="9503" width="53" style="56" customWidth="1"/>
    <col min="9504" max="9504" width="14.41796875" style="56" customWidth="1"/>
    <col min="9505" max="9517" width="11" style="56" customWidth="1"/>
    <col min="9518" max="9518" width="12.83984375" style="56" customWidth="1"/>
    <col min="9519" max="9519" width="10" style="56" bestFit="1" customWidth="1"/>
    <col min="9520" max="9758" width="9.15625" style="56"/>
    <col min="9759" max="9759" width="53" style="56" customWidth="1"/>
    <col min="9760" max="9760" width="14.41796875" style="56" customWidth="1"/>
    <col min="9761" max="9773" width="11" style="56" customWidth="1"/>
    <col min="9774" max="9774" width="12.83984375" style="56" customWidth="1"/>
    <col min="9775" max="9775" width="10" style="56" bestFit="1" customWidth="1"/>
    <col min="9776" max="10014" width="9.15625" style="56"/>
    <col min="10015" max="10015" width="53" style="56" customWidth="1"/>
    <col min="10016" max="10016" width="14.41796875" style="56" customWidth="1"/>
    <col min="10017" max="10029" width="11" style="56" customWidth="1"/>
    <col min="10030" max="10030" width="12.83984375" style="56" customWidth="1"/>
    <col min="10031" max="10031" width="10" style="56" bestFit="1" customWidth="1"/>
    <col min="10032" max="10270" width="9.15625" style="56"/>
    <col min="10271" max="10271" width="53" style="56" customWidth="1"/>
    <col min="10272" max="10272" width="14.41796875" style="56" customWidth="1"/>
    <col min="10273" max="10285" width="11" style="56" customWidth="1"/>
    <col min="10286" max="10286" width="12.83984375" style="56" customWidth="1"/>
    <col min="10287" max="10287" width="10" style="56" bestFit="1" customWidth="1"/>
    <col min="10288" max="10526" width="9.15625" style="56"/>
    <col min="10527" max="10527" width="53" style="56" customWidth="1"/>
    <col min="10528" max="10528" width="14.41796875" style="56" customWidth="1"/>
    <col min="10529" max="10541" width="11" style="56" customWidth="1"/>
    <col min="10542" max="10542" width="12.83984375" style="56" customWidth="1"/>
    <col min="10543" max="10543" width="10" style="56" bestFit="1" customWidth="1"/>
    <col min="10544" max="10782" width="9.15625" style="56"/>
    <col min="10783" max="10783" width="53" style="56" customWidth="1"/>
    <col min="10784" max="10784" width="14.41796875" style="56" customWidth="1"/>
    <col min="10785" max="10797" width="11" style="56" customWidth="1"/>
    <col min="10798" max="10798" width="12.83984375" style="56" customWidth="1"/>
    <col min="10799" max="10799" width="10" style="56" bestFit="1" customWidth="1"/>
    <col min="10800" max="11038" width="9.15625" style="56"/>
    <col min="11039" max="11039" width="53" style="56" customWidth="1"/>
    <col min="11040" max="11040" width="14.41796875" style="56" customWidth="1"/>
    <col min="11041" max="11053" width="11" style="56" customWidth="1"/>
    <col min="11054" max="11054" width="12.83984375" style="56" customWidth="1"/>
    <col min="11055" max="11055" width="10" style="56" bestFit="1" customWidth="1"/>
    <col min="11056" max="11294" width="9.15625" style="56"/>
    <col min="11295" max="11295" width="53" style="56" customWidth="1"/>
    <col min="11296" max="11296" width="14.41796875" style="56" customWidth="1"/>
    <col min="11297" max="11309" width="11" style="56" customWidth="1"/>
    <col min="11310" max="11310" width="12.83984375" style="56" customWidth="1"/>
    <col min="11311" max="11311" width="10" style="56" bestFit="1" customWidth="1"/>
    <col min="11312" max="11550" width="9.15625" style="56"/>
    <col min="11551" max="11551" width="53" style="56" customWidth="1"/>
    <col min="11552" max="11552" width="14.41796875" style="56" customWidth="1"/>
    <col min="11553" max="11565" width="11" style="56" customWidth="1"/>
    <col min="11566" max="11566" width="12.83984375" style="56" customWidth="1"/>
    <col min="11567" max="11567" width="10" style="56" bestFit="1" customWidth="1"/>
    <col min="11568" max="11806" width="9.15625" style="56"/>
    <col min="11807" max="11807" width="53" style="56" customWidth="1"/>
    <col min="11808" max="11808" width="14.41796875" style="56" customWidth="1"/>
    <col min="11809" max="11821" width="11" style="56" customWidth="1"/>
    <col min="11822" max="11822" width="12.83984375" style="56" customWidth="1"/>
    <col min="11823" max="11823" width="10" style="56" bestFit="1" customWidth="1"/>
    <col min="11824" max="12062" width="9.15625" style="56"/>
    <col min="12063" max="12063" width="53" style="56" customWidth="1"/>
    <col min="12064" max="12064" width="14.41796875" style="56" customWidth="1"/>
    <col min="12065" max="12077" width="11" style="56" customWidth="1"/>
    <col min="12078" max="12078" width="12.83984375" style="56" customWidth="1"/>
    <col min="12079" max="12079" width="10" style="56" bestFit="1" customWidth="1"/>
    <col min="12080" max="12318" width="9.15625" style="56"/>
    <col min="12319" max="12319" width="53" style="56" customWidth="1"/>
    <col min="12320" max="12320" width="14.41796875" style="56" customWidth="1"/>
    <col min="12321" max="12333" width="11" style="56" customWidth="1"/>
    <col min="12334" max="12334" width="12.83984375" style="56" customWidth="1"/>
    <col min="12335" max="12335" width="10" style="56" bestFit="1" customWidth="1"/>
    <col min="12336" max="12574" width="9.15625" style="56"/>
    <col min="12575" max="12575" width="53" style="56" customWidth="1"/>
    <col min="12576" max="12576" width="14.41796875" style="56" customWidth="1"/>
    <col min="12577" max="12589" width="11" style="56" customWidth="1"/>
    <col min="12590" max="12590" width="12.83984375" style="56" customWidth="1"/>
    <col min="12591" max="12591" width="10" style="56" bestFit="1" customWidth="1"/>
    <col min="12592" max="12830" width="9.15625" style="56"/>
    <col min="12831" max="12831" width="53" style="56" customWidth="1"/>
    <col min="12832" max="12832" width="14.41796875" style="56" customWidth="1"/>
    <col min="12833" max="12845" width="11" style="56" customWidth="1"/>
    <col min="12846" max="12846" width="12.83984375" style="56" customWidth="1"/>
    <col min="12847" max="12847" width="10" style="56" bestFit="1" customWidth="1"/>
    <col min="12848" max="13086" width="9.15625" style="56"/>
    <col min="13087" max="13087" width="53" style="56" customWidth="1"/>
    <col min="13088" max="13088" width="14.41796875" style="56" customWidth="1"/>
    <col min="13089" max="13101" width="11" style="56" customWidth="1"/>
    <col min="13102" max="13102" width="12.83984375" style="56" customWidth="1"/>
    <col min="13103" max="13103" width="10" style="56" bestFit="1" customWidth="1"/>
    <col min="13104" max="13342" width="9.15625" style="56"/>
    <col min="13343" max="13343" width="53" style="56" customWidth="1"/>
    <col min="13344" max="13344" width="14.41796875" style="56" customWidth="1"/>
    <col min="13345" max="13357" width="11" style="56" customWidth="1"/>
    <col min="13358" max="13358" width="12.83984375" style="56" customWidth="1"/>
    <col min="13359" max="13359" width="10" style="56" bestFit="1" customWidth="1"/>
    <col min="13360" max="13598" width="9.15625" style="56"/>
    <col min="13599" max="13599" width="53" style="56" customWidth="1"/>
    <col min="13600" max="13600" width="14.41796875" style="56" customWidth="1"/>
    <col min="13601" max="13613" width="11" style="56" customWidth="1"/>
    <col min="13614" max="13614" width="12.83984375" style="56" customWidth="1"/>
    <col min="13615" max="13615" width="10" style="56" bestFit="1" customWidth="1"/>
    <col min="13616" max="13854" width="9.15625" style="56"/>
    <col min="13855" max="13855" width="53" style="56" customWidth="1"/>
    <col min="13856" max="13856" width="14.41796875" style="56" customWidth="1"/>
    <col min="13857" max="13869" width="11" style="56" customWidth="1"/>
    <col min="13870" max="13870" width="12.83984375" style="56" customWidth="1"/>
    <col min="13871" max="13871" width="10" style="56" bestFit="1" customWidth="1"/>
    <col min="13872" max="14110" width="9.15625" style="56"/>
    <col min="14111" max="14111" width="53" style="56" customWidth="1"/>
    <col min="14112" max="14112" width="14.41796875" style="56" customWidth="1"/>
    <col min="14113" max="14125" width="11" style="56" customWidth="1"/>
    <col min="14126" max="14126" width="12.83984375" style="56" customWidth="1"/>
    <col min="14127" max="14127" width="10" style="56" bestFit="1" customWidth="1"/>
    <col min="14128" max="14366" width="9.15625" style="56"/>
    <col min="14367" max="14367" width="53" style="56" customWidth="1"/>
    <col min="14368" max="14368" width="14.41796875" style="56" customWidth="1"/>
    <col min="14369" max="14381" width="11" style="56" customWidth="1"/>
    <col min="14382" max="14382" width="12.83984375" style="56" customWidth="1"/>
    <col min="14383" max="14383" width="10" style="56" bestFit="1" customWidth="1"/>
    <col min="14384" max="14622" width="9.15625" style="56"/>
    <col min="14623" max="14623" width="53" style="56" customWidth="1"/>
    <col min="14624" max="14624" width="14.41796875" style="56" customWidth="1"/>
    <col min="14625" max="14637" width="11" style="56" customWidth="1"/>
    <col min="14638" max="14638" width="12.83984375" style="56" customWidth="1"/>
    <col min="14639" max="14639" width="10" style="56" bestFit="1" customWidth="1"/>
    <col min="14640" max="14878" width="9.15625" style="56"/>
    <col min="14879" max="14879" width="53" style="56" customWidth="1"/>
    <col min="14880" max="14880" width="14.41796875" style="56" customWidth="1"/>
    <col min="14881" max="14893" width="11" style="56" customWidth="1"/>
    <col min="14894" max="14894" width="12.83984375" style="56" customWidth="1"/>
    <col min="14895" max="14895" width="10" style="56" bestFit="1" customWidth="1"/>
    <col min="14896" max="15134" width="9.15625" style="56"/>
    <col min="15135" max="15135" width="53" style="56" customWidth="1"/>
    <col min="15136" max="15136" width="14.41796875" style="56" customWidth="1"/>
    <col min="15137" max="15149" width="11" style="56" customWidth="1"/>
    <col min="15150" max="15150" width="12.83984375" style="56" customWidth="1"/>
    <col min="15151" max="15151" width="10" style="56" bestFit="1" customWidth="1"/>
    <col min="15152" max="15390" width="9.15625" style="56"/>
    <col min="15391" max="15391" width="53" style="56" customWidth="1"/>
    <col min="15392" max="15392" width="14.41796875" style="56" customWidth="1"/>
    <col min="15393" max="15405" width="11" style="56" customWidth="1"/>
    <col min="15406" max="15406" width="12.83984375" style="56" customWidth="1"/>
    <col min="15407" max="15407" width="10" style="56" bestFit="1" customWidth="1"/>
    <col min="15408" max="15646" width="9.15625" style="56"/>
    <col min="15647" max="15647" width="53" style="56" customWidth="1"/>
    <col min="15648" max="15648" width="14.41796875" style="56" customWidth="1"/>
    <col min="15649" max="15661" width="11" style="56" customWidth="1"/>
    <col min="15662" max="15662" width="12.83984375" style="56" customWidth="1"/>
    <col min="15663" max="15663" width="10" style="56" bestFit="1" customWidth="1"/>
    <col min="15664" max="15902" width="9.15625" style="56"/>
    <col min="15903" max="15903" width="53" style="56" customWidth="1"/>
    <col min="15904" max="15904" width="14.41796875" style="56" customWidth="1"/>
    <col min="15905" max="15917" width="11" style="56" customWidth="1"/>
    <col min="15918" max="15918" width="12.83984375" style="56" customWidth="1"/>
    <col min="15919" max="15919" width="10" style="56" bestFit="1" customWidth="1"/>
    <col min="15920" max="16158" width="9.15625" style="56"/>
    <col min="16159" max="16159" width="53" style="56" customWidth="1"/>
    <col min="16160" max="16160" width="14.41796875" style="56" customWidth="1"/>
    <col min="16161" max="16173" width="11" style="56" customWidth="1"/>
    <col min="16174" max="16174" width="12.83984375" style="56" customWidth="1"/>
    <col min="16175" max="16175" width="10" style="56" bestFit="1" customWidth="1"/>
    <col min="16176" max="16384" width="9.15625" style="56"/>
  </cols>
  <sheetData>
    <row r="1" spans="1:48" ht="12.75" customHeight="1" x14ac:dyDescent="0.4">
      <c r="A1" s="57"/>
      <c r="B1" s="58"/>
      <c r="C1" s="58"/>
      <c r="D1" s="59" t="str">
        <f>A89</f>
        <v>Строк окупності проекту з урахуванням інвестицій, міс.:</v>
      </c>
      <c r="E1" s="60">
        <f>B89</f>
        <v>2</v>
      </c>
      <c r="F1" s="58"/>
      <c r="G1" s="58"/>
      <c r="H1" s="58"/>
      <c r="I1" s="58"/>
      <c r="J1" s="61"/>
      <c r="K1" s="62"/>
      <c r="L1" s="62"/>
      <c r="M1" s="62"/>
      <c r="N1" s="62"/>
      <c r="O1" s="62"/>
      <c r="P1" s="63"/>
      <c r="Q1" s="63"/>
      <c r="R1" s="58"/>
      <c r="S1" s="64"/>
      <c r="T1" s="58"/>
      <c r="U1" s="58"/>
      <c r="V1" s="58"/>
      <c r="W1" s="58"/>
      <c r="X1" s="61"/>
      <c r="Y1" s="62"/>
      <c r="Z1" s="62"/>
      <c r="AA1" s="62"/>
      <c r="AB1" s="62"/>
      <c r="AC1" s="62"/>
      <c r="AD1" s="63"/>
      <c r="AE1" s="63"/>
      <c r="AF1" s="58"/>
      <c r="AG1" s="64"/>
      <c r="AH1" s="58"/>
      <c r="AI1" s="58"/>
      <c r="AJ1" s="58"/>
      <c r="AK1" s="58"/>
      <c r="AL1" s="61"/>
      <c r="AM1" s="62"/>
      <c r="AN1" s="62"/>
      <c r="AO1" s="62"/>
      <c r="AP1" s="62"/>
      <c r="AQ1" s="62"/>
      <c r="AR1" s="63"/>
      <c r="AS1" s="63"/>
      <c r="AT1" s="62"/>
    </row>
    <row r="2" spans="1:48" hidden="1" x14ac:dyDescent="0.4">
      <c r="D2" s="65">
        <f>'Вхідні дані'!$T$2</f>
        <v>1</v>
      </c>
      <c r="E2" s="65">
        <f>IF(D2=12,1,D2+1)</f>
        <v>2</v>
      </c>
      <c r="F2" s="65">
        <f t="shared" ref="F2:AC2" si="0">IF(E2=12,1,E2+1)</f>
        <v>3</v>
      </c>
      <c r="G2" s="65">
        <f t="shared" si="0"/>
        <v>4</v>
      </c>
      <c r="H2" s="65">
        <f t="shared" si="0"/>
        <v>5</v>
      </c>
      <c r="I2" s="65">
        <f t="shared" si="0"/>
        <v>6</v>
      </c>
      <c r="J2" s="65">
        <f t="shared" si="0"/>
        <v>7</v>
      </c>
      <c r="K2" s="65">
        <f t="shared" si="0"/>
        <v>8</v>
      </c>
      <c r="L2" s="65">
        <f t="shared" si="0"/>
        <v>9</v>
      </c>
      <c r="M2" s="65">
        <f t="shared" si="0"/>
        <v>10</v>
      </c>
      <c r="N2" s="65">
        <f t="shared" si="0"/>
        <v>11</v>
      </c>
      <c r="O2" s="65">
        <f t="shared" si="0"/>
        <v>12</v>
      </c>
      <c r="P2" s="66"/>
      <c r="Q2" s="66"/>
      <c r="R2" s="65">
        <f>IF(O2=12,1,O2+1)</f>
        <v>1</v>
      </c>
      <c r="S2" s="65">
        <f t="shared" si="0"/>
        <v>2</v>
      </c>
      <c r="T2" s="65">
        <f t="shared" si="0"/>
        <v>3</v>
      </c>
      <c r="U2" s="65">
        <f t="shared" si="0"/>
        <v>4</v>
      </c>
      <c r="V2" s="65">
        <f t="shared" si="0"/>
        <v>5</v>
      </c>
      <c r="W2" s="65">
        <f t="shared" si="0"/>
        <v>6</v>
      </c>
      <c r="X2" s="65">
        <f t="shared" si="0"/>
        <v>7</v>
      </c>
      <c r="Y2" s="65">
        <f t="shared" si="0"/>
        <v>8</v>
      </c>
      <c r="Z2" s="65">
        <f t="shared" si="0"/>
        <v>9</v>
      </c>
      <c r="AA2" s="65">
        <f t="shared" si="0"/>
        <v>10</v>
      </c>
      <c r="AB2" s="65">
        <f t="shared" si="0"/>
        <v>11</v>
      </c>
      <c r="AC2" s="65">
        <f t="shared" si="0"/>
        <v>12</v>
      </c>
      <c r="AD2" s="66"/>
      <c r="AE2" s="66"/>
      <c r="AF2" s="65">
        <f>IF(AC2=12,1,AC2+1)</f>
        <v>1</v>
      </c>
      <c r="AG2" s="65">
        <f t="shared" ref="AG2:AQ2" si="1">IF(AF2=12,1,AF2+1)</f>
        <v>2</v>
      </c>
      <c r="AH2" s="65">
        <f t="shared" si="1"/>
        <v>3</v>
      </c>
      <c r="AI2" s="65">
        <f t="shared" si="1"/>
        <v>4</v>
      </c>
      <c r="AJ2" s="65">
        <f t="shared" si="1"/>
        <v>5</v>
      </c>
      <c r="AK2" s="65">
        <f t="shared" si="1"/>
        <v>6</v>
      </c>
      <c r="AL2" s="65">
        <f t="shared" si="1"/>
        <v>7</v>
      </c>
      <c r="AM2" s="65">
        <f t="shared" si="1"/>
        <v>8</v>
      </c>
      <c r="AN2" s="65">
        <f t="shared" si="1"/>
        <v>9</v>
      </c>
      <c r="AO2" s="65">
        <f t="shared" si="1"/>
        <v>10</v>
      </c>
      <c r="AP2" s="65">
        <f t="shared" si="1"/>
        <v>11</v>
      </c>
      <c r="AQ2" s="65">
        <f t="shared" si="1"/>
        <v>12</v>
      </c>
      <c r="AR2" s="66"/>
      <c r="AS2" s="66"/>
    </row>
    <row r="3" spans="1:48" x14ac:dyDescent="0.4">
      <c r="B3" s="67"/>
      <c r="C3" s="67"/>
      <c r="D3" s="518" t="str">
        <f>""&amp;'Узагальнений розрахунок'!A1&amp;", "&amp;CHOOSE('Узагальнений розрахунок'!P1,'Узагальнений розрахунок'!Q1,'Узагальнений розрахунок'!Q2,'Узагальнений розрахунок'!Q3,'Узагальнений розрахунок'!Q4)&amp;", "&amp;CHOOSE('Узагальнений розрахунок'!R1,'Узагальнений розрахунок'!S1,'Узагальнений розрахунок'!S2)&amp;""</f>
        <v>Фінансова модель франшизи "Галя Балувана", Міста з населенням більше 1 000 000 чол., Площа торгової точки 65 кв.м.</v>
      </c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20"/>
      <c r="R3" s="521" t="str">
        <f>D3</f>
        <v>Фінансова модель франшизи "Галя Балувана", Міста з населенням більше 1 000 000 чол., Площа торгової точки 65 кв.м.</v>
      </c>
      <c r="S3" s="522"/>
      <c r="T3" s="522"/>
      <c r="U3" s="522"/>
      <c r="V3" s="522"/>
      <c r="W3" s="522"/>
      <c r="X3" s="522"/>
      <c r="Y3" s="522"/>
      <c r="Z3" s="522"/>
      <c r="AA3" s="522"/>
      <c r="AB3" s="522"/>
      <c r="AC3" s="522"/>
      <c r="AD3" s="522"/>
      <c r="AE3" s="523"/>
      <c r="AF3" s="524" t="str">
        <f>R3</f>
        <v>Фінансова модель франшизи "Галя Балувана", Міста з населенням більше 1 000 000 чол., Площа торгової точки 65 кв.м.</v>
      </c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V3" s="5"/>
    </row>
    <row r="4" spans="1:48" s="8" customFormat="1" ht="14.25" customHeight="1" thickBot="1" x14ac:dyDescent="0.4">
      <c r="B4" s="68"/>
      <c r="C4" s="68"/>
      <c r="D4" s="518" t="s">
        <v>68</v>
      </c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  <c r="P4" s="519"/>
      <c r="Q4" s="520"/>
      <c r="R4" s="521" t="s">
        <v>24</v>
      </c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3"/>
      <c r="AF4" s="524" t="s">
        <v>25</v>
      </c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V4" s="5"/>
    </row>
    <row r="5" spans="1:48" s="8" customFormat="1" ht="11.1" thickTop="1" thickBot="1" x14ac:dyDescent="0.4">
      <c r="A5" s="69" t="s">
        <v>69</v>
      </c>
      <c r="B5" s="75"/>
      <c r="C5" s="76" t="s">
        <v>115</v>
      </c>
      <c r="D5" s="70" t="str">
        <f>CHOOSE(D2,'Вхідні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січень</v>
      </c>
      <c r="E5" s="70" t="str">
        <f>CHOOSE(E2,'Вхідні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лютий</v>
      </c>
      <c r="F5" s="70" t="str">
        <f>CHOOSE(F2,'Вхідні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березень</v>
      </c>
      <c r="G5" s="70" t="str">
        <f>CHOOSE(G2,'Вхідні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квітень</v>
      </c>
      <c r="H5" s="70" t="str">
        <f>CHOOSE(H2,'Вхідні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травень</v>
      </c>
      <c r="I5" s="70" t="str">
        <f>CHOOSE(I2,'Вхідні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червень</v>
      </c>
      <c r="J5" s="70" t="str">
        <f>CHOOSE(J2,'Вхідні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липень</v>
      </c>
      <c r="K5" s="70" t="str">
        <f>CHOOSE(K2,'Вхідні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серпень</v>
      </c>
      <c r="L5" s="70" t="str">
        <f>CHOOSE(L2,'Вхідні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вересень</v>
      </c>
      <c r="M5" s="70" t="str">
        <f>CHOOSE(M2,'Вхідні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жовтень</v>
      </c>
      <c r="N5" s="70" t="str">
        <f>CHOOSE(N2,'Вхідні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листопад</v>
      </c>
      <c r="O5" s="70" t="str">
        <f>CHOOSE(O2,'Вхідні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грудень</v>
      </c>
      <c r="P5" s="71"/>
      <c r="Q5" s="71"/>
      <c r="R5" s="70" t="str">
        <f>CHOOSE(R2,'Вхідні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січень</v>
      </c>
      <c r="S5" s="70" t="str">
        <f>CHOOSE(S2,'Вхідні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лютий</v>
      </c>
      <c r="T5" s="70" t="str">
        <f>CHOOSE(T2,'Вхідні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березень</v>
      </c>
      <c r="U5" s="70" t="str">
        <f>CHOOSE(U2,'Вхідні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квітень</v>
      </c>
      <c r="V5" s="70" t="str">
        <f>CHOOSE(V2,'Вхідні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травень</v>
      </c>
      <c r="W5" s="70" t="str">
        <f>CHOOSE(W2,'Вхідні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червень</v>
      </c>
      <c r="X5" s="70" t="str">
        <f>CHOOSE(X2,'Вхідні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липень</v>
      </c>
      <c r="Y5" s="70" t="str">
        <f>CHOOSE(Y2,'Вхідні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серпень</v>
      </c>
      <c r="Z5" s="70" t="str">
        <f>CHOOSE(Z2,'Вхідні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вересень</v>
      </c>
      <c r="AA5" s="70" t="str">
        <f>CHOOSE(AA2,'Вхідні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жовтень</v>
      </c>
      <c r="AB5" s="70" t="str">
        <f>CHOOSE(AB2,'Вхідні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листопад</v>
      </c>
      <c r="AC5" s="70" t="str">
        <f>CHOOSE(AC2,'Вхідні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грудень</v>
      </c>
      <c r="AD5" s="71"/>
      <c r="AE5" s="71"/>
      <c r="AF5" s="70" t="str">
        <f>CHOOSE(AF2,'Вхідні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січень</v>
      </c>
      <c r="AG5" s="70" t="str">
        <f>CHOOSE(AG2,'Вхідні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лютий</v>
      </c>
      <c r="AH5" s="70" t="str">
        <f>CHOOSE(AH2,'Вхідні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березень</v>
      </c>
      <c r="AI5" s="70" t="str">
        <f>CHOOSE(AI2,'Вхідні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квітень</v>
      </c>
      <c r="AJ5" s="70" t="str">
        <f>CHOOSE(AJ2,'Вхідні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травень</v>
      </c>
      <c r="AK5" s="70" t="str">
        <f>CHOOSE(AK2,'Вхідні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червень</v>
      </c>
      <c r="AL5" s="70" t="str">
        <f>CHOOSE(AL2,'Вхідні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липень</v>
      </c>
      <c r="AM5" s="70" t="str">
        <f>CHOOSE(AM2,'Вхідні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серпень</v>
      </c>
      <c r="AN5" s="70" t="str">
        <f>CHOOSE(AN2,'Вхідні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вересень</v>
      </c>
      <c r="AO5" s="70" t="str">
        <f>CHOOSE(AO2,'Вхідні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жовтень</v>
      </c>
      <c r="AP5" s="70" t="str">
        <f>CHOOSE(AP2,'Вхідні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листопад</v>
      </c>
      <c r="AQ5" s="70" t="str">
        <f>CHOOSE(AQ2,'Вхідні дані'!$U$2,'Вхідні дані'!$U$3,'Вхідні дані'!$U$4,'Вхідні дані'!$U$5,'Вхідні дані'!$U$6,'Вхідні дані'!$U$7,'Вхідні дані'!$U$8,'Вхідні дані'!$U$9,'Вхідні дані'!$U$10,'Вхідні дані'!$U$11,'Вхідні дані'!$U$12,'Вхідні дані'!$U$13)</f>
        <v>грудень</v>
      </c>
      <c r="AR5" s="71"/>
      <c r="AS5" s="71"/>
      <c r="AT5" s="72"/>
      <c r="AV5" s="5"/>
    </row>
    <row r="6" spans="1:48" s="7" customFormat="1" ht="10.8" outlineLevel="1" thickTop="1" x14ac:dyDescent="0.35">
      <c r="A6" s="3" t="s">
        <v>70</v>
      </c>
      <c r="B6" s="4"/>
      <c r="C6" s="4"/>
      <c r="D6" s="5">
        <f>CHOOSE('Узагальнений розрахунок'!$P$1,'Вхідні дані'!$C22,'Вхідні дані'!$E22,'Вхідні дані'!$G22)</f>
        <v>0.8</v>
      </c>
      <c r="E6" s="5">
        <f>CHOOSE('Узагальнений розрахунок'!$P$1,'Вхідні дані'!$C23,'Вхідні дані'!$E23,'Вхідні дані'!$G23)</f>
        <v>1</v>
      </c>
      <c r="F6" s="5">
        <f>CHOOSE('Узагальнений розрахунок'!$P$1,'Вхідні дані'!$C24,'Вхідні дані'!$E24,'Вхідні дані'!$G24)</f>
        <v>1</v>
      </c>
      <c r="G6" s="5">
        <f>CHOOSE('Узагальнений розрахунок'!$P$1,'Вхідні дані'!$C25,'Вхідні дані'!$E25,'Вхідні дані'!$G25)</f>
        <v>1</v>
      </c>
      <c r="H6" s="5">
        <f>CHOOSE('Узагальнений розрахунок'!$P$1,'Вхідні дані'!$C26,'Вхідні дані'!$E26,'Вхідні дані'!$G26)</f>
        <v>1</v>
      </c>
      <c r="I6" s="5">
        <f>CHOOSE('Узагальнений розрахунок'!$P$1,'Вхідні дані'!$C27,'Вхідні дані'!$E27,'Вхідні дані'!$G27)</f>
        <v>1</v>
      </c>
      <c r="J6" s="5">
        <f>CHOOSE('Узагальнений розрахунок'!$P$1,'Вхідні дані'!$C28,'Вхідні дані'!$E28,'Вхідні дані'!$G28)</f>
        <v>1</v>
      </c>
      <c r="K6" s="5">
        <f>CHOOSE('Узагальнений розрахунок'!$P$1,'Вхідні дані'!$C29,'Вхідні дані'!$E29,'Вхідні дані'!$G29)</f>
        <v>1</v>
      </c>
      <c r="L6" s="5">
        <f>CHOOSE('Узагальнений розрахунок'!$P$1,'Вхідні дані'!$C30,'Вхідні дані'!$E30,'Вхідні дані'!$G30)</f>
        <v>1</v>
      </c>
      <c r="M6" s="5">
        <f>CHOOSE('Узагальнений розрахунок'!$P$1,'Вхідні дані'!$C31,'Вхідні дані'!$E31,'Вхідні дані'!$G31)</f>
        <v>1</v>
      </c>
      <c r="N6" s="5">
        <f>CHOOSE('Узагальнений розрахунок'!$P$1,'Вхідні дані'!$C32,'Вхідні дані'!$E32,'Вхідні дані'!$G32)</f>
        <v>1</v>
      </c>
      <c r="O6" s="5">
        <f>CHOOSE('Узагальнений розрахунок'!$P$1,'Вхідні дані'!$C33,'Вхідні дані'!$E33,'Вхідні дані'!$G33)</f>
        <v>1</v>
      </c>
      <c r="P6" s="6"/>
      <c r="Q6" s="6"/>
      <c r="R6" s="5">
        <f>CHOOSE('Узагальнений розрахунок'!$P$1,'Вхідні дані'!$C34,'Вхідні дані'!$E34,'Вхідні дані'!$G34)</f>
        <v>1</v>
      </c>
      <c r="S6" s="5">
        <f>CHOOSE('Узагальнений розрахунок'!$P$1,'Вхідні дані'!$C34,'Вхідні дані'!$E34,'Вхідні дані'!$G34)</f>
        <v>1</v>
      </c>
      <c r="T6" s="5">
        <f>CHOOSE('Узагальнений розрахунок'!$P$1,'Вхідні дані'!$C34,'Вхідні дані'!$E34,'Вхідні дані'!$G34)</f>
        <v>1</v>
      </c>
      <c r="U6" s="5">
        <f>CHOOSE('Узагальнений розрахунок'!$P$1,'Вхідні дані'!$C34,'Вхідні дані'!$E34,'Вхідні дані'!$G34)</f>
        <v>1</v>
      </c>
      <c r="V6" s="5">
        <f>CHOOSE('Узагальнений розрахунок'!$P$1,'Вхідні дані'!$C34,'Вхідні дані'!$E34,'Вхідні дані'!$G34)</f>
        <v>1</v>
      </c>
      <c r="W6" s="5">
        <f>CHOOSE('Узагальнений розрахунок'!$P$1,'Вхідні дані'!$C34,'Вхідні дані'!$E34,'Вхідні дані'!$G34)</f>
        <v>1</v>
      </c>
      <c r="X6" s="5">
        <f>CHOOSE('Узагальнений розрахунок'!$P$1,'Вхідні дані'!$C34,'Вхідні дані'!$E34,'Вхідні дані'!$G34)</f>
        <v>1</v>
      </c>
      <c r="Y6" s="5">
        <f>CHOOSE('Узагальнений розрахунок'!$P$1,'Вхідні дані'!$C34,'Вхідні дані'!$E34,'Вхідні дані'!$G34)</f>
        <v>1</v>
      </c>
      <c r="Z6" s="5">
        <f>CHOOSE('Узагальнений розрахунок'!$P$1,'Вхідні дані'!$C34,'Вхідні дані'!$E34,'Вхідні дані'!$G34)</f>
        <v>1</v>
      </c>
      <c r="AA6" s="5">
        <f>CHOOSE('Узагальнений розрахунок'!$P$1,'Вхідні дані'!$C34,'Вхідні дані'!$E34,'Вхідні дані'!$G34)</f>
        <v>1</v>
      </c>
      <c r="AB6" s="5">
        <f>CHOOSE('Узагальнений розрахунок'!$P$1,'Вхідні дані'!$C34,'Вхідні дані'!$E34,'Вхідні дані'!$G34)</f>
        <v>1</v>
      </c>
      <c r="AC6" s="5">
        <f>CHOOSE('Узагальнений розрахунок'!$P$1,'Вхідні дані'!$C34,'Вхідні дані'!$E34,'Вхідні дані'!$G34)</f>
        <v>1</v>
      </c>
      <c r="AD6" s="6"/>
      <c r="AE6" s="6"/>
      <c r="AF6" s="5">
        <f>CHOOSE('Узагальнений розрахунок'!$P$1,'Вхідні дані'!$C35,'Вхідні дані'!$E35,'Вхідні дані'!$G35)</f>
        <v>1</v>
      </c>
      <c r="AG6" s="5">
        <f>CHOOSE('Узагальнений розрахунок'!$P$1,'Вхідні дані'!$C35,'Вхідні дані'!$E35,'Вхідні дані'!$G35)</f>
        <v>1</v>
      </c>
      <c r="AH6" s="5">
        <f>CHOOSE('Узагальнений розрахунок'!$P$1,'Вхідні дані'!$C35,'Вхідні дані'!$E35,'Вхідні дані'!$G35)</f>
        <v>1</v>
      </c>
      <c r="AI6" s="5">
        <f>CHOOSE('Узагальнений розрахунок'!$P$1,'Вхідні дані'!$C35,'Вхідні дані'!$E35,'Вхідні дані'!$G35)</f>
        <v>1</v>
      </c>
      <c r="AJ6" s="5">
        <f>CHOOSE('Узагальнений розрахунок'!$P$1,'Вхідні дані'!$C35,'Вхідні дані'!$E35,'Вхідні дані'!$G35)</f>
        <v>1</v>
      </c>
      <c r="AK6" s="5">
        <f>CHOOSE('Узагальнений розрахунок'!$P$1,'Вхідні дані'!$C35,'Вхідні дані'!$E35,'Вхідні дані'!$G35)</f>
        <v>1</v>
      </c>
      <c r="AL6" s="5">
        <f>CHOOSE('Узагальнений розрахунок'!$P$1,'Вхідні дані'!$C35,'Вхідні дані'!$E35,'Вхідні дані'!$G35)</f>
        <v>1</v>
      </c>
      <c r="AM6" s="5">
        <f>CHOOSE('Узагальнений розрахунок'!$P$1,'Вхідні дані'!$C35,'Вхідні дані'!$E35,'Вхідні дані'!$G35)</f>
        <v>1</v>
      </c>
      <c r="AN6" s="5">
        <f>CHOOSE('Узагальнений розрахунок'!$P$1,'Вхідні дані'!$C35,'Вхідні дані'!$E35,'Вхідні дані'!$G35)</f>
        <v>1</v>
      </c>
      <c r="AO6" s="5">
        <f>CHOOSE('Узагальнений розрахунок'!$P$1,'Вхідні дані'!$C35,'Вхідні дані'!$E35,'Вхідні дані'!$G35)</f>
        <v>1</v>
      </c>
      <c r="AP6" s="5">
        <f>CHOOSE('Узагальнений розрахунок'!$P$1,'Вхідні дані'!$C35,'Вхідні дані'!$E35,'Вхідні дані'!$G35)</f>
        <v>1</v>
      </c>
      <c r="AQ6" s="5">
        <f>CHOOSE('Узагальнений розрахунок'!$P$1,'Вхідні дані'!$C35,'Вхідні дані'!$E35,'Вхідні дані'!$G35)</f>
        <v>1</v>
      </c>
      <c r="AR6" s="6"/>
      <c r="AS6" s="6"/>
      <c r="AT6" s="5"/>
      <c r="AV6" s="5"/>
    </row>
    <row r="7" spans="1:48" s="7" customFormat="1" ht="10.5" outlineLevel="1" x14ac:dyDescent="0.35">
      <c r="A7" s="3" t="s">
        <v>106</v>
      </c>
      <c r="B7" s="4"/>
      <c r="C7" s="4"/>
      <c r="D7" s="5">
        <f>CHOOSE('Узагальнений розрахунок'!$P$1,CHOOSE(D2,'Вхідні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дані'!$L$33),CHOOSE(D2,'Вхідні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дані'!$M$33),CHOOSE(D2,'Вхідні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E7" s="5">
        <f>CHOOSE('Узагальнений розрахунок'!$P$1,CHOOSE(E2,'Вхідні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дані'!$L$33),CHOOSE(E2,'Вхідні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дані'!$M$33),CHOOSE(E2,'Вхідні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F7" s="5">
        <f>CHOOSE('Узагальнений розрахунок'!$P$1,CHOOSE(F2,'Вхідні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дані'!$L$33),CHOOSE(F2,'Вхідні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дані'!$M$33),CHOOSE(F2,'Вхідні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G7" s="5">
        <f>CHOOSE('Узагальнений розрахунок'!$P$1,CHOOSE(G2,'Вхідні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дані'!$L$33),CHOOSE(G2,'Вхідні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дані'!$M$33),CHOOSE(G2,'Вхідні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H7" s="5">
        <f>CHOOSE('Узагальнений розрахунок'!$P$1,CHOOSE(H2,'Вхідні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дані'!$L$33),CHOOSE(H2,'Вхідні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дані'!$M$33),CHOOSE(H2,'Вхідні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I7" s="5">
        <f>CHOOSE('Узагальнений розрахунок'!$P$1,CHOOSE(I2,'Вхідні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дані'!$L$33),CHOOSE(I2,'Вхідні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дані'!$M$33),CHOOSE(I2,'Вхідні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J7" s="5">
        <f>CHOOSE('Узагальнений розрахунок'!$P$1,CHOOSE(J2,'Вхідні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дані'!$L$33),CHOOSE(J2,'Вхідні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дані'!$M$33),CHOOSE(J2,'Вхідні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K7" s="5">
        <f>CHOOSE('Узагальнений розрахунок'!$P$1,CHOOSE(K2,'Вхідні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дані'!$L$33),CHOOSE(K2,'Вхідні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дані'!$M$33),CHOOSE(K2,'Вхідні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L7" s="5">
        <f>CHOOSE('Узагальнений розрахунок'!$P$1,CHOOSE(L2,'Вхідні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дані'!$L$33),CHOOSE(L2,'Вхідні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дані'!$M$33),CHOOSE(L2,'Вхідні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M7" s="5">
        <f>CHOOSE('Узагальнений розрахунок'!$P$1,CHOOSE(M2,'Вхідні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дані'!$L$33),CHOOSE(M2,'Вхідні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дані'!$M$33),CHOOSE(M2,'Вхідні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N7" s="5">
        <f>CHOOSE('Узагальнений розрахунок'!$P$1,CHOOSE(N2,'Вхідні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дані'!$L$33),CHOOSE(N2,'Вхідні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дані'!$M$33),CHOOSE(N2,'Вхідні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O7" s="5">
        <f>CHOOSE('Узагальнений розрахунок'!$P$1,CHOOSE(O2,'Вхідні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дані'!$L$33),CHOOSE(O2,'Вхідні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дані'!$M$33),CHOOSE(O2,'Вхідні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P7" s="6"/>
      <c r="Q7" s="6"/>
      <c r="R7" s="5">
        <f>CHOOSE('Узагальнений розрахунок'!$P$1,CHOOSE(R2,'Вхідні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дані'!$L$33),CHOOSE(R2,'Вхідні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дані'!$M$33),CHOOSE(R2,'Вхідні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S7" s="5">
        <f>CHOOSE('Узагальнений розрахунок'!$P$1,CHOOSE(S2,'Вхідні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дані'!$L$33),CHOOSE(S2,'Вхідні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дані'!$M$33),CHOOSE(S2,'Вхідні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T7" s="5">
        <f>CHOOSE('Узагальнений розрахунок'!$P$1,CHOOSE(T2,'Вхідні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дані'!$L$33),CHOOSE(T2,'Вхідні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дані'!$M$33),CHOOSE(T2,'Вхідні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U7" s="5">
        <f>CHOOSE('Узагальнений розрахунок'!$P$1,CHOOSE(U2,'Вхідні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дані'!$L$33),CHOOSE(U2,'Вхідні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дані'!$M$33),CHOOSE(U2,'Вхідні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V7" s="5">
        <f>CHOOSE('Узагальнений розрахунок'!$P$1,CHOOSE(V2,'Вхідні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дані'!$L$33),CHOOSE(V2,'Вхідні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дані'!$M$33),CHOOSE(V2,'Вхідні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W7" s="5">
        <f>CHOOSE('Узагальнений розрахунок'!$P$1,CHOOSE(W2,'Вхідні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дані'!$L$33),CHOOSE(W2,'Вхідні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дані'!$M$33),CHOOSE(W2,'Вхідні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X7" s="5">
        <f>CHOOSE('Узагальнений розрахунок'!$P$1,CHOOSE(X2,'Вхідні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дані'!$L$33),CHOOSE(X2,'Вхідні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дані'!$M$33),CHOOSE(X2,'Вхідні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Y7" s="5">
        <f>CHOOSE('Узагальнений розрахунок'!$P$1,CHOOSE(Y2,'Вхідні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дані'!$L$33),CHOOSE(Y2,'Вхідні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дані'!$M$33),CHOOSE(Y2,'Вхідні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Z7" s="5">
        <f>CHOOSE('Узагальнений розрахунок'!$P$1,CHOOSE(Z2,'Вхідні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дані'!$L$33),CHOOSE(Z2,'Вхідні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дані'!$M$33),CHOOSE(Z2,'Вхідні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A7" s="5">
        <f>CHOOSE('Узагальнений розрахунок'!$P$1,CHOOSE(AA2,'Вхідні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дані'!$L$33),CHOOSE(AA2,'Вхідні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дані'!$M$33),CHOOSE(AA2,'Вхідні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B7" s="5">
        <f>CHOOSE('Узагальнений розрахунок'!$P$1,CHOOSE(AB2,'Вхідні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дані'!$L$33),CHOOSE(AB2,'Вхідні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дані'!$M$33),CHOOSE(AB2,'Вхідні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C7" s="5">
        <f>CHOOSE('Узагальнений розрахунок'!$P$1,CHOOSE(AC2,'Вхідні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дані'!$L$33),CHOOSE(AC2,'Вхідні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дані'!$M$33),CHOOSE(AC2,'Вхідні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D7" s="6"/>
      <c r="AE7" s="6"/>
      <c r="AF7" s="5">
        <f>CHOOSE('Узагальнений розрахунок'!$P$1,CHOOSE(AF2,'Вхідні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дані'!$L$33),CHOOSE(AF2,'Вхідні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дані'!$M$33),CHOOSE(AF2,'Вхідні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G7" s="5">
        <f>CHOOSE('Узагальнений розрахунок'!$P$1,CHOOSE(AG2,'Вхідні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дані'!$L$33),CHOOSE(AG2,'Вхідні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дані'!$M$33),CHOOSE(AG2,'Вхідні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H7" s="5">
        <f>CHOOSE('Узагальнений розрахунок'!$P$1,CHOOSE(AH2,'Вхідні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дані'!$L$33),CHOOSE(AH2,'Вхідні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дані'!$M$33),CHOOSE(AH2,'Вхідні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I7" s="5">
        <f>CHOOSE('Узагальнений розрахунок'!$P$1,CHOOSE(AI2,'Вхідні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дані'!$L$33),CHOOSE(AI2,'Вхідні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дані'!$M$33),CHOOSE(AI2,'Вхідні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J7" s="5">
        <f>CHOOSE('Узагальнений розрахунок'!$P$1,CHOOSE(AJ2,'Вхідні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дані'!$L$33),CHOOSE(AJ2,'Вхідні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дані'!$M$33),CHOOSE(AJ2,'Вхідні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K7" s="5">
        <f>CHOOSE('Узагальнений розрахунок'!$P$1,CHOOSE(AK2,'Вхідні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дані'!$L$33),CHOOSE(AK2,'Вхідні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дані'!$M$33),CHOOSE(AK2,'Вхідні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L7" s="5">
        <f>CHOOSE('Узагальнений розрахунок'!$P$1,CHOOSE(AL2,'Вхідні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дані'!$L$33),CHOOSE(AL2,'Вхідні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дані'!$M$33),CHOOSE(AL2,'Вхідні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M7" s="5">
        <f>CHOOSE('Узагальнений розрахунок'!$P$1,CHOOSE(AM2,'Вхідні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дані'!$L$33),CHOOSE(AM2,'Вхідні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дані'!$M$33),CHOOSE(AM2,'Вхідні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N7" s="5">
        <f>CHOOSE('Узагальнений розрахунок'!$P$1,CHOOSE(AN2,'Вхідні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дані'!$L$33),CHOOSE(AN2,'Вхідні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дані'!$M$33),CHOOSE(AN2,'Вхідні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O7" s="5">
        <f>CHOOSE('Узагальнений розрахунок'!$P$1,CHOOSE(AO2,'Вхідні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дані'!$L$33),CHOOSE(AO2,'Вхідні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дані'!$M$33),CHOOSE(AO2,'Вхідні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P7" s="5">
        <f>CHOOSE('Узагальнений розрахунок'!$P$1,CHOOSE(AP2,'Вхідні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дані'!$L$33),CHOOSE(AP2,'Вхідні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дані'!$M$33),CHOOSE(AP2,'Вхідні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Q7" s="5">
        <f>CHOOSE('Узагальнений розрахунок'!$P$1,CHOOSE(AQ2,'Вхідні дані'!$L$22,'Вхідні дані'!$L$23,'Вхідні дані'!$L$24,'Вхідні дані'!$L$25,'Вхідні дані'!$L$26,'Вхідні дані'!$L$27,'Вхідні дані'!$L$28,'Вхідні дані'!$L$29,'Вхідні дані'!$L$30,'Вхідні дані'!$L$31,'Вхідні дані'!$L$32,'Вхідні дані'!$L$33),CHOOSE(AQ2,'Вхідні дані'!$M$22,'Вхідні дані'!$M$23,'Вхідні дані'!$M$24,'Вхідні дані'!$M$25,'Вхідні дані'!$M$26,'Вхідні дані'!$M$27,'Вхідні дані'!$M$28,'Вхідні дані'!$M$29,'Вхідні дані'!$M$30,'Вхідні дані'!$M$31,'Вхідні дані'!$M$32,'Вхідні дані'!$M$33),CHOOSE(AQ2,'Вхідні дані'!$N$22,'Вхідні дані'!$N$23,'Вхідні дані'!$N$24,'Вхідні дані'!$N$25,'Вхідні дані'!$N$26,'Вхідні дані'!$N$27,'Вхідні дані'!$N$28,'Вхідні дані'!$N$29,'Вхідні дані'!$N$30,'Вхідні дані'!$N$31,'Вхідні дані'!$N$32,'Вхідні дані'!$N$33))</f>
        <v>1</v>
      </c>
      <c r="AR7" s="6"/>
      <c r="AS7" s="6"/>
      <c r="AT7" s="5"/>
      <c r="AV7" s="5"/>
    </row>
    <row r="8" spans="1:48" s="7" customFormat="1" ht="10.5" outlineLevel="1" x14ac:dyDescent="0.35">
      <c r="A8" s="3" t="s">
        <v>71</v>
      </c>
      <c r="B8" s="4"/>
      <c r="C8" s="4"/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>
        <v>1</v>
      </c>
      <c r="K8" s="5">
        <v>1</v>
      </c>
      <c r="L8" s="5">
        <v>1</v>
      </c>
      <c r="M8" s="5">
        <v>1</v>
      </c>
      <c r="N8" s="5">
        <v>1</v>
      </c>
      <c r="O8" s="5">
        <v>1</v>
      </c>
      <c r="P8" s="6"/>
      <c r="Q8" s="6"/>
      <c r="R8" s="5">
        <f>'Вхідні дані'!$C$38</f>
        <v>1</v>
      </c>
      <c r="S8" s="5">
        <f>'Вхідні дані'!$C$38</f>
        <v>1</v>
      </c>
      <c r="T8" s="5">
        <f>'Вхідні дані'!$C$38</f>
        <v>1</v>
      </c>
      <c r="U8" s="5">
        <f>'Вхідні дані'!$C$38</f>
        <v>1</v>
      </c>
      <c r="V8" s="5">
        <f>'Вхідні дані'!$C$38</f>
        <v>1</v>
      </c>
      <c r="W8" s="5">
        <f>'Вхідні дані'!$C$38</f>
        <v>1</v>
      </c>
      <c r="X8" s="5">
        <f>'Вхідні дані'!$C$38</f>
        <v>1</v>
      </c>
      <c r="Y8" s="5">
        <f>'Вхідні дані'!$C$38</f>
        <v>1</v>
      </c>
      <c r="Z8" s="5">
        <f>'Вхідні дані'!$C$38</f>
        <v>1</v>
      </c>
      <c r="AA8" s="5">
        <f>'Вхідні дані'!$C$38</f>
        <v>1</v>
      </c>
      <c r="AB8" s="5">
        <f>'Вхідні дані'!$C$38</f>
        <v>1</v>
      </c>
      <c r="AC8" s="5">
        <f>'Вхідні дані'!$C$38</f>
        <v>1</v>
      </c>
      <c r="AD8" s="6"/>
      <c r="AE8" s="6"/>
      <c r="AF8" s="5">
        <f>'Вхідні дані'!$C$39</f>
        <v>1</v>
      </c>
      <c r="AG8" s="5">
        <f>'Вхідні дані'!$C$39</f>
        <v>1</v>
      </c>
      <c r="AH8" s="5">
        <f>'Вхідні дані'!$C$39</f>
        <v>1</v>
      </c>
      <c r="AI8" s="5">
        <f>'Вхідні дані'!$C$39</f>
        <v>1</v>
      </c>
      <c r="AJ8" s="5">
        <f>'Вхідні дані'!$C$39</f>
        <v>1</v>
      </c>
      <c r="AK8" s="5">
        <f>'Вхідні дані'!$C$39</f>
        <v>1</v>
      </c>
      <c r="AL8" s="5">
        <f>'Вхідні дані'!$C$39</f>
        <v>1</v>
      </c>
      <c r="AM8" s="5">
        <f>'Вхідні дані'!$C$39</f>
        <v>1</v>
      </c>
      <c r="AN8" s="5">
        <f>'Вхідні дані'!$C$39</f>
        <v>1</v>
      </c>
      <c r="AO8" s="5">
        <f>'Вхідні дані'!$C$39</f>
        <v>1</v>
      </c>
      <c r="AP8" s="5">
        <f>'Вхідні дані'!$C$39</f>
        <v>1</v>
      </c>
      <c r="AQ8" s="5">
        <f>'Вхідні дані'!$C$39</f>
        <v>1</v>
      </c>
      <c r="AR8" s="6"/>
      <c r="AS8" s="6"/>
      <c r="AT8" s="5"/>
      <c r="AV8" s="5"/>
    </row>
    <row r="9" spans="1:48" s="9" customFormat="1" outlineLevel="1" x14ac:dyDescent="0.4">
      <c r="A9" s="7" t="s">
        <v>72</v>
      </c>
      <c r="B9" s="7"/>
      <c r="C9" s="7"/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>
        <v>1</v>
      </c>
      <c r="K9" s="5">
        <v>1</v>
      </c>
      <c r="L9" s="5">
        <v>1</v>
      </c>
      <c r="M9" s="5">
        <v>1</v>
      </c>
      <c r="N9" s="5">
        <v>1</v>
      </c>
      <c r="O9" s="5">
        <v>1</v>
      </c>
      <c r="P9" s="6"/>
      <c r="Q9" s="6"/>
      <c r="R9" s="5">
        <f>'Вхідні дані'!$F$38</f>
        <v>1.1000000000000001</v>
      </c>
      <c r="S9" s="5">
        <f>'Вхідні дані'!$F$38</f>
        <v>1.1000000000000001</v>
      </c>
      <c r="T9" s="5">
        <f>'Вхідні дані'!$F$38</f>
        <v>1.1000000000000001</v>
      </c>
      <c r="U9" s="5">
        <f>'Вхідні дані'!$F$38</f>
        <v>1.1000000000000001</v>
      </c>
      <c r="V9" s="5">
        <f>'Вхідні дані'!$F$38</f>
        <v>1.1000000000000001</v>
      </c>
      <c r="W9" s="5">
        <f>'Вхідні дані'!$F$38</f>
        <v>1.1000000000000001</v>
      </c>
      <c r="X9" s="5">
        <f>'Вхідні дані'!$F$38</f>
        <v>1.1000000000000001</v>
      </c>
      <c r="Y9" s="5">
        <f>'Вхідні дані'!$F$38</f>
        <v>1.1000000000000001</v>
      </c>
      <c r="Z9" s="5">
        <f>'Вхідні дані'!$F$38</f>
        <v>1.1000000000000001</v>
      </c>
      <c r="AA9" s="5">
        <f>'Вхідні дані'!$F$38</f>
        <v>1.1000000000000001</v>
      </c>
      <c r="AB9" s="5">
        <f>'Вхідні дані'!$F$38</f>
        <v>1.1000000000000001</v>
      </c>
      <c r="AC9" s="5">
        <f>'Вхідні дані'!$F$38</f>
        <v>1.1000000000000001</v>
      </c>
      <c r="AD9" s="6"/>
      <c r="AE9" s="6"/>
      <c r="AF9" s="5">
        <f>'Вхідні дані'!$F$39</f>
        <v>1.2</v>
      </c>
      <c r="AG9" s="5">
        <f>'Вхідні дані'!$F$39</f>
        <v>1.2</v>
      </c>
      <c r="AH9" s="5">
        <f>'Вхідні дані'!$F$39</f>
        <v>1.2</v>
      </c>
      <c r="AI9" s="5">
        <f>'Вхідні дані'!$F$39</f>
        <v>1.2</v>
      </c>
      <c r="AJ9" s="5">
        <f>'Вхідні дані'!$F$39</f>
        <v>1.2</v>
      </c>
      <c r="AK9" s="5">
        <f>'Вхідні дані'!$F$39</f>
        <v>1.2</v>
      </c>
      <c r="AL9" s="5">
        <f>'Вхідні дані'!$F$39</f>
        <v>1.2</v>
      </c>
      <c r="AM9" s="5">
        <f>'Вхідні дані'!$F$39</f>
        <v>1.2</v>
      </c>
      <c r="AN9" s="5">
        <f>'Вхідні дані'!$F$39</f>
        <v>1.2</v>
      </c>
      <c r="AO9" s="5">
        <f>'Вхідні дані'!$F$39</f>
        <v>1.2</v>
      </c>
      <c r="AP9" s="5">
        <f>'Вхідні дані'!$F$39</f>
        <v>1.2</v>
      </c>
      <c r="AQ9" s="5">
        <f>'Вхідні дані'!$F$39</f>
        <v>1.2</v>
      </c>
      <c r="AR9" s="6"/>
      <c r="AS9" s="6"/>
      <c r="AV9" s="5"/>
    </row>
    <row r="10" spans="1:48" s="9" customFormat="1" outlineLevel="1" x14ac:dyDescent="0.4">
      <c r="A10" s="7" t="s">
        <v>169</v>
      </c>
      <c r="B10" s="7"/>
      <c r="C10" s="7"/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>
        <v>1</v>
      </c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6"/>
      <c r="Q10" s="6"/>
      <c r="R10" s="5">
        <f>'Вхідні дані'!$J$38</f>
        <v>1.05</v>
      </c>
      <c r="S10" s="5">
        <f>'Вхідні дані'!$J$38</f>
        <v>1.05</v>
      </c>
      <c r="T10" s="5">
        <f>'Вхідні дані'!$J$38</f>
        <v>1.05</v>
      </c>
      <c r="U10" s="5">
        <f>'Вхідні дані'!$J$38</f>
        <v>1.05</v>
      </c>
      <c r="V10" s="5">
        <f>'Вхідні дані'!$J$38</f>
        <v>1.05</v>
      </c>
      <c r="W10" s="5">
        <f>'Вхідні дані'!$J$38</f>
        <v>1.05</v>
      </c>
      <c r="X10" s="5">
        <f>'Вхідні дані'!$J$38</f>
        <v>1.05</v>
      </c>
      <c r="Y10" s="5">
        <f>'Вхідні дані'!$J$38</f>
        <v>1.05</v>
      </c>
      <c r="Z10" s="5">
        <f>'Вхідні дані'!$J$38</f>
        <v>1.05</v>
      </c>
      <c r="AA10" s="5">
        <f>'Вхідні дані'!$J$38</f>
        <v>1.05</v>
      </c>
      <c r="AB10" s="5">
        <f>'Вхідні дані'!$J$38</f>
        <v>1.05</v>
      </c>
      <c r="AC10" s="5">
        <f>'Вхідні дані'!$J$38</f>
        <v>1.05</v>
      </c>
      <c r="AD10" s="6"/>
      <c r="AE10" s="6"/>
      <c r="AF10" s="5">
        <f>'Вхідні дані'!$J$39</f>
        <v>1.1000000000000001</v>
      </c>
      <c r="AG10" s="5">
        <f>'Вхідні дані'!$J$39</f>
        <v>1.1000000000000001</v>
      </c>
      <c r="AH10" s="5">
        <f>'Вхідні дані'!$J$39</f>
        <v>1.1000000000000001</v>
      </c>
      <c r="AI10" s="5">
        <f>'Вхідні дані'!$J$39</f>
        <v>1.1000000000000001</v>
      </c>
      <c r="AJ10" s="5">
        <f>'Вхідні дані'!$J$39</f>
        <v>1.1000000000000001</v>
      </c>
      <c r="AK10" s="5">
        <f>'Вхідні дані'!$J$39</f>
        <v>1.1000000000000001</v>
      </c>
      <c r="AL10" s="5">
        <f>'Вхідні дані'!$J$39</f>
        <v>1.1000000000000001</v>
      </c>
      <c r="AM10" s="5">
        <f>'Вхідні дані'!$J$39</f>
        <v>1.1000000000000001</v>
      </c>
      <c r="AN10" s="5">
        <f>'Вхідні дані'!$J$39</f>
        <v>1.1000000000000001</v>
      </c>
      <c r="AO10" s="5">
        <f>'Вхідні дані'!$J$39</f>
        <v>1.1000000000000001</v>
      </c>
      <c r="AP10" s="5">
        <f>'Вхідні дані'!$J$39</f>
        <v>1.1000000000000001</v>
      </c>
      <c r="AQ10" s="5">
        <f>'Вхідні дані'!$J$39</f>
        <v>1.1000000000000001</v>
      </c>
      <c r="AR10" s="6"/>
      <c r="AS10" s="6"/>
      <c r="AV10" s="5"/>
    </row>
    <row r="11" spans="1:48" s="8" customFormat="1" ht="10.5" outlineLevel="1" x14ac:dyDescent="0.4">
      <c r="A11" s="8" t="s">
        <v>73</v>
      </c>
      <c r="P11" s="73"/>
      <c r="Q11" s="73"/>
      <c r="AD11" s="73"/>
      <c r="AE11" s="73"/>
      <c r="AR11" s="73"/>
      <c r="AS11" s="73"/>
      <c r="AV11" s="5"/>
    </row>
    <row r="12" spans="1:48" s="8" customFormat="1" ht="13.5" customHeight="1" thickBot="1" x14ac:dyDescent="0.4">
      <c r="A12" s="68"/>
      <c r="B12" s="68"/>
      <c r="C12" s="68"/>
      <c r="D12" s="521" t="str">
        <f>D4</f>
        <v>1-й рік роботи</v>
      </c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522"/>
      <c r="P12" s="522"/>
      <c r="Q12" s="523"/>
      <c r="R12" s="521" t="str">
        <f>R4</f>
        <v>2-й рік роботи</v>
      </c>
      <c r="S12" s="522"/>
      <c r="T12" s="522"/>
      <c r="U12" s="522"/>
      <c r="V12" s="522"/>
      <c r="W12" s="522"/>
      <c r="X12" s="522"/>
      <c r="Y12" s="522"/>
      <c r="Z12" s="522"/>
      <c r="AA12" s="522"/>
      <c r="AB12" s="522"/>
      <c r="AC12" s="522"/>
      <c r="AD12" s="522"/>
      <c r="AE12" s="523"/>
      <c r="AF12" s="524" t="str">
        <f>AF4</f>
        <v>3-й рік роботи</v>
      </c>
      <c r="AG12" s="524"/>
      <c r="AH12" s="524"/>
      <c r="AI12" s="524"/>
      <c r="AJ12" s="524"/>
      <c r="AK12" s="524"/>
      <c r="AL12" s="524"/>
      <c r="AM12" s="524"/>
      <c r="AN12" s="524"/>
      <c r="AO12" s="524"/>
      <c r="AP12" s="524"/>
      <c r="AQ12" s="524"/>
      <c r="AR12" s="524"/>
      <c r="AS12" s="524"/>
      <c r="AT12" s="525" t="s">
        <v>98</v>
      </c>
      <c r="AV12" s="5"/>
    </row>
    <row r="13" spans="1:48" s="78" customFormat="1" ht="21.6" thickTop="1" thickBot="1" x14ac:dyDescent="0.4">
      <c r="A13" s="74" t="s">
        <v>74</v>
      </c>
      <c r="B13" s="75"/>
      <c r="C13" s="76" t="str">
        <f t="shared" ref="C13:O13" si="2">C$5</f>
        <v>Нульовий період</v>
      </c>
      <c r="D13" s="76" t="str">
        <f t="shared" si="2"/>
        <v>січень</v>
      </c>
      <c r="E13" s="76" t="str">
        <f t="shared" si="2"/>
        <v>лютий</v>
      </c>
      <c r="F13" s="76" t="str">
        <f t="shared" si="2"/>
        <v>березень</v>
      </c>
      <c r="G13" s="76" t="str">
        <f t="shared" si="2"/>
        <v>квітень</v>
      </c>
      <c r="H13" s="76" t="str">
        <f t="shared" si="2"/>
        <v>травень</v>
      </c>
      <c r="I13" s="76" t="str">
        <f t="shared" si="2"/>
        <v>червень</v>
      </c>
      <c r="J13" s="76" t="str">
        <f t="shared" si="2"/>
        <v>липень</v>
      </c>
      <c r="K13" s="76" t="str">
        <f t="shared" si="2"/>
        <v>серпень</v>
      </c>
      <c r="L13" s="76" t="str">
        <f t="shared" si="2"/>
        <v>вересень</v>
      </c>
      <c r="M13" s="76" t="str">
        <f t="shared" si="2"/>
        <v>жовтень</v>
      </c>
      <c r="N13" s="76" t="str">
        <f t="shared" si="2"/>
        <v>листопад</v>
      </c>
      <c r="O13" s="76" t="str">
        <f t="shared" si="2"/>
        <v>грудень</v>
      </c>
      <c r="P13" s="77" t="s">
        <v>92</v>
      </c>
      <c r="Q13" s="77" t="s">
        <v>93</v>
      </c>
      <c r="R13" s="76" t="str">
        <f t="shared" ref="R13:AC13" si="3">R$5</f>
        <v>січень</v>
      </c>
      <c r="S13" s="76" t="str">
        <f t="shared" si="3"/>
        <v>лютий</v>
      </c>
      <c r="T13" s="76" t="str">
        <f t="shared" si="3"/>
        <v>березень</v>
      </c>
      <c r="U13" s="76" t="str">
        <f t="shared" si="3"/>
        <v>квітень</v>
      </c>
      <c r="V13" s="76" t="str">
        <f t="shared" si="3"/>
        <v>травень</v>
      </c>
      <c r="W13" s="76" t="str">
        <f t="shared" si="3"/>
        <v>червень</v>
      </c>
      <c r="X13" s="76" t="str">
        <f t="shared" si="3"/>
        <v>липень</v>
      </c>
      <c r="Y13" s="76" t="str">
        <f t="shared" si="3"/>
        <v>серпень</v>
      </c>
      <c r="Z13" s="76" t="str">
        <f t="shared" si="3"/>
        <v>вересень</v>
      </c>
      <c r="AA13" s="76" t="str">
        <f t="shared" si="3"/>
        <v>жовтень</v>
      </c>
      <c r="AB13" s="76" t="str">
        <f t="shared" si="3"/>
        <v>листопад</v>
      </c>
      <c r="AC13" s="76" t="str">
        <f t="shared" si="3"/>
        <v>грудень</v>
      </c>
      <c r="AD13" s="209" t="s">
        <v>94</v>
      </c>
      <c r="AE13" s="209" t="s">
        <v>95</v>
      </c>
      <c r="AF13" s="76" t="str">
        <f t="shared" ref="AF13:AQ13" si="4">AF$5</f>
        <v>січень</v>
      </c>
      <c r="AG13" s="76" t="str">
        <f t="shared" si="4"/>
        <v>лютий</v>
      </c>
      <c r="AH13" s="76" t="str">
        <f t="shared" si="4"/>
        <v>березень</v>
      </c>
      <c r="AI13" s="76" t="str">
        <f t="shared" si="4"/>
        <v>квітень</v>
      </c>
      <c r="AJ13" s="76" t="str">
        <f t="shared" si="4"/>
        <v>травень</v>
      </c>
      <c r="AK13" s="76" t="str">
        <f t="shared" si="4"/>
        <v>червень</v>
      </c>
      <c r="AL13" s="76" t="str">
        <f t="shared" si="4"/>
        <v>липень</v>
      </c>
      <c r="AM13" s="76" t="str">
        <f t="shared" si="4"/>
        <v>серпень</v>
      </c>
      <c r="AN13" s="76" t="str">
        <f t="shared" si="4"/>
        <v>вересень</v>
      </c>
      <c r="AO13" s="76" t="str">
        <f t="shared" si="4"/>
        <v>жовтень</v>
      </c>
      <c r="AP13" s="76" t="str">
        <f t="shared" si="4"/>
        <v>листопад</v>
      </c>
      <c r="AQ13" s="76" t="str">
        <f t="shared" si="4"/>
        <v>грудень</v>
      </c>
      <c r="AR13" s="209" t="s">
        <v>96</v>
      </c>
      <c r="AS13" s="209" t="s">
        <v>97</v>
      </c>
      <c r="AT13" s="526"/>
      <c r="AV13" s="5"/>
    </row>
    <row r="14" spans="1:48" s="84" customFormat="1" ht="10.8" thickTop="1" x14ac:dyDescent="0.35">
      <c r="A14" s="102" t="s">
        <v>122</v>
      </c>
      <c r="B14" s="79" t="s">
        <v>123</v>
      </c>
      <c r="C14" s="79"/>
      <c r="D14" s="80">
        <f>D17/D15</f>
        <v>3600</v>
      </c>
      <c r="E14" s="80">
        <f t="shared" ref="E14:O14" si="5">E17/E15</f>
        <v>4500</v>
      </c>
      <c r="F14" s="80">
        <f t="shared" si="5"/>
        <v>4500</v>
      </c>
      <c r="G14" s="80">
        <f t="shared" si="5"/>
        <v>4500</v>
      </c>
      <c r="H14" s="80">
        <f t="shared" si="5"/>
        <v>4500</v>
      </c>
      <c r="I14" s="80">
        <f t="shared" si="5"/>
        <v>4500</v>
      </c>
      <c r="J14" s="80">
        <f t="shared" si="5"/>
        <v>4500</v>
      </c>
      <c r="K14" s="80">
        <f t="shared" si="5"/>
        <v>4500</v>
      </c>
      <c r="L14" s="80">
        <f t="shared" si="5"/>
        <v>4500</v>
      </c>
      <c r="M14" s="80">
        <f t="shared" si="5"/>
        <v>4500</v>
      </c>
      <c r="N14" s="80">
        <f t="shared" si="5"/>
        <v>4500</v>
      </c>
      <c r="O14" s="80">
        <f t="shared" si="5"/>
        <v>4500</v>
      </c>
      <c r="P14" s="81">
        <f t="shared" ref="P14:P15" si="6">SUM(D14:O14)</f>
        <v>53100</v>
      </c>
      <c r="Q14" s="81">
        <f t="shared" ref="Q14:Q15" si="7">P14/12</f>
        <v>4425</v>
      </c>
      <c r="R14" s="80">
        <f>R17/R15</f>
        <v>4500</v>
      </c>
      <c r="S14" s="80">
        <f t="shared" ref="S14" si="8">S17/S15</f>
        <v>4500</v>
      </c>
      <c r="T14" s="80">
        <f t="shared" ref="T14" si="9">T17/T15</f>
        <v>4500</v>
      </c>
      <c r="U14" s="80">
        <f t="shared" ref="U14" si="10">U17/U15</f>
        <v>4500</v>
      </c>
      <c r="V14" s="80">
        <f t="shared" ref="V14" si="11">V17/V15</f>
        <v>4500</v>
      </c>
      <c r="W14" s="80">
        <f t="shared" ref="W14" si="12">W17/W15</f>
        <v>4500</v>
      </c>
      <c r="X14" s="80">
        <f t="shared" ref="X14" si="13">X17/X15</f>
        <v>4500</v>
      </c>
      <c r="Y14" s="80">
        <f t="shared" ref="Y14" si="14">Y17/Y15</f>
        <v>4500</v>
      </c>
      <c r="Z14" s="80">
        <f t="shared" ref="Z14" si="15">Z17/Z15</f>
        <v>4500</v>
      </c>
      <c r="AA14" s="80">
        <f t="shared" ref="AA14" si="16">AA17/AA15</f>
        <v>4500</v>
      </c>
      <c r="AB14" s="80">
        <f t="shared" ref="AB14" si="17">AB17/AB15</f>
        <v>4500</v>
      </c>
      <c r="AC14" s="80">
        <f t="shared" ref="AC14" si="18">AC17/AC15</f>
        <v>4500</v>
      </c>
      <c r="AD14" s="81">
        <f t="shared" ref="AD14:AD15" si="19">SUM(R14:AC14)</f>
        <v>54000</v>
      </c>
      <c r="AE14" s="81">
        <f t="shared" ref="AE14:AE15" si="20">AD14/12</f>
        <v>4500</v>
      </c>
      <c r="AF14" s="80">
        <f>AF17/AF15</f>
        <v>4500</v>
      </c>
      <c r="AG14" s="80">
        <f t="shared" ref="AG14" si="21">AG17/AG15</f>
        <v>4500</v>
      </c>
      <c r="AH14" s="80">
        <f t="shared" ref="AH14" si="22">AH17/AH15</f>
        <v>4500</v>
      </c>
      <c r="AI14" s="80">
        <f t="shared" ref="AI14" si="23">AI17/AI15</f>
        <v>4500</v>
      </c>
      <c r="AJ14" s="80">
        <f t="shared" ref="AJ14" si="24">AJ17/AJ15</f>
        <v>4500</v>
      </c>
      <c r="AK14" s="80">
        <f t="shared" ref="AK14" si="25">AK17/AK15</f>
        <v>4500</v>
      </c>
      <c r="AL14" s="80">
        <f t="shared" ref="AL14" si="26">AL17/AL15</f>
        <v>4500</v>
      </c>
      <c r="AM14" s="80">
        <f t="shared" ref="AM14" si="27">AM17/AM15</f>
        <v>4500</v>
      </c>
      <c r="AN14" s="80">
        <f t="shared" ref="AN14" si="28">AN17/AN15</f>
        <v>4500</v>
      </c>
      <c r="AO14" s="80">
        <f t="shared" ref="AO14" si="29">AO17/AO15</f>
        <v>4500</v>
      </c>
      <c r="AP14" s="80">
        <f t="shared" ref="AP14" si="30">AP17/AP15</f>
        <v>4500</v>
      </c>
      <c r="AQ14" s="80">
        <f t="shared" ref="AQ14" si="31">AQ17/AQ15</f>
        <v>4500</v>
      </c>
      <c r="AR14" s="81">
        <f t="shared" ref="AR14:AR15" si="32">SUM(AF14:AQ14)</f>
        <v>54000</v>
      </c>
      <c r="AS14" s="81">
        <f t="shared" ref="AS14:AS15" si="33">AR14/12</f>
        <v>4500</v>
      </c>
      <c r="AT14" s="82">
        <f t="shared" ref="AT14:AT15" si="34">P14+AD14+AR14</f>
        <v>161100</v>
      </c>
      <c r="AU14" s="83"/>
    </row>
    <row r="15" spans="1:48" s="134" customFormat="1" ht="10.5" x14ac:dyDescent="0.35">
      <c r="A15" s="227" t="s">
        <v>99</v>
      </c>
      <c r="B15" s="122" t="str">
        <f>CHOOSE('Вхідні дані'!$R$2,'Вхідні дані'!$S$2,'Вхідні дані'!$S$3,'Вхідні дані'!$S$4,'Вхідні дані'!$S$5)</f>
        <v>UAH</v>
      </c>
      <c r="C15" s="122"/>
      <c r="D15" s="132">
        <f>'Узагальнений розрахунок'!$A$8</f>
        <v>330</v>
      </c>
      <c r="E15" s="132">
        <f>'Узагальнений розрахунок'!$A$8</f>
        <v>330</v>
      </c>
      <c r="F15" s="132">
        <f>'Узагальнений розрахунок'!$A$8</f>
        <v>330</v>
      </c>
      <c r="G15" s="132">
        <f>'Узагальнений розрахунок'!$A$8</f>
        <v>330</v>
      </c>
      <c r="H15" s="132">
        <f>'Узагальнений розрахунок'!$A$8</f>
        <v>330</v>
      </c>
      <c r="I15" s="132">
        <f>'Узагальнений розрахунок'!$A$8</f>
        <v>330</v>
      </c>
      <c r="J15" s="132">
        <f>'Узагальнений розрахунок'!$A$8</f>
        <v>330</v>
      </c>
      <c r="K15" s="132">
        <f>'Узагальнений розрахунок'!$A$8</f>
        <v>330</v>
      </c>
      <c r="L15" s="132">
        <f>'Узагальнений розрахунок'!$A$8</f>
        <v>330</v>
      </c>
      <c r="M15" s="132">
        <f>'Узагальнений розрахунок'!$A$8</f>
        <v>330</v>
      </c>
      <c r="N15" s="132">
        <f>'Узагальнений розрахунок'!$A$8</f>
        <v>330</v>
      </c>
      <c r="O15" s="132">
        <f>'Узагальнений розрахунок'!$A$8</f>
        <v>330</v>
      </c>
      <c r="P15" s="228">
        <f t="shared" si="6"/>
        <v>3960</v>
      </c>
      <c r="Q15" s="228">
        <f t="shared" si="7"/>
        <v>330</v>
      </c>
      <c r="R15" s="132">
        <f>'Узагальнений розрахунок'!$A$8</f>
        <v>330</v>
      </c>
      <c r="S15" s="132">
        <f>'Узагальнений розрахунок'!$A$8</f>
        <v>330</v>
      </c>
      <c r="T15" s="132">
        <f>'Узагальнений розрахунок'!$A$8</f>
        <v>330</v>
      </c>
      <c r="U15" s="132">
        <f>'Узагальнений розрахунок'!$A$8</f>
        <v>330</v>
      </c>
      <c r="V15" s="132">
        <f>'Узагальнений розрахунок'!$A$8</f>
        <v>330</v>
      </c>
      <c r="W15" s="132">
        <f>'Узагальнений розрахунок'!$A$8</f>
        <v>330</v>
      </c>
      <c r="X15" s="132">
        <f>'Узагальнений розрахунок'!$A$8</f>
        <v>330</v>
      </c>
      <c r="Y15" s="132">
        <f>'Узагальнений розрахунок'!$A$8</f>
        <v>330</v>
      </c>
      <c r="Z15" s="132">
        <f>'Узагальнений розрахунок'!$A$8</f>
        <v>330</v>
      </c>
      <c r="AA15" s="132">
        <f>'Узагальнений розрахунок'!$A$8</f>
        <v>330</v>
      </c>
      <c r="AB15" s="132">
        <f>'Узагальнений розрахунок'!$A$8</f>
        <v>330</v>
      </c>
      <c r="AC15" s="132">
        <f>'Узагальнений розрахунок'!$A$8</f>
        <v>330</v>
      </c>
      <c r="AD15" s="228">
        <f t="shared" si="19"/>
        <v>3960</v>
      </c>
      <c r="AE15" s="228">
        <f t="shared" si="20"/>
        <v>330</v>
      </c>
      <c r="AF15" s="132">
        <f>'Узагальнений розрахунок'!$A$8</f>
        <v>330</v>
      </c>
      <c r="AG15" s="132">
        <f>'Узагальнений розрахунок'!$A$8</f>
        <v>330</v>
      </c>
      <c r="AH15" s="132">
        <f>'Узагальнений розрахунок'!$A$8</f>
        <v>330</v>
      </c>
      <c r="AI15" s="132">
        <f>'Узагальнений розрахунок'!$A$8</f>
        <v>330</v>
      </c>
      <c r="AJ15" s="132">
        <f>'Узагальнений розрахунок'!$A$8</f>
        <v>330</v>
      </c>
      <c r="AK15" s="132">
        <f>'Узагальнений розрахунок'!$A$8</f>
        <v>330</v>
      </c>
      <c r="AL15" s="132">
        <f>'Узагальнений розрахунок'!$A$8</f>
        <v>330</v>
      </c>
      <c r="AM15" s="132">
        <f>'Узагальнений розрахунок'!$A$8</f>
        <v>330</v>
      </c>
      <c r="AN15" s="132">
        <f>'Узагальнений розрахунок'!$A$8</f>
        <v>330</v>
      </c>
      <c r="AO15" s="132">
        <f>'Узагальнений розрахунок'!$A$8</f>
        <v>330</v>
      </c>
      <c r="AP15" s="132">
        <f>'Узагальнений розрахунок'!$A$8</f>
        <v>330</v>
      </c>
      <c r="AQ15" s="132">
        <f>'Узагальнений розрахунок'!$A$8</f>
        <v>330</v>
      </c>
      <c r="AR15" s="228">
        <f t="shared" si="32"/>
        <v>3960</v>
      </c>
      <c r="AS15" s="228">
        <f t="shared" si="33"/>
        <v>330</v>
      </c>
      <c r="AT15" s="82">
        <f t="shared" si="34"/>
        <v>11880</v>
      </c>
      <c r="AU15" s="229"/>
    </row>
    <row r="16" spans="1:48" s="134" customFormat="1" ht="10.5" x14ac:dyDescent="0.35">
      <c r="A16" s="227"/>
      <c r="B16" s="122"/>
      <c r="C16" s="12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228"/>
      <c r="Q16" s="228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228"/>
      <c r="AE16" s="228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228"/>
      <c r="AS16" s="228"/>
      <c r="AT16" s="82"/>
      <c r="AU16" s="229"/>
    </row>
    <row r="17" spans="1:49" s="84" customFormat="1" ht="10.5" x14ac:dyDescent="0.35">
      <c r="A17" s="102" t="s">
        <v>79</v>
      </c>
      <c r="B17" s="79" t="str">
        <f>CHOOSE('Вхідні дані'!$R$2,'Вхідні дані'!$S$2,'Вхідні дані'!$S$3,'Вхідні дані'!$S$4,'Вхідні дані'!$S$5)</f>
        <v>UAH</v>
      </c>
      <c r="C17" s="79"/>
      <c r="D17" s="80">
        <f>D6*D7*CHOOSE('Узагальнений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1188000</v>
      </c>
      <c r="E17" s="80">
        <f>E6*E7*CHOOSE('Узагальнений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F17" s="80">
        <f>F6*F7*CHOOSE('Узагальнений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G17" s="80">
        <f>G6*G7*CHOOSE('Узагальнений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H17" s="80">
        <f>H6*H7*CHOOSE('Узагальнений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I17" s="80">
        <f>I6*I7*CHOOSE('Узагальнений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J17" s="80">
        <f>J6*J7*CHOOSE('Узагальнений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K17" s="80">
        <f>K6*K7*CHOOSE('Узагальнений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L17" s="80">
        <f>L6*L7*CHOOSE('Узагальнений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M17" s="80">
        <f>M6*M7*CHOOSE('Узагальнений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N17" s="80">
        <f>N6*N7*CHOOSE('Узагальнений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O17" s="80">
        <f>O6*O7*CHOOSE('Узагальнений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P17" s="81">
        <f t="shared" ref="P17" si="35">SUM(D17:O17)</f>
        <v>17523000</v>
      </c>
      <c r="Q17" s="81">
        <f t="shared" ref="Q17" si="36">P17/12</f>
        <v>1460250</v>
      </c>
      <c r="R17" s="80">
        <f>R6*R7*CHOOSE('Узагальнений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S17" s="80">
        <f>S6*S7*CHOOSE('Узагальнений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T17" s="80">
        <f>T6*T7*CHOOSE('Узагальнений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U17" s="80">
        <f>U6*U7*CHOOSE('Узагальнений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V17" s="80">
        <f>V6*V7*CHOOSE('Узагальнений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W17" s="80">
        <f>W6*W7*CHOOSE('Узагальнений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X17" s="80">
        <f>X6*X7*CHOOSE('Узагальнений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Y17" s="80">
        <f>Y6*Y7*CHOOSE('Узагальнений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Z17" s="80">
        <f>Z6*Z7*CHOOSE('Узагальнений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A17" s="80">
        <f>AA6*AA7*CHOOSE('Узагальнений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B17" s="80">
        <f>AB6*AB7*CHOOSE('Узагальнений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C17" s="80">
        <f>AC6*AC7*CHOOSE('Узагальнений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D17" s="81">
        <f t="shared" ref="AD17" si="37">SUM(R17:AC17)</f>
        <v>17820000</v>
      </c>
      <c r="AE17" s="81">
        <f t="shared" ref="AE17" si="38">AD17/12</f>
        <v>1485000</v>
      </c>
      <c r="AF17" s="80">
        <f>AF6*AF7*CHOOSE('Узагальнений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G17" s="80">
        <f>AG6*AG7*CHOOSE('Узагальнений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H17" s="80">
        <f>AH6*AH7*CHOOSE('Узагальнений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I17" s="80">
        <f>AI6*AI7*CHOOSE('Узагальнений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J17" s="80">
        <f>AJ6*AJ7*CHOOSE('Узагальнений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K17" s="80">
        <f>AK6*AK7*CHOOSE('Узагальнений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L17" s="80">
        <f>AL6*AL7*CHOOSE('Узагальнений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M17" s="80">
        <f>AM6*AM7*CHOOSE('Узагальнений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N17" s="80">
        <f>AN6*AN7*CHOOSE('Узагальнений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O17" s="80">
        <f>AO6*AO7*CHOOSE('Узагальнений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P17" s="80">
        <f>AP6*AP7*CHOOSE('Узагальнений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Q17" s="80">
        <f>AQ6*AQ7*CHOOSE('Узагальнений розрахунок'!$P$1,CHOOSE('Узагальнений розрахунок'!$R$1,'Вхідні дані'!$F$15,'Вхідні дані'!$J$15),CHOOSE('Узагальнений розрахунок'!$R$1,'Вхідні дані'!$F$16,'Вхідні дані'!$J$16),CHOOSE('Узагальнений розрахунок'!$R$1,'Вхідні дані'!$F$17,'Вхідні дані'!$J$17))</f>
        <v>1485000</v>
      </c>
      <c r="AR17" s="81">
        <f t="shared" ref="AR17" si="39">SUM(AF17:AQ17)</f>
        <v>17820000</v>
      </c>
      <c r="AS17" s="81">
        <f t="shared" ref="AS17" si="40">AR17/12</f>
        <v>1485000</v>
      </c>
      <c r="AT17" s="82">
        <f t="shared" ref="AT17" si="41">P17+AD17+AR17</f>
        <v>53163000</v>
      </c>
      <c r="AU17" s="83"/>
    </row>
    <row r="18" spans="1:49" s="94" customFormat="1" ht="10.5" x14ac:dyDescent="0.35">
      <c r="A18" s="90" t="s">
        <v>23</v>
      </c>
      <c r="B18" s="91" t="str">
        <f>CHOOSE('Вхідні дані'!$R$2,'Вхідні дані'!$S$2,'Вхідні дані'!$S$3,'Вхідні дані'!$S$4,'Вхідні дані'!$S$5)</f>
        <v>UAH</v>
      </c>
      <c r="C18" s="91"/>
      <c r="D18" s="92">
        <f t="shared" ref="D18:AT18" si="42">SUM(D17:D17)</f>
        <v>1188000</v>
      </c>
      <c r="E18" s="92">
        <f t="shared" si="42"/>
        <v>1485000</v>
      </c>
      <c r="F18" s="92">
        <f t="shared" si="42"/>
        <v>1485000</v>
      </c>
      <c r="G18" s="92">
        <f t="shared" si="42"/>
        <v>1485000</v>
      </c>
      <c r="H18" s="92">
        <f t="shared" si="42"/>
        <v>1485000</v>
      </c>
      <c r="I18" s="92">
        <f t="shared" si="42"/>
        <v>1485000</v>
      </c>
      <c r="J18" s="92">
        <f t="shared" si="42"/>
        <v>1485000</v>
      </c>
      <c r="K18" s="92">
        <f t="shared" si="42"/>
        <v>1485000</v>
      </c>
      <c r="L18" s="92">
        <f t="shared" si="42"/>
        <v>1485000</v>
      </c>
      <c r="M18" s="92">
        <f t="shared" si="42"/>
        <v>1485000</v>
      </c>
      <c r="N18" s="92">
        <f t="shared" si="42"/>
        <v>1485000</v>
      </c>
      <c r="O18" s="92">
        <f t="shared" si="42"/>
        <v>1485000</v>
      </c>
      <c r="P18" s="92">
        <f t="shared" si="42"/>
        <v>17523000</v>
      </c>
      <c r="Q18" s="92">
        <f t="shared" si="42"/>
        <v>1460250</v>
      </c>
      <c r="R18" s="92">
        <f t="shared" si="42"/>
        <v>1485000</v>
      </c>
      <c r="S18" s="92">
        <f t="shared" si="42"/>
        <v>1485000</v>
      </c>
      <c r="T18" s="92">
        <f t="shared" si="42"/>
        <v>1485000</v>
      </c>
      <c r="U18" s="92">
        <f t="shared" si="42"/>
        <v>1485000</v>
      </c>
      <c r="V18" s="92">
        <f t="shared" si="42"/>
        <v>1485000</v>
      </c>
      <c r="W18" s="92">
        <f t="shared" si="42"/>
        <v>1485000</v>
      </c>
      <c r="X18" s="92">
        <f t="shared" si="42"/>
        <v>1485000</v>
      </c>
      <c r="Y18" s="92">
        <f t="shared" si="42"/>
        <v>1485000</v>
      </c>
      <c r="Z18" s="92">
        <f t="shared" si="42"/>
        <v>1485000</v>
      </c>
      <c r="AA18" s="92">
        <f t="shared" si="42"/>
        <v>1485000</v>
      </c>
      <c r="AB18" s="92">
        <f t="shared" si="42"/>
        <v>1485000</v>
      </c>
      <c r="AC18" s="92">
        <f t="shared" si="42"/>
        <v>1485000</v>
      </c>
      <c r="AD18" s="92">
        <f t="shared" si="42"/>
        <v>17820000</v>
      </c>
      <c r="AE18" s="92">
        <f t="shared" si="42"/>
        <v>1485000</v>
      </c>
      <c r="AF18" s="92">
        <f t="shared" si="42"/>
        <v>1485000</v>
      </c>
      <c r="AG18" s="92">
        <f t="shared" si="42"/>
        <v>1485000</v>
      </c>
      <c r="AH18" s="92">
        <f t="shared" si="42"/>
        <v>1485000</v>
      </c>
      <c r="AI18" s="92">
        <f t="shared" si="42"/>
        <v>1485000</v>
      </c>
      <c r="AJ18" s="92">
        <f t="shared" si="42"/>
        <v>1485000</v>
      </c>
      <c r="AK18" s="92">
        <f t="shared" si="42"/>
        <v>1485000</v>
      </c>
      <c r="AL18" s="92">
        <f t="shared" si="42"/>
        <v>1485000</v>
      </c>
      <c r="AM18" s="92">
        <f t="shared" si="42"/>
        <v>1485000</v>
      </c>
      <c r="AN18" s="92">
        <f t="shared" si="42"/>
        <v>1485000</v>
      </c>
      <c r="AO18" s="92">
        <f t="shared" si="42"/>
        <v>1485000</v>
      </c>
      <c r="AP18" s="92">
        <f t="shared" si="42"/>
        <v>1485000</v>
      </c>
      <c r="AQ18" s="92">
        <f t="shared" si="42"/>
        <v>1485000</v>
      </c>
      <c r="AR18" s="92">
        <f t="shared" si="42"/>
        <v>17820000</v>
      </c>
      <c r="AS18" s="92">
        <f t="shared" si="42"/>
        <v>1485000</v>
      </c>
      <c r="AT18" s="92">
        <f t="shared" si="42"/>
        <v>53163000</v>
      </c>
      <c r="AU18" s="93"/>
      <c r="AW18" s="84"/>
    </row>
    <row r="19" spans="1:49" s="94" customFormat="1" ht="10.8" thickBot="1" x14ac:dyDescent="0.4">
      <c r="A19" s="194"/>
      <c r="B19" s="85"/>
      <c r="C19" s="85"/>
      <c r="D19" s="195"/>
      <c r="E19" s="195"/>
      <c r="F19" s="195"/>
      <c r="G19" s="20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93"/>
      <c r="AW19" s="84"/>
    </row>
    <row r="20" spans="1:49" s="78" customFormat="1" ht="21.6" thickTop="1" thickBot="1" x14ac:dyDescent="0.4">
      <c r="A20" s="74" t="s">
        <v>75</v>
      </c>
      <c r="B20" s="75"/>
      <c r="C20" s="76" t="str">
        <f t="shared" ref="C20:O20" si="43">C$5</f>
        <v>Нульовий період</v>
      </c>
      <c r="D20" s="76" t="str">
        <f t="shared" si="43"/>
        <v>січень</v>
      </c>
      <c r="E20" s="76" t="str">
        <f t="shared" si="43"/>
        <v>лютий</v>
      </c>
      <c r="F20" s="76" t="str">
        <f t="shared" si="43"/>
        <v>березень</v>
      </c>
      <c r="G20" s="76" t="str">
        <f t="shared" si="43"/>
        <v>квітень</v>
      </c>
      <c r="H20" s="76" t="str">
        <f t="shared" si="43"/>
        <v>травень</v>
      </c>
      <c r="I20" s="76" t="str">
        <f t="shared" si="43"/>
        <v>червень</v>
      </c>
      <c r="J20" s="76" t="str">
        <f t="shared" si="43"/>
        <v>липень</v>
      </c>
      <c r="K20" s="76" t="str">
        <f t="shared" si="43"/>
        <v>серпень</v>
      </c>
      <c r="L20" s="76" t="str">
        <f t="shared" si="43"/>
        <v>вересень</v>
      </c>
      <c r="M20" s="76" t="str">
        <f t="shared" si="43"/>
        <v>жовтень</v>
      </c>
      <c r="N20" s="76" t="str">
        <f t="shared" si="43"/>
        <v>листопад</v>
      </c>
      <c r="O20" s="76" t="str">
        <f t="shared" si="43"/>
        <v>грудень</v>
      </c>
      <c r="P20" s="209" t="str">
        <f>P$13</f>
        <v>Разом за 1-й рік</v>
      </c>
      <c r="Q20" s="209" t="str">
        <f>Q$13</f>
        <v>Середньомісячно за 1-й рік</v>
      </c>
      <c r="R20" s="76" t="str">
        <f t="shared" ref="R20:AC20" si="44">R$5</f>
        <v>січень</v>
      </c>
      <c r="S20" s="76" t="str">
        <f t="shared" si="44"/>
        <v>лютий</v>
      </c>
      <c r="T20" s="76" t="str">
        <f t="shared" si="44"/>
        <v>березень</v>
      </c>
      <c r="U20" s="76" t="str">
        <f t="shared" si="44"/>
        <v>квітень</v>
      </c>
      <c r="V20" s="76" t="str">
        <f t="shared" si="44"/>
        <v>травень</v>
      </c>
      <c r="W20" s="76" t="str">
        <f t="shared" si="44"/>
        <v>червень</v>
      </c>
      <c r="X20" s="76" t="str">
        <f t="shared" si="44"/>
        <v>липень</v>
      </c>
      <c r="Y20" s="76" t="str">
        <f t="shared" si="44"/>
        <v>серпень</v>
      </c>
      <c r="Z20" s="76" t="str">
        <f t="shared" si="44"/>
        <v>вересень</v>
      </c>
      <c r="AA20" s="76" t="str">
        <f t="shared" si="44"/>
        <v>жовтень</v>
      </c>
      <c r="AB20" s="76" t="str">
        <f t="shared" si="44"/>
        <v>листопад</v>
      </c>
      <c r="AC20" s="76" t="str">
        <f t="shared" si="44"/>
        <v>грудень</v>
      </c>
      <c r="AD20" s="209" t="str">
        <f>AD$13</f>
        <v>Разом за 2-й рік</v>
      </c>
      <c r="AE20" s="209" t="str">
        <f>AE$13</f>
        <v>Середньомісячно за 2-й рік</v>
      </c>
      <c r="AF20" s="76" t="str">
        <f t="shared" ref="AF20:AQ20" si="45">AF$5</f>
        <v>січень</v>
      </c>
      <c r="AG20" s="76" t="str">
        <f t="shared" si="45"/>
        <v>лютий</v>
      </c>
      <c r="AH20" s="76" t="str">
        <f t="shared" si="45"/>
        <v>березень</v>
      </c>
      <c r="AI20" s="76" t="str">
        <f t="shared" si="45"/>
        <v>квітень</v>
      </c>
      <c r="AJ20" s="76" t="str">
        <f t="shared" si="45"/>
        <v>травень</v>
      </c>
      <c r="AK20" s="76" t="str">
        <f t="shared" si="45"/>
        <v>червень</v>
      </c>
      <c r="AL20" s="76" t="str">
        <f t="shared" si="45"/>
        <v>липень</v>
      </c>
      <c r="AM20" s="76" t="str">
        <f t="shared" si="45"/>
        <v>серпень</v>
      </c>
      <c r="AN20" s="76" t="str">
        <f t="shared" si="45"/>
        <v>вересень</v>
      </c>
      <c r="AO20" s="76" t="str">
        <f t="shared" si="45"/>
        <v>жовтень</v>
      </c>
      <c r="AP20" s="76" t="str">
        <f t="shared" si="45"/>
        <v>листопад</v>
      </c>
      <c r="AQ20" s="76" t="str">
        <f t="shared" si="45"/>
        <v>грудень</v>
      </c>
      <c r="AR20" s="193" t="str">
        <f>AR$13</f>
        <v>Разом за 3-й рік</v>
      </c>
      <c r="AS20" s="193" t="str">
        <f>AS$13</f>
        <v>Середньомісячно за 3-й рік</v>
      </c>
      <c r="AT20" s="196" t="str">
        <f>AT12</f>
        <v>Разом за три роки</v>
      </c>
      <c r="AV20" s="5"/>
    </row>
    <row r="21" spans="1:49" s="84" customFormat="1" ht="10.8" thickTop="1" x14ac:dyDescent="0.35">
      <c r="A21" s="102" t="s">
        <v>54</v>
      </c>
      <c r="B21" s="79" t="str">
        <f>CHOOSE('Вхідні дані'!$R$2,'Вхідні дані'!$S$2,'Вхідні дані'!$S$3,'Вхідні дані'!$S$4,'Вхідні дані'!$S$5)</f>
        <v>UAH</v>
      </c>
      <c r="C21" s="79"/>
      <c r="D21" s="80">
        <f>D17/(1+CHOOSE('Узагальнений розрахунок'!$P$1,'Вхідні дані'!$N15,'Вхідні дані'!$N16,'Вхідні дані'!$N17))</f>
        <v>594000</v>
      </c>
      <c r="E21" s="80">
        <f>E17/(1+CHOOSE('Узагальнений розрахунок'!$P$1,'Вхідні дані'!$N15,'Вхідні дані'!$N16,'Вхідні дані'!$N17))</f>
        <v>742500</v>
      </c>
      <c r="F21" s="80">
        <f>F17/(1+CHOOSE('Узагальнений розрахунок'!$P$1,'Вхідні дані'!$N15,'Вхідні дані'!$N16,'Вхідні дані'!$N17))</f>
        <v>742500</v>
      </c>
      <c r="G21" s="80">
        <f>G17/(1+CHOOSE('Узагальнений розрахунок'!$P$1,'Вхідні дані'!$N15,'Вхідні дані'!$N16,'Вхідні дані'!$N17))</f>
        <v>742500</v>
      </c>
      <c r="H21" s="80">
        <f>H17/(1+CHOOSE('Узагальнений розрахунок'!$P$1,'Вхідні дані'!$N15,'Вхідні дані'!$N16,'Вхідні дані'!$N17))</f>
        <v>742500</v>
      </c>
      <c r="I21" s="80">
        <f>I17/(1+CHOOSE('Узагальнений розрахунок'!$P$1,'Вхідні дані'!$N15,'Вхідні дані'!$N16,'Вхідні дані'!$N17))</f>
        <v>742500</v>
      </c>
      <c r="J21" s="80">
        <f>J17/(1+CHOOSE('Узагальнений розрахунок'!$P$1,'Вхідні дані'!$N15,'Вхідні дані'!$N16,'Вхідні дані'!$N17))</f>
        <v>742500</v>
      </c>
      <c r="K21" s="80">
        <f>K17/(1+CHOOSE('Узагальнений розрахунок'!$P$1,'Вхідні дані'!$N15,'Вхідні дані'!$N16,'Вхідні дані'!$N17))</f>
        <v>742500</v>
      </c>
      <c r="L21" s="80">
        <f>L17/(1+CHOOSE('Узагальнений розрахунок'!$P$1,'Вхідні дані'!$N15,'Вхідні дані'!$N16,'Вхідні дані'!$N17))</f>
        <v>742500</v>
      </c>
      <c r="M21" s="80">
        <f>M17/(1+CHOOSE('Узагальнений розрахунок'!$P$1,'Вхідні дані'!$N15,'Вхідні дані'!$N16,'Вхідні дані'!$N17))</f>
        <v>742500</v>
      </c>
      <c r="N21" s="80">
        <f>N17/(1+CHOOSE('Узагальнений розрахунок'!$P$1,'Вхідні дані'!$N15,'Вхідні дані'!$N16,'Вхідні дані'!$N17))</f>
        <v>742500</v>
      </c>
      <c r="O21" s="80">
        <f>O17/(1+CHOOSE('Узагальнений розрахунок'!$P$1,'Вхідні дані'!$N15,'Вхідні дані'!$N16,'Вхідні дані'!$N17))</f>
        <v>742500</v>
      </c>
      <c r="P21" s="81">
        <f t="shared" ref="P21" si="46">SUM(D21:O21)</f>
        <v>8761500</v>
      </c>
      <c r="Q21" s="81">
        <f t="shared" ref="Q21" si="47">P21/12</f>
        <v>730125</v>
      </c>
      <c r="R21" s="80">
        <f>R17/(1+CHOOSE('Узагальнений розрахунок'!$P$1,'Вхідні дані'!$N15,'Вхідні дані'!$N16,'Вхідні дані'!$N17))</f>
        <v>742500</v>
      </c>
      <c r="S21" s="80">
        <f>S17/(1+CHOOSE('Узагальнений розрахунок'!$P$1,'Вхідні дані'!$N15,'Вхідні дані'!$N16,'Вхідні дані'!$N17))</f>
        <v>742500</v>
      </c>
      <c r="T21" s="80">
        <f>T17/(1+CHOOSE('Узагальнений розрахунок'!$P$1,'Вхідні дані'!$N15,'Вхідні дані'!$N16,'Вхідні дані'!$N17))</f>
        <v>742500</v>
      </c>
      <c r="U21" s="80">
        <f>U17/(1+CHOOSE('Узагальнений розрахунок'!$P$1,'Вхідні дані'!$N15,'Вхідні дані'!$N16,'Вхідні дані'!$N17))</f>
        <v>742500</v>
      </c>
      <c r="V21" s="80">
        <f>V17/(1+CHOOSE('Узагальнений розрахунок'!$P$1,'Вхідні дані'!$N15,'Вхідні дані'!$N16,'Вхідні дані'!$N17))</f>
        <v>742500</v>
      </c>
      <c r="W21" s="80">
        <f>W17/(1+CHOOSE('Узагальнений розрахунок'!$P$1,'Вхідні дані'!$N15,'Вхідні дані'!$N16,'Вхідні дані'!$N17))</f>
        <v>742500</v>
      </c>
      <c r="X21" s="80">
        <f>X17/(1+CHOOSE('Узагальнений розрахунок'!$P$1,'Вхідні дані'!$N15,'Вхідні дані'!$N16,'Вхідні дані'!$N17))</f>
        <v>742500</v>
      </c>
      <c r="Y21" s="80">
        <f>Y17/(1+CHOOSE('Узагальнений розрахунок'!$P$1,'Вхідні дані'!$N15,'Вхідні дані'!$N16,'Вхідні дані'!$N17))</f>
        <v>742500</v>
      </c>
      <c r="Z21" s="80">
        <f>Z17/(1+CHOOSE('Узагальнений розрахунок'!$P$1,'Вхідні дані'!$N15,'Вхідні дані'!$N16,'Вхідні дані'!$N17))</f>
        <v>742500</v>
      </c>
      <c r="AA21" s="80">
        <f>AA17/(1+CHOOSE('Узагальнений розрахунок'!$P$1,'Вхідні дані'!$N15,'Вхідні дані'!$N16,'Вхідні дані'!$N17))</f>
        <v>742500</v>
      </c>
      <c r="AB21" s="80">
        <f>AB17/(1+CHOOSE('Узагальнений розрахунок'!$P$1,'Вхідні дані'!$N15,'Вхідні дані'!$N16,'Вхідні дані'!$N17))</f>
        <v>742500</v>
      </c>
      <c r="AC21" s="80">
        <f>AC17/(1+CHOOSE('Узагальнений розрахунок'!$P$1,'Вхідні дані'!$N15,'Вхідні дані'!$N16,'Вхідні дані'!$N17))</f>
        <v>742500</v>
      </c>
      <c r="AD21" s="81">
        <f t="shared" ref="AD21" si="48">SUM(R21:AC21)</f>
        <v>8910000</v>
      </c>
      <c r="AE21" s="81">
        <f t="shared" ref="AE21" si="49">AD21/12</f>
        <v>742500</v>
      </c>
      <c r="AF21" s="80">
        <f>AF17/(1+CHOOSE('Узагальнений розрахунок'!$P$1,'Вхідні дані'!$N15,'Вхідні дані'!$N16,'Вхідні дані'!$N17))</f>
        <v>742500</v>
      </c>
      <c r="AG21" s="80">
        <f>AG17/(1+CHOOSE('Узагальнений розрахунок'!$P$1,'Вхідні дані'!$N15,'Вхідні дані'!$N16,'Вхідні дані'!$N17))</f>
        <v>742500</v>
      </c>
      <c r="AH21" s="80">
        <f>AH17/(1+CHOOSE('Узагальнений розрахунок'!$P$1,'Вхідні дані'!$N15,'Вхідні дані'!$N16,'Вхідні дані'!$N17))</f>
        <v>742500</v>
      </c>
      <c r="AI21" s="80">
        <f>AI17/(1+CHOOSE('Узагальнений розрахунок'!$P$1,'Вхідні дані'!$N15,'Вхідні дані'!$N16,'Вхідні дані'!$N17))</f>
        <v>742500</v>
      </c>
      <c r="AJ21" s="80">
        <f>AJ17/(1+CHOOSE('Узагальнений розрахунок'!$P$1,'Вхідні дані'!$N15,'Вхідні дані'!$N16,'Вхідні дані'!$N17))</f>
        <v>742500</v>
      </c>
      <c r="AK21" s="80">
        <f>AK17/(1+CHOOSE('Узагальнений розрахунок'!$P$1,'Вхідні дані'!$N15,'Вхідні дані'!$N16,'Вхідні дані'!$N17))</f>
        <v>742500</v>
      </c>
      <c r="AL21" s="80">
        <f>AL17/(1+CHOOSE('Узагальнений розрахунок'!$P$1,'Вхідні дані'!$N15,'Вхідні дані'!$N16,'Вхідні дані'!$N17))</f>
        <v>742500</v>
      </c>
      <c r="AM21" s="80">
        <f>AM17/(1+CHOOSE('Узагальнений розрахунок'!$P$1,'Вхідні дані'!$N15,'Вхідні дані'!$N16,'Вхідні дані'!$N17))</f>
        <v>742500</v>
      </c>
      <c r="AN21" s="80">
        <f>AN17/(1+CHOOSE('Узагальнений розрахунок'!$P$1,'Вхідні дані'!$N15,'Вхідні дані'!$N16,'Вхідні дані'!$N17))</f>
        <v>742500</v>
      </c>
      <c r="AO21" s="80">
        <f>AO17/(1+CHOOSE('Узагальнений розрахунок'!$P$1,'Вхідні дані'!$N15,'Вхідні дані'!$N16,'Вхідні дані'!$N17))</f>
        <v>742500</v>
      </c>
      <c r="AP21" s="80">
        <f>AP17/(1+CHOOSE('Узагальнений розрахунок'!$P$1,'Вхідні дані'!$N15,'Вхідні дані'!$N16,'Вхідні дані'!$N17))</f>
        <v>742500</v>
      </c>
      <c r="AQ21" s="80">
        <f>AQ17/(1+CHOOSE('Узагальнений розрахунок'!$P$1,'Вхідні дані'!$N15,'Вхідні дані'!$N16,'Вхідні дані'!$N17))</f>
        <v>742500</v>
      </c>
      <c r="AR21" s="81">
        <f t="shared" ref="AR21" si="50">SUM(AF21:AQ21)</f>
        <v>8910000</v>
      </c>
      <c r="AS21" s="81">
        <f t="shared" ref="AS21" si="51">AR21/12</f>
        <v>742500</v>
      </c>
      <c r="AT21" s="82">
        <f t="shared" ref="AT21" si="52">P21+AD21+AR21</f>
        <v>26581500</v>
      </c>
      <c r="AU21" s="83"/>
    </row>
    <row r="22" spans="1:49" s="94" customFormat="1" ht="10.5" x14ac:dyDescent="0.35">
      <c r="A22" s="90" t="str">
        <f>A18</f>
        <v>Разом</v>
      </c>
      <c r="B22" s="91" t="str">
        <f>CHOOSE('Вхідні дані'!$R$2,'Вхідні дані'!$S$2,'Вхідні дані'!$S$3,'Вхідні дані'!$S$4,'Вхідні дані'!$S$5)</f>
        <v>UAH</v>
      </c>
      <c r="C22" s="91"/>
      <c r="D22" s="92">
        <f t="shared" ref="D22:AT22" si="53">SUM(D21:D21)</f>
        <v>594000</v>
      </c>
      <c r="E22" s="92">
        <f t="shared" si="53"/>
        <v>742500</v>
      </c>
      <c r="F22" s="92">
        <f t="shared" si="53"/>
        <v>742500</v>
      </c>
      <c r="G22" s="92">
        <f t="shared" si="53"/>
        <v>742500</v>
      </c>
      <c r="H22" s="92">
        <f t="shared" si="53"/>
        <v>742500</v>
      </c>
      <c r="I22" s="92">
        <f t="shared" si="53"/>
        <v>742500</v>
      </c>
      <c r="J22" s="92">
        <f t="shared" si="53"/>
        <v>742500</v>
      </c>
      <c r="K22" s="92">
        <f t="shared" si="53"/>
        <v>742500</v>
      </c>
      <c r="L22" s="92">
        <f t="shared" si="53"/>
        <v>742500</v>
      </c>
      <c r="M22" s="92">
        <f t="shared" si="53"/>
        <v>742500</v>
      </c>
      <c r="N22" s="92">
        <f t="shared" si="53"/>
        <v>742500</v>
      </c>
      <c r="O22" s="92">
        <f t="shared" si="53"/>
        <v>742500</v>
      </c>
      <c r="P22" s="92">
        <f t="shared" si="53"/>
        <v>8761500</v>
      </c>
      <c r="Q22" s="92">
        <f t="shared" si="53"/>
        <v>730125</v>
      </c>
      <c r="R22" s="92">
        <f t="shared" si="53"/>
        <v>742500</v>
      </c>
      <c r="S22" s="92">
        <f t="shared" si="53"/>
        <v>742500</v>
      </c>
      <c r="T22" s="92">
        <f t="shared" si="53"/>
        <v>742500</v>
      </c>
      <c r="U22" s="92">
        <f t="shared" si="53"/>
        <v>742500</v>
      </c>
      <c r="V22" s="92">
        <f t="shared" si="53"/>
        <v>742500</v>
      </c>
      <c r="W22" s="92">
        <f t="shared" si="53"/>
        <v>742500</v>
      </c>
      <c r="X22" s="92">
        <f t="shared" si="53"/>
        <v>742500</v>
      </c>
      <c r="Y22" s="92">
        <f t="shared" si="53"/>
        <v>742500</v>
      </c>
      <c r="Z22" s="92">
        <f t="shared" si="53"/>
        <v>742500</v>
      </c>
      <c r="AA22" s="92">
        <f t="shared" si="53"/>
        <v>742500</v>
      </c>
      <c r="AB22" s="92">
        <f t="shared" si="53"/>
        <v>742500</v>
      </c>
      <c r="AC22" s="92">
        <f t="shared" si="53"/>
        <v>742500</v>
      </c>
      <c r="AD22" s="92">
        <f t="shared" si="53"/>
        <v>8910000</v>
      </c>
      <c r="AE22" s="92">
        <f t="shared" si="53"/>
        <v>742500</v>
      </c>
      <c r="AF22" s="92">
        <f t="shared" si="53"/>
        <v>742500</v>
      </c>
      <c r="AG22" s="92">
        <f t="shared" si="53"/>
        <v>742500</v>
      </c>
      <c r="AH22" s="92">
        <f t="shared" si="53"/>
        <v>742500</v>
      </c>
      <c r="AI22" s="92">
        <f t="shared" si="53"/>
        <v>742500</v>
      </c>
      <c r="AJ22" s="92">
        <f t="shared" si="53"/>
        <v>742500</v>
      </c>
      <c r="AK22" s="92">
        <f t="shared" si="53"/>
        <v>742500</v>
      </c>
      <c r="AL22" s="92">
        <f t="shared" si="53"/>
        <v>742500</v>
      </c>
      <c r="AM22" s="92">
        <f t="shared" si="53"/>
        <v>742500</v>
      </c>
      <c r="AN22" s="92">
        <f t="shared" si="53"/>
        <v>742500</v>
      </c>
      <c r="AO22" s="92">
        <f t="shared" si="53"/>
        <v>742500</v>
      </c>
      <c r="AP22" s="92">
        <f t="shared" si="53"/>
        <v>742500</v>
      </c>
      <c r="AQ22" s="92">
        <f t="shared" si="53"/>
        <v>742500</v>
      </c>
      <c r="AR22" s="92">
        <f t="shared" si="53"/>
        <v>8910000</v>
      </c>
      <c r="AS22" s="92">
        <f t="shared" si="53"/>
        <v>742500</v>
      </c>
      <c r="AT22" s="92">
        <f t="shared" si="53"/>
        <v>26581500</v>
      </c>
      <c r="AU22" s="93"/>
      <c r="AW22" s="84"/>
    </row>
    <row r="23" spans="1:49" s="78" customFormat="1" ht="10.8" thickBot="1" x14ac:dyDescent="0.45">
      <c r="A23" s="95"/>
      <c r="B23" s="96"/>
      <c r="C23" s="96"/>
      <c r="D23" s="97"/>
      <c r="E23" s="95"/>
      <c r="F23" s="95"/>
      <c r="G23" s="95"/>
      <c r="H23" s="95"/>
      <c r="I23" s="95"/>
      <c r="J23" s="95"/>
      <c r="K23" s="95"/>
      <c r="P23" s="98"/>
      <c r="Q23" s="98"/>
      <c r="R23" s="97"/>
      <c r="S23" s="95"/>
      <c r="T23" s="95"/>
      <c r="U23" s="95"/>
      <c r="V23" s="95"/>
      <c r="W23" s="95"/>
      <c r="X23" s="95"/>
      <c r="Y23" s="95"/>
      <c r="AD23" s="98"/>
      <c r="AE23" s="98"/>
      <c r="AF23" s="97"/>
      <c r="AG23" s="95"/>
      <c r="AH23" s="95"/>
      <c r="AI23" s="95"/>
      <c r="AJ23" s="95"/>
      <c r="AK23" s="95"/>
      <c r="AL23" s="95"/>
      <c r="AM23" s="95"/>
      <c r="AR23" s="98"/>
      <c r="AS23" s="98"/>
    </row>
    <row r="24" spans="1:49" s="8" customFormat="1" ht="21.6" thickTop="1" thickBot="1" x14ac:dyDescent="0.4">
      <c r="A24" s="69" t="s">
        <v>76</v>
      </c>
      <c r="B24" s="99"/>
      <c r="C24" s="75" t="str">
        <f t="shared" ref="C24:O24" si="54">C$5</f>
        <v>Нульовий період</v>
      </c>
      <c r="D24" s="75" t="str">
        <f t="shared" si="54"/>
        <v>січень</v>
      </c>
      <c r="E24" s="75" t="str">
        <f t="shared" si="54"/>
        <v>лютий</v>
      </c>
      <c r="F24" s="75" t="str">
        <f t="shared" si="54"/>
        <v>березень</v>
      </c>
      <c r="G24" s="75" t="str">
        <f t="shared" si="54"/>
        <v>квітень</v>
      </c>
      <c r="H24" s="75" t="str">
        <f t="shared" si="54"/>
        <v>травень</v>
      </c>
      <c r="I24" s="75" t="str">
        <f t="shared" si="54"/>
        <v>червень</v>
      </c>
      <c r="J24" s="75" t="str">
        <f t="shared" si="54"/>
        <v>липень</v>
      </c>
      <c r="K24" s="75" t="str">
        <f t="shared" si="54"/>
        <v>серпень</v>
      </c>
      <c r="L24" s="75" t="str">
        <f t="shared" si="54"/>
        <v>вересень</v>
      </c>
      <c r="M24" s="75" t="str">
        <f t="shared" si="54"/>
        <v>жовтень</v>
      </c>
      <c r="N24" s="75" t="str">
        <f t="shared" si="54"/>
        <v>листопад</v>
      </c>
      <c r="O24" s="75" t="str">
        <f t="shared" si="54"/>
        <v>грудень</v>
      </c>
      <c r="P24" s="100" t="str">
        <f>$P$13</f>
        <v>Разом за 1-й рік</v>
      </c>
      <c r="Q24" s="100" t="str">
        <f>$Q$13</f>
        <v>Середньомісячно за 1-й рік</v>
      </c>
      <c r="R24" s="75" t="str">
        <f t="shared" ref="R24:AC24" si="55">R$5</f>
        <v>січень</v>
      </c>
      <c r="S24" s="75" t="str">
        <f t="shared" si="55"/>
        <v>лютий</v>
      </c>
      <c r="T24" s="75" t="str">
        <f t="shared" si="55"/>
        <v>березень</v>
      </c>
      <c r="U24" s="75" t="str">
        <f t="shared" si="55"/>
        <v>квітень</v>
      </c>
      <c r="V24" s="75" t="str">
        <f t="shared" si="55"/>
        <v>травень</v>
      </c>
      <c r="W24" s="75" t="str">
        <f t="shared" si="55"/>
        <v>червень</v>
      </c>
      <c r="X24" s="75" t="str">
        <f t="shared" si="55"/>
        <v>липень</v>
      </c>
      <c r="Y24" s="75" t="str">
        <f t="shared" si="55"/>
        <v>серпень</v>
      </c>
      <c r="Z24" s="75" t="str">
        <f t="shared" si="55"/>
        <v>вересень</v>
      </c>
      <c r="AA24" s="75" t="str">
        <f t="shared" si="55"/>
        <v>жовтень</v>
      </c>
      <c r="AB24" s="75" t="str">
        <f t="shared" si="55"/>
        <v>листопад</v>
      </c>
      <c r="AC24" s="75" t="str">
        <f t="shared" si="55"/>
        <v>грудень</v>
      </c>
      <c r="AD24" s="100" t="str">
        <f>$AD$13</f>
        <v>Разом за 2-й рік</v>
      </c>
      <c r="AE24" s="100" t="str">
        <f>$AE$13</f>
        <v>Середньомісячно за 2-й рік</v>
      </c>
      <c r="AF24" s="75" t="str">
        <f t="shared" ref="AF24:AQ24" si="56">AF$5</f>
        <v>січень</v>
      </c>
      <c r="AG24" s="75" t="str">
        <f t="shared" si="56"/>
        <v>лютий</v>
      </c>
      <c r="AH24" s="75" t="str">
        <f t="shared" si="56"/>
        <v>березень</v>
      </c>
      <c r="AI24" s="75" t="str">
        <f t="shared" si="56"/>
        <v>квітень</v>
      </c>
      <c r="AJ24" s="75" t="str">
        <f t="shared" si="56"/>
        <v>травень</v>
      </c>
      <c r="AK24" s="75" t="str">
        <f t="shared" si="56"/>
        <v>червень</v>
      </c>
      <c r="AL24" s="75" t="str">
        <f t="shared" si="56"/>
        <v>липень</v>
      </c>
      <c r="AM24" s="75" t="str">
        <f t="shared" si="56"/>
        <v>серпень</v>
      </c>
      <c r="AN24" s="75" t="str">
        <f t="shared" si="56"/>
        <v>вересень</v>
      </c>
      <c r="AO24" s="75" t="str">
        <f t="shared" si="56"/>
        <v>жовтень</v>
      </c>
      <c r="AP24" s="75" t="str">
        <f t="shared" si="56"/>
        <v>листопад</v>
      </c>
      <c r="AQ24" s="75" t="str">
        <f t="shared" si="56"/>
        <v>грудень</v>
      </c>
      <c r="AR24" s="100" t="str">
        <f>AR13</f>
        <v>Разом за 3-й рік</v>
      </c>
      <c r="AS24" s="100" t="str">
        <f>AS13</f>
        <v>Середньомісячно за 3-й рік</v>
      </c>
      <c r="AT24" s="196" t="str">
        <f>AT12</f>
        <v>Разом за три роки</v>
      </c>
    </row>
    <row r="25" spans="1:49" s="89" customFormat="1" ht="10.8" thickTop="1" x14ac:dyDescent="0.35">
      <c r="A25" s="101" t="str">
        <f>'Узагальнений розрахунок'!B11</f>
        <v>Авансовий платіж по оренді</v>
      </c>
      <c r="B25" s="85" t="str">
        <f>CHOOSE('Вхідні дані'!$R$2,'Вхідні дані'!$S$2,'Вхідні дані'!$S$3,'Вхідні дані'!$S$4,'Вхідні дані'!$S$5)</f>
        <v>UAH</v>
      </c>
      <c r="C25" s="86">
        <f>'Узагальнений розрахунок'!D11</f>
        <v>0</v>
      </c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7">
        <f>SUM(C25:O25)</f>
        <v>0</v>
      </c>
      <c r="Q25" s="87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7">
        <f t="shared" ref="AD25:AD34" si="57">SUM(R25:AC25)</f>
        <v>0</v>
      </c>
      <c r="AE25" s="87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7">
        <f t="shared" ref="AR25:AR34" si="58">SUM(AF25:AQ25)</f>
        <v>0</v>
      </c>
      <c r="AS25" s="87"/>
      <c r="AT25" s="82">
        <f t="shared" ref="AT25:AT35" si="59">P25+AD25+AR25</f>
        <v>0</v>
      </c>
      <c r="AU25" s="88"/>
    </row>
    <row r="26" spans="1:49" s="84" customFormat="1" ht="10.5" x14ac:dyDescent="0.35">
      <c r="A26" s="102" t="str">
        <f>'Узагальнений розрахунок'!B12</f>
        <v>Ремонт приміщення та вивіска</v>
      </c>
      <c r="B26" s="79" t="str">
        <f>CHOOSE('Вхідні дані'!$R$2,'Вхідні дані'!$S$2,'Вхідні дані'!$S$3,'Вхідні дані'!$S$4,'Вхідні дані'!$S$5)</f>
        <v>UAH</v>
      </c>
      <c r="C26" s="80">
        <f>'Узагальнений розрахунок'!D12</f>
        <v>105000</v>
      </c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1">
        <f t="shared" ref="P26:P34" si="60">SUM(C26:O26)</f>
        <v>105000</v>
      </c>
      <c r="Q26" s="81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1">
        <f t="shared" ref="AD26" si="61">SUM(R26:AC26)</f>
        <v>0</v>
      </c>
      <c r="AE26" s="81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1">
        <f t="shared" ref="AR26" si="62">SUM(AF26:AQ26)</f>
        <v>0</v>
      </c>
      <c r="AS26" s="81"/>
      <c r="AT26" s="82">
        <f t="shared" ref="AT26" si="63">P26+AD26+AR26</f>
        <v>105000</v>
      </c>
      <c r="AU26" s="83"/>
    </row>
    <row r="27" spans="1:49" s="89" customFormat="1" ht="10.5" x14ac:dyDescent="0.35">
      <c r="A27" s="101" t="str">
        <f>'Узагальнений розрахунок'!B13</f>
        <v>Сигналізація (охоронна та пожежна)</v>
      </c>
      <c r="B27" s="85" t="str">
        <f>CHOOSE('Вхідні дані'!$R$2,'Вхідні дані'!$S$2,'Вхідні дані'!$S$3,'Вхідні дані'!$S$4,'Вхідні дані'!$S$5)</f>
        <v>UAH</v>
      </c>
      <c r="C27" s="86">
        <f>'Узагальнений розрахунок'!D13</f>
        <v>0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7">
        <f t="shared" ref="P27:P29" si="64">SUM(C27:O27)</f>
        <v>0</v>
      </c>
      <c r="Q27" s="87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7">
        <f t="shared" ref="AD27:AD29" si="65">SUM(R27:AC27)</f>
        <v>0</v>
      </c>
      <c r="AE27" s="87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7">
        <f t="shared" ref="AR27:AR29" si="66">SUM(AF27:AQ27)</f>
        <v>0</v>
      </c>
      <c r="AS27" s="87"/>
      <c r="AT27" s="82">
        <f t="shared" ref="AT27:AT29" si="67">P27+AD27+AR27</f>
        <v>0</v>
      </c>
      <c r="AU27" s="88"/>
    </row>
    <row r="28" spans="1:49" s="84" customFormat="1" ht="10.5" x14ac:dyDescent="0.35">
      <c r="A28" s="102" t="str">
        <f>'Узагальнений розрахунок'!B14</f>
        <v>Відеоспостереження</v>
      </c>
      <c r="B28" s="79" t="str">
        <f>CHOOSE('Вхідні дані'!$R$2,'Вхідні дані'!$S$2,'Вхідні дані'!$S$3,'Вхідні дані'!$S$4,'Вхідні дані'!$S$5)</f>
        <v>UAH</v>
      </c>
      <c r="C28" s="80">
        <f>'Узагальнений розрахунок'!D14</f>
        <v>0</v>
      </c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1">
        <f t="shared" si="64"/>
        <v>0</v>
      </c>
      <c r="Q28" s="81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1">
        <f t="shared" si="65"/>
        <v>0</v>
      </c>
      <c r="AE28" s="81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1">
        <f t="shared" si="66"/>
        <v>0</v>
      </c>
      <c r="AS28" s="81"/>
      <c r="AT28" s="82">
        <f t="shared" si="67"/>
        <v>0</v>
      </c>
      <c r="AU28" s="83"/>
    </row>
    <row r="29" spans="1:49" s="89" customFormat="1" ht="10.5" x14ac:dyDescent="0.35">
      <c r="A29" s="101" t="str">
        <f>'Узагальнений розрахунок'!B15</f>
        <v>Меблі та обладнання</v>
      </c>
      <c r="B29" s="85" t="str">
        <f>CHOOSE('Вхідні дані'!$R$2,'Вхідні дані'!$S$2,'Вхідні дані'!$S$3,'Вхідні дані'!$S$4,'Вхідні дані'!$S$5)</f>
        <v>UAH</v>
      </c>
      <c r="C29" s="86">
        <f>'Узагальнений розрахунок'!D15</f>
        <v>471000</v>
      </c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7">
        <f t="shared" si="64"/>
        <v>471000</v>
      </c>
      <c r="Q29" s="87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7">
        <f t="shared" si="65"/>
        <v>0</v>
      </c>
      <c r="AE29" s="87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7">
        <f t="shared" si="66"/>
        <v>0</v>
      </c>
      <c r="AS29" s="87"/>
      <c r="AT29" s="82">
        <f t="shared" si="67"/>
        <v>471000</v>
      </c>
      <c r="AU29" s="88"/>
    </row>
    <row r="30" spans="1:49" s="84" customFormat="1" ht="10.5" x14ac:dyDescent="0.35">
      <c r="A30" s="102" t="str">
        <f>'Узагальнений розрахунок'!B16</f>
        <v>Комп'ютери, каси та інша техніка</v>
      </c>
      <c r="B30" s="79" t="str">
        <f>CHOOSE('Вхідні дані'!$R$2,'Вхідні дані'!$S$2,'Вхідні дані'!$S$3,'Вхідні дані'!$S$4,'Вхідні дані'!$S$5)</f>
        <v>UAH</v>
      </c>
      <c r="C30" s="80">
        <f>'Узагальнений розрахунок'!D16</f>
        <v>15000</v>
      </c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1">
        <f t="shared" ref="P30:P31" si="68">SUM(C30:O30)</f>
        <v>15000</v>
      </c>
      <c r="Q30" s="81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1">
        <f t="shared" ref="AD30:AD31" si="69">SUM(R30:AC30)</f>
        <v>0</v>
      </c>
      <c r="AE30" s="81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1">
        <f t="shared" ref="AR30:AR31" si="70">SUM(AF30:AQ30)</f>
        <v>0</v>
      </c>
      <c r="AS30" s="81"/>
      <c r="AT30" s="82">
        <f t="shared" ref="AT30:AT31" si="71">P30+AD30+AR30</f>
        <v>15000</v>
      </c>
      <c r="AU30" s="83"/>
    </row>
    <row r="31" spans="1:49" s="89" customFormat="1" ht="10.5" x14ac:dyDescent="0.35">
      <c r="A31" s="101" t="str">
        <f>'Узагальнений розрахунок'!B17</f>
        <v>Первісний закуп товарів</v>
      </c>
      <c r="B31" s="85" t="str">
        <f>CHOOSE('Вхідні дані'!$R$2,'Вхідні дані'!$S$2,'Вхідні дані'!$S$3,'Вхідні дані'!$S$4,'Вхідні дані'!$S$5)</f>
        <v>UAH</v>
      </c>
      <c r="C31" s="86">
        <f>'Узагальнений розрахунок'!D17</f>
        <v>30000</v>
      </c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>
        <f t="shared" si="68"/>
        <v>30000</v>
      </c>
      <c r="Q31" s="87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7">
        <f t="shared" si="69"/>
        <v>0</v>
      </c>
      <c r="AE31" s="87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7">
        <f t="shared" si="70"/>
        <v>0</v>
      </c>
      <c r="AS31" s="87"/>
      <c r="AT31" s="82">
        <f t="shared" si="71"/>
        <v>30000</v>
      </c>
      <c r="AU31" s="88"/>
    </row>
    <row r="32" spans="1:49" s="84" customFormat="1" ht="10.5" x14ac:dyDescent="0.35">
      <c r="A32" s="102" t="str">
        <f>'Узагальнений розрахунок'!B18</f>
        <v>Рекламна кампанія до відкриття</v>
      </c>
      <c r="B32" s="79" t="str">
        <f>CHOOSE('Вхідні дані'!$R$2,'Вхідні дані'!$S$2,'Вхідні дані'!$S$3,'Вхідні дані'!$S$4,'Вхідні дані'!$S$5)</f>
        <v>UAH</v>
      </c>
      <c r="C32" s="80">
        <f>'Узагальнений розрахунок'!D18</f>
        <v>0</v>
      </c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1">
        <f t="shared" si="60"/>
        <v>0</v>
      </c>
      <c r="Q32" s="81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1">
        <f t="shared" si="57"/>
        <v>0</v>
      </c>
      <c r="AE32" s="81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1">
        <f t="shared" si="58"/>
        <v>0</v>
      </c>
      <c r="AS32" s="81"/>
      <c r="AT32" s="82">
        <f t="shared" si="59"/>
        <v>0</v>
      </c>
      <c r="AU32" s="83"/>
    </row>
    <row r="33" spans="1:47" s="89" customFormat="1" ht="10.5" x14ac:dyDescent="0.35">
      <c r="A33" s="101" t="str">
        <f>'Узагальнений розрахунок'!B19</f>
        <v>Паушальний внесок</v>
      </c>
      <c r="B33" s="85" t="str">
        <f>CHOOSE('Вхідні дані'!$R$2,'Вхідні дані'!$S$2,'Вхідні дані'!$S$3,'Вхідні дані'!$S$4,'Вхідні дані'!$S$5)</f>
        <v>UAH</v>
      </c>
      <c r="C33" s="86">
        <f>'Узагальнений розрахунок'!D19</f>
        <v>196000</v>
      </c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7">
        <f t="shared" si="60"/>
        <v>196000</v>
      </c>
      <c r="Q33" s="87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7">
        <f t="shared" si="57"/>
        <v>0</v>
      </c>
      <c r="AE33" s="87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7">
        <f t="shared" si="58"/>
        <v>0</v>
      </c>
      <c r="AS33" s="87"/>
      <c r="AT33" s="82">
        <f t="shared" si="59"/>
        <v>196000</v>
      </c>
      <c r="AU33" s="88"/>
    </row>
    <row r="34" spans="1:47" s="84" customFormat="1" ht="10.5" x14ac:dyDescent="0.35">
      <c r="A34" s="102" t="str">
        <f>'Узагальнений розрахунок'!B20</f>
        <v>Інше</v>
      </c>
      <c r="B34" s="79" t="str">
        <f>CHOOSE('Вхідні дані'!$R$2,'Вхідні дані'!$S$2,'Вхідні дані'!$S$3,'Вхідні дані'!$S$4,'Вхідні дані'!$S$5)</f>
        <v>UAH</v>
      </c>
      <c r="C34" s="80">
        <f>'Узагальнений розрахунок'!D20</f>
        <v>0</v>
      </c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1">
        <f t="shared" si="60"/>
        <v>0</v>
      </c>
      <c r="Q34" s="81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1">
        <f t="shared" si="57"/>
        <v>0</v>
      </c>
      <c r="AE34" s="81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1">
        <f t="shared" si="58"/>
        <v>0</v>
      </c>
      <c r="AS34" s="81"/>
      <c r="AT34" s="82">
        <f t="shared" si="59"/>
        <v>0</v>
      </c>
      <c r="AU34" s="83"/>
    </row>
    <row r="35" spans="1:47" s="94" customFormat="1" ht="10.5" x14ac:dyDescent="0.35">
      <c r="A35" s="90" t="str">
        <f>A22</f>
        <v>Разом</v>
      </c>
      <c r="B35" s="91" t="str">
        <f>CHOOSE('Вхідні дані'!$R$2,'Вхідні дані'!$S$2,'Вхідні дані'!$S$3,'Вхідні дані'!$S$4,'Вхідні дані'!$S$5)</f>
        <v>UAH</v>
      </c>
      <c r="C35" s="92">
        <f t="shared" ref="C35:P35" si="72">SUM(C25:C34)</f>
        <v>817000</v>
      </c>
      <c r="D35" s="92">
        <f t="shared" si="72"/>
        <v>0</v>
      </c>
      <c r="E35" s="92">
        <f t="shared" si="72"/>
        <v>0</v>
      </c>
      <c r="F35" s="92">
        <f t="shared" si="72"/>
        <v>0</v>
      </c>
      <c r="G35" s="92">
        <f t="shared" si="72"/>
        <v>0</v>
      </c>
      <c r="H35" s="92">
        <f t="shared" si="72"/>
        <v>0</v>
      </c>
      <c r="I35" s="92">
        <f t="shared" si="72"/>
        <v>0</v>
      </c>
      <c r="J35" s="92">
        <f t="shared" si="72"/>
        <v>0</v>
      </c>
      <c r="K35" s="92">
        <f t="shared" si="72"/>
        <v>0</v>
      </c>
      <c r="L35" s="92">
        <f t="shared" si="72"/>
        <v>0</v>
      </c>
      <c r="M35" s="92">
        <f t="shared" si="72"/>
        <v>0</v>
      </c>
      <c r="N35" s="92">
        <f t="shared" si="72"/>
        <v>0</v>
      </c>
      <c r="O35" s="92">
        <f t="shared" si="72"/>
        <v>0</v>
      </c>
      <c r="P35" s="92">
        <f t="shared" si="72"/>
        <v>817000</v>
      </c>
      <c r="Q35" s="92"/>
      <c r="R35" s="92">
        <f t="shared" ref="R35:AD35" si="73">SUM(R25:R34)</f>
        <v>0</v>
      </c>
      <c r="S35" s="92">
        <f t="shared" si="73"/>
        <v>0</v>
      </c>
      <c r="T35" s="92">
        <f t="shared" si="73"/>
        <v>0</v>
      </c>
      <c r="U35" s="92">
        <f t="shared" si="73"/>
        <v>0</v>
      </c>
      <c r="V35" s="92">
        <f t="shared" si="73"/>
        <v>0</v>
      </c>
      <c r="W35" s="92">
        <f t="shared" si="73"/>
        <v>0</v>
      </c>
      <c r="X35" s="92">
        <f t="shared" si="73"/>
        <v>0</v>
      </c>
      <c r="Y35" s="92">
        <f t="shared" si="73"/>
        <v>0</v>
      </c>
      <c r="Z35" s="92">
        <f t="shared" si="73"/>
        <v>0</v>
      </c>
      <c r="AA35" s="92">
        <f t="shared" si="73"/>
        <v>0</v>
      </c>
      <c r="AB35" s="92">
        <f t="shared" si="73"/>
        <v>0</v>
      </c>
      <c r="AC35" s="92">
        <f t="shared" si="73"/>
        <v>0</v>
      </c>
      <c r="AD35" s="92">
        <f t="shared" si="73"/>
        <v>0</v>
      </c>
      <c r="AE35" s="92"/>
      <c r="AF35" s="92">
        <f t="shared" ref="AF35:AR35" si="74">SUM(AF25:AF34)</f>
        <v>0</v>
      </c>
      <c r="AG35" s="92">
        <f t="shared" si="74"/>
        <v>0</v>
      </c>
      <c r="AH35" s="92">
        <f t="shared" si="74"/>
        <v>0</v>
      </c>
      <c r="AI35" s="92">
        <f t="shared" si="74"/>
        <v>0</v>
      </c>
      <c r="AJ35" s="92">
        <f t="shared" si="74"/>
        <v>0</v>
      </c>
      <c r="AK35" s="92">
        <f t="shared" si="74"/>
        <v>0</v>
      </c>
      <c r="AL35" s="92">
        <f t="shared" si="74"/>
        <v>0</v>
      </c>
      <c r="AM35" s="92">
        <f t="shared" si="74"/>
        <v>0</v>
      </c>
      <c r="AN35" s="92">
        <f t="shared" si="74"/>
        <v>0</v>
      </c>
      <c r="AO35" s="92">
        <f t="shared" si="74"/>
        <v>0</v>
      </c>
      <c r="AP35" s="92">
        <f t="shared" si="74"/>
        <v>0</v>
      </c>
      <c r="AQ35" s="92">
        <f t="shared" si="74"/>
        <v>0</v>
      </c>
      <c r="AR35" s="92">
        <f t="shared" si="74"/>
        <v>0</v>
      </c>
      <c r="AS35" s="92"/>
      <c r="AT35" s="103">
        <f t="shared" si="59"/>
        <v>817000</v>
      </c>
      <c r="AU35" s="93"/>
    </row>
    <row r="36" spans="1:47" s="94" customFormat="1" ht="10.8" thickBot="1" x14ac:dyDescent="0.4">
      <c r="A36" s="194"/>
      <c r="B36" s="85"/>
      <c r="C36" s="8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A36" s="195"/>
      <c r="AB36" s="195"/>
      <c r="AC36" s="195"/>
      <c r="AD36" s="195"/>
      <c r="AE36" s="195"/>
      <c r="AF36" s="195"/>
      <c r="AG36" s="195"/>
      <c r="AH36" s="195"/>
      <c r="AI36" s="195"/>
      <c r="AJ36" s="195"/>
      <c r="AK36" s="195"/>
      <c r="AL36" s="195"/>
      <c r="AM36" s="195"/>
      <c r="AN36" s="195"/>
      <c r="AO36" s="195"/>
      <c r="AP36" s="195"/>
      <c r="AQ36" s="195"/>
      <c r="AR36" s="195"/>
      <c r="AS36" s="195"/>
      <c r="AT36" s="198"/>
      <c r="AU36" s="93"/>
    </row>
    <row r="37" spans="1:47" s="203" customFormat="1" ht="10.5" hidden="1" x14ac:dyDescent="0.35">
      <c r="A37" s="199" t="s">
        <v>107</v>
      </c>
      <c r="B37" s="204" t="e">
        <f>'Вхідні дані'!#REF!</f>
        <v>#REF!</v>
      </c>
      <c r="C37" s="204"/>
      <c r="D37" s="200" t="e">
        <f>IF(D18&gt;$B$37,1,0)</f>
        <v>#REF!</v>
      </c>
      <c r="E37" s="200" t="e">
        <f t="shared" ref="E37:O37" si="75">IF(OR(E18&gt;$B$37,D37=1),1,0)</f>
        <v>#REF!</v>
      </c>
      <c r="F37" s="200" t="e">
        <f t="shared" si="75"/>
        <v>#REF!</v>
      </c>
      <c r="G37" s="200" t="e">
        <f t="shared" si="75"/>
        <v>#REF!</v>
      </c>
      <c r="H37" s="200" t="e">
        <f t="shared" si="75"/>
        <v>#REF!</v>
      </c>
      <c r="I37" s="200" t="e">
        <f t="shared" si="75"/>
        <v>#REF!</v>
      </c>
      <c r="J37" s="200" t="e">
        <f t="shared" si="75"/>
        <v>#REF!</v>
      </c>
      <c r="K37" s="200" t="e">
        <f t="shared" si="75"/>
        <v>#REF!</v>
      </c>
      <c r="L37" s="200" t="e">
        <f t="shared" si="75"/>
        <v>#REF!</v>
      </c>
      <c r="M37" s="200" t="e">
        <f t="shared" si="75"/>
        <v>#REF!</v>
      </c>
      <c r="N37" s="200" t="e">
        <f t="shared" si="75"/>
        <v>#REF!</v>
      </c>
      <c r="O37" s="200" t="e">
        <f t="shared" si="75"/>
        <v>#REF!</v>
      </c>
      <c r="P37" s="200"/>
      <c r="Q37" s="200"/>
      <c r="R37" s="200" t="e">
        <f>IF(OR(R18&gt;$B$37,O37=1),1,0)</f>
        <v>#REF!</v>
      </c>
      <c r="S37" s="200" t="e">
        <f t="shared" ref="S37:AC37" si="76">IF(OR(S18&gt;$B$37,R37=1),1,0)</f>
        <v>#REF!</v>
      </c>
      <c r="T37" s="200" t="e">
        <f t="shared" si="76"/>
        <v>#REF!</v>
      </c>
      <c r="U37" s="200" t="e">
        <f t="shared" si="76"/>
        <v>#REF!</v>
      </c>
      <c r="V37" s="200" t="e">
        <f t="shared" si="76"/>
        <v>#REF!</v>
      </c>
      <c r="W37" s="200" t="e">
        <f t="shared" si="76"/>
        <v>#REF!</v>
      </c>
      <c r="X37" s="200" t="e">
        <f t="shared" si="76"/>
        <v>#REF!</v>
      </c>
      <c r="Y37" s="200" t="e">
        <f t="shared" si="76"/>
        <v>#REF!</v>
      </c>
      <c r="Z37" s="200" t="e">
        <f t="shared" si="76"/>
        <v>#REF!</v>
      </c>
      <c r="AA37" s="200" t="e">
        <f t="shared" si="76"/>
        <v>#REF!</v>
      </c>
      <c r="AB37" s="200" t="e">
        <f t="shared" si="76"/>
        <v>#REF!</v>
      </c>
      <c r="AC37" s="200" t="e">
        <f t="shared" si="76"/>
        <v>#REF!</v>
      </c>
      <c r="AD37" s="200"/>
      <c r="AE37" s="200"/>
      <c r="AF37" s="200" t="e">
        <f>IF(OR(AF18&gt;$B$37,AC37=1),1,0)</f>
        <v>#REF!</v>
      </c>
      <c r="AG37" s="200" t="e">
        <f t="shared" ref="AG37:AQ37" si="77">IF(OR(AG18&gt;$B$37,AF37=1),1,0)</f>
        <v>#REF!</v>
      </c>
      <c r="AH37" s="200" t="e">
        <f t="shared" si="77"/>
        <v>#REF!</v>
      </c>
      <c r="AI37" s="200" t="e">
        <f t="shared" si="77"/>
        <v>#REF!</v>
      </c>
      <c r="AJ37" s="200" t="e">
        <f t="shared" si="77"/>
        <v>#REF!</v>
      </c>
      <c r="AK37" s="200" t="e">
        <f t="shared" si="77"/>
        <v>#REF!</v>
      </c>
      <c r="AL37" s="200" t="e">
        <f t="shared" si="77"/>
        <v>#REF!</v>
      </c>
      <c r="AM37" s="200" t="e">
        <f t="shared" si="77"/>
        <v>#REF!</v>
      </c>
      <c r="AN37" s="200" t="e">
        <f t="shared" si="77"/>
        <v>#REF!</v>
      </c>
      <c r="AO37" s="200" t="e">
        <f t="shared" si="77"/>
        <v>#REF!</v>
      </c>
      <c r="AP37" s="200" t="e">
        <f t="shared" si="77"/>
        <v>#REF!</v>
      </c>
      <c r="AQ37" s="200" t="e">
        <f t="shared" si="77"/>
        <v>#REF!</v>
      </c>
      <c r="AR37" s="200"/>
      <c r="AS37" s="200"/>
      <c r="AT37" s="201"/>
      <c r="AU37" s="202"/>
    </row>
    <row r="38" spans="1:47" s="108" customFormat="1" ht="10.8" hidden="1" thickBot="1" x14ac:dyDescent="0.4">
      <c r="A38" s="104"/>
      <c r="B38" s="105"/>
      <c r="C38" s="105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7"/>
    </row>
    <row r="39" spans="1:47" s="8" customFormat="1" ht="21.6" thickTop="1" thickBot="1" x14ac:dyDescent="0.4">
      <c r="A39" s="69" t="s">
        <v>77</v>
      </c>
      <c r="B39" s="99"/>
      <c r="C39" s="75" t="str">
        <f t="shared" ref="C39:O39" si="78">C$5</f>
        <v>Нульовий період</v>
      </c>
      <c r="D39" s="75" t="str">
        <f t="shared" si="78"/>
        <v>січень</v>
      </c>
      <c r="E39" s="75" t="str">
        <f t="shared" si="78"/>
        <v>лютий</v>
      </c>
      <c r="F39" s="75" t="str">
        <f t="shared" si="78"/>
        <v>березень</v>
      </c>
      <c r="G39" s="75" t="str">
        <f t="shared" si="78"/>
        <v>квітень</v>
      </c>
      <c r="H39" s="75" t="str">
        <f t="shared" si="78"/>
        <v>травень</v>
      </c>
      <c r="I39" s="75" t="str">
        <f t="shared" si="78"/>
        <v>червень</v>
      </c>
      <c r="J39" s="75" t="str">
        <f t="shared" si="78"/>
        <v>липень</v>
      </c>
      <c r="K39" s="75" t="str">
        <f t="shared" si="78"/>
        <v>серпень</v>
      </c>
      <c r="L39" s="75" t="str">
        <f t="shared" si="78"/>
        <v>вересень</v>
      </c>
      <c r="M39" s="75" t="str">
        <f t="shared" si="78"/>
        <v>жовтень</v>
      </c>
      <c r="N39" s="75" t="str">
        <f t="shared" si="78"/>
        <v>листопад</v>
      </c>
      <c r="O39" s="75" t="str">
        <f t="shared" si="78"/>
        <v>грудень</v>
      </c>
      <c r="P39" s="100" t="str">
        <f>$P$13</f>
        <v>Разом за 1-й рік</v>
      </c>
      <c r="Q39" s="100" t="str">
        <f>$Q$13</f>
        <v>Середньомісячно за 1-й рік</v>
      </c>
      <c r="R39" s="75" t="str">
        <f t="shared" ref="R39:AC39" si="79">R$5</f>
        <v>січень</v>
      </c>
      <c r="S39" s="75" t="str">
        <f t="shared" si="79"/>
        <v>лютий</v>
      </c>
      <c r="T39" s="75" t="str">
        <f t="shared" si="79"/>
        <v>березень</v>
      </c>
      <c r="U39" s="75" t="str">
        <f t="shared" si="79"/>
        <v>квітень</v>
      </c>
      <c r="V39" s="75" t="str">
        <f t="shared" si="79"/>
        <v>травень</v>
      </c>
      <c r="W39" s="75" t="str">
        <f t="shared" si="79"/>
        <v>червень</v>
      </c>
      <c r="X39" s="75" t="str">
        <f t="shared" si="79"/>
        <v>липень</v>
      </c>
      <c r="Y39" s="75" t="str">
        <f t="shared" si="79"/>
        <v>серпень</v>
      </c>
      <c r="Z39" s="75" t="str">
        <f t="shared" si="79"/>
        <v>вересень</v>
      </c>
      <c r="AA39" s="75" t="str">
        <f t="shared" si="79"/>
        <v>жовтень</v>
      </c>
      <c r="AB39" s="75" t="str">
        <f t="shared" si="79"/>
        <v>листопад</v>
      </c>
      <c r="AC39" s="75" t="str">
        <f t="shared" si="79"/>
        <v>грудень</v>
      </c>
      <c r="AD39" s="100" t="str">
        <f>AD24</f>
        <v>Разом за 2-й рік</v>
      </c>
      <c r="AE39" s="100" t="str">
        <f>AE24</f>
        <v>Середньомісячно за 2-й рік</v>
      </c>
      <c r="AF39" s="75" t="str">
        <f t="shared" ref="AF39:AQ39" si="80">AF$5</f>
        <v>січень</v>
      </c>
      <c r="AG39" s="75" t="str">
        <f t="shared" si="80"/>
        <v>лютий</v>
      </c>
      <c r="AH39" s="75" t="str">
        <f t="shared" si="80"/>
        <v>березень</v>
      </c>
      <c r="AI39" s="75" t="str">
        <f t="shared" si="80"/>
        <v>квітень</v>
      </c>
      <c r="AJ39" s="75" t="str">
        <f t="shared" si="80"/>
        <v>травень</v>
      </c>
      <c r="AK39" s="75" t="str">
        <f t="shared" si="80"/>
        <v>червень</v>
      </c>
      <c r="AL39" s="75" t="str">
        <f t="shared" si="80"/>
        <v>липень</v>
      </c>
      <c r="AM39" s="75" t="str">
        <f t="shared" si="80"/>
        <v>серпень</v>
      </c>
      <c r="AN39" s="75" t="str">
        <f t="shared" si="80"/>
        <v>вересень</v>
      </c>
      <c r="AO39" s="75" t="str">
        <f t="shared" si="80"/>
        <v>жовтень</v>
      </c>
      <c r="AP39" s="75" t="str">
        <f t="shared" si="80"/>
        <v>листопад</v>
      </c>
      <c r="AQ39" s="75" t="str">
        <f t="shared" si="80"/>
        <v>грудень</v>
      </c>
      <c r="AR39" s="100" t="str">
        <f>AR24</f>
        <v>Разом за 3-й рік</v>
      </c>
      <c r="AS39" s="100" t="str">
        <f>AS24</f>
        <v>Середньомісячно за 3-й рік</v>
      </c>
      <c r="AT39" s="196" t="str">
        <f>AT24</f>
        <v>Разом за три роки</v>
      </c>
    </row>
    <row r="40" spans="1:47" s="89" customFormat="1" ht="10.8" thickTop="1" x14ac:dyDescent="0.35">
      <c r="A40" s="101" t="str">
        <f>'Узагальнений розрахунок'!B30</f>
        <v>Зарплата персоналу</v>
      </c>
      <c r="B40" s="85" t="str">
        <f>CHOOSE('Вхідні дані'!$R$2,'Вхідні дані'!$S$2,'Вхідні дані'!$S$3,'Вхідні дані'!$S$4,'Вхідні дані'!$S$5)</f>
        <v>UAH</v>
      </c>
      <c r="C40" s="85"/>
      <c r="D40" s="86">
        <f>D8*'Узагальнений розрахунок'!$D$25*'Узагальнений розрахунок'!$E$25*'Узагальнений розрахунок'!$F$25+D18*'Узагальнений розрахунок'!$G$25</f>
        <v>15000</v>
      </c>
      <c r="E40" s="86">
        <f>E8*'Узагальнений розрахунок'!$D$25*'Узагальнений розрахунок'!$E$25*'Узагальнений розрахунок'!$F$25+E18*'Узагальнений розрахунок'!$G$25</f>
        <v>15000</v>
      </c>
      <c r="F40" s="86">
        <f>F8*'Узагальнений розрахунок'!$D$25*'Узагальнений розрахунок'!$E$25*'Узагальнений розрахунок'!$F$25+F18*'Узагальнений розрахунок'!$G$25</f>
        <v>15000</v>
      </c>
      <c r="G40" s="86">
        <f>G8*'Узагальнений розрахунок'!$D$25*'Узагальнений розрахунок'!$E$25*'Узагальнений розрахунок'!$F$25+G18*'Узагальнений розрахунок'!$G$25</f>
        <v>15000</v>
      </c>
      <c r="H40" s="86">
        <f>H8*'Узагальнений розрахунок'!$D$25*'Узагальнений розрахунок'!$E$25*'Узагальнений розрахунок'!$F$25+H18*'Узагальнений розрахунок'!$G$25</f>
        <v>15000</v>
      </c>
      <c r="I40" s="86">
        <f>I8*'Узагальнений розрахунок'!$D$25*'Узагальнений розрахунок'!$E$25*'Узагальнений розрахунок'!$F$25+I18*'Узагальнений розрахунок'!$G$25</f>
        <v>15000</v>
      </c>
      <c r="J40" s="86">
        <f>J8*'Узагальнений розрахунок'!$D$25*'Узагальнений розрахунок'!$E$25*'Узагальнений розрахунок'!$F$25+J18*'Узагальнений розрахунок'!$G$25</f>
        <v>15000</v>
      </c>
      <c r="K40" s="86">
        <f>K8*'Узагальнений розрахунок'!$D$25*'Узагальнений розрахунок'!$E$25*'Узагальнений розрахунок'!$F$25+K18*'Узагальнений розрахунок'!$G$25</f>
        <v>15000</v>
      </c>
      <c r="L40" s="86">
        <f>L8*'Узагальнений розрахунок'!$D$25*'Узагальнений розрахунок'!$E$25*'Узагальнений розрахунок'!$F$25+L18*'Узагальнений розрахунок'!$G$25</f>
        <v>15000</v>
      </c>
      <c r="M40" s="86">
        <f>M8*'Узагальнений розрахунок'!$D$25*'Узагальнений розрахунок'!$E$25*'Узагальнений розрахунок'!$F$25+M18*'Узагальнений розрахунок'!$G$25</f>
        <v>15000</v>
      </c>
      <c r="N40" s="86">
        <f>N8*'Узагальнений розрахунок'!$D$25*'Узагальнений розрахунок'!$E$25*'Узагальнений розрахунок'!$F$25+N18*'Узагальнений розрахунок'!$G$25</f>
        <v>15000</v>
      </c>
      <c r="O40" s="86">
        <f>O8*'Узагальнений розрахунок'!$D$25*'Узагальнений розрахунок'!$E$25*'Узагальнений розрахунок'!$F$25+O18*'Узагальнений розрахунок'!$G$25</f>
        <v>15000</v>
      </c>
      <c r="P40" s="87">
        <f t="shared" ref="P40:P45" si="81">SUM(D40:O40)</f>
        <v>180000</v>
      </c>
      <c r="Q40" s="87">
        <f t="shared" ref="Q40:Q45" si="82">P40/12</f>
        <v>15000</v>
      </c>
      <c r="R40" s="86">
        <f>R8*'Узагальнений розрахунок'!$D$25*'Узагальнений розрахунок'!$E$25*'Узагальнений розрахунок'!$F$25+R18*'Узагальнений розрахунок'!$G$25</f>
        <v>15000</v>
      </c>
      <c r="S40" s="86">
        <f>S8*'Узагальнений розрахунок'!$D$25*'Узагальнений розрахунок'!$E$25*'Узагальнений розрахунок'!$F$25+S18*'Узагальнений розрахунок'!$G$25</f>
        <v>15000</v>
      </c>
      <c r="T40" s="86">
        <f>T8*'Узагальнений розрахунок'!$D$25*'Узагальнений розрахунок'!$E$25*'Узагальнений розрахунок'!$F$25+T18*'Узагальнений розрахунок'!$G$25</f>
        <v>15000</v>
      </c>
      <c r="U40" s="86">
        <f>U8*'Узагальнений розрахунок'!$D$25*'Узагальнений розрахунок'!$E$25*'Узагальнений розрахунок'!$F$25+U18*'Узагальнений розрахунок'!$G$25</f>
        <v>15000</v>
      </c>
      <c r="V40" s="86">
        <f>V8*'Узагальнений розрахунок'!$D$25*'Узагальнений розрахунок'!$E$25*'Узагальнений розрахунок'!$F$25+V18*'Узагальнений розрахунок'!$G$25</f>
        <v>15000</v>
      </c>
      <c r="W40" s="86">
        <f>W8*'Узагальнений розрахунок'!$D$25*'Узагальнений розрахунок'!$E$25*'Узагальнений розрахунок'!$F$25+W18*'Узагальнений розрахунок'!$G$25</f>
        <v>15000</v>
      </c>
      <c r="X40" s="86">
        <f>X8*'Узагальнений розрахунок'!$D$25*'Узагальнений розрахунок'!$E$25*'Узагальнений розрахунок'!$F$25+X18*'Узагальнений розрахунок'!$G$25</f>
        <v>15000</v>
      </c>
      <c r="Y40" s="86">
        <f>Y8*'Узагальнений розрахунок'!$D$25*'Узагальнений розрахунок'!$E$25*'Узагальнений розрахунок'!$F$25+Y18*'Узагальнений розрахунок'!$G$25</f>
        <v>15000</v>
      </c>
      <c r="Z40" s="86">
        <f>Z8*'Узагальнений розрахунок'!$D$25*'Узагальнений розрахунок'!$E$25*'Узагальнений розрахунок'!$F$25+Z18*'Узагальнений розрахунок'!$G$25</f>
        <v>15000</v>
      </c>
      <c r="AA40" s="86">
        <f>AA8*'Узагальнений розрахунок'!$D$25*'Узагальнений розрахунок'!$E$25*'Узагальнений розрахунок'!$F$25+AA18*'Узагальнений розрахунок'!$G$25</f>
        <v>15000</v>
      </c>
      <c r="AB40" s="86">
        <f>AB8*'Узагальнений розрахунок'!$D$25*'Узагальнений розрахунок'!$E$25*'Узагальнений розрахунок'!$F$25+AB18*'Узагальнений розрахунок'!$G$25</f>
        <v>15000</v>
      </c>
      <c r="AC40" s="86">
        <f>AC8*'Узагальнений розрахунок'!$D$25*'Узагальнений розрахунок'!$E$25*'Узагальнений розрахунок'!$F$25+AC18*'Узагальнений розрахунок'!$G$25</f>
        <v>15000</v>
      </c>
      <c r="AD40" s="87">
        <f t="shared" ref="AD40:AD45" si="83">SUM(R40:AC40)</f>
        <v>180000</v>
      </c>
      <c r="AE40" s="87">
        <f t="shared" ref="AE40:AE45" si="84">AD40/12</f>
        <v>15000</v>
      </c>
      <c r="AF40" s="86">
        <f>AF8*'Узагальнений розрахунок'!$D$25*'Узагальнений розрахунок'!$E$25*'Узагальнений розрахунок'!$F$25+AF18*'Узагальнений розрахунок'!$G$25</f>
        <v>15000</v>
      </c>
      <c r="AG40" s="86">
        <f>AG8*'Узагальнений розрахунок'!$D$25*'Узагальнений розрахунок'!$E$25*'Узагальнений розрахунок'!$F$25+AG18*'Узагальнений розрахунок'!$G$25</f>
        <v>15000</v>
      </c>
      <c r="AH40" s="86">
        <f>AH8*'Узагальнений розрахунок'!$D$25*'Узагальнений розрахунок'!$E$25*'Узагальнений розрахунок'!$F$25+AH18*'Узагальнений розрахунок'!$G$25</f>
        <v>15000</v>
      </c>
      <c r="AI40" s="86">
        <f>AI8*'Узагальнений розрахунок'!$D$25*'Узагальнений розрахунок'!$E$25*'Узагальнений розрахунок'!$F$25+AI18*'Узагальнений розрахунок'!$G$25</f>
        <v>15000</v>
      </c>
      <c r="AJ40" s="86">
        <f>AJ8*'Узагальнений розрахунок'!$D$25*'Узагальнений розрахунок'!$E$25*'Узагальнений розрахунок'!$F$25+AJ18*'Узагальнений розрахунок'!$G$25</f>
        <v>15000</v>
      </c>
      <c r="AK40" s="86">
        <f>AK8*'Узагальнений розрахунок'!$D$25*'Узагальнений розрахунок'!$E$25*'Узагальнений розрахунок'!$F$25+AK18*'Узагальнений розрахунок'!$G$25</f>
        <v>15000</v>
      </c>
      <c r="AL40" s="86">
        <f>AL8*'Узагальнений розрахунок'!$D$25*'Узагальнений розрахунок'!$E$25*'Узагальнений розрахунок'!$F$25+AL18*'Узагальнений розрахунок'!$G$25</f>
        <v>15000</v>
      </c>
      <c r="AM40" s="86">
        <f>AM8*'Узагальнений розрахунок'!$D$25*'Узагальнений розрахунок'!$E$25*'Узагальнений розрахунок'!$F$25+AM18*'Узагальнений розрахунок'!$G$25</f>
        <v>15000</v>
      </c>
      <c r="AN40" s="86">
        <f>AN8*'Узагальнений розрахунок'!$D$25*'Узагальнений розрахунок'!$E$25*'Узагальнений розрахунок'!$F$25+AN18*'Узагальнений розрахунок'!$G$25</f>
        <v>15000</v>
      </c>
      <c r="AO40" s="86">
        <f>AO8*'Узагальнений розрахунок'!$D$25*'Узагальнений розрахунок'!$E$25*'Узагальнений розрахунок'!$F$25+AO18*'Узагальнений розрахунок'!$G$25</f>
        <v>15000</v>
      </c>
      <c r="AP40" s="86">
        <f>AP8*'Узагальнений розрахунок'!$D$25*'Узагальнений розрахунок'!$E$25*'Узагальнений розрахунок'!$F$25+AP18*'Узагальнений розрахунок'!$G$25</f>
        <v>15000</v>
      </c>
      <c r="AQ40" s="86">
        <f>AQ8*'Узагальнений розрахунок'!$D$25*'Узагальнений розрахунок'!$E$25*'Узагальнений розрахунок'!$F$25+AQ18*'Узагальнений розрахунок'!$G$25</f>
        <v>15000</v>
      </c>
      <c r="AR40" s="87">
        <f t="shared" ref="AR40:AR45" si="85">SUM(AF40:AQ40)</f>
        <v>180000</v>
      </c>
      <c r="AS40" s="87">
        <f t="shared" ref="AS40:AS45" si="86">AR40/12</f>
        <v>15000</v>
      </c>
      <c r="AT40" s="82">
        <f t="shared" ref="AT40:AT45" si="87">P40+AD40+AR40</f>
        <v>540000</v>
      </c>
      <c r="AU40" s="88"/>
    </row>
    <row r="41" spans="1:47" s="84" customFormat="1" ht="10.5" x14ac:dyDescent="0.35">
      <c r="A41" s="102" t="str">
        <f>'Узагальнений розрахунок'!B31</f>
        <v>Роялті</v>
      </c>
      <c r="B41" s="79" t="str">
        <f>CHOOSE('Вхідні дані'!$R$2,'Вхідні дані'!$S$2,'Вхідні дані'!$S$3,'Вхідні дані'!$S$4,'Вхідні дані'!$S$5)</f>
        <v>UAH</v>
      </c>
      <c r="C41" s="79"/>
      <c r="D41" s="80">
        <f>CHOOSE('Узагальнений розрахунок'!$P$1,IF('Вхідні дані'!$R$91=1,D18*'Вхідні дані'!$D$91,'Вхідні дані'!$E$92),IF('Вхідні дані'!$R$91=1,D18*'Вхідні дані'!$H$91,'Вхідні дані'!$I$92),IF('Вхідні дані'!$R$91=1,D18*'Вхідні дані'!$L$91,'Вхідні дані'!$M$92))</f>
        <v>2000</v>
      </c>
      <c r="E41" s="80">
        <f>CHOOSE('Узагальнений розрахунок'!$P$1,IF('Вхідні дані'!$R$91=1,E18*'Вхідні дані'!$D$91,'Вхідні дані'!$E$92),IF('Вхідні дані'!$R$91=1,E18*'Вхідні дані'!$H$91,'Вхідні дані'!$I$92),IF('Вхідні дані'!$R$91=1,E18*'Вхідні дані'!$L$91,'Вхідні дані'!$M$92))</f>
        <v>2000</v>
      </c>
      <c r="F41" s="80">
        <f>CHOOSE('Узагальнений розрахунок'!$P$1,IF('Вхідні дані'!$R$91=1,F18*'Вхідні дані'!$D$91,'Вхідні дані'!$E$92),IF('Вхідні дані'!$R$91=1,F18*'Вхідні дані'!$H$91,'Вхідні дані'!$I$92),IF('Вхідні дані'!$R$91=1,F18*'Вхідні дані'!$L$91,'Вхідні дані'!$M$92))</f>
        <v>2000</v>
      </c>
      <c r="G41" s="80">
        <f>CHOOSE('Узагальнений розрахунок'!$P$1,IF('Вхідні дані'!$R$91=1,G18*'Вхідні дані'!$D$91,'Вхідні дані'!$E$92),IF('Вхідні дані'!$R$91=1,G18*'Вхідні дані'!$H$91,'Вхідні дані'!$I$92),IF('Вхідні дані'!$R$91=1,G18*'Вхідні дані'!$L$91,'Вхідні дані'!$M$92))</f>
        <v>2000</v>
      </c>
      <c r="H41" s="80">
        <f>CHOOSE('Узагальнений розрахунок'!$P$1,IF('Вхідні дані'!$R$91=1,H18*'Вхідні дані'!$D$91,'Вхідні дані'!$E$92),IF('Вхідні дані'!$R$91=1,H18*'Вхідні дані'!$H$91,'Вхідні дані'!$I$92),IF('Вхідні дані'!$R$91=1,H18*'Вхідні дані'!$L$91,'Вхідні дані'!$M$92))</f>
        <v>2000</v>
      </c>
      <c r="I41" s="80">
        <f>CHOOSE('Узагальнений розрахунок'!$P$1,IF('Вхідні дані'!$R$91=1,I18*'Вхідні дані'!$D$91,'Вхідні дані'!$E$92),IF('Вхідні дані'!$R$91=1,I18*'Вхідні дані'!$H$91,'Вхідні дані'!$I$92),IF('Вхідні дані'!$R$91=1,I18*'Вхідні дані'!$L$91,'Вхідні дані'!$M$92))</f>
        <v>2000</v>
      </c>
      <c r="J41" s="80">
        <f>CHOOSE('Узагальнений розрахунок'!$P$1,IF('Вхідні дані'!$R$91=1,J18*'Вхідні дані'!$D$91,'Вхідні дані'!$E$92),IF('Вхідні дані'!$R$91=1,J18*'Вхідні дані'!$H$91,'Вхідні дані'!$I$92),IF('Вхідні дані'!$R$91=1,J18*'Вхідні дані'!$L$91,'Вхідні дані'!$M$92))</f>
        <v>2000</v>
      </c>
      <c r="K41" s="80">
        <f>CHOOSE('Узагальнений розрахунок'!$P$1,IF('Вхідні дані'!$R$91=1,K18*'Вхідні дані'!$D$91,'Вхідні дані'!$E$92),IF('Вхідні дані'!$R$91=1,K18*'Вхідні дані'!$H$91,'Вхідні дані'!$I$92),IF('Вхідні дані'!$R$91=1,K18*'Вхідні дані'!$L$91,'Вхідні дані'!$M$92))</f>
        <v>2000</v>
      </c>
      <c r="L41" s="80">
        <f>CHOOSE('Узагальнений розрахунок'!$P$1,IF('Вхідні дані'!$R$91=1,L18*'Вхідні дані'!$D$91,'Вхідні дані'!$E$92),IF('Вхідні дані'!$R$91=1,L18*'Вхідні дані'!$H$91,'Вхідні дані'!$I$92),IF('Вхідні дані'!$R$91=1,L18*'Вхідні дані'!$L$91,'Вхідні дані'!$M$92))</f>
        <v>2000</v>
      </c>
      <c r="M41" s="80">
        <f>CHOOSE('Узагальнений розрахунок'!$P$1,IF('Вхідні дані'!$R$91=1,M18*'Вхідні дані'!$D$91,'Вхідні дані'!$E$92),IF('Вхідні дані'!$R$91=1,M18*'Вхідні дані'!$H$91,'Вхідні дані'!$I$92),IF('Вхідні дані'!$R$91=1,M18*'Вхідні дані'!$L$91,'Вхідні дані'!$M$92))</f>
        <v>2000</v>
      </c>
      <c r="N41" s="80">
        <f>CHOOSE('Узагальнений розрахунок'!$P$1,IF('Вхідні дані'!$R$91=1,N18*'Вхідні дані'!$D$91,'Вхідні дані'!$E$92),IF('Вхідні дані'!$R$91=1,N18*'Вхідні дані'!$H$91,'Вхідні дані'!$I$92),IF('Вхідні дані'!$R$91=1,N18*'Вхідні дані'!$L$91,'Вхідні дані'!$M$92))</f>
        <v>2000</v>
      </c>
      <c r="O41" s="80">
        <f>CHOOSE('Узагальнений розрахунок'!$P$1,IF('Вхідні дані'!$R$91=1,O18*'Вхідні дані'!$D$91,'Вхідні дані'!$E$92),IF('Вхідні дані'!$R$91=1,O18*'Вхідні дані'!$H$91,'Вхідні дані'!$I$92),IF('Вхідні дані'!$R$91=1,O18*'Вхідні дані'!$L$91,'Вхідні дані'!$M$92))</f>
        <v>2000</v>
      </c>
      <c r="P41" s="81">
        <f t="shared" si="81"/>
        <v>24000</v>
      </c>
      <c r="Q41" s="81">
        <f t="shared" si="82"/>
        <v>2000</v>
      </c>
      <c r="R41" s="80">
        <f>CHOOSE('Узагальнений розрахунок'!$P$1,IF('Вхідні дані'!$R$91=1,R18*'Вхідні дані'!$D$93,'Вхідні дані'!$E$94),IF('Вхідні дані'!$R$91=1,R18*'Вхідні дані'!$H$93,'Вхідні дані'!$I$94),IF('Вхідні дані'!$R$91=1,R18*'Вхідні дані'!$L$93,'Вхідні дані'!$M$94))</f>
        <v>2000</v>
      </c>
      <c r="S41" s="80">
        <f>CHOOSE('Узагальнений розрахунок'!$P$1,IF('Вхідні дані'!$R$91=1,S18*'Вхідні дані'!$D$93,'Вхідні дані'!$E$94),IF('Вхідні дані'!$R$91=1,S18*'Вхідні дані'!$H$93,'Вхідні дані'!$I$94),IF('Вхідні дані'!$R$91=1,S18*'Вхідні дані'!$L$93,'Вхідні дані'!$M$94))</f>
        <v>2000</v>
      </c>
      <c r="T41" s="80">
        <f>CHOOSE('Узагальнений розрахунок'!$P$1,IF('Вхідні дані'!$R$91=1,T18*'Вхідні дані'!$D$93,'Вхідні дані'!$E$94),IF('Вхідні дані'!$R$91=1,T18*'Вхідні дані'!$H$93,'Вхідні дані'!$I$94),IF('Вхідні дані'!$R$91=1,T18*'Вхідні дані'!$L$93,'Вхідні дані'!$M$94))</f>
        <v>2000</v>
      </c>
      <c r="U41" s="80">
        <f>CHOOSE('Узагальнений розрахунок'!$P$1,IF('Вхідні дані'!$R$91=1,U18*'Вхідні дані'!$D$93,'Вхідні дані'!$E$94),IF('Вхідні дані'!$R$91=1,U18*'Вхідні дані'!$H$93,'Вхідні дані'!$I$94),IF('Вхідні дані'!$R$91=1,U18*'Вхідні дані'!$L$93,'Вхідні дані'!$M$94))</f>
        <v>2000</v>
      </c>
      <c r="V41" s="80">
        <f>CHOOSE('Узагальнений розрахунок'!$P$1,IF('Вхідні дані'!$R$91=1,V18*'Вхідні дані'!$D$93,'Вхідні дані'!$E$94),IF('Вхідні дані'!$R$91=1,V18*'Вхідні дані'!$H$93,'Вхідні дані'!$I$94),IF('Вхідні дані'!$R$91=1,V18*'Вхідні дані'!$L$93,'Вхідні дані'!$M$94))</f>
        <v>2000</v>
      </c>
      <c r="W41" s="80">
        <f>CHOOSE('Узагальнений розрахунок'!$P$1,IF('Вхідні дані'!$R$91=1,W18*'Вхідні дані'!$D$93,'Вхідні дані'!$E$94),IF('Вхідні дані'!$R$91=1,W18*'Вхідні дані'!$H$93,'Вхідні дані'!$I$94),IF('Вхідні дані'!$R$91=1,W18*'Вхідні дані'!$L$93,'Вхідні дані'!$M$94))</f>
        <v>2000</v>
      </c>
      <c r="X41" s="80">
        <f>CHOOSE('Узагальнений розрахунок'!$P$1,IF('Вхідні дані'!$R$91=1,X18*'Вхідні дані'!$D$93,'Вхідні дані'!$E$94),IF('Вхідні дані'!$R$91=1,X18*'Вхідні дані'!$H$93,'Вхідні дані'!$I$94),IF('Вхідні дані'!$R$91=1,X18*'Вхідні дані'!$L$93,'Вхідні дані'!$M$94))</f>
        <v>2000</v>
      </c>
      <c r="Y41" s="80">
        <f>CHOOSE('Узагальнений розрахунок'!$P$1,IF('Вхідні дані'!$R$91=1,Y18*'Вхідні дані'!$D$93,'Вхідні дані'!$E$94),IF('Вхідні дані'!$R$91=1,Y18*'Вхідні дані'!$H$93,'Вхідні дані'!$I$94),IF('Вхідні дані'!$R$91=1,Y18*'Вхідні дані'!$L$93,'Вхідні дані'!$M$94))</f>
        <v>2000</v>
      </c>
      <c r="Z41" s="80">
        <f>CHOOSE('Узагальнений розрахунок'!$P$1,IF('Вхідні дані'!$R$91=1,Z18*'Вхідні дані'!$D$93,'Вхідні дані'!$E$94),IF('Вхідні дані'!$R$91=1,Z18*'Вхідні дані'!$H$93,'Вхідні дані'!$I$94),IF('Вхідні дані'!$R$91=1,Z18*'Вхідні дані'!$L$93,'Вхідні дані'!$M$94))</f>
        <v>2000</v>
      </c>
      <c r="AA41" s="80">
        <f>CHOOSE('Узагальнений розрахунок'!$P$1,IF('Вхідні дані'!$R$91=1,AA18*'Вхідні дані'!$D$93,'Вхідні дані'!$E$94),IF('Вхідні дані'!$R$91=1,AA18*'Вхідні дані'!$H$93,'Вхідні дані'!$I$94),IF('Вхідні дані'!$R$91=1,AA18*'Вхідні дані'!$L$93,'Вхідні дані'!$M$94))</f>
        <v>2000</v>
      </c>
      <c r="AB41" s="80">
        <f>CHOOSE('Узагальнений розрахунок'!$P$1,IF('Вхідні дані'!$R$91=1,AB18*'Вхідні дані'!$D$93,'Вхідні дані'!$E$94),IF('Вхідні дані'!$R$91=1,AB18*'Вхідні дані'!$H$93,'Вхідні дані'!$I$94),IF('Вхідні дані'!$R$91=1,AB18*'Вхідні дані'!$L$93,'Вхідні дані'!$M$94))</f>
        <v>2000</v>
      </c>
      <c r="AC41" s="80">
        <f>CHOOSE('Узагальнений розрахунок'!$P$1,IF('Вхідні дані'!$R$91=1,AC18*'Вхідні дані'!$D$93,'Вхідні дані'!$E$94),IF('Вхідні дані'!$R$91=1,AC18*'Вхідні дані'!$H$93,'Вхідні дані'!$I$94),IF('Вхідні дані'!$R$91=1,AC18*'Вхідні дані'!$L$93,'Вхідні дані'!$M$94))</f>
        <v>2000</v>
      </c>
      <c r="AD41" s="81">
        <f t="shared" si="83"/>
        <v>24000</v>
      </c>
      <c r="AE41" s="81">
        <f t="shared" si="84"/>
        <v>2000</v>
      </c>
      <c r="AF41" s="80">
        <f>CHOOSE('Узагальнений розрахунок'!$P$1,IF('Вхідні дані'!$R$91=1,AF18*'Вхідні дані'!$D$93,'Вхідні дані'!$E$94),IF('Вхідні дані'!$R$91=1,AF18*'Вхідні дані'!$H$93,'Вхідні дані'!$I$94),IF('Вхідні дані'!$R$91=1,AF18*'Вхідні дані'!$L$93,'Вхідні дані'!$M$94))</f>
        <v>2000</v>
      </c>
      <c r="AG41" s="80">
        <f>CHOOSE('Узагальнений розрахунок'!$P$1,IF('Вхідні дані'!$R$91=1,AG18*'Вхідні дані'!$D$93,'Вхідні дані'!$E$94),IF('Вхідні дані'!$R$91=1,AG18*'Вхідні дані'!$H$93,'Вхідні дані'!$I$94),IF('Вхідні дані'!$R$91=1,AG18*'Вхідні дані'!$L$93,'Вхідні дані'!$M$94))</f>
        <v>2000</v>
      </c>
      <c r="AH41" s="80">
        <f>CHOOSE('Узагальнений розрахунок'!$P$1,IF('Вхідні дані'!$R$91=1,AH18*'Вхідні дані'!$D$93,'Вхідні дані'!$E$94),IF('Вхідні дані'!$R$91=1,AH18*'Вхідні дані'!$H$93,'Вхідні дані'!$I$94),IF('Вхідні дані'!$R$91=1,AH18*'Вхідні дані'!$L$93,'Вхідні дані'!$M$94))</f>
        <v>2000</v>
      </c>
      <c r="AI41" s="80">
        <f>CHOOSE('Узагальнений розрахунок'!$P$1,IF('Вхідні дані'!$R$91=1,AI18*'Вхідні дані'!$D$93,'Вхідні дані'!$E$94),IF('Вхідні дані'!$R$91=1,AI18*'Вхідні дані'!$H$93,'Вхідні дані'!$I$94),IF('Вхідні дані'!$R$91=1,AI18*'Вхідні дані'!$L$93,'Вхідні дані'!$M$94))</f>
        <v>2000</v>
      </c>
      <c r="AJ41" s="80">
        <f>CHOOSE('Узагальнений розрахунок'!$P$1,IF('Вхідні дані'!$R$91=1,AJ18*'Вхідні дані'!$D$93,'Вхідні дані'!$E$94),IF('Вхідні дані'!$R$91=1,AJ18*'Вхідні дані'!$H$93,'Вхідні дані'!$I$94),IF('Вхідні дані'!$R$91=1,AJ18*'Вхідні дані'!$L$93,'Вхідні дані'!$M$94))</f>
        <v>2000</v>
      </c>
      <c r="AK41" s="80">
        <f>CHOOSE('Узагальнений розрахунок'!$P$1,IF('Вхідні дані'!$R$91=1,AK18*'Вхідні дані'!$D$93,'Вхідні дані'!$E$94),IF('Вхідні дані'!$R$91=1,AK18*'Вхідні дані'!$H$93,'Вхідні дані'!$I$94),IF('Вхідні дані'!$R$91=1,AK18*'Вхідні дані'!$L$93,'Вхідні дані'!$M$94))</f>
        <v>2000</v>
      </c>
      <c r="AL41" s="80">
        <f>CHOOSE('Узагальнений розрахунок'!$P$1,IF('Вхідні дані'!$R$91=1,AL18*'Вхідні дані'!$D$93,'Вхідні дані'!$E$94),IF('Вхідні дані'!$R$91=1,AL18*'Вхідні дані'!$H$93,'Вхідні дані'!$I$94),IF('Вхідні дані'!$R$91=1,AL18*'Вхідні дані'!$L$93,'Вхідні дані'!$M$94))</f>
        <v>2000</v>
      </c>
      <c r="AM41" s="80">
        <f>CHOOSE('Узагальнений розрахунок'!$P$1,IF('Вхідні дані'!$R$91=1,AM18*'Вхідні дані'!$D$93,'Вхідні дані'!$E$94),IF('Вхідні дані'!$R$91=1,AM18*'Вхідні дані'!$H$93,'Вхідні дані'!$I$94),IF('Вхідні дані'!$R$91=1,AM18*'Вхідні дані'!$L$93,'Вхідні дані'!$M$94))</f>
        <v>2000</v>
      </c>
      <c r="AN41" s="80">
        <f>CHOOSE('Узагальнений розрахунок'!$P$1,IF('Вхідні дані'!$R$91=1,AN18*'Вхідні дані'!$D$93,'Вхідні дані'!$E$94),IF('Вхідні дані'!$R$91=1,AN18*'Вхідні дані'!$H$93,'Вхідні дані'!$I$94),IF('Вхідні дані'!$R$91=1,AN18*'Вхідні дані'!$L$93,'Вхідні дані'!$M$94))</f>
        <v>2000</v>
      </c>
      <c r="AO41" s="80">
        <f>CHOOSE('Узагальнений розрахунок'!$P$1,IF('Вхідні дані'!$R$91=1,AO18*'Вхідні дані'!$D$93,'Вхідні дані'!$E$94),IF('Вхідні дані'!$R$91=1,AO18*'Вхідні дані'!$H$93,'Вхідні дані'!$I$94),IF('Вхідні дані'!$R$91=1,AO18*'Вхідні дані'!$L$93,'Вхідні дані'!$M$94))</f>
        <v>2000</v>
      </c>
      <c r="AP41" s="80">
        <f>CHOOSE('Узагальнений розрахунок'!$P$1,IF('Вхідні дані'!$R$91=1,AP18*'Вхідні дані'!$D$93,'Вхідні дані'!$E$94),IF('Вхідні дані'!$R$91=1,AP18*'Вхідні дані'!$H$93,'Вхідні дані'!$I$94),IF('Вхідні дані'!$R$91=1,AP18*'Вхідні дані'!$L$93,'Вхідні дані'!$M$94))</f>
        <v>2000</v>
      </c>
      <c r="AQ41" s="80">
        <f>CHOOSE('Узагальнений розрахунок'!$P$1,IF('Вхідні дані'!$R$91=1,AQ18*'Вхідні дані'!$D$93,'Вхідні дані'!$E$94),IF('Вхідні дані'!$R$91=1,AQ18*'Вхідні дані'!$H$93,'Вхідні дані'!$I$94),IF('Вхідні дані'!$R$91=1,AQ18*'Вхідні дані'!$L$93,'Вхідні дані'!$M$94))</f>
        <v>2000</v>
      </c>
      <c r="AR41" s="81">
        <f t="shared" si="85"/>
        <v>24000</v>
      </c>
      <c r="AS41" s="81">
        <f t="shared" si="86"/>
        <v>2000</v>
      </c>
      <c r="AT41" s="82">
        <f t="shared" si="87"/>
        <v>72000</v>
      </c>
      <c r="AU41" s="83"/>
    </row>
    <row r="42" spans="1:47" s="89" customFormat="1" ht="10.5" x14ac:dyDescent="0.35">
      <c r="A42" s="101" t="str">
        <f>'Узагальнений розрахунок'!B32</f>
        <v>Маркетингові відрахування</v>
      </c>
      <c r="B42" s="85" t="str">
        <f>CHOOSE('Вхідні дані'!$R$2,'Вхідні дані'!$S$2,'Вхідні дані'!$S$3,'Вхідні дані'!$S$4,'Вхідні дані'!$S$5)</f>
        <v>UAH</v>
      </c>
      <c r="C42" s="85"/>
      <c r="D42" s="86">
        <f>CHOOSE('Узагальнений розрахунок'!$P$1,IF('Вхідні дані'!$R$92=1,D18*'Вхідні дані'!$D$95,'Вхідні дані'!$E$96),IF('Вхідні дані'!$R$92=1,D18*'Вхідні дані'!$H$95,'Вхідні дані'!$I$96),IF('Вхідні дані'!$R$92=1,D18*'Вхідні дані'!$L$95,'Вхідні дані'!$M$96))</f>
        <v>0</v>
      </c>
      <c r="E42" s="86">
        <f>CHOOSE('Узагальнений розрахунок'!$P$1,IF('Вхідні дані'!$R$92=1,E18*'Вхідні дані'!$D$95,'Вхідні дані'!$E$96),IF('Вхідні дані'!$R$92=1,E18*'Вхідні дані'!$H$95,'Вхідні дані'!$I$96),IF('Вхідні дані'!$R$92=1,E18*'Вхідні дані'!$L$95,'Вхідні дані'!$M$96))</f>
        <v>0</v>
      </c>
      <c r="F42" s="86">
        <f>CHOOSE('Узагальнений розрахунок'!$P$1,IF('Вхідні дані'!$R$92=1,F18*'Вхідні дані'!$D$95,'Вхідні дані'!$E$96),IF('Вхідні дані'!$R$92=1,F18*'Вхідні дані'!$H$95,'Вхідні дані'!$I$96),IF('Вхідні дані'!$R$92=1,F18*'Вхідні дані'!$L$95,'Вхідні дані'!$M$96))</f>
        <v>0</v>
      </c>
      <c r="G42" s="86">
        <f>CHOOSE('Узагальнений розрахунок'!$P$1,IF('Вхідні дані'!$R$92=1,G18*'Вхідні дані'!$D$95,'Вхідні дані'!$E$96),IF('Вхідні дані'!$R$92=1,G18*'Вхідні дані'!$H$95,'Вхідні дані'!$I$96),IF('Вхідні дані'!$R$92=1,G18*'Вхідні дані'!$L$95,'Вхідні дані'!$M$96))</f>
        <v>0</v>
      </c>
      <c r="H42" s="86">
        <f>CHOOSE('Узагальнений розрахунок'!$P$1,IF('Вхідні дані'!$R$92=1,H18*'Вхідні дані'!$D$95,'Вхідні дані'!$E$96),IF('Вхідні дані'!$R$92=1,H18*'Вхідні дані'!$H$95,'Вхідні дані'!$I$96),IF('Вхідні дані'!$R$92=1,H18*'Вхідні дані'!$L$95,'Вхідні дані'!$M$96))</f>
        <v>0</v>
      </c>
      <c r="I42" s="86">
        <f>CHOOSE('Узагальнений розрахунок'!$P$1,IF('Вхідні дані'!$R$92=1,I18*'Вхідні дані'!$D$95,'Вхідні дані'!$E$96),IF('Вхідні дані'!$R$92=1,I18*'Вхідні дані'!$H$95,'Вхідні дані'!$I$96),IF('Вхідні дані'!$R$92=1,I18*'Вхідні дані'!$L$95,'Вхідні дані'!$M$96))</f>
        <v>0</v>
      </c>
      <c r="J42" s="86">
        <f>CHOOSE('Узагальнений розрахунок'!$P$1,IF('Вхідні дані'!$R$92=1,J18*'Вхідні дані'!$D$95,'Вхідні дані'!$E$96),IF('Вхідні дані'!$R$92=1,J18*'Вхідні дані'!$H$95,'Вхідні дані'!$I$96),IF('Вхідні дані'!$R$92=1,J18*'Вхідні дані'!$L$95,'Вхідні дані'!$M$96))</f>
        <v>0</v>
      </c>
      <c r="K42" s="86">
        <f>CHOOSE('Узагальнений розрахунок'!$P$1,IF('Вхідні дані'!$R$92=1,K18*'Вхідні дані'!$D$95,'Вхідні дані'!$E$96),IF('Вхідні дані'!$R$92=1,K18*'Вхідні дані'!$H$95,'Вхідні дані'!$I$96),IF('Вхідні дані'!$R$92=1,K18*'Вхідні дані'!$L$95,'Вхідні дані'!$M$96))</f>
        <v>0</v>
      </c>
      <c r="L42" s="86">
        <f>CHOOSE('Узагальнений розрахунок'!$P$1,IF('Вхідні дані'!$R$92=1,L18*'Вхідні дані'!$D$95,'Вхідні дані'!$E$96),IF('Вхідні дані'!$R$92=1,L18*'Вхідні дані'!$H$95,'Вхідні дані'!$I$96),IF('Вхідні дані'!$R$92=1,L18*'Вхідні дані'!$L$95,'Вхідні дані'!$M$96))</f>
        <v>0</v>
      </c>
      <c r="M42" s="86">
        <f>CHOOSE('Узагальнений розрахунок'!$P$1,IF('Вхідні дані'!$R$92=1,M18*'Вхідні дані'!$D$95,'Вхідні дані'!$E$96),IF('Вхідні дані'!$R$92=1,M18*'Вхідні дані'!$H$95,'Вхідні дані'!$I$96),IF('Вхідні дані'!$R$92=1,M18*'Вхідні дані'!$L$95,'Вхідні дані'!$M$96))</f>
        <v>0</v>
      </c>
      <c r="N42" s="86">
        <f>CHOOSE('Узагальнений розрахунок'!$P$1,IF('Вхідні дані'!$R$92=1,N18*'Вхідні дані'!$D$95,'Вхідні дані'!$E$96),IF('Вхідні дані'!$R$92=1,N18*'Вхідні дані'!$H$95,'Вхідні дані'!$I$96),IF('Вхідні дані'!$R$92=1,N18*'Вхідні дані'!$L$95,'Вхідні дані'!$M$96))</f>
        <v>0</v>
      </c>
      <c r="O42" s="86">
        <f>CHOOSE('Узагальнений розрахунок'!$P$1,IF('Вхідні дані'!$R$92=1,O18*'Вхідні дані'!$D$95,'Вхідні дані'!$E$96),IF('Вхідні дані'!$R$92=1,O18*'Вхідні дані'!$H$95,'Вхідні дані'!$I$96),IF('Вхідні дані'!$R$92=1,O18*'Вхідні дані'!$L$95,'Вхідні дані'!$M$96))</f>
        <v>0</v>
      </c>
      <c r="P42" s="87">
        <f t="shared" ref="P42" si="88">SUM(D42:O42)</f>
        <v>0</v>
      </c>
      <c r="Q42" s="87">
        <f t="shared" ref="Q42" si="89">P42/12</f>
        <v>0</v>
      </c>
      <c r="R42" s="86">
        <f>CHOOSE('Узагальнений розрахунок'!$P$1,IF('Вхідні дані'!$R$92=1,R18*'Вхідні дані'!$D$95,'Вхідні дані'!$E$96),IF('Вхідні дані'!$R$92=1,R18*'Вхідні дані'!$H$95,'Вхідні дані'!$I$96),IF('Вхідні дані'!$R$92=1,R18*'Вхідні дані'!$L$95,'Вхідні дані'!$M$96))</f>
        <v>0</v>
      </c>
      <c r="S42" s="86">
        <f>CHOOSE('Узагальнений розрахунок'!$P$1,IF('Вхідні дані'!$R$92=1,S18*'Вхідні дані'!$D$95,'Вхідні дані'!$E$96),IF('Вхідні дані'!$R$92=1,S18*'Вхідні дані'!$H$95,'Вхідні дані'!$I$96),IF('Вхідні дані'!$R$92=1,S18*'Вхідні дані'!$L$95,'Вхідні дані'!$M$96))</f>
        <v>0</v>
      </c>
      <c r="T42" s="86">
        <f>CHOOSE('Узагальнений розрахунок'!$P$1,IF('Вхідні дані'!$R$92=1,T18*'Вхідні дані'!$D$95,'Вхідні дані'!$E$96),IF('Вхідні дані'!$R$92=1,T18*'Вхідні дані'!$H$95,'Вхідні дані'!$I$96),IF('Вхідні дані'!$R$92=1,T18*'Вхідні дані'!$L$95,'Вхідні дані'!$M$96))</f>
        <v>0</v>
      </c>
      <c r="U42" s="86">
        <f>CHOOSE('Узагальнений розрахунок'!$P$1,IF('Вхідні дані'!$R$92=1,U18*'Вхідні дані'!$D$95,'Вхідні дані'!$E$96),IF('Вхідні дані'!$R$92=1,U18*'Вхідні дані'!$H$95,'Вхідні дані'!$I$96),IF('Вхідні дані'!$R$92=1,U18*'Вхідні дані'!$L$95,'Вхідні дані'!$M$96))</f>
        <v>0</v>
      </c>
      <c r="V42" s="86">
        <f>CHOOSE('Узагальнений розрахунок'!$P$1,IF('Вхідні дані'!$R$92=1,V18*'Вхідні дані'!$D$95,'Вхідні дані'!$E$96),IF('Вхідні дані'!$R$92=1,V18*'Вхідні дані'!$H$95,'Вхідні дані'!$I$96),IF('Вхідні дані'!$R$92=1,V18*'Вхідні дані'!$L$95,'Вхідні дані'!$M$96))</f>
        <v>0</v>
      </c>
      <c r="W42" s="86">
        <f>CHOOSE('Узагальнений розрахунок'!$P$1,IF('Вхідні дані'!$R$92=1,W18*'Вхідні дані'!$D$95,'Вхідні дані'!$E$96),IF('Вхідні дані'!$R$92=1,W18*'Вхідні дані'!$H$95,'Вхідні дані'!$I$96),IF('Вхідні дані'!$R$92=1,W18*'Вхідні дані'!$L$95,'Вхідні дані'!$M$96))</f>
        <v>0</v>
      </c>
      <c r="X42" s="86">
        <f>CHOOSE('Узагальнений розрахунок'!$P$1,IF('Вхідні дані'!$R$92=1,X18*'Вхідні дані'!$D$95,'Вхідні дані'!$E$96),IF('Вхідні дані'!$R$92=1,X18*'Вхідні дані'!$H$95,'Вхідні дані'!$I$96),IF('Вхідні дані'!$R$92=1,X18*'Вхідні дані'!$L$95,'Вхідні дані'!$M$96))</f>
        <v>0</v>
      </c>
      <c r="Y42" s="86">
        <f>CHOOSE('Узагальнений розрахунок'!$P$1,IF('Вхідні дані'!$R$92=1,Y18*'Вхідні дані'!$D$95,'Вхідні дані'!$E$96),IF('Вхідні дані'!$R$92=1,Y18*'Вхідні дані'!$H$95,'Вхідні дані'!$I$96),IF('Вхідні дані'!$R$92=1,Y18*'Вхідні дані'!$L$95,'Вхідні дані'!$M$96))</f>
        <v>0</v>
      </c>
      <c r="Z42" s="86">
        <f>CHOOSE('Узагальнений розрахунок'!$P$1,IF('Вхідні дані'!$R$92=1,Z18*'Вхідні дані'!$D$95,'Вхідні дані'!$E$96),IF('Вхідні дані'!$R$92=1,Z18*'Вхідні дані'!$H$95,'Вхідні дані'!$I$96),IF('Вхідні дані'!$R$92=1,Z18*'Вхідні дані'!$L$95,'Вхідні дані'!$M$96))</f>
        <v>0</v>
      </c>
      <c r="AA42" s="86">
        <f>CHOOSE('Узагальнений розрахунок'!$P$1,IF('Вхідні дані'!$R$92=1,AA18*'Вхідні дані'!$D$95,'Вхідні дані'!$E$96),IF('Вхідні дані'!$R$92=1,AA18*'Вхідні дані'!$H$95,'Вхідні дані'!$I$96),IF('Вхідні дані'!$R$92=1,AA18*'Вхідні дані'!$L$95,'Вхідні дані'!$M$96))</f>
        <v>0</v>
      </c>
      <c r="AB42" s="86">
        <f>CHOOSE('Узагальнений розрахунок'!$P$1,IF('Вхідні дані'!$R$92=1,AB18*'Вхідні дані'!$D$95,'Вхідні дані'!$E$96),IF('Вхідні дані'!$R$92=1,AB18*'Вхідні дані'!$H$95,'Вхідні дані'!$I$96),IF('Вхідні дані'!$R$92=1,AB18*'Вхідні дані'!$L$95,'Вхідні дані'!$M$96))</f>
        <v>0</v>
      </c>
      <c r="AC42" s="86">
        <f>CHOOSE('Узагальнений розрахунок'!$P$1,IF('Вхідні дані'!$R$92=1,AC18*'Вхідні дані'!$D$95,'Вхідні дані'!$E$96),IF('Вхідні дані'!$R$92=1,AC18*'Вхідні дані'!$H$95,'Вхідні дані'!$I$96),IF('Вхідні дані'!$R$92=1,AC18*'Вхідні дані'!$L$95,'Вхідні дані'!$M$96))</f>
        <v>0</v>
      </c>
      <c r="AD42" s="87">
        <f t="shared" ref="AD42" si="90">SUM(R42:AC42)</f>
        <v>0</v>
      </c>
      <c r="AE42" s="87">
        <f t="shared" ref="AE42" si="91">AD42/12</f>
        <v>0</v>
      </c>
      <c r="AF42" s="86">
        <f>CHOOSE('Узагальнений розрахунок'!$P$1,IF('Вхідні дані'!$R$92=1,AF18*'Вхідні дані'!$D$95,'Вхідні дані'!$E$96),IF('Вхідні дані'!$R$92=1,AF18*'Вхідні дані'!$H$95,'Вхідні дані'!$I$96),IF('Вхідні дані'!$R$92=1,AF18*'Вхідні дані'!$L$95,'Вхідні дані'!$M$96))</f>
        <v>0</v>
      </c>
      <c r="AG42" s="86">
        <f>CHOOSE('Узагальнений розрахунок'!$P$1,IF('Вхідні дані'!$R$92=1,AG18*'Вхідні дані'!$D$95,'Вхідні дані'!$E$96),IF('Вхідні дані'!$R$92=1,AG18*'Вхідні дані'!$H$95,'Вхідні дані'!$I$96),IF('Вхідні дані'!$R$92=1,AG18*'Вхідні дані'!$L$95,'Вхідні дані'!$M$96))</f>
        <v>0</v>
      </c>
      <c r="AH42" s="86">
        <f>CHOOSE('Узагальнений розрахунок'!$P$1,IF('Вхідні дані'!$R$92=1,AH18*'Вхідні дані'!$D$95,'Вхідні дані'!$E$96),IF('Вхідні дані'!$R$92=1,AH18*'Вхідні дані'!$H$95,'Вхідні дані'!$I$96),IF('Вхідні дані'!$R$92=1,AH18*'Вхідні дані'!$L$95,'Вхідні дані'!$M$96))</f>
        <v>0</v>
      </c>
      <c r="AI42" s="86">
        <f>CHOOSE('Узагальнений розрахунок'!$P$1,IF('Вхідні дані'!$R$92=1,AI18*'Вхідні дані'!$D$95,'Вхідні дані'!$E$96),IF('Вхідні дані'!$R$92=1,AI18*'Вхідні дані'!$H$95,'Вхідні дані'!$I$96),IF('Вхідні дані'!$R$92=1,AI18*'Вхідні дані'!$L$95,'Вхідні дані'!$M$96))</f>
        <v>0</v>
      </c>
      <c r="AJ42" s="86">
        <f>CHOOSE('Узагальнений розрахунок'!$P$1,IF('Вхідні дані'!$R$92=1,AJ18*'Вхідні дані'!$D$95,'Вхідні дані'!$E$96),IF('Вхідні дані'!$R$92=1,AJ18*'Вхідні дані'!$H$95,'Вхідні дані'!$I$96),IF('Вхідні дані'!$R$92=1,AJ18*'Вхідні дані'!$L$95,'Вхідні дані'!$M$96))</f>
        <v>0</v>
      </c>
      <c r="AK42" s="86">
        <f>CHOOSE('Узагальнений розрахунок'!$P$1,IF('Вхідні дані'!$R$92=1,AK18*'Вхідні дані'!$D$95,'Вхідні дані'!$E$96),IF('Вхідні дані'!$R$92=1,AK18*'Вхідні дані'!$H$95,'Вхідні дані'!$I$96),IF('Вхідні дані'!$R$92=1,AK18*'Вхідні дані'!$L$95,'Вхідні дані'!$M$96))</f>
        <v>0</v>
      </c>
      <c r="AL42" s="86">
        <f>CHOOSE('Узагальнений розрахунок'!$P$1,IF('Вхідні дані'!$R$92=1,AL18*'Вхідні дані'!$D$95,'Вхідні дані'!$E$96),IF('Вхідні дані'!$R$92=1,AL18*'Вхідні дані'!$H$95,'Вхідні дані'!$I$96),IF('Вхідні дані'!$R$92=1,AL18*'Вхідні дані'!$L$95,'Вхідні дані'!$M$96))</f>
        <v>0</v>
      </c>
      <c r="AM42" s="86">
        <f>CHOOSE('Узагальнений розрахунок'!$P$1,IF('Вхідні дані'!$R$92=1,AM18*'Вхідні дані'!$D$95,'Вхідні дані'!$E$96),IF('Вхідні дані'!$R$92=1,AM18*'Вхідні дані'!$H$95,'Вхідні дані'!$I$96),IF('Вхідні дані'!$R$92=1,AM18*'Вхідні дані'!$L$95,'Вхідні дані'!$M$96))</f>
        <v>0</v>
      </c>
      <c r="AN42" s="86">
        <f>CHOOSE('Узагальнений розрахунок'!$P$1,IF('Вхідні дані'!$R$92=1,AN18*'Вхідні дані'!$D$95,'Вхідні дані'!$E$96),IF('Вхідні дані'!$R$92=1,AN18*'Вхідні дані'!$H$95,'Вхідні дані'!$I$96),IF('Вхідні дані'!$R$92=1,AN18*'Вхідні дані'!$L$95,'Вхідні дані'!$M$96))</f>
        <v>0</v>
      </c>
      <c r="AO42" s="86">
        <f>CHOOSE('Узагальнений розрахунок'!$P$1,IF('Вхідні дані'!$R$92=1,AO18*'Вхідні дані'!$D$95,'Вхідні дані'!$E$96),IF('Вхідні дані'!$R$92=1,AO18*'Вхідні дані'!$H$95,'Вхідні дані'!$I$96),IF('Вхідні дані'!$R$92=1,AO18*'Вхідні дані'!$L$95,'Вхідні дані'!$M$96))</f>
        <v>0</v>
      </c>
      <c r="AP42" s="86">
        <f>CHOOSE('Узагальнений розрахунок'!$P$1,IF('Вхідні дані'!$R$92=1,AP18*'Вхідні дані'!$D$95,'Вхідні дані'!$E$96),IF('Вхідні дані'!$R$92=1,AP18*'Вхідні дані'!$H$95,'Вхідні дані'!$I$96),IF('Вхідні дані'!$R$92=1,AP18*'Вхідні дані'!$L$95,'Вхідні дані'!$M$96))</f>
        <v>0</v>
      </c>
      <c r="AQ42" s="86">
        <f>CHOOSE('Узагальнений розрахунок'!$P$1,IF('Вхідні дані'!$R$92=1,AQ18*'Вхідні дані'!$D$95,'Вхідні дані'!$E$96),IF('Вхідні дані'!$R$92=1,AQ18*'Вхідні дані'!$H$95,'Вхідні дані'!$I$96),IF('Вхідні дані'!$R$92=1,AQ18*'Вхідні дані'!$L$95,'Вхідні дані'!$M$96))</f>
        <v>0</v>
      </c>
      <c r="AR42" s="87">
        <f t="shared" ref="AR42" si="92">SUM(AF42:AQ42)</f>
        <v>0</v>
      </c>
      <c r="AS42" s="87">
        <f t="shared" ref="AS42" si="93">AR42/12</f>
        <v>0</v>
      </c>
      <c r="AT42" s="82">
        <f t="shared" ref="AT42" si="94">P42+AD42+AR42</f>
        <v>0</v>
      </c>
      <c r="AU42" s="88"/>
    </row>
    <row r="43" spans="1:47" s="84" customFormat="1" ht="10.5" x14ac:dyDescent="0.35">
      <c r="A43" s="102" t="str">
        <f>'Узагальнений розрахунок'!B33</f>
        <v>Оренда</v>
      </c>
      <c r="B43" s="79" t="str">
        <f>CHOOSE('Вхідні дані'!$R$2,'Вхідні дані'!$S$2,'Вхідні дані'!$S$3,'Вхідні дані'!$S$4,'Вхідні дані'!$S$5)</f>
        <v>UAH</v>
      </c>
      <c r="C43" s="79"/>
      <c r="D43" s="80">
        <f>CHOOSE('Узагальнений розрахунок'!$P$1,'Вхідні дані'!$E97,'Вхідні дані'!$I97,'Вхідні дані'!$M97)*D9</f>
        <v>26000</v>
      </c>
      <c r="E43" s="80">
        <f>CHOOSE('Узагальнений розрахунок'!$P$1,'Вхідні дані'!$E97,'Вхідні дані'!$I97,'Вхідні дані'!$M97)*E9</f>
        <v>26000</v>
      </c>
      <c r="F43" s="80">
        <f>CHOOSE('Узагальнений розрахунок'!$P$1,'Вхідні дані'!$E97,'Вхідні дані'!$I97,'Вхідні дані'!$M97)*F9</f>
        <v>26000</v>
      </c>
      <c r="G43" s="80">
        <f>CHOOSE('Узагальнений розрахунок'!$P$1,'Вхідні дані'!$E97,'Вхідні дані'!$I97,'Вхідні дані'!$M97)*G9</f>
        <v>26000</v>
      </c>
      <c r="H43" s="80">
        <f>CHOOSE('Узагальнений розрахунок'!$P$1,'Вхідні дані'!$E97,'Вхідні дані'!$I97,'Вхідні дані'!$M97)*H9</f>
        <v>26000</v>
      </c>
      <c r="I43" s="80">
        <f>CHOOSE('Узагальнений розрахунок'!$P$1,'Вхідні дані'!$E97,'Вхідні дані'!$I97,'Вхідні дані'!$M97)*I9</f>
        <v>26000</v>
      </c>
      <c r="J43" s="80">
        <f>CHOOSE('Узагальнений розрахунок'!$P$1,'Вхідні дані'!$E97,'Вхідні дані'!$I97,'Вхідні дані'!$M97)*J9</f>
        <v>26000</v>
      </c>
      <c r="K43" s="80">
        <f>CHOOSE('Узагальнений розрахунок'!$P$1,'Вхідні дані'!$E97,'Вхідні дані'!$I97,'Вхідні дані'!$M97)*K9</f>
        <v>26000</v>
      </c>
      <c r="L43" s="80">
        <f>CHOOSE('Узагальнений розрахунок'!$P$1,'Вхідні дані'!$E97,'Вхідні дані'!$I97,'Вхідні дані'!$M97)*L9</f>
        <v>26000</v>
      </c>
      <c r="M43" s="80">
        <f>CHOOSE('Узагальнений розрахунок'!$P$1,'Вхідні дані'!$E97,'Вхідні дані'!$I97,'Вхідні дані'!$M97)*M9</f>
        <v>26000</v>
      </c>
      <c r="N43" s="80">
        <f>CHOOSE('Узагальнений розрахунок'!$P$1,'Вхідні дані'!$E97,'Вхідні дані'!$I97,'Вхідні дані'!$M97)*N9</f>
        <v>26000</v>
      </c>
      <c r="O43" s="80">
        <f>CHOOSE('Узагальнений розрахунок'!$P$1,'Вхідні дані'!$E97,'Вхідні дані'!$I97,'Вхідні дані'!$M97)*O9</f>
        <v>26000</v>
      </c>
      <c r="P43" s="81">
        <f t="shared" si="81"/>
        <v>312000</v>
      </c>
      <c r="Q43" s="81">
        <f t="shared" si="82"/>
        <v>26000</v>
      </c>
      <c r="R43" s="80">
        <f>CHOOSE('Узагальнений розрахунок'!$P$1,'Вхідні дані'!$E97,'Вхідні дані'!$I97,'Вхідні дані'!$M97)*R9</f>
        <v>28600.000000000004</v>
      </c>
      <c r="S43" s="80">
        <f>CHOOSE('Узагальнений розрахунок'!$P$1,'Вхідні дані'!$E97,'Вхідні дані'!$I97,'Вхідні дані'!$M97)*S9</f>
        <v>28600.000000000004</v>
      </c>
      <c r="T43" s="80">
        <f>CHOOSE('Узагальнений розрахунок'!$P$1,'Вхідні дані'!$E97,'Вхідні дані'!$I97,'Вхідні дані'!$M97)*T9</f>
        <v>28600.000000000004</v>
      </c>
      <c r="U43" s="80">
        <f>CHOOSE('Узагальнений розрахунок'!$P$1,'Вхідні дані'!$E97,'Вхідні дані'!$I97,'Вхідні дані'!$M97)*U9</f>
        <v>28600.000000000004</v>
      </c>
      <c r="V43" s="80">
        <f>CHOOSE('Узагальнений розрахунок'!$P$1,'Вхідні дані'!$E97,'Вхідні дані'!$I97,'Вхідні дані'!$M97)*V9</f>
        <v>28600.000000000004</v>
      </c>
      <c r="W43" s="80">
        <f>CHOOSE('Узагальнений розрахунок'!$P$1,'Вхідні дані'!$E97,'Вхідні дані'!$I97,'Вхідні дані'!$M97)*W9</f>
        <v>28600.000000000004</v>
      </c>
      <c r="X43" s="80">
        <f>CHOOSE('Узагальнений розрахунок'!$P$1,'Вхідні дані'!$E97,'Вхідні дані'!$I97,'Вхідні дані'!$M97)*X9</f>
        <v>28600.000000000004</v>
      </c>
      <c r="Y43" s="80">
        <f>CHOOSE('Узагальнений розрахунок'!$P$1,'Вхідні дані'!$E97,'Вхідні дані'!$I97,'Вхідні дані'!$M97)*Y9</f>
        <v>28600.000000000004</v>
      </c>
      <c r="Z43" s="80">
        <f>CHOOSE('Узагальнений розрахунок'!$P$1,'Вхідні дані'!$E97,'Вхідні дані'!$I97,'Вхідні дані'!$M97)*Z9</f>
        <v>28600.000000000004</v>
      </c>
      <c r="AA43" s="80">
        <f>CHOOSE('Узагальнений розрахунок'!$P$1,'Вхідні дані'!$E97,'Вхідні дані'!$I97,'Вхідні дані'!$M97)*AA9</f>
        <v>28600.000000000004</v>
      </c>
      <c r="AB43" s="80">
        <f>CHOOSE('Узагальнений розрахунок'!$P$1,'Вхідні дані'!$E97,'Вхідні дані'!$I97,'Вхідні дані'!$M97)*AB9</f>
        <v>28600.000000000004</v>
      </c>
      <c r="AC43" s="80">
        <f>CHOOSE('Узагальнений розрахунок'!$P$1,'Вхідні дані'!$E97,'Вхідні дані'!$I97,'Вхідні дані'!$M97)*AC9</f>
        <v>28600.000000000004</v>
      </c>
      <c r="AD43" s="81">
        <f t="shared" si="83"/>
        <v>343200.00000000006</v>
      </c>
      <c r="AE43" s="81">
        <f t="shared" si="84"/>
        <v>28600.000000000004</v>
      </c>
      <c r="AF43" s="80">
        <f>CHOOSE('Узагальнений розрахунок'!$P$1,'Вхідні дані'!$E97,'Вхідні дані'!$I97,'Вхідні дані'!$M97)*AF9</f>
        <v>31200</v>
      </c>
      <c r="AG43" s="80">
        <f>CHOOSE('Узагальнений розрахунок'!$P$1,'Вхідні дані'!$E97,'Вхідні дані'!$I97,'Вхідні дані'!$M97)*AG9</f>
        <v>31200</v>
      </c>
      <c r="AH43" s="80">
        <f>CHOOSE('Узагальнений розрахунок'!$P$1,'Вхідні дані'!$E97,'Вхідні дані'!$I97,'Вхідні дані'!$M97)*AH9</f>
        <v>31200</v>
      </c>
      <c r="AI43" s="80">
        <f>CHOOSE('Узагальнений розрахунок'!$P$1,'Вхідні дані'!$E97,'Вхідні дані'!$I97,'Вхідні дані'!$M97)*AI9</f>
        <v>31200</v>
      </c>
      <c r="AJ43" s="80">
        <f>CHOOSE('Узагальнений розрахунок'!$P$1,'Вхідні дані'!$E97,'Вхідні дані'!$I97,'Вхідні дані'!$M97)*AJ9</f>
        <v>31200</v>
      </c>
      <c r="AK43" s="80">
        <f>CHOOSE('Узагальнений розрахунок'!$P$1,'Вхідні дані'!$E97,'Вхідні дані'!$I97,'Вхідні дані'!$M97)*AK9</f>
        <v>31200</v>
      </c>
      <c r="AL43" s="80">
        <f>CHOOSE('Узагальнений розрахунок'!$P$1,'Вхідні дані'!$E97,'Вхідні дані'!$I97,'Вхідні дані'!$M97)*AL9</f>
        <v>31200</v>
      </c>
      <c r="AM43" s="80">
        <f>CHOOSE('Узагальнений розрахунок'!$P$1,'Вхідні дані'!$E97,'Вхідні дані'!$I97,'Вхідні дані'!$M97)*AM9</f>
        <v>31200</v>
      </c>
      <c r="AN43" s="80">
        <f>CHOOSE('Узагальнений розрахунок'!$P$1,'Вхідні дані'!$E97,'Вхідні дані'!$I97,'Вхідні дані'!$M97)*AN9</f>
        <v>31200</v>
      </c>
      <c r="AO43" s="80">
        <f>CHOOSE('Узагальнений розрахунок'!$P$1,'Вхідні дані'!$E97,'Вхідні дані'!$I97,'Вхідні дані'!$M97)*AO9</f>
        <v>31200</v>
      </c>
      <c r="AP43" s="80">
        <f>CHOOSE('Узагальнений розрахунок'!$P$1,'Вхідні дані'!$E97,'Вхідні дані'!$I97,'Вхідні дані'!$M97)*AP9</f>
        <v>31200</v>
      </c>
      <c r="AQ43" s="80">
        <f>CHOOSE('Узагальнений розрахунок'!$P$1,'Вхідні дані'!$E97,'Вхідні дані'!$I97,'Вхідні дані'!$M97)*AQ9</f>
        <v>31200</v>
      </c>
      <c r="AR43" s="81">
        <f t="shared" si="85"/>
        <v>374400</v>
      </c>
      <c r="AS43" s="81">
        <f t="shared" si="86"/>
        <v>31200</v>
      </c>
      <c r="AT43" s="82">
        <f t="shared" si="87"/>
        <v>1029600</v>
      </c>
      <c r="AU43" s="83"/>
    </row>
    <row r="44" spans="1:47" s="89" customFormat="1" ht="10.5" x14ac:dyDescent="0.35">
      <c r="A44" s="101" t="str">
        <f>'Узагальнений розрахунок'!B34</f>
        <v>Комунальні платежі</v>
      </c>
      <c r="B44" s="85" t="str">
        <f>CHOOSE('Вхідні дані'!$R$2,'Вхідні дані'!$S$2,'Вхідні дані'!$S$3,'Вхідні дані'!$S$4,'Вхідні дані'!$S$5)</f>
        <v>UAH</v>
      </c>
      <c r="C44" s="85"/>
      <c r="D44" s="86">
        <f>CHOOSE('Узагальнений розрахунок'!$P$1,'Вхідні дані'!$E98,'Вхідні дані'!$I98,'Вхідні дані'!$M98)*D10</f>
        <v>10000</v>
      </c>
      <c r="E44" s="86">
        <f>CHOOSE('Узагальнений розрахунок'!$P$1,'Вхідні дані'!$E98,'Вхідні дані'!$I98,'Вхідні дані'!$M98)*E10</f>
        <v>10000</v>
      </c>
      <c r="F44" s="86">
        <f>CHOOSE('Узагальнений розрахунок'!$P$1,'Вхідні дані'!$E98,'Вхідні дані'!$I98,'Вхідні дані'!$M98)*F10</f>
        <v>10000</v>
      </c>
      <c r="G44" s="86">
        <f>CHOOSE('Узагальнений розрахунок'!$P$1,'Вхідні дані'!$E98,'Вхідні дані'!$I98,'Вхідні дані'!$M98)*G10</f>
        <v>10000</v>
      </c>
      <c r="H44" s="86">
        <f>CHOOSE('Узагальнений розрахунок'!$P$1,'Вхідні дані'!$E98,'Вхідні дані'!$I98,'Вхідні дані'!$M98)*H10</f>
        <v>10000</v>
      </c>
      <c r="I44" s="86">
        <f>CHOOSE('Узагальнений розрахунок'!$P$1,'Вхідні дані'!$E98,'Вхідні дані'!$I98,'Вхідні дані'!$M98)*I10</f>
        <v>10000</v>
      </c>
      <c r="J44" s="86">
        <f>CHOOSE('Узагальнений розрахунок'!$P$1,'Вхідні дані'!$E98,'Вхідні дані'!$I98,'Вхідні дані'!$M98)*J10</f>
        <v>10000</v>
      </c>
      <c r="K44" s="86">
        <f>CHOOSE('Узагальнений розрахунок'!$P$1,'Вхідні дані'!$E98,'Вхідні дані'!$I98,'Вхідні дані'!$M98)*K10</f>
        <v>10000</v>
      </c>
      <c r="L44" s="86">
        <f>CHOOSE('Узагальнений розрахунок'!$P$1,'Вхідні дані'!$E98,'Вхідні дані'!$I98,'Вхідні дані'!$M98)*L10</f>
        <v>10000</v>
      </c>
      <c r="M44" s="86">
        <f>CHOOSE('Узагальнений розрахунок'!$P$1,'Вхідні дані'!$E98,'Вхідні дані'!$I98,'Вхідні дані'!$M98)*M10</f>
        <v>10000</v>
      </c>
      <c r="N44" s="86">
        <f>CHOOSE('Узагальнений розрахунок'!$P$1,'Вхідні дані'!$E98,'Вхідні дані'!$I98,'Вхідні дані'!$M98)*N10</f>
        <v>10000</v>
      </c>
      <c r="O44" s="86">
        <f>CHOOSE('Узагальнений розрахунок'!$P$1,'Вхідні дані'!$E98,'Вхідні дані'!$I98,'Вхідні дані'!$M98)*O10</f>
        <v>10000</v>
      </c>
      <c r="P44" s="87">
        <f t="shared" si="81"/>
        <v>120000</v>
      </c>
      <c r="Q44" s="87">
        <f t="shared" si="82"/>
        <v>10000</v>
      </c>
      <c r="R44" s="86">
        <f>CHOOSE('Узагальнений розрахунок'!$P$1,'Вхідні дані'!$E98,'Вхідні дані'!$I98,'Вхідні дані'!$M98)*R10</f>
        <v>10500</v>
      </c>
      <c r="S44" s="86">
        <f>CHOOSE('Узагальнений розрахунок'!$P$1,'Вхідні дані'!$E98,'Вхідні дані'!$I98,'Вхідні дані'!$M98)*S10</f>
        <v>10500</v>
      </c>
      <c r="T44" s="86">
        <f>CHOOSE('Узагальнений розрахунок'!$P$1,'Вхідні дані'!$E98,'Вхідні дані'!$I98,'Вхідні дані'!$M98)*T10</f>
        <v>10500</v>
      </c>
      <c r="U44" s="86">
        <f>CHOOSE('Узагальнений розрахунок'!$P$1,'Вхідні дані'!$E98,'Вхідні дані'!$I98,'Вхідні дані'!$M98)*U10</f>
        <v>10500</v>
      </c>
      <c r="V44" s="86">
        <f>CHOOSE('Узагальнений розрахунок'!$P$1,'Вхідні дані'!$E98,'Вхідні дані'!$I98,'Вхідні дані'!$M98)*V10</f>
        <v>10500</v>
      </c>
      <c r="W44" s="86">
        <f>CHOOSE('Узагальнений розрахунок'!$P$1,'Вхідні дані'!$E98,'Вхідні дані'!$I98,'Вхідні дані'!$M98)*W10</f>
        <v>10500</v>
      </c>
      <c r="X44" s="86">
        <f>CHOOSE('Узагальнений розрахунок'!$P$1,'Вхідні дані'!$E98,'Вхідні дані'!$I98,'Вхідні дані'!$M98)*X10</f>
        <v>10500</v>
      </c>
      <c r="Y44" s="86">
        <f>CHOOSE('Узагальнений розрахунок'!$P$1,'Вхідні дані'!$E98,'Вхідні дані'!$I98,'Вхідні дані'!$M98)*Y10</f>
        <v>10500</v>
      </c>
      <c r="Z44" s="86">
        <f>CHOOSE('Узагальнений розрахунок'!$P$1,'Вхідні дані'!$E98,'Вхідні дані'!$I98,'Вхідні дані'!$M98)*Z10</f>
        <v>10500</v>
      </c>
      <c r="AA44" s="86">
        <f>CHOOSE('Узагальнений розрахунок'!$P$1,'Вхідні дані'!$E98,'Вхідні дані'!$I98,'Вхідні дані'!$M98)*AA10</f>
        <v>10500</v>
      </c>
      <c r="AB44" s="86">
        <f>CHOOSE('Узагальнений розрахунок'!$P$1,'Вхідні дані'!$E98,'Вхідні дані'!$I98,'Вхідні дані'!$M98)*AB10</f>
        <v>10500</v>
      </c>
      <c r="AC44" s="86">
        <f>CHOOSE('Узагальнений розрахунок'!$P$1,'Вхідні дані'!$E98,'Вхідні дані'!$I98,'Вхідні дані'!$M98)*AC10</f>
        <v>10500</v>
      </c>
      <c r="AD44" s="87">
        <f t="shared" si="83"/>
        <v>126000</v>
      </c>
      <c r="AE44" s="87">
        <f t="shared" si="84"/>
        <v>10500</v>
      </c>
      <c r="AF44" s="86">
        <f>CHOOSE('Узагальнений розрахунок'!$P$1,'Вхідні дані'!$E98,'Вхідні дані'!$I98,'Вхідні дані'!$M98)*AF10</f>
        <v>11000</v>
      </c>
      <c r="AG44" s="86">
        <f>CHOOSE('Узагальнений розрахунок'!$P$1,'Вхідні дані'!$E98,'Вхідні дані'!$I98,'Вхідні дані'!$M98)*AG10</f>
        <v>11000</v>
      </c>
      <c r="AH44" s="86">
        <f>CHOOSE('Узагальнений розрахунок'!$P$1,'Вхідні дані'!$E98,'Вхідні дані'!$I98,'Вхідні дані'!$M98)*AH10</f>
        <v>11000</v>
      </c>
      <c r="AI44" s="86">
        <f>CHOOSE('Узагальнений розрахунок'!$P$1,'Вхідні дані'!$E98,'Вхідні дані'!$I98,'Вхідні дані'!$M98)*AI10</f>
        <v>11000</v>
      </c>
      <c r="AJ44" s="86">
        <f>CHOOSE('Узагальнений розрахунок'!$P$1,'Вхідні дані'!$E98,'Вхідні дані'!$I98,'Вхідні дані'!$M98)*AJ10</f>
        <v>11000</v>
      </c>
      <c r="AK44" s="86">
        <f>CHOOSE('Узагальнений розрахунок'!$P$1,'Вхідні дані'!$E98,'Вхідні дані'!$I98,'Вхідні дані'!$M98)*AK10</f>
        <v>11000</v>
      </c>
      <c r="AL44" s="86">
        <f>CHOOSE('Узагальнений розрахунок'!$P$1,'Вхідні дані'!$E98,'Вхідні дані'!$I98,'Вхідні дані'!$M98)*AL10</f>
        <v>11000</v>
      </c>
      <c r="AM44" s="86">
        <f>CHOOSE('Узагальнений розрахунок'!$P$1,'Вхідні дані'!$E98,'Вхідні дані'!$I98,'Вхідні дані'!$M98)*AM10</f>
        <v>11000</v>
      </c>
      <c r="AN44" s="86">
        <f>CHOOSE('Узагальнений розрахунок'!$P$1,'Вхідні дані'!$E98,'Вхідні дані'!$I98,'Вхідні дані'!$M98)*AN10</f>
        <v>11000</v>
      </c>
      <c r="AO44" s="86">
        <f>CHOOSE('Узагальнений розрахунок'!$P$1,'Вхідні дані'!$E98,'Вхідні дані'!$I98,'Вхідні дані'!$M98)*AO10</f>
        <v>11000</v>
      </c>
      <c r="AP44" s="86">
        <f>CHOOSE('Узагальнений розрахунок'!$P$1,'Вхідні дані'!$E98,'Вхідні дані'!$I98,'Вхідні дані'!$M98)*AP10</f>
        <v>11000</v>
      </c>
      <c r="AQ44" s="86">
        <f>CHOOSE('Узагальнений розрахунок'!$P$1,'Вхідні дані'!$E98,'Вхідні дані'!$I98,'Вхідні дані'!$M98)*AQ10</f>
        <v>11000</v>
      </c>
      <c r="AR44" s="87">
        <f t="shared" si="85"/>
        <v>132000</v>
      </c>
      <c r="AS44" s="87">
        <f t="shared" si="86"/>
        <v>11000</v>
      </c>
      <c r="AT44" s="82">
        <f t="shared" si="87"/>
        <v>378000</v>
      </c>
      <c r="AU44" s="88"/>
    </row>
    <row r="45" spans="1:47" s="84" customFormat="1" ht="10.5" x14ac:dyDescent="0.35">
      <c r="A45" s="102" t="str">
        <f>'Узагальнений розрахунок'!B35</f>
        <v>Господарські потреби</v>
      </c>
      <c r="B45" s="79" t="str">
        <f>CHOOSE('Вхідні дані'!$R$2,'Вхідні дані'!$S$2,'Вхідні дані'!$S$3,'Вхідні дані'!$S$4,'Вхідні дані'!$S$5)</f>
        <v>UAH</v>
      </c>
      <c r="C45" s="79"/>
      <c r="D45" s="80">
        <f>CHOOSE('Узагальнений розрахунок'!$P$1,'Вхідні дані'!$E99,'Вхідні дані'!$I99,'Вхідні дані'!$M99)</f>
        <v>3000</v>
      </c>
      <c r="E45" s="80">
        <f>CHOOSE('Узагальнений розрахунок'!$P$1,'Вхідні дані'!$E99,'Вхідні дані'!$I99,'Вхідні дані'!$M99)</f>
        <v>3000</v>
      </c>
      <c r="F45" s="80">
        <f>CHOOSE('Узагальнений розрахунок'!$P$1,'Вхідні дані'!$E99,'Вхідні дані'!$I99,'Вхідні дані'!$M99)</f>
        <v>3000</v>
      </c>
      <c r="G45" s="80">
        <f>CHOOSE('Узагальнений розрахунок'!$P$1,'Вхідні дані'!$E99,'Вхідні дані'!$I99,'Вхідні дані'!$M99)</f>
        <v>3000</v>
      </c>
      <c r="H45" s="80">
        <f>CHOOSE('Узагальнений розрахунок'!$P$1,'Вхідні дані'!$E99,'Вхідні дані'!$I99,'Вхідні дані'!$M99)</f>
        <v>3000</v>
      </c>
      <c r="I45" s="80">
        <f>CHOOSE('Узагальнений розрахунок'!$P$1,'Вхідні дані'!$E99,'Вхідні дані'!$I99,'Вхідні дані'!$M99)</f>
        <v>3000</v>
      </c>
      <c r="J45" s="80">
        <f>CHOOSE('Узагальнений розрахунок'!$P$1,'Вхідні дані'!$E99,'Вхідні дані'!$I99,'Вхідні дані'!$M99)</f>
        <v>3000</v>
      </c>
      <c r="K45" s="80">
        <f>CHOOSE('Узагальнений розрахунок'!$P$1,'Вхідні дані'!$E99,'Вхідні дані'!$I99,'Вхідні дані'!$M99)</f>
        <v>3000</v>
      </c>
      <c r="L45" s="80">
        <f>CHOOSE('Узагальнений розрахунок'!$P$1,'Вхідні дані'!$E99,'Вхідні дані'!$I99,'Вхідні дані'!$M99)</f>
        <v>3000</v>
      </c>
      <c r="M45" s="80">
        <f>CHOOSE('Узагальнений розрахунок'!$P$1,'Вхідні дані'!$E99,'Вхідні дані'!$I99,'Вхідні дані'!$M99)</f>
        <v>3000</v>
      </c>
      <c r="N45" s="80">
        <f>CHOOSE('Узагальнений розрахунок'!$P$1,'Вхідні дані'!$E99,'Вхідні дані'!$I99,'Вхідні дані'!$M99)</f>
        <v>3000</v>
      </c>
      <c r="O45" s="80">
        <f>CHOOSE('Узагальнений розрахунок'!$P$1,'Вхідні дані'!$E99,'Вхідні дані'!$I99,'Вхідні дані'!$M99)</f>
        <v>3000</v>
      </c>
      <c r="P45" s="81">
        <f t="shared" si="81"/>
        <v>36000</v>
      </c>
      <c r="Q45" s="81">
        <f t="shared" si="82"/>
        <v>3000</v>
      </c>
      <c r="R45" s="80">
        <f>CHOOSE('Узагальнений розрахунок'!$P$1,'Вхідні дані'!$E99,'Вхідні дані'!$I99,'Вхідні дані'!$M99)</f>
        <v>3000</v>
      </c>
      <c r="S45" s="80">
        <f>CHOOSE('Узагальнений розрахунок'!$P$1,'Вхідні дані'!$E99,'Вхідні дані'!$I99,'Вхідні дані'!$M99)</f>
        <v>3000</v>
      </c>
      <c r="T45" s="80">
        <f>CHOOSE('Узагальнений розрахунок'!$P$1,'Вхідні дані'!$E99,'Вхідні дані'!$I99,'Вхідні дані'!$M99)</f>
        <v>3000</v>
      </c>
      <c r="U45" s="80">
        <f>CHOOSE('Узагальнений розрахунок'!$P$1,'Вхідні дані'!$E99,'Вхідні дані'!$I99,'Вхідні дані'!$M99)</f>
        <v>3000</v>
      </c>
      <c r="V45" s="80">
        <f>CHOOSE('Узагальнений розрахунок'!$P$1,'Вхідні дані'!$E99,'Вхідні дані'!$I99,'Вхідні дані'!$M99)</f>
        <v>3000</v>
      </c>
      <c r="W45" s="80">
        <f>CHOOSE('Узагальнений розрахунок'!$P$1,'Вхідні дані'!$E99,'Вхідні дані'!$I99,'Вхідні дані'!$M99)</f>
        <v>3000</v>
      </c>
      <c r="X45" s="80">
        <f>CHOOSE('Узагальнений розрахунок'!$P$1,'Вхідні дані'!$E99,'Вхідні дані'!$I99,'Вхідні дані'!$M99)</f>
        <v>3000</v>
      </c>
      <c r="Y45" s="80">
        <f>CHOOSE('Узагальнений розрахунок'!$P$1,'Вхідні дані'!$E99,'Вхідні дані'!$I99,'Вхідні дані'!$M99)</f>
        <v>3000</v>
      </c>
      <c r="Z45" s="80">
        <f>CHOOSE('Узагальнений розрахунок'!$P$1,'Вхідні дані'!$E99,'Вхідні дані'!$I99,'Вхідні дані'!$M99)</f>
        <v>3000</v>
      </c>
      <c r="AA45" s="80">
        <f>CHOOSE('Узагальнений розрахунок'!$P$1,'Вхідні дані'!$E99,'Вхідні дані'!$I99,'Вхідні дані'!$M99)</f>
        <v>3000</v>
      </c>
      <c r="AB45" s="80">
        <f>CHOOSE('Узагальнений розрахунок'!$P$1,'Вхідні дані'!$E99,'Вхідні дані'!$I99,'Вхідні дані'!$M99)</f>
        <v>3000</v>
      </c>
      <c r="AC45" s="80">
        <f>CHOOSE('Узагальнений розрахунок'!$P$1,'Вхідні дані'!$E99,'Вхідні дані'!$I99,'Вхідні дані'!$M99)</f>
        <v>3000</v>
      </c>
      <c r="AD45" s="81">
        <f t="shared" si="83"/>
        <v>36000</v>
      </c>
      <c r="AE45" s="81">
        <f t="shared" si="84"/>
        <v>3000</v>
      </c>
      <c r="AF45" s="80">
        <f>CHOOSE('Узагальнений розрахунок'!$P$1,'Вхідні дані'!$E99,'Вхідні дані'!$I99,'Вхідні дані'!$M99)</f>
        <v>3000</v>
      </c>
      <c r="AG45" s="80">
        <f>CHOOSE('Узагальнений розрахунок'!$P$1,'Вхідні дані'!$E99,'Вхідні дані'!$I99,'Вхідні дані'!$M99)</f>
        <v>3000</v>
      </c>
      <c r="AH45" s="80">
        <f>CHOOSE('Узагальнений розрахунок'!$P$1,'Вхідні дані'!$E99,'Вхідні дані'!$I99,'Вхідні дані'!$M99)</f>
        <v>3000</v>
      </c>
      <c r="AI45" s="80">
        <f>CHOOSE('Узагальнений розрахунок'!$P$1,'Вхідні дані'!$E99,'Вхідні дані'!$I99,'Вхідні дані'!$M99)</f>
        <v>3000</v>
      </c>
      <c r="AJ45" s="80">
        <f>CHOOSE('Узагальнений розрахунок'!$P$1,'Вхідні дані'!$E99,'Вхідні дані'!$I99,'Вхідні дані'!$M99)</f>
        <v>3000</v>
      </c>
      <c r="AK45" s="80">
        <f>CHOOSE('Узагальнений розрахунок'!$P$1,'Вхідні дані'!$E99,'Вхідні дані'!$I99,'Вхідні дані'!$M99)</f>
        <v>3000</v>
      </c>
      <c r="AL45" s="80">
        <f>CHOOSE('Узагальнений розрахунок'!$P$1,'Вхідні дані'!$E99,'Вхідні дані'!$I99,'Вхідні дані'!$M99)</f>
        <v>3000</v>
      </c>
      <c r="AM45" s="80">
        <f>CHOOSE('Узагальнений розрахунок'!$P$1,'Вхідні дані'!$E99,'Вхідні дані'!$I99,'Вхідні дані'!$M99)</f>
        <v>3000</v>
      </c>
      <c r="AN45" s="80">
        <f>CHOOSE('Узагальнений розрахунок'!$P$1,'Вхідні дані'!$E99,'Вхідні дані'!$I99,'Вхідні дані'!$M99)</f>
        <v>3000</v>
      </c>
      <c r="AO45" s="80">
        <f>CHOOSE('Узагальнений розрахунок'!$P$1,'Вхідні дані'!$E99,'Вхідні дані'!$I99,'Вхідні дані'!$M99)</f>
        <v>3000</v>
      </c>
      <c r="AP45" s="80">
        <f>CHOOSE('Узагальнений розрахунок'!$P$1,'Вхідні дані'!$E99,'Вхідні дані'!$I99,'Вхідні дані'!$M99)</f>
        <v>3000</v>
      </c>
      <c r="AQ45" s="80">
        <f>CHOOSE('Узагальнений розрахунок'!$P$1,'Вхідні дані'!$E99,'Вхідні дані'!$I99,'Вхідні дані'!$M99)</f>
        <v>3000</v>
      </c>
      <c r="AR45" s="81">
        <f t="shared" si="85"/>
        <v>36000</v>
      </c>
      <c r="AS45" s="81">
        <f t="shared" si="86"/>
        <v>3000</v>
      </c>
      <c r="AT45" s="82">
        <f t="shared" si="87"/>
        <v>108000</v>
      </c>
      <c r="AU45" s="83"/>
    </row>
    <row r="46" spans="1:47" s="89" customFormat="1" ht="10.5" x14ac:dyDescent="0.35">
      <c r="A46" s="101" t="str">
        <f>'Узагальнений розрахунок'!B36</f>
        <v>Списання</v>
      </c>
      <c r="B46" s="85" t="str">
        <f>CHOOSE('Вхідні дані'!$R$2,'Вхідні дані'!$S$2,'Вхідні дані'!$S$3,'Вхідні дані'!$S$4,'Вхідні дані'!$S$5)</f>
        <v>UAH</v>
      </c>
      <c r="C46" s="85"/>
      <c r="D46" s="86">
        <f>D$18*CHOOSE('Узагальнений розрахунок'!$P$1,'Вхідні дані'!$D100,'Вхідні дані'!$H100,'Вхідні дані'!$L100)</f>
        <v>0</v>
      </c>
      <c r="E46" s="86">
        <f>E$18*CHOOSE('Узагальнений розрахунок'!$P$1,'Вхідні дані'!$D100,'Вхідні дані'!$H100,'Вхідні дані'!$L100)</f>
        <v>0</v>
      </c>
      <c r="F46" s="86">
        <f>F$18*CHOOSE('Узагальнений розрахунок'!$P$1,'Вхідні дані'!$D100,'Вхідні дані'!$H100,'Вхідні дані'!$L100)</f>
        <v>0</v>
      </c>
      <c r="G46" s="86">
        <f>G$18*CHOOSE('Узагальнений розрахунок'!$P$1,'Вхідні дані'!$D100,'Вхідні дані'!$H100,'Вхідні дані'!$L100)</f>
        <v>0</v>
      </c>
      <c r="H46" s="86">
        <f>H$18*CHOOSE('Узагальнений розрахунок'!$P$1,'Вхідні дані'!$D100,'Вхідні дані'!$H100,'Вхідні дані'!$L100)</f>
        <v>0</v>
      </c>
      <c r="I46" s="86">
        <f>I$18*CHOOSE('Узагальнений розрахунок'!$P$1,'Вхідні дані'!$D100,'Вхідні дані'!$H100,'Вхідні дані'!$L100)</f>
        <v>0</v>
      </c>
      <c r="J46" s="86">
        <f>J$18*CHOOSE('Узагальнений розрахунок'!$P$1,'Вхідні дані'!$D100,'Вхідні дані'!$H100,'Вхідні дані'!$L100)</f>
        <v>0</v>
      </c>
      <c r="K46" s="86">
        <f>K$18*CHOOSE('Узагальнений розрахунок'!$P$1,'Вхідні дані'!$D100,'Вхідні дані'!$H100,'Вхідні дані'!$L100)</f>
        <v>0</v>
      </c>
      <c r="L46" s="86">
        <f>L$18*CHOOSE('Узагальнений розрахунок'!$P$1,'Вхідні дані'!$D100,'Вхідні дані'!$H100,'Вхідні дані'!$L100)</f>
        <v>0</v>
      </c>
      <c r="M46" s="86">
        <f>M$18*CHOOSE('Узагальнений розрахунок'!$P$1,'Вхідні дані'!$D100,'Вхідні дані'!$H100,'Вхідні дані'!$L100)</f>
        <v>0</v>
      </c>
      <c r="N46" s="86">
        <f>N$18*CHOOSE('Узагальнений розрахунок'!$P$1,'Вхідні дані'!$D100,'Вхідні дані'!$H100,'Вхідні дані'!$L100)</f>
        <v>0</v>
      </c>
      <c r="O46" s="86">
        <f>O$18*CHOOSE('Узагальнений розрахунок'!$P$1,'Вхідні дані'!$D100,'Вхідні дані'!$H100,'Вхідні дані'!$L100)</f>
        <v>0</v>
      </c>
      <c r="P46" s="87">
        <f t="shared" ref="P46" si="95">SUM(D46:O46)</f>
        <v>0</v>
      </c>
      <c r="Q46" s="87">
        <f t="shared" ref="Q46:Q47" si="96">P46/12</f>
        <v>0</v>
      </c>
      <c r="R46" s="86">
        <f>R$18*CHOOSE('Узагальнений розрахунок'!$P$1,'Вхідні дані'!$D100,'Вхідні дані'!$H100,'Вхідні дані'!$L100)</f>
        <v>0</v>
      </c>
      <c r="S46" s="86">
        <f>S$18*CHOOSE('Узагальнений розрахунок'!$P$1,'Вхідні дані'!$D100,'Вхідні дані'!$H100,'Вхідні дані'!$L100)</f>
        <v>0</v>
      </c>
      <c r="T46" s="86">
        <f>T$18*CHOOSE('Узагальнений розрахунок'!$P$1,'Вхідні дані'!$D100,'Вхідні дані'!$H100,'Вхідні дані'!$L100)</f>
        <v>0</v>
      </c>
      <c r="U46" s="86">
        <f>U$18*CHOOSE('Узагальнений розрахунок'!$P$1,'Вхідні дані'!$D100,'Вхідні дані'!$H100,'Вхідні дані'!$L100)</f>
        <v>0</v>
      </c>
      <c r="V46" s="86">
        <f>V$18*CHOOSE('Узагальнений розрахунок'!$P$1,'Вхідні дані'!$D100,'Вхідні дані'!$H100,'Вхідні дані'!$L100)</f>
        <v>0</v>
      </c>
      <c r="W46" s="86">
        <f>W$18*CHOOSE('Узагальнений розрахунок'!$P$1,'Вхідні дані'!$D100,'Вхідні дані'!$H100,'Вхідні дані'!$L100)</f>
        <v>0</v>
      </c>
      <c r="X46" s="86">
        <f>X$18*CHOOSE('Узагальнений розрахунок'!$P$1,'Вхідні дані'!$D100,'Вхідні дані'!$H100,'Вхідні дані'!$L100)</f>
        <v>0</v>
      </c>
      <c r="Y46" s="86">
        <f>Y$18*CHOOSE('Узагальнений розрахунок'!$P$1,'Вхідні дані'!$D100,'Вхідні дані'!$H100,'Вхідні дані'!$L100)</f>
        <v>0</v>
      </c>
      <c r="Z46" s="86">
        <f>Z$18*CHOOSE('Узагальнений розрахунок'!$P$1,'Вхідні дані'!$D100,'Вхідні дані'!$H100,'Вхідні дані'!$L100)</f>
        <v>0</v>
      </c>
      <c r="AA46" s="86">
        <f>AA$18*CHOOSE('Узагальнений розрахунок'!$P$1,'Вхідні дані'!$D100,'Вхідні дані'!$H100,'Вхідні дані'!$L100)</f>
        <v>0</v>
      </c>
      <c r="AB46" s="86">
        <f>AB$18*CHOOSE('Узагальнений розрахунок'!$P$1,'Вхідні дані'!$D100,'Вхідні дані'!$H100,'Вхідні дані'!$L100)</f>
        <v>0</v>
      </c>
      <c r="AC46" s="86">
        <f>AC$18*CHOOSE('Узагальнений розрахунок'!$P$1,'Вхідні дані'!$D100,'Вхідні дані'!$H100,'Вхідні дані'!$L100)</f>
        <v>0</v>
      </c>
      <c r="AD46" s="87">
        <f t="shared" ref="AD46" si="97">SUM(R46:AC46)</f>
        <v>0</v>
      </c>
      <c r="AE46" s="87">
        <f t="shared" ref="AE46:AE47" si="98">AD46/12</f>
        <v>0</v>
      </c>
      <c r="AF46" s="86">
        <f>AF$18*CHOOSE('Узагальнений розрахунок'!$P$1,'Вхідні дані'!$D100,'Вхідні дані'!$H100,'Вхідні дані'!$L100)</f>
        <v>0</v>
      </c>
      <c r="AG46" s="86">
        <f>AG$18*CHOOSE('Узагальнений розрахунок'!$P$1,'Вхідні дані'!$D100,'Вхідні дані'!$H100,'Вхідні дані'!$L100)</f>
        <v>0</v>
      </c>
      <c r="AH46" s="86">
        <f>AH$18*CHOOSE('Узагальнений розрахунок'!$P$1,'Вхідні дані'!$D100,'Вхідні дані'!$H100,'Вхідні дані'!$L100)</f>
        <v>0</v>
      </c>
      <c r="AI46" s="86">
        <f>AI$18*CHOOSE('Узагальнений розрахунок'!$P$1,'Вхідні дані'!$D100,'Вхідні дані'!$H100,'Вхідні дані'!$L100)</f>
        <v>0</v>
      </c>
      <c r="AJ46" s="86">
        <f>AJ$18*CHOOSE('Узагальнений розрахунок'!$P$1,'Вхідні дані'!$D100,'Вхідні дані'!$H100,'Вхідні дані'!$L100)</f>
        <v>0</v>
      </c>
      <c r="AK46" s="86">
        <f>AK$18*CHOOSE('Узагальнений розрахунок'!$P$1,'Вхідні дані'!$D100,'Вхідні дані'!$H100,'Вхідні дані'!$L100)</f>
        <v>0</v>
      </c>
      <c r="AL46" s="86">
        <f>AL$18*CHOOSE('Узагальнений розрахунок'!$P$1,'Вхідні дані'!$D100,'Вхідні дані'!$H100,'Вхідні дані'!$L100)</f>
        <v>0</v>
      </c>
      <c r="AM46" s="86">
        <f>AM$18*CHOOSE('Узагальнений розрахунок'!$P$1,'Вхідні дані'!$D100,'Вхідні дані'!$H100,'Вхідні дані'!$L100)</f>
        <v>0</v>
      </c>
      <c r="AN46" s="86">
        <f>AN$18*CHOOSE('Узагальнений розрахунок'!$P$1,'Вхідні дані'!$D100,'Вхідні дані'!$H100,'Вхідні дані'!$L100)</f>
        <v>0</v>
      </c>
      <c r="AO46" s="86">
        <f>AO$18*CHOOSE('Узагальнений розрахунок'!$P$1,'Вхідні дані'!$D100,'Вхідні дані'!$H100,'Вхідні дані'!$L100)</f>
        <v>0</v>
      </c>
      <c r="AP46" s="86">
        <f>AP$18*CHOOSE('Узагальнений розрахунок'!$P$1,'Вхідні дані'!$D100,'Вхідні дані'!$H100,'Вхідні дані'!$L100)</f>
        <v>0</v>
      </c>
      <c r="AQ46" s="86">
        <f>AQ$18*CHOOSE('Узагальнений розрахунок'!$P$1,'Вхідні дані'!$D100,'Вхідні дані'!$H100,'Вхідні дані'!$L100)</f>
        <v>0</v>
      </c>
      <c r="AR46" s="87">
        <f t="shared" ref="AR46" si="99">SUM(AF46:AQ46)</f>
        <v>0</v>
      </c>
      <c r="AS46" s="87">
        <f t="shared" ref="AS46:AS47" si="100">AR46/12</f>
        <v>0</v>
      </c>
      <c r="AT46" s="82">
        <f t="shared" ref="AT46:AT47" si="101">P46+AD46+AR46</f>
        <v>0</v>
      </c>
      <c r="AU46" s="88"/>
    </row>
    <row r="47" spans="1:47" s="84" customFormat="1" ht="10.5" x14ac:dyDescent="0.35">
      <c r="A47" s="102" t="str">
        <f>'Узагальнений розрахунок'!B37</f>
        <v>Поточний ремонт</v>
      </c>
      <c r="B47" s="79" t="str">
        <f>CHOOSE('Вхідні дані'!$R$2,'Вхідні дані'!$S$2,'Вхідні дані'!$S$3,'Вхідні дані'!$S$4,'Вхідні дані'!$S$5)</f>
        <v>UAH</v>
      </c>
      <c r="C47" s="79"/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f>CHOOSE('Узагальнений розрахунок'!$P$1,'Вхідні дані'!$E101,'Вхідні дані'!$I101,'Вхідні дані'!$M101)</f>
        <v>0</v>
      </c>
      <c r="J47" s="80">
        <v>0</v>
      </c>
      <c r="K47" s="80">
        <v>0</v>
      </c>
      <c r="L47" s="80">
        <v>0</v>
      </c>
      <c r="M47" s="80">
        <v>0</v>
      </c>
      <c r="N47" s="80">
        <v>0</v>
      </c>
      <c r="O47" s="80">
        <f>CHOOSE('Узагальнений розрахунок'!$P$1,'Вхідні дані'!$E101,'Вхідні дані'!$I101,'Вхідні дані'!$M101)</f>
        <v>0</v>
      </c>
      <c r="P47" s="81">
        <f t="shared" ref="P47:P48" si="102">SUM(D47:O47)</f>
        <v>0</v>
      </c>
      <c r="Q47" s="81">
        <f t="shared" si="96"/>
        <v>0</v>
      </c>
      <c r="R47" s="80">
        <f>R$18*CHOOSE('Узагальнений розрахунок'!$P$1,'Вхідні дані'!$D101,'Вхідні дані'!$H101,'Вхідні дані'!$L101)</f>
        <v>0</v>
      </c>
      <c r="S47" s="80">
        <f>S$18*CHOOSE('Узагальнений розрахунок'!$P$1,'Вхідні дані'!$D101,'Вхідні дані'!$H101,'Вхідні дані'!$L101)</f>
        <v>0</v>
      </c>
      <c r="T47" s="80">
        <f>T$18*CHOOSE('Узагальнений розрахунок'!$P$1,'Вхідні дані'!$D101,'Вхідні дані'!$H101,'Вхідні дані'!$L101)</f>
        <v>0</v>
      </c>
      <c r="U47" s="80">
        <f>U$18*CHOOSE('Узагальнений розрахунок'!$P$1,'Вхідні дані'!$D101,'Вхідні дані'!$H101,'Вхідні дані'!$L101)</f>
        <v>0</v>
      </c>
      <c r="V47" s="80">
        <f>V$18*CHOOSE('Узагальнений розрахунок'!$P$1,'Вхідні дані'!$D101,'Вхідні дані'!$H101,'Вхідні дані'!$L101)</f>
        <v>0</v>
      </c>
      <c r="W47" s="80">
        <f>W$18*CHOOSE('Узагальнений розрахунок'!$P$1,'Вхідні дані'!$D101,'Вхідні дані'!$H101,'Вхідні дані'!$L101)</f>
        <v>0</v>
      </c>
      <c r="X47" s="80">
        <f>X$18*CHOOSE('Узагальнений розрахунок'!$P$1,'Вхідні дані'!$D101,'Вхідні дані'!$H101,'Вхідні дані'!$L101)</f>
        <v>0</v>
      </c>
      <c r="Y47" s="80">
        <f>Y$18*CHOOSE('Узагальнений розрахунок'!$P$1,'Вхідні дані'!$D101,'Вхідні дані'!$H101,'Вхідні дані'!$L101)</f>
        <v>0</v>
      </c>
      <c r="Z47" s="80">
        <f>Z$18*CHOOSE('Узагальнений розрахунок'!$P$1,'Вхідні дані'!$D101,'Вхідні дані'!$H101,'Вхідні дані'!$L101)</f>
        <v>0</v>
      </c>
      <c r="AA47" s="80">
        <f>AA$18*CHOOSE('Узагальнений розрахунок'!$P$1,'Вхідні дані'!$D101,'Вхідні дані'!$H101,'Вхідні дані'!$L101)</f>
        <v>0</v>
      </c>
      <c r="AB47" s="80">
        <f>AB$18*CHOOSE('Узагальнений розрахунок'!$P$1,'Вхідні дані'!$D101,'Вхідні дані'!$H101,'Вхідні дані'!$L101)</f>
        <v>0</v>
      </c>
      <c r="AC47" s="80">
        <f>AC$18*CHOOSE('Узагальнений розрахунок'!$P$1,'Вхідні дані'!$D101,'Вхідні дані'!$H101,'Вхідні дані'!$L101)</f>
        <v>0</v>
      </c>
      <c r="AD47" s="81">
        <f t="shared" ref="AD47:AD48" si="103">SUM(R47:AC47)</f>
        <v>0</v>
      </c>
      <c r="AE47" s="81">
        <f t="shared" si="98"/>
        <v>0</v>
      </c>
      <c r="AF47" s="80">
        <f>AF$18*CHOOSE('Узагальнений розрахунок'!$P$1,'Вхідні дані'!$D101,'Вхідні дані'!$H101,'Вхідні дані'!$L101)</f>
        <v>0</v>
      </c>
      <c r="AG47" s="80">
        <f>AG$18*CHOOSE('Узагальнений розрахунок'!$P$1,'Вхідні дані'!$D101,'Вхідні дані'!$H101,'Вхідні дані'!$L101)</f>
        <v>0</v>
      </c>
      <c r="AH47" s="80">
        <f>AH$18*CHOOSE('Узагальнений розрахунок'!$P$1,'Вхідні дані'!$D101,'Вхідні дані'!$H101,'Вхідні дані'!$L101)</f>
        <v>0</v>
      </c>
      <c r="AI47" s="80">
        <f>AI$18*CHOOSE('Узагальнений розрахунок'!$P$1,'Вхідні дані'!$D101,'Вхідні дані'!$H101,'Вхідні дані'!$L101)</f>
        <v>0</v>
      </c>
      <c r="AJ47" s="80">
        <f>AJ$18*CHOOSE('Узагальнений розрахунок'!$P$1,'Вхідні дані'!$D101,'Вхідні дані'!$H101,'Вхідні дані'!$L101)</f>
        <v>0</v>
      </c>
      <c r="AK47" s="80">
        <f>AK$18*CHOOSE('Узагальнений розрахунок'!$P$1,'Вхідні дані'!$D101,'Вхідні дані'!$H101,'Вхідні дані'!$L101)</f>
        <v>0</v>
      </c>
      <c r="AL47" s="80">
        <f>AL$18*CHOOSE('Узагальнений розрахунок'!$P$1,'Вхідні дані'!$D101,'Вхідні дані'!$H101,'Вхідні дані'!$L101)</f>
        <v>0</v>
      </c>
      <c r="AM47" s="80">
        <f>AM$18*CHOOSE('Узагальнений розрахунок'!$P$1,'Вхідні дані'!$D101,'Вхідні дані'!$H101,'Вхідні дані'!$L101)</f>
        <v>0</v>
      </c>
      <c r="AN47" s="80">
        <f>AN$18*CHOOSE('Узагальнений розрахунок'!$P$1,'Вхідні дані'!$D101,'Вхідні дані'!$H101,'Вхідні дані'!$L101)</f>
        <v>0</v>
      </c>
      <c r="AO47" s="80">
        <f>AO$18*CHOOSE('Узагальнений розрахунок'!$P$1,'Вхідні дані'!$D101,'Вхідні дані'!$H101,'Вхідні дані'!$L101)</f>
        <v>0</v>
      </c>
      <c r="AP47" s="80">
        <f>AP$18*CHOOSE('Узагальнений розрахунок'!$P$1,'Вхідні дані'!$D101,'Вхідні дані'!$H101,'Вхідні дані'!$L101)</f>
        <v>0</v>
      </c>
      <c r="AQ47" s="80">
        <f>AQ$18*CHOOSE('Узагальнений розрахунок'!$P$1,'Вхідні дані'!$D101,'Вхідні дані'!$H101,'Вхідні дані'!$L101)</f>
        <v>0</v>
      </c>
      <c r="AR47" s="81">
        <f t="shared" ref="AR47:AR48" si="104">SUM(AF47:AQ47)</f>
        <v>0</v>
      </c>
      <c r="AS47" s="81">
        <f t="shared" si="100"/>
        <v>0</v>
      </c>
      <c r="AT47" s="82">
        <f t="shared" si="101"/>
        <v>0</v>
      </c>
      <c r="AU47" s="83"/>
    </row>
    <row r="48" spans="1:47" s="89" customFormat="1" ht="10.5" x14ac:dyDescent="0.35">
      <c r="A48" s="101" t="str">
        <f>'Узагальнений розрахунок'!B38</f>
        <v>Уніформа персоналу</v>
      </c>
      <c r="B48" s="85" t="str">
        <f>CHOOSE('Вхідні дані'!$R$2,'Вхідні дані'!$S$2,'Вхідні дані'!$S$3,'Вхідні дані'!$S$4,'Вхідні дані'!$S$5)</f>
        <v>UAH</v>
      </c>
      <c r="C48" s="85"/>
      <c r="D48" s="86">
        <f>CHOOSE('Узагальнений розрахунок'!$P$1,'Вхідні дані'!$E102,'Вхідні дані'!$I102,'Вхідні дані'!$M102)</f>
        <v>0</v>
      </c>
      <c r="E48" s="86">
        <v>0</v>
      </c>
      <c r="F48" s="86">
        <v>0</v>
      </c>
      <c r="G48" s="86">
        <v>0</v>
      </c>
      <c r="H48" s="86">
        <v>0</v>
      </c>
      <c r="I48" s="86">
        <v>0</v>
      </c>
      <c r="J48" s="86">
        <f>CHOOSE('Узагальнений розрахунок'!$P$1,'Вхідні дані'!$E$102,'Вхідні дані'!$I$102,'Вхідні дані'!$M$102)</f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7">
        <f t="shared" si="102"/>
        <v>0</v>
      </c>
      <c r="Q48" s="87">
        <f t="shared" ref="Q48" si="105">P48/12</f>
        <v>0</v>
      </c>
      <c r="R48" s="86">
        <f>CHOOSE('Узагальнений розрахунок'!$P$1,'Вхідні дані'!$E$102,'Вхідні дані'!$I$102,'Вхідні дані'!$M$102)</f>
        <v>0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f>CHOOSE('Узагальнений розрахунок'!$P$1,'Вхідні дані'!$E$102,'Вхідні дані'!$I$102,'Вхідні дані'!$M$102)</f>
        <v>0</v>
      </c>
      <c r="Y48" s="86">
        <v>0</v>
      </c>
      <c r="Z48" s="86">
        <v>0</v>
      </c>
      <c r="AA48" s="86">
        <v>0</v>
      </c>
      <c r="AB48" s="86">
        <v>0</v>
      </c>
      <c r="AC48" s="86">
        <v>0</v>
      </c>
      <c r="AD48" s="87">
        <f t="shared" si="103"/>
        <v>0</v>
      </c>
      <c r="AE48" s="87">
        <f t="shared" ref="AE48" si="106">AD48/12</f>
        <v>0</v>
      </c>
      <c r="AF48" s="86">
        <f>CHOOSE('Узагальнений розрахунок'!$P$1,'Вхідні дані'!$E$102,'Вхідні дані'!$I$102,'Вхідні дані'!$M$102)</f>
        <v>0</v>
      </c>
      <c r="AG48" s="86">
        <v>0</v>
      </c>
      <c r="AH48" s="86">
        <v>0</v>
      </c>
      <c r="AI48" s="86">
        <v>0</v>
      </c>
      <c r="AJ48" s="86">
        <v>0</v>
      </c>
      <c r="AK48" s="86">
        <v>0</v>
      </c>
      <c r="AL48" s="86">
        <f>CHOOSE('Узагальнений розрахунок'!$P$1,'Вхідні дані'!$E$102,'Вхідні дані'!$I$102,'Вхідні дані'!$M$102)</f>
        <v>0</v>
      </c>
      <c r="AM48" s="86">
        <v>0</v>
      </c>
      <c r="AN48" s="86">
        <v>0</v>
      </c>
      <c r="AO48" s="86">
        <v>0</v>
      </c>
      <c r="AP48" s="86">
        <v>0</v>
      </c>
      <c r="AQ48" s="86">
        <v>0</v>
      </c>
      <c r="AR48" s="87">
        <f t="shared" si="104"/>
        <v>0</v>
      </c>
      <c r="AS48" s="87">
        <f t="shared" ref="AS48" si="107">AR48/12</f>
        <v>0</v>
      </c>
      <c r="AT48" s="82">
        <f t="shared" ref="AT48" si="108">P48+AD48+AR48</f>
        <v>0</v>
      </c>
      <c r="AU48" s="88"/>
    </row>
    <row r="49" spans="1:47" s="84" customFormat="1" ht="10.5" x14ac:dyDescent="0.35">
      <c r="A49" s="102" t="str">
        <f>'Узагальнений розрахунок'!B39</f>
        <v>Охорона</v>
      </c>
      <c r="B49" s="79" t="str">
        <f>CHOOSE('Вхідні дані'!$R$2,'Вхідні дані'!$S$2,'Вхідні дані'!$S$3,'Вхідні дані'!$S$4,'Вхідні дані'!$S$5)</f>
        <v>UAH</v>
      </c>
      <c r="C49" s="79"/>
      <c r="D49" s="80">
        <f>CHOOSE('Узагальнений розрахунок'!$P$1,'Вхідні дані'!$E103,'Вхідні дані'!$I103,'Вхідні дані'!$M103)</f>
        <v>0</v>
      </c>
      <c r="E49" s="80">
        <f>CHOOSE('Узагальнений розрахунок'!$P$1,'Вхідні дані'!$E103,'Вхідні дані'!$I103,'Вхідні дані'!$M103)</f>
        <v>0</v>
      </c>
      <c r="F49" s="80">
        <f>CHOOSE('Узагальнений розрахунок'!$P$1,'Вхідні дані'!$E103,'Вхідні дані'!$I103,'Вхідні дані'!$M103)</f>
        <v>0</v>
      </c>
      <c r="G49" s="80">
        <f>CHOOSE('Узагальнений розрахунок'!$P$1,'Вхідні дані'!$E103,'Вхідні дані'!$I103,'Вхідні дані'!$M103)</f>
        <v>0</v>
      </c>
      <c r="H49" s="80">
        <f>CHOOSE('Узагальнений розрахунок'!$P$1,'Вхідні дані'!$E103,'Вхідні дані'!$I103,'Вхідні дані'!$M103)</f>
        <v>0</v>
      </c>
      <c r="I49" s="80">
        <f>CHOOSE('Узагальнений розрахунок'!$P$1,'Вхідні дані'!$E103,'Вхідні дані'!$I103,'Вхідні дані'!$M103)</f>
        <v>0</v>
      </c>
      <c r="J49" s="80">
        <f>CHOOSE('Узагальнений розрахунок'!$P$1,'Вхідні дані'!$E103,'Вхідні дані'!$I103,'Вхідні дані'!$M103)</f>
        <v>0</v>
      </c>
      <c r="K49" s="80">
        <f>CHOOSE('Узагальнений розрахунок'!$P$1,'Вхідні дані'!$E103,'Вхідні дані'!$I103,'Вхідні дані'!$M103)</f>
        <v>0</v>
      </c>
      <c r="L49" s="80">
        <f>CHOOSE('Узагальнений розрахунок'!$P$1,'Вхідні дані'!$E103,'Вхідні дані'!$I103,'Вхідні дані'!$M103)</f>
        <v>0</v>
      </c>
      <c r="M49" s="80">
        <f>CHOOSE('Узагальнений розрахунок'!$P$1,'Вхідні дані'!$E103,'Вхідні дані'!$I103,'Вхідні дані'!$M103)</f>
        <v>0</v>
      </c>
      <c r="N49" s="80">
        <f>CHOOSE('Узагальнений розрахунок'!$P$1,'Вхідні дані'!$E103,'Вхідні дані'!$I103,'Вхідні дані'!$M103)</f>
        <v>0</v>
      </c>
      <c r="O49" s="80">
        <f>CHOOSE('Узагальнений розрахунок'!$P$1,'Вхідні дані'!$E103,'Вхідні дані'!$I103,'Вхідні дані'!$M103)</f>
        <v>0</v>
      </c>
      <c r="P49" s="81">
        <f>SUM(D49:O49)</f>
        <v>0</v>
      </c>
      <c r="Q49" s="81">
        <f>P49/12</f>
        <v>0</v>
      </c>
      <c r="R49" s="80">
        <f>CHOOSE('Узагальнений розрахунок'!$P$1,'Вхідні дані'!$E103,'Вхідні дані'!$I103,'Вхідні дані'!$M103)</f>
        <v>0</v>
      </c>
      <c r="S49" s="80">
        <f>CHOOSE('Узагальнений розрахунок'!$P$1,'Вхідні дані'!$E103,'Вхідні дані'!$I103,'Вхідні дані'!$M103)</f>
        <v>0</v>
      </c>
      <c r="T49" s="80">
        <f>CHOOSE('Узагальнений розрахунок'!$P$1,'Вхідні дані'!$E103,'Вхідні дані'!$I103,'Вхідні дані'!$M103)</f>
        <v>0</v>
      </c>
      <c r="U49" s="80">
        <f>CHOOSE('Узагальнений розрахунок'!$P$1,'Вхідні дані'!$E103,'Вхідні дані'!$I103,'Вхідні дані'!$M103)</f>
        <v>0</v>
      </c>
      <c r="V49" s="80">
        <f>CHOOSE('Узагальнений розрахунок'!$P$1,'Вхідні дані'!$E103,'Вхідні дані'!$I103,'Вхідні дані'!$M103)</f>
        <v>0</v>
      </c>
      <c r="W49" s="80">
        <f>CHOOSE('Узагальнений розрахунок'!$P$1,'Вхідні дані'!$E103,'Вхідні дані'!$I103,'Вхідні дані'!$M103)</f>
        <v>0</v>
      </c>
      <c r="X49" s="80">
        <f>CHOOSE('Узагальнений розрахунок'!$P$1,'Вхідні дані'!$E103,'Вхідні дані'!$I103,'Вхідні дані'!$M103)</f>
        <v>0</v>
      </c>
      <c r="Y49" s="80">
        <f>CHOOSE('Узагальнений розрахунок'!$P$1,'Вхідні дані'!$E103,'Вхідні дані'!$I103,'Вхідні дані'!$M103)</f>
        <v>0</v>
      </c>
      <c r="Z49" s="80">
        <f>CHOOSE('Узагальнений розрахунок'!$P$1,'Вхідні дані'!$E103,'Вхідні дані'!$I103,'Вхідні дані'!$M103)</f>
        <v>0</v>
      </c>
      <c r="AA49" s="80">
        <f>CHOOSE('Узагальнений розрахунок'!$P$1,'Вхідні дані'!$E103,'Вхідні дані'!$I103,'Вхідні дані'!$M103)</f>
        <v>0</v>
      </c>
      <c r="AB49" s="80">
        <f>CHOOSE('Узагальнений розрахунок'!$P$1,'Вхідні дані'!$E103,'Вхідні дані'!$I103,'Вхідні дані'!$M103)</f>
        <v>0</v>
      </c>
      <c r="AC49" s="80">
        <f>CHOOSE('Узагальнений розрахунок'!$P$1,'Вхідні дані'!$E103,'Вхідні дані'!$I103,'Вхідні дані'!$M103)</f>
        <v>0</v>
      </c>
      <c r="AD49" s="81">
        <f>SUM(R49:AC49)</f>
        <v>0</v>
      </c>
      <c r="AE49" s="81">
        <f>AD49/12</f>
        <v>0</v>
      </c>
      <c r="AF49" s="80">
        <f>CHOOSE('Узагальнений розрахунок'!$P$1,'Вхідні дані'!$E103,'Вхідні дані'!$I103,'Вхідні дані'!$M103)</f>
        <v>0</v>
      </c>
      <c r="AG49" s="80">
        <f>CHOOSE('Узагальнений розрахунок'!$P$1,'Вхідні дані'!$E103,'Вхідні дані'!$I103,'Вхідні дані'!$M103)</f>
        <v>0</v>
      </c>
      <c r="AH49" s="80">
        <f>CHOOSE('Узагальнений розрахунок'!$P$1,'Вхідні дані'!$E103,'Вхідні дані'!$I103,'Вхідні дані'!$M103)</f>
        <v>0</v>
      </c>
      <c r="AI49" s="80">
        <f>CHOOSE('Узагальнений розрахунок'!$P$1,'Вхідні дані'!$E103,'Вхідні дані'!$I103,'Вхідні дані'!$M103)</f>
        <v>0</v>
      </c>
      <c r="AJ49" s="80">
        <f>CHOOSE('Узагальнений розрахунок'!$P$1,'Вхідні дані'!$E103,'Вхідні дані'!$I103,'Вхідні дані'!$M103)</f>
        <v>0</v>
      </c>
      <c r="AK49" s="80">
        <f>CHOOSE('Узагальнений розрахунок'!$P$1,'Вхідні дані'!$E103,'Вхідні дані'!$I103,'Вхідні дані'!$M103)</f>
        <v>0</v>
      </c>
      <c r="AL49" s="80">
        <f>CHOOSE('Узагальнений розрахунок'!$P$1,'Вхідні дані'!$E103,'Вхідні дані'!$I103,'Вхідні дані'!$M103)</f>
        <v>0</v>
      </c>
      <c r="AM49" s="80">
        <f>CHOOSE('Узагальнений розрахунок'!$P$1,'Вхідні дані'!$E103,'Вхідні дані'!$I103,'Вхідні дані'!$M103)</f>
        <v>0</v>
      </c>
      <c r="AN49" s="80">
        <f>CHOOSE('Узагальнений розрахунок'!$P$1,'Вхідні дані'!$E103,'Вхідні дані'!$I103,'Вхідні дані'!$M103)</f>
        <v>0</v>
      </c>
      <c r="AO49" s="80">
        <f>CHOOSE('Узагальнений розрахунок'!$P$1,'Вхідні дані'!$E103,'Вхідні дані'!$I103,'Вхідні дані'!$M103)</f>
        <v>0</v>
      </c>
      <c r="AP49" s="80">
        <f>CHOOSE('Узагальнений розрахунок'!$P$1,'Вхідні дані'!$E103,'Вхідні дані'!$I103,'Вхідні дані'!$M103)</f>
        <v>0</v>
      </c>
      <c r="AQ49" s="80">
        <f>CHOOSE('Узагальнений розрахунок'!$P$1,'Вхідні дані'!$E103,'Вхідні дані'!$I103,'Вхідні дані'!$M103)</f>
        <v>0</v>
      </c>
      <c r="AR49" s="81">
        <f>SUM(AF49:AQ49)</f>
        <v>0</v>
      </c>
      <c r="AS49" s="81">
        <f>AR49/12</f>
        <v>0</v>
      </c>
      <c r="AT49" s="82">
        <f>P49+AD49+AR49</f>
        <v>0</v>
      </c>
      <c r="AU49" s="83"/>
    </row>
    <row r="50" spans="1:47" s="89" customFormat="1" ht="10.5" x14ac:dyDescent="0.35">
      <c r="A50" s="101" t="str">
        <f>'Узагальнений розрахунок'!B40</f>
        <v>Послуги зв'язку та інтернет</v>
      </c>
      <c r="B50" s="85" t="str">
        <f>CHOOSE('Вхідні дані'!$R$2,'Вхідні дані'!$S$2,'Вхідні дані'!$S$3,'Вхідні дані'!$S$4,'Вхідні дані'!$S$5)</f>
        <v>UAH</v>
      </c>
      <c r="C50" s="85"/>
      <c r="D50" s="86">
        <f>CHOOSE('Узагальнений розрахунок'!$P$1,'Вхідні дані'!$E104,'Вхідні дані'!$I104,'Вхідні дані'!$M104)</f>
        <v>400</v>
      </c>
      <c r="E50" s="86">
        <f>CHOOSE('Узагальнений розрахунок'!$P$1,'Вхідні дані'!$E104,'Вхідні дані'!$I104,'Вхідні дані'!$M104)</f>
        <v>400</v>
      </c>
      <c r="F50" s="86">
        <f>CHOOSE('Узагальнений розрахунок'!$P$1,'Вхідні дані'!$E104,'Вхідні дані'!$I104,'Вхідні дані'!$M104)</f>
        <v>400</v>
      </c>
      <c r="G50" s="86">
        <f>CHOOSE('Узагальнений розрахунок'!$P$1,'Вхідні дані'!$E104,'Вхідні дані'!$I104,'Вхідні дані'!$M104)</f>
        <v>400</v>
      </c>
      <c r="H50" s="86">
        <f>CHOOSE('Узагальнений розрахунок'!$P$1,'Вхідні дані'!$E104,'Вхідні дані'!$I104,'Вхідні дані'!$M104)</f>
        <v>400</v>
      </c>
      <c r="I50" s="86">
        <f>CHOOSE('Узагальнений розрахунок'!$P$1,'Вхідні дані'!$E104,'Вхідні дані'!$I104,'Вхідні дані'!$M104)</f>
        <v>400</v>
      </c>
      <c r="J50" s="86">
        <f>CHOOSE('Узагальнений розрахунок'!$P$1,'Вхідні дані'!$E104,'Вхідні дані'!$I104,'Вхідні дані'!$M104)</f>
        <v>400</v>
      </c>
      <c r="K50" s="86">
        <f>CHOOSE('Узагальнений розрахунок'!$P$1,'Вхідні дані'!$E104,'Вхідні дані'!$I104,'Вхідні дані'!$M104)</f>
        <v>400</v>
      </c>
      <c r="L50" s="86">
        <f>CHOOSE('Узагальнений розрахунок'!$P$1,'Вхідні дані'!$E104,'Вхідні дані'!$I104,'Вхідні дані'!$M104)</f>
        <v>400</v>
      </c>
      <c r="M50" s="86">
        <f>CHOOSE('Узагальнений розрахунок'!$P$1,'Вхідні дані'!$E104,'Вхідні дані'!$I104,'Вхідні дані'!$M104)</f>
        <v>400</v>
      </c>
      <c r="N50" s="86">
        <f>CHOOSE('Узагальнений розрахунок'!$P$1,'Вхідні дані'!$E104,'Вхідні дані'!$I104,'Вхідні дані'!$M104)</f>
        <v>400</v>
      </c>
      <c r="O50" s="86">
        <f>CHOOSE('Узагальнений розрахунок'!$P$1,'Вхідні дані'!$E104,'Вхідні дані'!$I104,'Вхідні дані'!$M104)</f>
        <v>400</v>
      </c>
      <c r="P50" s="87">
        <f>SUM(D50:O50)</f>
        <v>4800</v>
      </c>
      <c r="Q50" s="87">
        <f>P50/12</f>
        <v>400</v>
      </c>
      <c r="R50" s="86">
        <f>CHOOSE('Узагальнений розрахунок'!$P$1,'Вхідні дані'!$E104,'Вхідні дані'!$I104,'Вхідні дані'!$M104)</f>
        <v>400</v>
      </c>
      <c r="S50" s="86">
        <f>CHOOSE('Узагальнений розрахунок'!$P$1,'Вхідні дані'!$E104,'Вхідні дані'!$I104,'Вхідні дані'!$M104)</f>
        <v>400</v>
      </c>
      <c r="T50" s="86">
        <f>CHOOSE('Узагальнений розрахунок'!$P$1,'Вхідні дані'!$E104,'Вхідні дані'!$I104,'Вхідні дані'!$M104)</f>
        <v>400</v>
      </c>
      <c r="U50" s="86">
        <f>CHOOSE('Узагальнений розрахунок'!$P$1,'Вхідні дані'!$E104,'Вхідні дані'!$I104,'Вхідні дані'!$M104)</f>
        <v>400</v>
      </c>
      <c r="V50" s="86">
        <f>CHOOSE('Узагальнений розрахунок'!$P$1,'Вхідні дані'!$E104,'Вхідні дані'!$I104,'Вхідні дані'!$M104)</f>
        <v>400</v>
      </c>
      <c r="W50" s="86">
        <f>CHOOSE('Узагальнений розрахунок'!$P$1,'Вхідні дані'!$E104,'Вхідні дані'!$I104,'Вхідні дані'!$M104)</f>
        <v>400</v>
      </c>
      <c r="X50" s="86">
        <f>CHOOSE('Узагальнений розрахунок'!$P$1,'Вхідні дані'!$E104,'Вхідні дані'!$I104,'Вхідні дані'!$M104)</f>
        <v>400</v>
      </c>
      <c r="Y50" s="86">
        <f>CHOOSE('Узагальнений розрахунок'!$P$1,'Вхідні дані'!$E104,'Вхідні дані'!$I104,'Вхідні дані'!$M104)</f>
        <v>400</v>
      </c>
      <c r="Z50" s="86">
        <f>CHOOSE('Узагальнений розрахунок'!$P$1,'Вхідні дані'!$E104,'Вхідні дані'!$I104,'Вхідні дані'!$M104)</f>
        <v>400</v>
      </c>
      <c r="AA50" s="86">
        <f>CHOOSE('Узагальнений розрахунок'!$P$1,'Вхідні дані'!$E104,'Вхідні дані'!$I104,'Вхідні дані'!$M104)</f>
        <v>400</v>
      </c>
      <c r="AB50" s="86">
        <f>CHOOSE('Узагальнений розрахунок'!$P$1,'Вхідні дані'!$E104,'Вхідні дані'!$I104,'Вхідні дані'!$M104)</f>
        <v>400</v>
      </c>
      <c r="AC50" s="86">
        <f>CHOOSE('Узагальнений розрахунок'!$P$1,'Вхідні дані'!$E104,'Вхідні дані'!$I104,'Вхідні дані'!$M104)</f>
        <v>400</v>
      </c>
      <c r="AD50" s="87">
        <f>SUM(R50:AC50)</f>
        <v>4800</v>
      </c>
      <c r="AE50" s="87">
        <f>AD50/12</f>
        <v>400</v>
      </c>
      <c r="AF50" s="86">
        <f>CHOOSE('Узагальнений розрахунок'!$P$1,'Вхідні дані'!$E104,'Вхідні дані'!$I104,'Вхідні дані'!$M104)</f>
        <v>400</v>
      </c>
      <c r="AG50" s="86">
        <f>CHOOSE('Узагальнений розрахунок'!$P$1,'Вхідні дані'!$E104,'Вхідні дані'!$I104,'Вхідні дані'!$M104)</f>
        <v>400</v>
      </c>
      <c r="AH50" s="86">
        <f>CHOOSE('Узагальнений розрахунок'!$P$1,'Вхідні дані'!$E104,'Вхідні дані'!$I104,'Вхідні дані'!$M104)</f>
        <v>400</v>
      </c>
      <c r="AI50" s="86">
        <f>CHOOSE('Узагальнений розрахунок'!$P$1,'Вхідні дані'!$E104,'Вхідні дані'!$I104,'Вхідні дані'!$M104)</f>
        <v>400</v>
      </c>
      <c r="AJ50" s="86">
        <f>CHOOSE('Узагальнений розрахунок'!$P$1,'Вхідні дані'!$E104,'Вхідні дані'!$I104,'Вхідні дані'!$M104)</f>
        <v>400</v>
      </c>
      <c r="AK50" s="86">
        <f>CHOOSE('Узагальнений розрахунок'!$P$1,'Вхідні дані'!$E104,'Вхідні дані'!$I104,'Вхідні дані'!$M104)</f>
        <v>400</v>
      </c>
      <c r="AL50" s="86">
        <f>CHOOSE('Узагальнений розрахунок'!$P$1,'Вхідні дані'!$E104,'Вхідні дані'!$I104,'Вхідні дані'!$M104)</f>
        <v>400</v>
      </c>
      <c r="AM50" s="86">
        <f>CHOOSE('Узагальнений розрахунок'!$P$1,'Вхідні дані'!$E104,'Вхідні дані'!$I104,'Вхідні дані'!$M104)</f>
        <v>400</v>
      </c>
      <c r="AN50" s="86">
        <f>CHOOSE('Узагальнений розрахунок'!$P$1,'Вхідні дані'!$E104,'Вхідні дані'!$I104,'Вхідні дані'!$M104)</f>
        <v>400</v>
      </c>
      <c r="AO50" s="86">
        <f>CHOOSE('Узагальнений розрахунок'!$P$1,'Вхідні дані'!$E104,'Вхідні дані'!$I104,'Вхідні дані'!$M104)</f>
        <v>400</v>
      </c>
      <c r="AP50" s="86">
        <f>CHOOSE('Узагальнений розрахунок'!$P$1,'Вхідні дані'!$E104,'Вхідні дані'!$I104,'Вхідні дані'!$M104)</f>
        <v>400</v>
      </c>
      <c r="AQ50" s="86">
        <f>CHOOSE('Узагальнений розрахунок'!$P$1,'Вхідні дані'!$E104,'Вхідні дані'!$I104,'Вхідні дані'!$M104)</f>
        <v>400</v>
      </c>
      <c r="AR50" s="87">
        <f>SUM(AF50:AQ50)</f>
        <v>4800</v>
      </c>
      <c r="AS50" s="87">
        <f>AR50/12</f>
        <v>400</v>
      </c>
      <c r="AT50" s="82">
        <f>P50+AD50+AR50</f>
        <v>14400</v>
      </c>
      <c r="AU50" s="88"/>
    </row>
    <row r="51" spans="1:47" s="84" customFormat="1" ht="10.5" x14ac:dyDescent="0.35">
      <c r="A51" s="102" t="str">
        <f>'Узагальнений розрахунок'!B41</f>
        <v>Власний маркетинг</v>
      </c>
      <c r="B51" s="79" t="str">
        <f>CHOOSE('Вхідні дані'!$R$2,'Вхідні дані'!$S$2,'Вхідні дані'!$S$3,'Вхідні дані'!$S$4,'Вхідні дані'!$S$5)</f>
        <v>UAH</v>
      </c>
      <c r="C51" s="79"/>
      <c r="D51" s="80">
        <f>CHOOSE('Узагальнений розрахунок'!$P$1,'Вхідні дані'!$E105,'Вхідні дані'!$I105,'Вхідні дані'!$M105)</f>
        <v>0</v>
      </c>
      <c r="E51" s="80">
        <f>CHOOSE('Узагальнений розрахунок'!$P$1,'Вхідні дані'!$E105,'Вхідні дані'!$I105,'Вхідні дані'!$M105)</f>
        <v>0</v>
      </c>
      <c r="F51" s="80">
        <f>CHOOSE('Узагальнений розрахунок'!$P$1,'Вхідні дані'!$E105,'Вхідні дані'!$I105,'Вхідні дані'!$M105)</f>
        <v>0</v>
      </c>
      <c r="G51" s="80">
        <f>CHOOSE('Узагальнений розрахунок'!$P$1,'Вхідні дані'!$E105,'Вхідні дані'!$I105,'Вхідні дані'!$M105)</f>
        <v>0</v>
      </c>
      <c r="H51" s="80">
        <f>CHOOSE('Узагальнений розрахунок'!$P$1,'Вхідні дані'!$E105,'Вхідні дані'!$I105,'Вхідні дані'!$M105)</f>
        <v>0</v>
      </c>
      <c r="I51" s="80">
        <f>CHOOSE('Узагальнений розрахунок'!$P$1,'Вхідні дані'!$E105,'Вхідні дані'!$I105,'Вхідні дані'!$M105)</f>
        <v>0</v>
      </c>
      <c r="J51" s="80">
        <f>CHOOSE('Узагальнений розрахунок'!$P$1,'Вхідні дані'!$E105,'Вхідні дані'!$I105,'Вхідні дані'!$M105)</f>
        <v>0</v>
      </c>
      <c r="K51" s="80">
        <f>CHOOSE('Узагальнений розрахунок'!$P$1,'Вхідні дані'!$E105,'Вхідні дані'!$I105,'Вхідні дані'!$M105)</f>
        <v>0</v>
      </c>
      <c r="L51" s="80">
        <f>CHOOSE('Узагальнений розрахунок'!$P$1,'Вхідні дані'!$E105,'Вхідні дані'!$I105,'Вхідні дані'!$M105)</f>
        <v>0</v>
      </c>
      <c r="M51" s="80">
        <f>CHOOSE('Узагальнений розрахунок'!$P$1,'Вхідні дані'!$E105,'Вхідні дані'!$I105,'Вхідні дані'!$M105)</f>
        <v>0</v>
      </c>
      <c r="N51" s="80">
        <f>CHOOSE('Узагальнений розрахунок'!$P$1,'Вхідні дані'!$E105,'Вхідні дані'!$I105,'Вхідні дані'!$M105)</f>
        <v>0</v>
      </c>
      <c r="O51" s="80">
        <f>CHOOSE('Узагальнений розрахунок'!$P$1,'Вхідні дані'!$E105,'Вхідні дані'!$I105,'Вхідні дані'!$M105)</f>
        <v>0</v>
      </c>
      <c r="P51" s="81">
        <f t="shared" ref="P51" si="109">SUM(D51:O51)</f>
        <v>0</v>
      </c>
      <c r="Q51" s="81">
        <f t="shared" ref="Q51" si="110">P51/12</f>
        <v>0</v>
      </c>
      <c r="R51" s="80">
        <f>CHOOSE('Узагальнений розрахунок'!$P$1,'Вхідні дані'!$E105,'Вхідні дані'!$I105,'Вхідні дані'!$M105)</f>
        <v>0</v>
      </c>
      <c r="S51" s="80">
        <f>CHOOSE('Узагальнений розрахунок'!$P$1,'Вхідні дані'!$E105,'Вхідні дані'!$I105,'Вхідні дані'!$M105)</f>
        <v>0</v>
      </c>
      <c r="T51" s="80">
        <f>CHOOSE('Узагальнений розрахунок'!$P$1,'Вхідні дані'!$E105,'Вхідні дані'!$I105,'Вхідні дані'!$M105)</f>
        <v>0</v>
      </c>
      <c r="U51" s="80">
        <f>CHOOSE('Узагальнений розрахунок'!$P$1,'Вхідні дані'!$E105,'Вхідні дані'!$I105,'Вхідні дані'!$M105)</f>
        <v>0</v>
      </c>
      <c r="V51" s="80">
        <f>CHOOSE('Узагальнений розрахунок'!$P$1,'Вхідні дані'!$E105,'Вхідні дані'!$I105,'Вхідні дані'!$M105)</f>
        <v>0</v>
      </c>
      <c r="W51" s="80">
        <f>CHOOSE('Узагальнений розрахунок'!$P$1,'Вхідні дані'!$E105,'Вхідні дані'!$I105,'Вхідні дані'!$M105)</f>
        <v>0</v>
      </c>
      <c r="X51" s="80">
        <f>CHOOSE('Узагальнений розрахунок'!$P$1,'Вхідні дані'!$E105,'Вхідні дані'!$I105,'Вхідні дані'!$M105)</f>
        <v>0</v>
      </c>
      <c r="Y51" s="80">
        <f>CHOOSE('Узагальнений розрахунок'!$P$1,'Вхідні дані'!$E105,'Вхідні дані'!$I105,'Вхідні дані'!$M105)</f>
        <v>0</v>
      </c>
      <c r="Z51" s="80">
        <f>CHOOSE('Узагальнений розрахунок'!$P$1,'Вхідні дані'!$E105,'Вхідні дані'!$I105,'Вхідні дані'!$M105)</f>
        <v>0</v>
      </c>
      <c r="AA51" s="80">
        <f>CHOOSE('Узагальнений розрахунок'!$P$1,'Вхідні дані'!$E105,'Вхідні дані'!$I105,'Вхідні дані'!$M105)</f>
        <v>0</v>
      </c>
      <c r="AB51" s="80">
        <f>CHOOSE('Узагальнений розрахунок'!$P$1,'Вхідні дані'!$E105,'Вхідні дані'!$I105,'Вхідні дані'!$M105)</f>
        <v>0</v>
      </c>
      <c r="AC51" s="80">
        <f>CHOOSE('Узагальнений розрахунок'!$P$1,'Вхідні дані'!$E105,'Вхідні дані'!$I105,'Вхідні дані'!$M105)</f>
        <v>0</v>
      </c>
      <c r="AD51" s="81">
        <f t="shared" ref="AD51" si="111">SUM(R51:AC51)</f>
        <v>0</v>
      </c>
      <c r="AE51" s="81">
        <f t="shared" ref="AE51" si="112">AD51/12</f>
        <v>0</v>
      </c>
      <c r="AF51" s="80">
        <f>CHOOSE('Узагальнений розрахунок'!$P$1,'Вхідні дані'!$E105,'Вхідні дані'!$I105,'Вхідні дані'!$M105)</f>
        <v>0</v>
      </c>
      <c r="AG51" s="80">
        <f>CHOOSE('Узагальнений розрахунок'!$P$1,'Вхідні дані'!$E105,'Вхідні дані'!$I105,'Вхідні дані'!$M105)</f>
        <v>0</v>
      </c>
      <c r="AH51" s="80">
        <f>CHOOSE('Узагальнений розрахунок'!$P$1,'Вхідні дані'!$E105,'Вхідні дані'!$I105,'Вхідні дані'!$M105)</f>
        <v>0</v>
      </c>
      <c r="AI51" s="80">
        <f>CHOOSE('Узагальнений розрахунок'!$P$1,'Вхідні дані'!$E105,'Вхідні дані'!$I105,'Вхідні дані'!$M105)</f>
        <v>0</v>
      </c>
      <c r="AJ51" s="80">
        <f>CHOOSE('Узагальнений розрахунок'!$P$1,'Вхідні дані'!$E105,'Вхідні дані'!$I105,'Вхідні дані'!$M105)</f>
        <v>0</v>
      </c>
      <c r="AK51" s="80">
        <f>CHOOSE('Узагальнений розрахунок'!$P$1,'Вхідні дані'!$E105,'Вхідні дані'!$I105,'Вхідні дані'!$M105)</f>
        <v>0</v>
      </c>
      <c r="AL51" s="80">
        <f>CHOOSE('Узагальнений розрахунок'!$P$1,'Вхідні дані'!$E105,'Вхідні дані'!$I105,'Вхідні дані'!$M105)</f>
        <v>0</v>
      </c>
      <c r="AM51" s="80">
        <f>CHOOSE('Узагальнений розрахунок'!$P$1,'Вхідні дані'!$E105,'Вхідні дані'!$I105,'Вхідні дані'!$M105)</f>
        <v>0</v>
      </c>
      <c r="AN51" s="80">
        <f>CHOOSE('Узагальнений розрахунок'!$P$1,'Вхідні дані'!$E105,'Вхідні дані'!$I105,'Вхідні дані'!$M105)</f>
        <v>0</v>
      </c>
      <c r="AO51" s="80">
        <f>CHOOSE('Узагальнений розрахунок'!$P$1,'Вхідні дані'!$E105,'Вхідні дані'!$I105,'Вхідні дані'!$M105)</f>
        <v>0</v>
      </c>
      <c r="AP51" s="80">
        <f>CHOOSE('Узагальнений розрахунок'!$P$1,'Вхідні дані'!$E105,'Вхідні дані'!$I105,'Вхідні дані'!$M105)</f>
        <v>0</v>
      </c>
      <c r="AQ51" s="80">
        <f>CHOOSE('Узагальнений розрахунок'!$P$1,'Вхідні дані'!$E105,'Вхідні дані'!$I105,'Вхідні дані'!$M105)</f>
        <v>0</v>
      </c>
      <c r="AR51" s="81">
        <f t="shared" ref="AR51" si="113">SUM(AF51:AQ51)</f>
        <v>0</v>
      </c>
      <c r="AS51" s="81">
        <f t="shared" ref="AS51" si="114">AR51/12</f>
        <v>0</v>
      </c>
      <c r="AT51" s="82">
        <f t="shared" ref="AT51" si="115">P51+AD51+AR51</f>
        <v>0</v>
      </c>
      <c r="AU51" s="83"/>
    </row>
    <row r="52" spans="1:47" s="89" customFormat="1" ht="10.5" x14ac:dyDescent="0.35">
      <c r="A52" s="101" t="str">
        <f>'Узагальнений розрахунок'!B42</f>
        <v>Амортизаційні витрати</v>
      </c>
      <c r="B52" s="85" t="str">
        <f>CHOOSE('Вхідні дані'!$R$2,'Вхідні дані'!$S$2,'Вхідні дані'!$S$3,'Вхідні дані'!$S$4,'Вхідні дані'!$S$5)</f>
        <v>UAH</v>
      </c>
      <c r="C52" s="85"/>
      <c r="D52" s="86">
        <f>'Узагальнений розрахунок'!$D$15/('Вхідні дані'!$D$62*12)+'Узагальнений розрахунок'!$D$16/('Вхідні дані'!$D$63*12)</f>
        <v>3427.0833333333335</v>
      </c>
      <c r="E52" s="86">
        <f>'Узагальнений розрахунок'!$D$15/('Вхідні дані'!$D$62*12)+'Узагальнений розрахунок'!$D$16/('Вхідні дані'!$D$63*12)</f>
        <v>3427.0833333333335</v>
      </c>
      <c r="F52" s="86">
        <f>'Узагальнений розрахунок'!$D$15/('Вхідні дані'!$D$62*12)+'Узагальнений розрахунок'!$D$16/('Вхідні дані'!$D$63*12)</f>
        <v>3427.0833333333335</v>
      </c>
      <c r="G52" s="86">
        <f>'Узагальнений розрахунок'!$D$15/('Вхідні дані'!$D$62*12)+'Узагальнений розрахунок'!$D$16/('Вхідні дані'!$D$63*12)</f>
        <v>3427.0833333333335</v>
      </c>
      <c r="H52" s="86">
        <f>'Узагальнений розрахунок'!$D$15/('Вхідні дані'!$D$62*12)+'Узагальнений розрахунок'!$D$16/('Вхідні дані'!$D$63*12)</f>
        <v>3427.0833333333335</v>
      </c>
      <c r="I52" s="86">
        <f>'Узагальнений розрахунок'!$D$15/('Вхідні дані'!$D$62*12)+'Узагальнений розрахунок'!$D$16/('Вхідні дані'!$D$63*12)</f>
        <v>3427.0833333333335</v>
      </c>
      <c r="J52" s="86">
        <f>'Узагальнений розрахунок'!$D$15/('Вхідні дані'!$D$62*12)+'Узагальнений розрахунок'!$D$16/('Вхідні дані'!$D$63*12)</f>
        <v>3427.0833333333335</v>
      </c>
      <c r="K52" s="86">
        <f>'Узагальнений розрахунок'!$D$15/('Вхідні дані'!$D$62*12)+'Узагальнений розрахунок'!$D$16/('Вхідні дані'!$D$63*12)</f>
        <v>3427.0833333333335</v>
      </c>
      <c r="L52" s="86">
        <f>'Узагальнений розрахунок'!$D$15/('Вхідні дані'!$D$62*12)+'Узагальнений розрахунок'!$D$16/('Вхідні дані'!$D$63*12)</f>
        <v>3427.0833333333335</v>
      </c>
      <c r="M52" s="86">
        <f>'Узагальнений розрахунок'!$D$15/('Вхідні дані'!$D$62*12)+'Узагальнений розрахунок'!$D$16/('Вхідні дані'!$D$63*12)</f>
        <v>3427.0833333333335</v>
      </c>
      <c r="N52" s="86">
        <f>'Узагальнений розрахунок'!$D$15/('Вхідні дані'!$D$62*12)+'Узагальнений розрахунок'!$D$16/('Вхідні дані'!$D$63*12)</f>
        <v>3427.0833333333335</v>
      </c>
      <c r="O52" s="86">
        <f>'Узагальнений розрахунок'!$D$15/('Вхідні дані'!$D$62*12)+'Узагальнений розрахунок'!$D$16/('Вхідні дані'!$D$63*12)</f>
        <v>3427.0833333333335</v>
      </c>
      <c r="P52" s="87">
        <f>SUM(D52:O52)</f>
        <v>41125</v>
      </c>
      <c r="Q52" s="87">
        <f>P52/12</f>
        <v>3427.0833333333335</v>
      </c>
      <c r="R52" s="86">
        <f>'Узагальнений розрахунок'!$D$15/('Вхідні дані'!$D$62*12)+'Узагальнений розрахунок'!$D$16/('Вхідні дані'!$D$63*12)</f>
        <v>3427.0833333333335</v>
      </c>
      <c r="S52" s="86">
        <f>'Узагальнений розрахунок'!$D$15/('Вхідні дані'!$D$62*12)+'Узагальнений розрахунок'!$D$16/('Вхідні дані'!$D$63*12)</f>
        <v>3427.0833333333335</v>
      </c>
      <c r="T52" s="86">
        <f>'Узагальнений розрахунок'!$D$15/('Вхідні дані'!$D$62*12)+'Узагальнений розрахунок'!$D$16/('Вхідні дані'!$D$63*12)</f>
        <v>3427.0833333333335</v>
      </c>
      <c r="U52" s="86">
        <f>'Узагальнений розрахунок'!$D$15/('Вхідні дані'!$D$62*12)+'Узагальнений розрахунок'!$D$16/('Вхідні дані'!$D$63*12)</f>
        <v>3427.0833333333335</v>
      </c>
      <c r="V52" s="86">
        <f>'Узагальнений розрахунок'!$D$15/('Вхідні дані'!$D$62*12)+'Узагальнений розрахунок'!$D$16/('Вхідні дані'!$D$63*12)</f>
        <v>3427.0833333333335</v>
      </c>
      <c r="W52" s="86">
        <f>'Узагальнений розрахунок'!$D$15/('Вхідні дані'!$D$62*12)+'Узагальнений розрахунок'!$D$16/('Вхідні дані'!$D$63*12)</f>
        <v>3427.0833333333335</v>
      </c>
      <c r="X52" s="86">
        <f>'Узагальнений розрахунок'!$D$15/('Вхідні дані'!$D$62*12)+'Узагальнений розрахунок'!$D$16/('Вхідні дані'!$D$63*12)</f>
        <v>3427.0833333333335</v>
      </c>
      <c r="Y52" s="86">
        <f>'Узагальнений розрахунок'!$D$15/('Вхідні дані'!$D$62*12)+'Узагальнений розрахунок'!$D$16/('Вхідні дані'!$D$63*12)</f>
        <v>3427.0833333333335</v>
      </c>
      <c r="Z52" s="86">
        <f>'Узагальнений розрахунок'!$D$15/('Вхідні дані'!$D$62*12)+'Узагальнений розрахунок'!$D$16/('Вхідні дані'!$D$63*12)</f>
        <v>3427.0833333333335</v>
      </c>
      <c r="AA52" s="86">
        <f>'Узагальнений розрахунок'!$D$15/('Вхідні дані'!$D$62*12)+'Узагальнений розрахунок'!$D$16/('Вхідні дані'!$D$63*12)</f>
        <v>3427.0833333333335</v>
      </c>
      <c r="AB52" s="86">
        <f>'Узагальнений розрахунок'!$D$15/('Вхідні дані'!$D$62*12)+'Узагальнений розрахунок'!$D$16/('Вхідні дані'!$D$63*12)</f>
        <v>3427.0833333333335</v>
      </c>
      <c r="AC52" s="86">
        <f>'Узагальнений розрахунок'!$D$15/('Вхідні дані'!$D$62*12)+'Узагальнений розрахунок'!$D$16/('Вхідні дані'!$D$63*12)</f>
        <v>3427.0833333333335</v>
      </c>
      <c r="AD52" s="87">
        <f>SUM(R52:AC52)</f>
        <v>41125</v>
      </c>
      <c r="AE52" s="87">
        <f>AD52/12</f>
        <v>3427.0833333333335</v>
      </c>
      <c r="AF52" s="86">
        <f>'Узагальнений розрахунок'!$D$15/('Вхідні дані'!$D$62*12)+'Узагальнений розрахунок'!$D$16/('Вхідні дані'!$D$63*12)</f>
        <v>3427.0833333333335</v>
      </c>
      <c r="AG52" s="86">
        <f>'Узагальнений розрахунок'!$D$15/('Вхідні дані'!$D$62*12)+'Узагальнений розрахунок'!$D$16/('Вхідні дані'!$D$63*12)</f>
        <v>3427.0833333333335</v>
      </c>
      <c r="AH52" s="86">
        <f>'Узагальнений розрахунок'!$D$15/('Вхідні дані'!$D$62*12)+'Узагальнений розрахунок'!$D$16/('Вхідні дані'!$D$63*12)</f>
        <v>3427.0833333333335</v>
      </c>
      <c r="AI52" s="86">
        <f>'Узагальнений розрахунок'!$D$15/('Вхідні дані'!$D$62*12)+'Узагальнений розрахунок'!$D$16/('Вхідні дані'!$D$63*12)</f>
        <v>3427.0833333333335</v>
      </c>
      <c r="AJ52" s="86">
        <f>'Узагальнений розрахунок'!$D$15/('Вхідні дані'!$D$62*12)+'Узагальнений розрахунок'!$D$16/('Вхідні дані'!$D$63*12)</f>
        <v>3427.0833333333335</v>
      </c>
      <c r="AK52" s="86">
        <f>'Узагальнений розрахунок'!$D$15/('Вхідні дані'!$D$62*12)+'Узагальнений розрахунок'!$D$16/('Вхідні дані'!$D$63*12)</f>
        <v>3427.0833333333335</v>
      </c>
      <c r="AL52" s="86">
        <f>'Узагальнений розрахунок'!$D$15/('Вхідні дані'!$D$62*12)+'Узагальнений розрахунок'!$D$16/('Вхідні дані'!$D$63*12)</f>
        <v>3427.0833333333335</v>
      </c>
      <c r="AM52" s="86">
        <f>'Узагальнений розрахунок'!$D$15/('Вхідні дані'!$D$62*12)+'Узагальнений розрахунок'!$D$16/('Вхідні дані'!$D$63*12)</f>
        <v>3427.0833333333335</v>
      </c>
      <c r="AN52" s="86">
        <f>'Узагальнений розрахунок'!$D$15/('Вхідні дані'!$D$62*12)+'Узагальнений розрахунок'!$D$16/('Вхідні дані'!$D$63*12)</f>
        <v>3427.0833333333335</v>
      </c>
      <c r="AO52" s="86">
        <f>'Узагальнений розрахунок'!$D$15/('Вхідні дані'!$D$62*12)+'Узагальнений розрахунок'!$D$16/('Вхідні дані'!$D$63*12)</f>
        <v>3427.0833333333335</v>
      </c>
      <c r="AP52" s="86">
        <f>'Узагальнений розрахунок'!$D$15/('Вхідні дані'!$D$62*12)+'Узагальнений розрахунок'!$D$16/('Вхідні дані'!$D$63*12)</f>
        <v>3427.0833333333335</v>
      </c>
      <c r="AQ52" s="86">
        <f>'Узагальнений розрахунок'!$D$15/('Вхідні дані'!$D$62*12)+'Узагальнений розрахунок'!$D$16/('Вхідні дані'!$D$63*12)</f>
        <v>3427.0833333333335</v>
      </c>
      <c r="AR52" s="87">
        <f>SUM(AF52:AQ52)</f>
        <v>41125</v>
      </c>
      <c r="AS52" s="87">
        <f>AR52/12</f>
        <v>3427.0833333333335</v>
      </c>
      <c r="AT52" s="82">
        <f>P52+AD52+AR52</f>
        <v>123375</v>
      </c>
      <c r="AU52" s="88"/>
    </row>
    <row r="53" spans="1:47" s="84" customFormat="1" ht="10.5" x14ac:dyDescent="0.35">
      <c r="A53" s="102" t="str">
        <f>'Узагальнений розрахунок'!B43</f>
        <v>Інше</v>
      </c>
      <c r="B53" s="79" t="str">
        <f>CHOOSE('Вхідні дані'!$R$2,'Вхідні дані'!$S$2,'Вхідні дані'!$S$3,'Вхідні дані'!$S$4,'Вхідні дані'!$S$5)</f>
        <v>UAH</v>
      </c>
      <c r="C53" s="79"/>
      <c r="D53" s="80">
        <f>CHOOSE('Узагальнений розрахунок'!$P$1,'Вхідні дані'!$E106,'Вхідні дані'!$I106,'Вхідні дані'!$M106)</f>
        <v>0</v>
      </c>
      <c r="E53" s="80">
        <f>CHOOSE('Узагальнений розрахунок'!$P$1,'Вхідні дані'!$E106,'Вхідні дані'!$I106,'Вхідні дані'!$M106)</f>
        <v>0</v>
      </c>
      <c r="F53" s="80">
        <f>CHOOSE('Узагальнений розрахунок'!$P$1,'Вхідні дані'!$E106,'Вхідні дані'!$I106,'Вхідні дані'!$M106)</f>
        <v>0</v>
      </c>
      <c r="G53" s="80">
        <f>CHOOSE('Узагальнений розрахунок'!$P$1,'Вхідні дані'!$E106,'Вхідні дані'!$I106,'Вхідні дані'!$M106)</f>
        <v>0</v>
      </c>
      <c r="H53" s="80">
        <f>CHOOSE('Узагальнений розрахунок'!$P$1,'Вхідні дані'!$E106,'Вхідні дані'!$I106,'Вхідні дані'!$M106)</f>
        <v>0</v>
      </c>
      <c r="I53" s="80">
        <f>CHOOSE('Узагальнений розрахунок'!$P$1,'Вхідні дані'!$E106,'Вхідні дані'!$I106,'Вхідні дані'!$M106)</f>
        <v>0</v>
      </c>
      <c r="J53" s="80">
        <f>CHOOSE('Узагальнений розрахунок'!$P$1,'Вхідні дані'!$E106,'Вхідні дані'!$I106,'Вхідні дані'!$M106)</f>
        <v>0</v>
      </c>
      <c r="K53" s="80">
        <f>CHOOSE('Узагальнений розрахунок'!$P$1,'Вхідні дані'!$E106,'Вхідні дані'!$I106,'Вхідні дані'!$M106)</f>
        <v>0</v>
      </c>
      <c r="L53" s="80">
        <f>CHOOSE('Узагальнений розрахунок'!$P$1,'Вхідні дані'!$E106,'Вхідні дані'!$I106,'Вхідні дані'!$M106)</f>
        <v>0</v>
      </c>
      <c r="M53" s="80">
        <f>CHOOSE('Узагальнений розрахунок'!$P$1,'Вхідні дані'!$E106,'Вхідні дані'!$I106,'Вхідні дані'!$M106)</f>
        <v>0</v>
      </c>
      <c r="N53" s="80">
        <f>CHOOSE('Узагальнений розрахунок'!$P$1,'Вхідні дані'!$E106,'Вхідні дані'!$I106,'Вхідні дані'!$M106)</f>
        <v>0</v>
      </c>
      <c r="O53" s="80">
        <f>CHOOSE('Узагальнений розрахунок'!$P$1,'Вхідні дані'!$E106,'Вхідні дані'!$I106,'Вхідні дані'!$M106)</f>
        <v>0</v>
      </c>
      <c r="P53" s="81">
        <f t="shared" ref="P53" si="116">SUM(D53:O53)</f>
        <v>0</v>
      </c>
      <c r="Q53" s="81">
        <f t="shared" ref="Q53" si="117">P53/12</f>
        <v>0</v>
      </c>
      <c r="R53" s="80">
        <f>CHOOSE('Узагальнений розрахунок'!$P$1,'Вхідні дані'!$E106,'Вхідні дані'!$I106,'Вхідні дані'!$M106)</f>
        <v>0</v>
      </c>
      <c r="S53" s="80">
        <f>CHOOSE('Узагальнений розрахунок'!$P$1,'Вхідні дані'!$E106,'Вхідні дані'!$I106,'Вхідні дані'!$M106)</f>
        <v>0</v>
      </c>
      <c r="T53" s="80">
        <f>CHOOSE('Узагальнений розрахунок'!$P$1,'Вхідні дані'!$E106,'Вхідні дані'!$I106,'Вхідні дані'!$M106)</f>
        <v>0</v>
      </c>
      <c r="U53" s="80">
        <f>CHOOSE('Узагальнений розрахунок'!$P$1,'Вхідні дані'!$E106,'Вхідні дані'!$I106,'Вхідні дані'!$M106)</f>
        <v>0</v>
      </c>
      <c r="V53" s="80">
        <f>CHOOSE('Узагальнений розрахунок'!$P$1,'Вхідні дані'!$E106,'Вхідні дані'!$I106,'Вхідні дані'!$M106)</f>
        <v>0</v>
      </c>
      <c r="W53" s="80">
        <f>CHOOSE('Узагальнений розрахунок'!$P$1,'Вхідні дані'!$E106,'Вхідні дані'!$I106,'Вхідні дані'!$M106)</f>
        <v>0</v>
      </c>
      <c r="X53" s="80">
        <f>CHOOSE('Узагальнений розрахунок'!$P$1,'Вхідні дані'!$E106,'Вхідні дані'!$I106,'Вхідні дані'!$M106)</f>
        <v>0</v>
      </c>
      <c r="Y53" s="80">
        <f>CHOOSE('Узагальнений розрахунок'!$P$1,'Вхідні дані'!$E106,'Вхідні дані'!$I106,'Вхідні дані'!$M106)</f>
        <v>0</v>
      </c>
      <c r="Z53" s="80">
        <f>CHOOSE('Узагальнений розрахунок'!$P$1,'Вхідні дані'!$E106,'Вхідні дані'!$I106,'Вхідні дані'!$M106)</f>
        <v>0</v>
      </c>
      <c r="AA53" s="80">
        <f>CHOOSE('Узагальнений розрахунок'!$P$1,'Вхідні дані'!$E106,'Вхідні дані'!$I106,'Вхідні дані'!$M106)</f>
        <v>0</v>
      </c>
      <c r="AB53" s="80">
        <f>CHOOSE('Узагальнений розрахунок'!$P$1,'Вхідні дані'!$E106,'Вхідні дані'!$I106,'Вхідні дані'!$M106)</f>
        <v>0</v>
      </c>
      <c r="AC53" s="80">
        <f>CHOOSE('Узагальнений розрахунок'!$P$1,'Вхідні дані'!$E106,'Вхідні дані'!$I106,'Вхідні дані'!$M106)</f>
        <v>0</v>
      </c>
      <c r="AD53" s="81">
        <f t="shared" ref="AD53" si="118">SUM(R53:AC53)</f>
        <v>0</v>
      </c>
      <c r="AE53" s="81">
        <f t="shared" ref="AE53" si="119">AD53/12</f>
        <v>0</v>
      </c>
      <c r="AF53" s="80">
        <f>CHOOSE('Узагальнений розрахунок'!$P$1,'Вхідні дані'!$E106,'Вхідні дані'!$I106,'Вхідні дані'!$M106)</f>
        <v>0</v>
      </c>
      <c r="AG53" s="80">
        <f>CHOOSE('Узагальнений розрахунок'!$P$1,'Вхідні дані'!$E106,'Вхідні дані'!$I106,'Вхідні дані'!$M106)</f>
        <v>0</v>
      </c>
      <c r="AH53" s="80">
        <f>CHOOSE('Узагальнений розрахунок'!$P$1,'Вхідні дані'!$E106,'Вхідні дані'!$I106,'Вхідні дані'!$M106)</f>
        <v>0</v>
      </c>
      <c r="AI53" s="80">
        <f>CHOOSE('Узагальнений розрахунок'!$P$1,'Вхідні дані'!$E106,'Вхідні дані'!$I106,'Вхідні дані'!$M106)</f>
        <v>0</v>
      </c>
      <c r="AJ53" s="80">
        <f>CHOOSE('Узагальнений розрахунок'!$P$1,'Вхідні дані'!$E106,'Вхідні дані'!$I106,'Вхідні дані'!$M106)</f>
        <v>0</v>
      </c>
      <c r="AK53" s="80">
        <f>CHOOSE('Узагальнений розрахунок'!$P$1,'Вхідні дані'!$E106,'Вхідні дані'!$I106,'Вхідні дані'!$M106)</f>
        <v>0</v>
      </c>
      <c r="AL53" s="80">
        <f>CHOOSE('Узагальнений розрахунок'!$P$1,'Вхідні дані'!$E106,'Вхідні дані'!$I106,'Вхідні дані'!$M106)</f>
        <v>0</v>
      </c>
      <c r="AM53" s="80">
        <f>CHOOSE('Узагальнений розрахунок'!$P$1,'Вхідні дані'!$E106,'Вхідні дані'!$I106,'Вхідні дані'!$M106)</f>
        <v>0</v>
      </c>
      <c r="AN53" s="80">
        <f>CHOOSE('Узагальнений розрахунок'!$P$1,'Вхідні дані'!$E106,'Вхідні дані'!$I106,'Вхідні дані'!$M106)</f>
        <v>0</v>
      </c>
      <c r="AO53" s="80">
        <f>CHOOSE('Узагальнений розрахунок'!$P$1,'Вхідні дані'!$E106,'Вхідні дані'!$I106,'Вхідні дані'!$M106)</f>
        <v>0</v>
      </c>
      <c r="AP53" s="80">
        <f>CHOOSE('Узагальнений розрахунок'!$P$1,'Вхідні дані'!$E106,'Вхідні дані'!$I106,'Вхідні дані'!$M106)</f>
        <v>0</v>
      </c>
      <c r="AQ53" s="80">
        <f>CHOOSE('Узагальнений розрахунок'!$P$1,'Вхідні дані'!$E106,'Вхідні дані'!$I106,'Вхідні дані'!$M106)</f>
        <v>0</v>
      </c>
      <c r="AR53" s="81">
        <f t="shared" ref="AR53" si="120">SUM(AF53:AQ53)</f>
        <v>0</v>
      </c>
      <c r="AS53" s="81">
        <f t="shared" ref="AS53" si="121">AR53/12</f>
        <v>0</v>
      </c>
      <c r="AT53" s="82">
        <f t="shared" ref="AT53" si="122">P53+AD53+AR53</f>
        <v>0</v>
      </c>
      <c r="AU53" s="83"/>
    </row>
    <row r="54" spans="1:47" s="89" customFormat="1" ht="10.5" x14ac:dyDescent="0.35">
      <c r="A54" s="101" t="str">
        <f>'Узагальнений розрахунок'!B44</f>
        <v>Банковське обслуговування</v>
      </c>
      <c r="B54" s="85" t="str">
        <f>CHOOSE('Вхідні дані'!$R$2,'Вхідні дані'!$S$2,'Вхідні дані'!$S$3,'Вхідні дані'!$S$4,'Вхідні дані'!$S$5)</f>
        <v>UAH</v>
      </c>
      <c r="C54" s="85"/>
      <c r="D54" s="86">
        <f>CHOOSE('Узагальнений розрахунок'!$P$1,'Вхідні дані'!$E$107+'Вхідні дані'!$D$108*'Вхідні дані'!$D$109*D18,'Вхідні дані'!$I$107+'Вхідні дані'!$H$108*'Вхідні дані'!$H$109*D18,'Вхідні дані'!$M$107+'Вхідні дані'!$L$108*'Вхідні дані'!$L$109*D18)</f>
        <v>0</v>
      </c>
      <c r="E54" s="86">
        <f>CHOOSE('Узагальнений розрахунок'!$P$1,'Вхідні дані'!$E$107+'Вхідні дані'!$D$108*'Вхідні дані'!$D$109*E18,'Вхідні дані'!$I$107+'Вхідні дані'!$H$108*'Вхідні дані'!$H$109*E18,'Вхідні дані'!$M$107+'Вхідні дані'!$L$108*'Вхідні дані'!$L$109*E18)</f>
        <v>0</v>
      </c>
      <c r="F54" s="86">
        <f>CHOOSE('Узагальнений розрахунок'!$P$1,'Вхідні дані'!$E$107+'Вхідні дані'!$D$108*'Вхідні дані'!$D$109*F18,'Вхідні дані'!$I$107+'Вхідні дані'!$H$108*'Вхідні дані'!$H$109*F18,'Вхідні дані'!$M$107+'Вхідні дані'!$L$108*'Вхідні дані'!$L$109*F18)</f>
        <v>0</v>
      </c>
      <c r="G54" s="86">
        <f>CHOOSE('Узагальнений розрахунок'!$P$1,'Вхідні дані'!$E$107+'Вхідні дані'!$D$108*'Вхідні дані'!$D$109*G18,'Вхідні дані'!$I$107+'Вхідні дані'!$H$108*'Вхідні дані'!$H$109*G18,'Вхідні дані'!$M$107+'Вхідні дані'!$L$108*'Вхідні дані'!$L$109*G18)</f>
        <v>0</v>
      </c>
      <c r="H54" s="86">
        <f>CHOOSE('Узагальнений розрахунок'!$P$1,'Вхідні дані'!$E$107+'Вхідні дані'!$D$108*'Вхідні дані'!$D$109*H18,'Вхідні дані'!$I$107+'Вхідні дані'!$H$108*'Вхідні дані'!$H$109*H18,'Вхідні дані'!$M$107+'Вхідні дані'!$L$108*'Вхідні дані'!$L$109*H18)</f>
        <v>0</v>
      </c>
      <c r="I54" s="86">
        <f>CHOOSE('Узагальнений розрахунок'!$P$1,'Вхідні дані'!$E$107+'Вхідні дані'!$D$108*'Вхідні дані'!$D$109*I18,'Вхідні дані'!$I$107+'Вхідні дані'!$H$108*'Вхідні дані'!$H$109*I18,'Вхідні дані'!$M$107+'Вхідні дані'!$L$108*'Вхідні дані'!$L$109*I18)</f>
        <v>0</v>
      </c>
      <c r="J54" s="86">
        <f>CHOOSE('Узагальнений розрахунок'!$P$1,'Вхідні дані'!$E$107+'Вхідні дані'!$D$108*'Вхідні дані'!$D$109*J18,'Вхідні дані'!$I$107+'Вхідні дані'!$H$108*'Вхідні дані'!$H$109*J18,'Вхідні дані'!$M$107+'Вхідні дані'!$L$108*'Вхідні дані'!$L$109*J18)</f>
        <v>0</v>
      </c>
      <c r="K54" s="86">
        <f>CHOOSE('Узагальнений розрахунок'!$P$1,'Вхідні дані'!$E$107+'Вхідні дані'!$D$108*'Вхідні дані'!$D$109*K18,'Вхідні дані'!$I$107+'Вхідні дані'!$H$108*'Вхідні дані'!$H$109*K18,'Вхідні дані'!$M$107+'Вхідні дані'!$L$108*'Вхідні дані'!$L$109*K18)</f>
        <v>0</v>
      </c>
      <c r="L54" s="86">
        <f>CHOOSE('Узагальнений розрахунок'!$P$1,'Вхідні дані'!$E$107+'Вхідні дані'!$D$108*'Вхідні дані'!$D$109*L18,'Вхідні дані'!$I$107+'Вхідні дані'!$H$108*'Вхідні дані'!$H$109*L18,'Вхідні дані'!$M$107+'Вхідні дані'!$L$108*'Вхідні дані'!$L$109*L18)</f>
        <v>0</v>
      </c>
      <c r="M54" s="86">
        <f>CHOOSE('Узагальнений розрахунок'!$P$1,'Вхідні дані'!$E$107+'Вхідні дані'!$D$108*'Вхідні дані'!$D$109*M18,'Вхідні дані'!$I$107+'Вхідні дані'!$H$108*'Вхідні дані'!$H$109*M18,'Вхідні дані'!$M$107+'Вхідні дані'!$L$108*'Вхідні дані'!$L$109*M18)</f>
        <v>0</v>
      </c>
      <c r="N54" s="86">
        <f>CHOOSE('Узагальнений розрахунок'!$P$1,'Вхідні дані'!$E$107+'Вхідні дані'!$D$108*'Вхідні дані'!$D$109*N18,'Вхідні дані'!$I$107+'Вхідні дані'!$H$108*'Вхідні дані'!$H$109*N18,'Вхідні дані'!$M$107+'Вхідні дані'!$L$108*'Вхідні дані'!$L$109*N18)</f>
        <v>0</v>
      </c>
      <c r="O54" s="86">
        <f>CHOOSE('Узагальнений розрахунок'!$P$1,'Вхідні дані'!$E$107+'Вхідні дані'!$D$108*'Вхідні дані'!$D$109*O18,'Вхідні дані'!$I$107+'Вхідні дані'!$H$108*'Вхідні дані'!$H$109*O18,'Вхідні дані'!$M$107+'Вхідні дані'!$L$108*'Вхідні дані'!$L$109*O18)</f>
        <v>0</v>
      </c>
      <c r="P54" s="87">
        <f>SUM(D54:O54)</f>
        <v>0</v>
      </c>
      <c r="Q54" s="87">
        <f t="shared" ref="Q54:Q56" si="123">P54/12</f>
        <v>0</v>
      </c>
      <c r="R54" s="86">
        <f>CHOOSE('Узагальнений розрахунок'!$P$1,'Вхідні дані'!$E$107+'Вхідні дані'!$D$108*'Вхідні дані'!$D$109*R18,'Вхідні дані'!$I$107+'Вхідні дані'!$H$108*'Вхідні дані'!$H$109*R18,'Вхідні дані'!$M$107+'Вхідні дані'!$L$108*'Вхідні дані'!$L$109*R18)</f>
        <v>0</v>
      </c>
      <c r="S54" s="86">
        <f>CHOOSE('Узагальнений розрахунок'!$P$1,'Вхідні дані'!$E$107+'Вхідні дані'!$D$108*'Вхідні дані'!$D$109*S18,'Вхідні дані'!$I$107+'Вхідні дані'!$H$108*'Вхідні дані'!$H$109*S18,'Вхідні дані'!$M$107+'Вхідні дані'!$L$108*'Вхідні дані'!$L$109*S18)</f>
        <v>0</v>
      </c>
      <c r="T54" s="86">
        <f>CHOOSE('Узагальнений розрахунок'!$P$1,'Вхідні дані'!$E$107+'Вхідні дані'!$D$108*'Вхідні дані'!$D$109*T18,'Вхідні дані'!$I$107+'Вхідні дані'!$H$108*'Вхідні дані'!$H$109*T18,'Вхідні дані'!$M$107+'Вхідні дані'!$L$108*'Вхідні дані'!$L$109*T18)</f>
        <v>0</v>
      </c>
      <c r="U54" s="86">
        <f>CHOOSE('Узагальнений розрахунок'!$P$1,'Вхідні дані'!$E$107+'Вхідні дані'!$D$108*'Вхідні дані'!$D$109*U18,'Вхідні дані'!$I$107+'Вхідні дані'!$H$108*'Вхідні дані'!$H$109*U18,'Вхідні дані'!$M$107+'Вхідні дані'!$L$108*'Вхідні дані'!$L$109*U18)</f>
        <v>0</v>
      </c>
      <c r="V54" s="86">
        <f>CHOOSE('Узагальнений розрахунок'!$P$1,'Вхідні дані'!$E$107+'Вхідні дані'!$D$108*'Вхідні дані'!$D$109*V18,'Вхідні дані'!$I$107+'Вхідні дані'!$H$108*'Вхідні дані'!$H$109*V18,'Вхідні дані'!$M$107+'Вхідні дані'!$L$108*'Вхідні дані'!$L$109*V18)</f>
        <v>0</v>
      </c>
      <c r="W54" s="86">
        <f>CHOOSE('Узагальнений розрахунок'!$P$1,'Вхідні дані'!$E$107+'Вхідні дані'!$D$108*'Вхідні дані'!$D$109*W18,'Вхідні дані'!$I$107+'Вхідні дані'!$H$108*'Вхідні дані'!$H$109*W18,'Вхідні дані'!$M$107+'Вхідні дані'!$L$108*'Вхідні дані'!$L$109*W18)</f>
        <v>0</v>
      </c>
      <c r="X54" s="86">
        <f>CHOOSE('Узагальнений розрахунок'!$P$1,'Вхідні дані'!$E$107+'Вхідні дані'!$D$108*'Вхідні дані'!$D$109*X18,'Вхідні дані'!$I$107+'Вхідні дані'!$H$108*'Вхідні дані'!$H$109*X18,'Вхідні дані'!$M$107+'Вхідні дані'!$L$108*'Вхідні дані'!$L$109*X18)</f>
        <v>0</v>
      </c>
      <c r="Y54" s="86">
        <f>CHOOSE('Узагальнений розрахунок'!$P$1,'Вхідні дані'!$E$107+'Вхідні дані'!$D$108*'Вхідні дані'!$D$109*Y18,'Вхідні дані'!$I$107+'Вхідні дані'!$H$108*'Вхідні дані'!$H$109*Y18,'Вхідні дані'!$M$107+'Вхідні дані'!$L$108*'Вхідні дані'!$L$109*Y18)</f>
        <v>0</v>
      </c>
      <c r="Z54" s="86">
        <f>CHOOSE('Узагальнений розрахунок'!$P$1,'Вхідні дані'!$E$107+'Вхідні дані'!$D$108*'Вхідні дані'!$D$109*Z18,'Вхідні дані'!$I$107+'Вхідні дані'!$H$108*'Вхідні дані'!$H$109*Z18,'Вхідні дані'!$M$107+'Вхідні дані'!$L$108*'Вхідні дані'!$L$109*Z18)</f>
        <v>0</v>
      </c>
      <c r="AA54" s="86">
        <f>CHOOSE('Узагальнений розрахунок'!$P$1,'Вхідні дані'!$E$107+'Вхідні дані'!$D$108*'Вхідні дані'!$D$109*AA18,'Вхідні дані'!$I$107+'Вхідні дані'!$H$108*'Вхідні дані'!$H$109*AA18,'Вхідні дані'!$M$107+'Вхідні дані'!$L$108*'Вхідні дані'!$L$109*AA18)</f>
        <v>0</v>
      </c>
      <c r="AB54" s="86">
        <f>CHOOSE('Узагальнений розрахунок'!$P$1,'Вхідні дані'!$E$107+'Вхідні дані'!$D$108*'Вхідні дані'!$D$109*AB18,'Вхідні дані'!$I$107+'Вхідні дані'!$H$108*'Вхідні дані'!$H$109*AB18,'Вхідні дані'!$M$107+'Вхідні дані'!$L$108*'Вхідні дані'!$L$109*AB18)</f>
        <v>0</v>
      </c>
      <c r="AC54" s="86">
        <f>CHOOSE('Узагальнений розрахунок'!$P$1,'Вхідні дані'!$E$107+'Вхідні дані'!$D$108*'Вхідні дані'!$D$109*AC18,'Вхідні дані'!$I$107+'Вхідні дані'!$H$108*'Вхідні дані'!$H$109*AC18,'Вхідні дані'!$M$107+'Вхідні дані'!$L$108*'Вхідні дані'!$L$109*AC18)</f>
        <v>0</v>
      </c>
      <c r="AD54" s="87">
        <f t="shared" ref="AD54:AD56" si="124">SUM(R54:AC54)</f>
        <v>0</v>
      </c>
      <c r="AE54" s="87">
        <f t="shared" ref="AE54:AE56" si="125">AD54/12</f>
        <v>0</v>
      </c>
      <c r="AF54" s="86">
        <f>CHOOSE('Узагальнений розрахунок'!$P$1,'Вхідні дані'!$E$107+'Вхідні дані'!$D$108*'Вхідні дані'!$D$109*AF18,'Вхідні дані'!$I$107+'Вхідні дані'!$H$108*'Вхідні дані'!$H$109*AF18,'Вхідні дані'!$M$107+'Вхідні дані'!$L$108*'Вхідні дані'!$L$109*AF18)</f>
        <v>0</v>
      </c>
      <c r="AG54" s="86">
        <f>CHOOSE('Узагальнений розрахунок'!$P$1,'Вхідні дані'!$E$107+'Вхідні дані'!$D$108*'Вхідні дані'!$D$109*AG18,'Вхідні дані'!$I$107+'Вхідні дані'!$H$108*'Вхідні дані'!$H$109*AG18,'Вхідні дані'!$M$107+'Вхідні дані'!$L$108*'Вхідні дані'!$L$109*AG18)</f>
        <v>0</v>
      </c>
      <c r="AH54" s="86">
        <f>CHOOSE('Узагальнений розрахунок'!$P$1,'Вхідні дані'!$E$107+'Вхідні дані'!$D$108*'Вхідні дані'!$D$109*AH18,'Вхідні дані'!$I$107+'Вхідні дані'!$H$108*'Вхідні дані'!$H$109*AH18,'Вхідні дані'!$M$107+'Вхідні дані'!$L$108*'Вхідні дані'!$L$109*AH18)</f>
        <v>0</v>
      </c>
      <c r="AI54" s="86">
        <f>CHOOSE('Узагальнений розрахунок'!$P$1,'Вхідні дані'!$E$107+'Вхідні дані'!$D$108*'Вхідні дані'!$D$109*AI18,'Вхідні дані'!$I$107+'Вхідні дані'!$H$108*'Вхідні дані'!$H$109*AI18,'Вхідні дані'!$M$107+'Вхідні дані'!$L$108*'Вхідні дані'!$L$109*AI18)</f>
        <v>0</v>
      </c>
      <c r="AJ54" s="86">
        <f>CHOOSE('Узагальнений розрахунок'!$P$1,'Вхідні дані'!$E$107+'Вхідні дані'!$D$108*'Вхідні дані'!$D$109*AJ18,'Вхідні дані'!$I$107+'Вхідні дані'!$H$108*'Вхідні дані'!$H$109*AJ18,'Вхідні дані'!$M$107+'Вхідні дані'!$L$108*'Вхідні дані'!$L$109*AJ18)</f>
        <v>0</v>
      </c>
      <c r="AK54" s="86">
        <f>CHOOSE('Узагальнений розрахунок'!$P$1,'Вхідні дані'!$E$107+'Вхідні дані'!$D$108*'Вхідні дані'!$D$109*AK18,'Вхідні дані'!$I$107+'Вхідні дані'!$H$108*'Вхідні дані'!$H$109*AK18,'Вхідні дані'!$M$107+'Вхідні дані'!$L$108*'Вхідні дані'!$L$109*AK18)</f>
        <v>0</v>
      </c>
      <c r="AL54" s="86">
        <f>CHOOSE('Узагальнений розрахунок'!$P$1,'Вхідні дані'!$E$107+'Вхідні дані'!$D$108*'Вхідні дані'!$D$109*AL18,'Вхідні дані'!$I$107+'Вхідні дані'!$H$108*'Вхідні дані'!$H$109*AL18,'Вхідні дані'!$M$107+'Вхідні дані'!$L$108*'Вхідні дані'!$L$109*AL18)</f>
        <v>0</v>
      </c>
      <c r="AM54" s="86">
        <f>CHOOSE('Узагальнений розрахунок'!$P$1,'Вхідні дані'!$E$107+'Вхідні дані'!$D$108*'Вхідні дані'!$D$109*AM18,'Вхідні дані'!$I$107+'Вхідні дані'!$H$108*'Вхідні дані'!$H$109*AM18,'Вхідні дані'!$M$107+'Вхідні дані'!$L$108*'Вхідні дані'!$L$109*AM18)</f>
        <v>0</v>
      </c>
      <c r="AN54" s="86">
        <f>CHOOSE('Узагальнений розрахунок'!$P$1,'Вхідні дані'!$E$107+'Вхідні дані'!$D$108*'Вхідні дані'!$D$109*AN18,'Вхідні дані'!$I$107+'Вхідні дані'!$H$108*'Вхідні дані'!$H$109*AN18,'Вхідні дані'!$M$107+'Вхідні дані'!$L$108*'Вхідні дані'!$L$109*AN18)</f>
        <v>0</v>
      </c>
      <c r="AO54" s="86">
        <f>CHOOSE('Узагальнений розрахунок'!$P$1,'Вхідні дані'!$E$107+'Вхідні дані'!$D$108*'Вхідні дані'!$D$109*AO18,'Вхідні дані'!$I$107+'Вхідні дані'!$H$108*'Вхідні дані'!$H$109*AO18,'Вхідні дані'!$M$107+'Вхідні дані'!$L$108*'Вхідні дані'!$L$109*AO18)</f>
        <v>0</v>
      </c>
      <c r="AP54" s="86">
        <f>CHOOSE('Узагальнений розрахунок'!$P$1,'Вхідні дані'!$E$107+'Вхідні дані'!$D$108*'Вхідні дані'!$D$109*AP18,'Вхідні дані'!$I$107+'Вхідні дані'!$H$108*'Вхідні дані'!$H$109*AP18,'Вхідні дані'!$M$107+'Вхідні дані'!$L$108*'Вхідні дані'!$L$109*AP18)</f>
        <v>0</v>
      </c>
      <c r="AQ54" s="86">
        <f>CHOOSE('Узагальнений розрахунок'!$P$1,'Вхідні дані'!$E$107+'Вхідні дані'!$D$108*'Вхідні дані'!$D$109*AQ18,'Вхідні дані'!$I$107+'Вхідні дані'!$H$108*'Вхідні дані'!$H$109*AQ18,'Вхідні дані'!$M$107+'Вхідні дані'!$L$108*'Вхідні дані'!$L$109*AQ18)</f>
        <v>0</v>
      </c>
      <c r="AR54" s="87">
        <f t="shared" ref="AR54:AR56" si="126">SUM(AF54:AQ54)</f>
        <v>0</v>
      </c>
      <c r="AS54" s="87">
        <f t="shared" ref="AS54:AS56" si="127">AR54/12</f>
        <v>0</v>
      </c>
      <c r="AT54" s="82">
        <f t="shared" ref="AT54:AT56" si="128">P54+AD54+AR54</f>
        <v>0</v>
      </c>
      <c r="AU54" s="88"/>
    </row>
    <row r="55" spans="1:47" s="84" customFormat="1" ht="10.5" x14ac:dyDescent="0.35">
      <c r="A55" s="102" t="str">
        <f>'Узагальнений розрахунок'!B45</f>
        <v>Податки на зарплату</v>
      </c>
      <c r="B55" s="79" t="str">
        <f>CHOOSE('Вхідні дані'!$R$2,'Вхідні дані'!$S$2,'Вхідні дані'!$S$3,'Вхідні дані'!$S$4,'Вхідні дані'!$S$5)</f>
        <v>UAH</v>
      </c>
      <c r="C55" s="79"/>
      <c r="D55" s="80">
        <f>CHOOSE('Узагальнений розрахунок'!$T$1,'Детальний розрахунок'!D40*CHOOSE('Узагальнений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E55" s="80">
        <f>CHOOSE('Узагальнений розрахунок'!$T$1,'Детальний розрахунок'!E40*CHOOSE('Узагальнений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F55" s="80">
        <f>CHOOSE('Узагальнений розрахунок'!$T$1,'Детальний розрахунок'!F40*CHOOSE('Узагальнений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G55" s="80">
        <f>CHOOSE('Узагальнений розрахунок'!$T$1,'Детальний розрахунок'!G40*CHOOSE('Узагальнений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H55" s="80">
        <f>CHOOSE('Узагальнений розрахунок'!$T$1,'Детальний розрахунок'!H40*CHOOSE('Узагальнений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I55" s="80">
        <f>CHOOSE('Узагальнений розрахунок'!$T$1,'Детальний розрахунок'!I40*CHOOSE('Узагальнений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J55" s="80">
        <f>CHOOSE('Узагальнений розрахунок'!$T$1,'Детальний розрахунок'!J40*CHOOSE('Узагальнений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K55" s="80">
        <f>CHOOSE('Узагальнений розрахунок'!$T$1,'Детальний розрахунок'!K40*CHOOSE('Узагальнений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L55" s="80">
        <f>CHOOSE('Узагальнений розрахунок'!$T$1,'Детальний розрахунок'!L40*CHOOSE('Узагальнений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M55" s="80">
        <f>CHOOSE('Узагальнений розрахунок'!$T$1,'Детальний розрахунок'!M40*CHOOSE('Узагальнений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N55" s="80">
        <f>CHOOSE('Узагальнений розрахунок'!$T$1,'Детальний розрахунок'!N40*CHOOSE('Узагальнений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O55" s="80">
        <f>CHOOSE('Узагальнений розрахунок'!$T$1,'Детальний розрахунок'!O40*CHOOSE('Узагальнений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P55" s="81">
        <f t="shared" ref="P55" si="129">SUM(D55:O55)</f>
        <v>0</v>
      </c>
      <c r="Q55" s="81">
        <f t="shared" ref="Q55" si="130">P55/12</f>
        <v>0</v>
      </c>
      <c r="R55" s="80">
        <f>CHOOSE('Узагальнений розрахунок'!$T$1,'Детальний розрахунок'!R40*CHOOSE('Узагальнений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S55" s="80">
        <f>CHOOSE('Узагальнений розрахунок'!$T$1,'Детальний розрахунок'!S40*CHOOSE('Узагальнений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T55" s="80">
        <f>CHOOSE('Узагальнений розрахунок'!$T$1,'Детальний розрахунок'!T40*CHOOSE('Узагальнений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U55" s="80">
        <f>CHOOSE('Узагальнений розрахунок'!$T$1,'Детальний розрахунок'!U40*CHOOSE('Узагальнений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V55" s="80">
        <f>CHOOSE('Узагальнений розрахунок'!$T$1,'Детальний розрахунок'!V40*CHOOSE('Узагальнений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W55" s="80">
        <f>CHOOSE('Узагальнений розрахунок'!$T$1,'Детальний розрахунок'!W40*CHOOSE('Узагальнений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X55" s="80">
        <f>CHOOSE('Узагальнений розрахунок'!$T$1,'Детальний розрахунок'!X40*CHOOSE('Узагальнений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Y55" s="80">
        <f>CHOOSE('Узагальнений розрахунок'!$T$1,'Детальний розрахунок'!Y40*CHOOSE('Узагальнений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Z55" s="80">
        <f>CHOOSE('Узагальнений розрахунок'!$T$1,'Детальний розрахунок'!Z40*CHOOSE('Узагальнений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A55" s="80">
        <f>CHOOSE('Узагальнений розрахунок'!$T$1,'Детальний розрахунок'!AA40*CHOOSE('Узагальнений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B55" s="80">
        <f>CHOOSE('Узагальнений розрахунок'!$T$1,'Детальний розрахунок'!AB40*CHOOSE('Узагальнений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C55" s="80">
        <f>CHOOSE('Узагальнений розрахунок'!$T$1,'Детальний розрахунок'!AC40*CHOOSE('Узагальнений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D55" s="81">
        <f t="shared" ref="AD55" si="131">SUM(R55:AC55)</f>
        <v>0</v>
      </c>
      <c r="AE55" s="81">
        <f t="shared" ref="AE55" si="132">AD55/12</f>
        <v>0</v>
      </c>
      <c r="AF55" s="80">
        <f>CHOOSE('Узагальнений розрахунок'!$T$1,'Детальний розрахунок'!AF40*CHOOSE('Узагальнений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G55" s="80">
        <f>CHOOSE('Узагальнений розрахунок'!$T$1,'Детальний розрахунок'!AG40*CHOOSE('Узагальнений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H55" s="80">
        <f>CHOOSE('Узагальнений розрахунок'!$T$1,'Детальний розрахунок'!AH40*CHOOSE('Узагальнений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I55" s="80">
        <f>CHOOSE('Узагальнений розрахунок'!$T$1,'Детальний розрахунок'!AI40*CHOOSE('Узагальнений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J55" s="80">
        <f>CHOOSE('Узагальнений розрахунок'!$T$1,'Детальний розрахунок'!AJ40*CHOOSE('Узагальнений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K55" s="80">
        <f>CHOOSE('Узагальнений розрахунок'!$T$1,'Детальний розрахунок'!AK40*CHOOSE('Узагальнений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L55" s="80">
        <f>CHOOSE('Узагальнений розрахунок'!$T$1,'Детальний розрахунок'!AL40*CHOOSE('Узагальнений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M55" s="80">
        <f>CHOOSE('Узагальнений розрахунок'!$T$1,'Детальний розрахунок'!AM40*CHOOSE('Узагальнений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N55" s="80">
        <f>CHOOSE('Узагальнений розрахунок'!$T$1,'Детальний розрахунок'!AN40*CHOOSE('Узагальнений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O55" s="80">
        <f>CHOOSE('Узагальнений розрахунок'!$T$1,'Детальний розрахунок'!AO40*CHOOSE('Узагальнений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P55" s="80">
        <f>CHOOSE('Узагальнений розрахунок'!$T$1,'Детальний розрахунок'!AP40*CHOOSE('Узагальнений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Q55" s="80">
        <f>CHOOSE('Узагальнений розрахунок'!$T$1,'Детальний розрахунок'!AQ40*CHOOSE('Узагальнений розрахунок'!$P$1,'Вхідні дані'!$D$111,'Вхідні дані'!$H$111,'Вхідні дані'!$L$111),CHOOSE('Узагальнений розрахунок'!$P$1,'Вхідні дані'!$E$71*'Вхідні дані'!$E$110,'Вхідні дані'!$E$78*'Вхідні дані'!$I$110,'Вхідні дані'!$E$84*'Вхідні дані'!$M$110))</f>
        <v>0</v>
      </c>
      <c r="AR55" s="81">
        <f t="shared" ref="AR55" si="133">SUM(AF55:AQ55)</f>
        <v>0</v>
      </c>
      <c r="AS55" s="81">
        <f t="shared" ref="AS55" si="134">AR55/12</f>
        <v>0</v>
      </c>
      <c r="AT55" s="82">
        <f t="shared" ref="AT55" si="135">P55+AD55+AR55</f>
        <v>0</v>
      </c>
      <c r="AU55" s="83"/>
    </row>
    <row r="56" spans="1:47" s="89" customFormat="1" ht="10.5" x14ac:dyDescent="0.35">
      <c r="A56" s="101" t="str">
        <f>'Узагальнений розрахунок'!B46</f>
        <v>Податки</v>
      </c>
      <c r="B56" s="85" t="str">
        <f>CHOOSE('Вхідні дані'!$R$2,'Вхідні дані'!$S$2,'Вхідні дані'!$S$3,'Вхідні дані'!$S$4,'Вхідні дані'!$S$5)</f>
        <v>UAH</v>
      </c>
      <c r="C56" s="85"/>
      <c r="D56" s="86">
        <f>CHOOSE('Узагальнений розрахунок'!$P$1,CHOOSE('Узагальнений розрахунок'!$N$1,'Вхідні дані'!$D$112*D18,'Вхідні дані'!$E$113),CHOOSE('Узагальнений розрахунок'!$N$1,'Вхідні дані'!$H$112*D18,'Вхідні дані'!$I$113),CHOOSE('Узагальнений розрахунок'!$N$1,'Вхідні дані'!$L$112*D18,'Вхідні дані'!$M$113))</f>
        <v>0</v>
      </c>
      <c r="E56" s="86">
        <f>CHOOSE('Узагальнений розрахунок'!$P$1,CHOOSE('Узагальнений розрахунок'!$N$1,'Вхідні дані'!$D$112*E18,'Вхідні дані'!$E$113),CHOOSE('Узагальнений розрахунок'!$N$1,'Вхідні дані'!$H$112*E18,'Вхідні дані'!$I$113),CHOOSE('Узагальнений розрахунок'!$N$1,'Вхідні дані'!$L$112*E18,'Вхідні дані'!$M$113))</f>
        <v>0</v>
      </c>
      <c r="F56" s="86">
        <f>CHOOSE('Узагальнений розрахунок'!$P$1,CHOOSE('Узагальнений розрахунок'!$N$1,'Вхідні дані'!$D$112*F18,'Вхідні дані'!$E$113),CHOOSE('Узагальнений розрахунок'!$N$1,'Вхідні дані'!$H$112*F18,'Вхідні дані'!$I$113),CHOOSE('Узагальнений розрахунок'!$N$1,'Вхідні дані'!$L$112*F18,'Вхідні дані'!$M$113))</f>
        <v>0</v>
      </c>
      <c r="G56" s="86">
        <f>CHOOSE('Узагальнений розрахунок'!$P$1,CHOOSE('Узагальнений розрахунок'!$N$1,'Вхідні дані'!$D$112*G18,'Вхідні дані'!$E$113),CHOOSE('Узагальнений розрахунок'!$N$1,'Вхідні дані'!$H$112*G18,'Вхідні дані'!$I$113),CHOOSE('Узагальнений розрахунок'!$N$1,'Вхідні дані'!$L$112*G18,'Вхідні дані'!$M$113))</f>
        <v>0</v>
      </c>
      <c r="H56" s="86">
        <f>CHOOSE('Узагальнений розрахунок'!$P$1,CHOOSE('Узагальнений розрахунок'!$N$1,'Вхідні дані'!$D$112*H18,'Вхідні дані'!$E$113),CHOOSE('Узагальнений розрахунок'!$N$1,'Вхідні дані'!$H$112*H18,'Вхідні дані'!$I$113),CHOOSE('Узагальнений розрахунок'!$N$1,'Вхідні дані'!$L$112*H18,'Вхідні дані'!$M$113))</f>
        <v>0</v>
      </c>
      <c r="I56" s="86">
        <f>CHOOSE('Узагальнений розрахунок'!$P$1,CHOOSE('Узагальнений розрахунок'!$N$1,'Вхідні дані'!$D$112*I18,'Вхідні дані'!$E$113),CHOOSE('Узагальнений розрахунок'!$N$1,'Вхідні дані'!$H$112*I18,'Вхідні дані'!$I$113),CHOOSE('Узагальнений розрахунок'!$N$1,'Вхідні дані'!$L$112*I18,'Вхідні дані'!$M$113))</f>
        <v>0</v>
      </c>
      <c r="J56" s="86">
        <f>CHOOSE('Узагальнений розрахунок'!$P$1,CHOOSE('Узагальнений розрахунок'!$N$1,'Вхідні дані'!$D$112*J18,'Вхідні дані'!$E$113),CHOOSE('Узагальнений розрахунок'!$N$1,'Вхідні дані'!$H$112*J18,'Вхідні дані'!$I$113),CHOOSE('Узагальнений розрахунок'!$N$1,'Вхідні дані'!$L$112*J18,'Вхідні дані'!$M$113))</f>
        <v>0</v>
      </c>
      <c r="K56" s="86">
        <f>CHOOSE('Узагальнений розрахунок'!$P$1,CHOOSE('Узагальнений розрахунок'!$N$1,'Вхідні дані'!$D$112*K18,'Вхідні дані'!$E$113),CHOOSE('Узагальнений розрахунок'!$N$1,'Вхідні дані'!$H$112*K18,'Вхідні дані'!$I$113),CHOOSE('Узагальнений розрахунок'!$N$1,'Вхідні дані'!$L$112*K18,'Вхідні дані'!$M$113))</f>
        <v>0</v>
      </c>
      <c r="L56" s="86">
        <f>CHOOSE('Узагальнений розрахунок'!$P$1,CHOOSE('Узагальнений розрахунок'!$N$1,'Вхідні дані'!$D$112*L18,'Вхідні дані'!$E$113),CHOOSE('Узагальнений розрахунок'!$N$1,'Вхідні дані'!$H$112*L18,'Вхідні дані'!$I$113),CHOOSE('Узагальнений розрахунок'!$N$1,'Вхідні дані'!$L$112*L18,'Вхідні дані'!$M$113))</f>
        <v>0</v>
      </c>
      <c r="M56" s="86">
        <f>CHOOSE('Узагальнений розрахунок'!$P$1,CHOOSE('Узагальнений розрахунок'!$N$1,'Вхідні дані'!$D$112*M18,'Вхідні дані'!$E$113),CHOOSE('Узагальнений розрахунок'!$N$1,'Вхідні дані'!$H$112*M18,'Вхідні дані'!$I$113),CHOOSE('Узагальнений розрахунок'!$N$1,'Вхідні дані'!$L$112*M18,'Вхідні дані'!$M$113))</f>
        <v>0</v>
      </c>
      <c r="N56" s="86">
        <f>CHOOSE('Узагальнений розрахунок'!$P$1,CHOOSE('Узагальнений розрахунок'!$N$1,'Вхідні дані'!$D$112*N18,'Вхідні дані'!$E$113),CHOOSE('Узагальнений розрахунок'!$N$1,'Вхідні дані'!$H$112*N18,'Вхідні дані'!$I$113),CHOOSE('Узагальнений розрахунок'!$N$1,'Вхідні дані'!$L$112*N18,'Вхідні дані'!$M$113))</f>
        <v>0</v>
      </c>
      <c r="O56" s="86">
        <f>CHOOSE('Узагальнений розрахунок'!$P$1,CHOOSE('Узагальнений розрахунок'!$N$1,'Вхідні дані'!$D$112*O18,'Вхідні дані'!$E$113),CHOOSE('Узагальнений розрахунок'!$N$1,'Вхідні дані'!$H$112*O18,'Вхідні дані'!$I$113),CHOOSE('Узагальнений розрахунок'!$N$1,'Вхідні дані'!$L$112*O18,'Вхідні дані'!$M$113))</f>
        <v>0</v>
      </c>
      <c r="P56" s="87">
        <f t="shared" ref="P56" si="136">SUM(D56:O56)</f>
        <v>0</v>
      </c>
      <c r="Q56" s="87">
        <f t="shared" si="123"/>
        <v>0</v>
      </c>
      <c r="R56" s="86">
        <f>CHOOSE('Узагальнений розрахунок'!$P$1,CHOOSE('Узагальнений розрахунок'!$N$1,'Вхідні дані'!$D$112*R18,'Вхідні дані'!$E$113),CHOOSE('Узагальнений розрахунок'!$N$1,'Вхідні дані'!$H$112*R18,'Вхідні дані'!$I$113),CHOOSE('Узагальнений розрахунок'!$N$1,'Вхідні дані'!$L$112*R18,'Вхідні дані'!$M$113))</f>
        <v>0</v>
      </c>
      <c r="S56" s="86">
        <f>CHOOSE('Узагальнений розрахунок'!$P$1,CHOOSE('Узагальнений розрахунок'!$N$1,'Вхідні дані'!$D$112*S18,'Вхідні дані'!$E$113),CHOOSE('Узагальнений розрахунок'!$N$1,'Вхідні дані'!$H$112*S18,'Вхідні дані'!$I$113),CHOOSE('Узагальнений розрахунок'!$N$1,'Вхідні дані'!$L$112*S18,'Вхідні дані'!$M$113))</f>
        <v>0</v>
      </c>
      <c r="T56" s="86">
        <f>CHOOSE('Узагальнений розрахунок'!$P$1,CHOOSE('Узагальнений розрахунок'!$N$1,'Вхідні дані'!$D$112*T18,'Вхідні дані'!$E$113),CHOOSE('Узагальнений розрахунок'!$N$1,'Вхідні дані'!$H$112*T18,'Вхідні дані'!$I$113),CHOOSE('Узагальнений розрахунок'!$N$1,'Вхідні дані'!$L$112*T18,'Вхідні дані'!$M$113))</f>
        <v>0</v>
      </c>
      <c r="U56" s="86">
        <f>CHOOSE('Узагальнений розрахунок'!$P$1,CHOOSE('Узагальнений розрахунок'!$N$1,'Вхідні дані'!$D$112*U18,'Вхідні дані'!$E$113),CHOOSE('Узагальнений розрахунок'!$N$1,'Вхідні дані'!$H$112*U18,'Вхідні дані'!$I$113),CHOOSE('Узагальнений розрахунок'!$N$1,'Вхідні дані'!$L$112*U18,'Вхідні дані'!$M$113))</f>
        <v>0</v>
      </c>
      <c r="V56" s="86">
        <f>CHOOSE('Узагальнений розрахунок'!$P$1,CHOOSE('Узагальнений розрахунок'!$N$1,'Вхідні дані'!$D$112*V18,'Вхідні дані'!$E$113),CHOOSE('Узагальнений розрахунок'!$N$1,'Вхідні дані'!$H$112*V18,'Вхідні дані'!$I$113),CHOOSE('Узагальнений розрахунок'!$N$1,'Вхідні дані'!$L$112*V18,'Вхідні дані'!$M$113))</f>
        <v>0</v>
      </c>
      <c r="W56" s="86">
        <f>CHOOSE('Узагальнений розрахунок'!$P$1,CHOOSE('Узагальнений розрахунок'!$N$1,'Вхідні дані'!$D$112*W18,'Вхідні дані'!$E$113),CHOOSE('Узагальнений розрахунок'!$N$1,'Вхідні дані'!$H$112*W18,'Вхідні дані'!$I$113),CHOOSE('Узагальнений розрахунок'!$N$1,'Вхідні дані'!$L$112*W18,'Вхідні дані'!$M$113))</f>
        <v>0</v>
      </c>
      <c r="X56" s="86">
        <f>CHOOSE('Узагальнений розрахунок'!$P$1,CHOOSE('Узагальнений розрахунок'!$N$1,'Вхідні дані'!$D$112*X18,'Вхідні дані'!$E$113),CHOOSE('Узагальнений розрахунок'!$N$1,'Вхідні дані'!$H$112*X18,'Вхідні дані'!$I$113),CHOOSE('Узагальнений розрахунок'!$N$1,'Вхідні дані'!$L$112*X18,'Вхідні дані'!$M$113))</f>
        <v>0</v>
      </c>
      <c r="Y56" s="86">
        <f>CHOOSE('Узагальнений розрахунок'!$P$1,CHOOSE('Узагальнений розрахунок'!$N$1,'Вхідні дані'!$D$112*Y18,'Вхідні дані'!$E$113),CHOOSE('Узагальнений розрахунок'!$N$1,'Вхідні дані'!$H$112*Y18,'Вхідні дані'!$I$113),CHOOSE('Узагальнений розрахунок'!$N$1,'Вхідні дані'!$L$112*Y18,'Вхідні дані'!$M$113))</f>
        <v>0</v>
      </c>
      <c r="Z56" s="86">
        <f>CHOOSE('Узагальнений розрахунок'!$P$1,CHOOSE('Узагальнений розрахунок'!$N$1,'Вхідні дані'!$D$112*Z18,'Вхідні дані'!$E$113),CHOOSE('Узагальнений розрахунок'!$N$1,'Вхідні дані'!$H$112*Z18,'Вхідні дані'!$I$113),CHOOSE('Узагальнений розрахунок'!$N$1,'Вхідні дані'!$L$112*Z18,'Вхідні дані'!$M$113))</f>
        <v>0</v>
      </c>
      <c r="AA56" s="86">
        <f>CHOOSE('Узагальнений розрахунок'!$P$1,CHOOSE('Узагальнений розрахунок'!$N$1,'Вхідні дані'!$D$112*AA18,'Вхідні дані'!$E$113),CHOOSE('Узагальнений розрахунок'!$N$1,'Вхідні дані'!$H$112*AA18,'Вхідні дані'!$I$113),CHOOSE('Узагальнений розрахунок'!$N$1,'Вхідні дані'!$L$112*AA18,'Вхідні дані'!$M$113))</f>
        <v>0</v>
      </c>
      <c r="AB56" s="86">
        <f>CHOOSE('Узагальнений розрахунок'!$P$1,CHOOSE('Узагальнений розрахунок'!$N$1,'Вхідні дані'!$D$112*AB18,'Вхідні дані'!$E$113),CHOOSE('Узагальнений розрахунок'!$N$1,'Вхідні дані'!$H$112*AB18,'Вхідні дані'!$I$113),CHOOSE('Узагальнений розрахунок'!$N$1,'Вхідні дані'!$L$112*AB18,'Вхідні дані'!$M$113))</f>
        <v>0</v>
      </c>
      <c r="AC56" s="86">
        <f>CHOOSE('Узагальнений розрахунок'!$P$1,CHOOSE('Узагальнений розрахунок'!$N$1,'Вхідні дані'!$D$112*AC18,'Вхідні дані'!$E$113),CHOOSE('Узагальнений розрахунок'!$N$1,'Вхідні дані'!$H$112*AC18,'Вхідні дані'!$I$113),CHOOSE('Узагальнений розрахунок'!$N$1,'Вхідні дані'!$L$112*AC18,'Вхідні дані'!$M$113))</f>
        <v>0</v>
      </c>
      <c r="AD56" s="87">
        <f t="shared" si="124"/>
        <v>0</v>
      </c>
      <c r="AE56" s="87">
        <f t="shared" si="125"/>
        <v>0</v>
      </c>
      <c r="AF56" s="86">
        <f>CHOOSE('Узагальнений розрахунок'!$P$1,CHOOSE('Узагальнений розрахунок'!$N$1,'Вхідні дані'!$D$112*AF18,'Вхідні дані'!$E$113),CHOOSE('Узагальнений розрахунок'!$N$1,'Вхідні дані'!$H$112*AF18,'Вхідні дані'!$I$113),CHOOSE('Узагальнений розрахунок'!$N$1,'Вхідні дані'!$L$112*AF18,'Вхідні дані'!$M$113))</f>
        <v>0</v>
      </c>
      <c r="AG56" s="86">
        <f>CHOOSE('Узагальнений розрахунок'!$P$1,CHOOSE('Узагальнений розрахунок'!$N$1,'Вхідні дані'!$D$112*AG18,'Вхідні дані'!$E$113),CHOOSE('Узагальнений розрахунок'!$N$1,'Вхідні дані'!$H$112*AG18,'Вхідні дані'!$I$113),CHOOSE('Узагальнений розрахунок'!$N$1,'Вхідні дані'!$L$112*AG18,'Вхідні дані'!$M$113))</f>
        <v>0</v>
      </c>
      <c r="AH56" s="86">
        <f>CHOOSE('Узагальнений розрахунок'!$P$1,CHOOSE('Узагальнений розрахунок'!$N$1,'Вхідні дані'!$D$112*AH18,'Вхідні дані'!$E$113),CHOOSE('Узагальнений розрахунок'!$N$1,'Вхідні дані'!$H$112*AH18,'Вхідні дані'!$I$113),CHOOSE('Узагальнений розрахунок'!$N$1,'Вхідні дані'!$L$112*AH18,'Вхідні дані'!$M$113))</f>
        <v>0</v>
      </c>
      <c r="AI56" s="86">
        <f>CHOOSE('Узагальнений розрахунок'!$P$1,CHOOSE('Узагальнений розрахунок'!$N$1,'Вхідні дані'!$D$112*AI18,'Вхідні дані'!$E$113),CHOOSE('Узагальнений розрахунок'!$N$1,'Вхідні дані'!$H$112*AI18,'Вхідні дані'!$I$113),CHOOSE('Узагальнений розрахунок'!$N$1,'Вхідні дані'!$L$112*AI18,'Вхідні дані'!$M$113))</f>
        <v>0</v>
      </c>
      <c r="AJ56" s="86">
        <f>CHOOSE('Узагальнений розрахунок'!$P$1,CHOOSE('Узагальнений розрахунок'!$N$1,'Вхідні дані'!$D$112*AJ18,'Вхідні дані'!$E$113),CHOOSE('Узагальнений розрахунок'!$N$1,'Вхідні дані'!$H$112*AJ18,'Вхідні дані'!$I$113),CHOOSE('Узагальнений розрахунок'!$N$1,'Вхідні дані'!$L$112*AJ18,'Вхідні дані'!$M$113))</f>
        <v>0</v>
      </c>
      <c r="AK56" s="86">
        <f>CHOOSE('Узагальнений розрахунок'!$P$1,CHOOSE('Узагальнений розрахунок'!$N$1,'Вхідні дані'!$D$112*AK18,'Вхідні дані'!$E$113),CHOOSE('Узагальнений розрахунок'!$N$1,'Вхідні дані'!$H$112*AK18,'Вхідні дані'!$I$113),CHOOSE('Узагальнений розрахунок'!$N$1,'Вхідні дані'!$L$112*AK18,'Вхідні дані'!$M$113))</f>
        <v>0</v>
      </c>
      <c r="AL56" s="86">
        <f>CHOOSE('Узагальнений розрахунок'!$P$1,CHOOSE('Узагальнений розрахунок'!$N$1,'Вхідні дані'!$D$112*AL18,'Вхідні дані'!$E$113),CHOOSE('Узагальнений розрахунок'!$N$1,'Вхідні дані'!$H$112*AL18,'Вхідні дані'!$I$113),CHOOSE('Узагальнений розрахунок'!$N$1,'Вхідні дані'!$L$112*AL18,'Вхідні дані'!$M$113))</f>
        <v>0</v>
      </c>
      <c r="AM56" s="86">
        <f>CHOOSE('Узагальнений розрахунок'!$P$1,CHOOSE('Узагальнений розрахунок'!$N$1,'Вхідні дані'!$D$112*AM18,'Вхідні дані'!$E$113),CHOOSE('Узагальнений розрахунок'!$N$1,'Вхідні дані'!$H$112*AM18,'Вхідні дані'!$I$113),CHOOSE('Узагальнений розрахунок'!$N$1,'Вхідні дані'!$L$112*AM18,'Вхідні дані'!$M$113))</f>
        <v>0</v>
      </c>
      <c r="AN56" s="86">
        <f>CHOOSE('Узагальнений розрахунок'!$P$1,CHOOSE('Узагальнений розрахунок'!$N$1,'Вхідні дані'!$D$112*AN18,'Вхідні дані'!$E$113),CHOOSE('Узагальнений розрахунок'!$N$1,'Вхідні дані'!$H$112*AN18,'Вхідні дані'!$I$113),CHOOSE('Узагальнений розрахунок'!$N$1,'Вхідні дані'!$L$112*AN18,'Вхідні дані'!$M$113))</f>
        <v>0</v>
      </c>
      <c r="AO56" s="86">
        <f>CHOOSE('Узагальнений розрахунок'!$P$1,CHOOSE('Узагальнений розрахунок'!$N$1,'Вхідні дані'!$D$112*AO18,'Вхідні дані'!$E$113),CHOOSE('Узагальнений розрахунок'!$N$1,'Вхідні дані'!$H$112*AO18,'Вхідні дані'!$I$113),CHOOSE('Узагальнений розрахунок'!$N$1,'Вхідні дані'!$L$112*AO18,'Вхідні дані'!$M$113))</f>
        <v>0</v>
      </c>
      <c r="AP56" s="86">
        <f>CHOOSE('Узагальнений розрахунок'!$P$1,CHOOSE('Узагальнений розрахунок'!$N$1,'Вхідні дані'!$D$112*AP18,'Вхідні дані'!$E$113),CHOOSE('Узагальнений розрахунок'!$N$1,'Вхідні дані'!$H$112*AP18,'Вхідні дані'!$I$113),CHOOSE('Узагальнений розрахунок'!$N$1,'Вхідні дані'!$L$112*AP18,'Вхідні дані'!$M$113))</f>
        <v>0</v>
      </c>
      <c r="AQ56" s="86">
        <f>CHOOSE('Узагальнений розрахунок'!$P$1,CHOOSE('Узагальнений розрахунок'!$N$1,'Вхідні дані'!$D$112*AQ18,'Вхідні дані'!$E$113),CHOOSE('Узагальнений розрахунок'!$N$1,'Вхідні дані'!$H$112*AQ18,'Вхідні дані'!$I$113),CHOOSE('Узагальнений розрахунок'!$N$1,'Вхідні дані'!$L$112*AQ18,'Вхідні дані'!$M$113))</f>
        <v>0</v>
      </c>
      <c r="AR56" s="87">
        <f t="shared" si="126"/>
        <v>0</v>
      </c>
      <c r="AS56" s="87">
        <f t="shared" si="127"/>
        <v>0</v>
      </c>
      <c r="AT56" s="82">
        <f t="shared" si="128"/>
        <v>0</v>
      </c>
      <c r="AU56" s="88"/>
    </row>
    <row r="57" spans="1:47" s="7" customFormat="1" ht="10.5" x14ac:dyDescent="0.35">
      <c r="A57" s="109" t="str">
        <f>A35</f>
        <v>Разом</v>
      </c>
      <c r="B57" s="110" t="str">
        <f>CHOOSE('Вхідні дані'!$R$2,'Вхідні дані'!$S$2,'Вхідні дані'!$S$3,'Вхідні дані'!$S$4,'Вхідні дані'!$S$5)</f>
        <v>UAH</v>
      </c>
      <c r="C57" s="110"/>
      <c r="D57" s="111">
        <f t="shared" ref="D57:AT57" si="137">SUM(D40:D56)</f>
        <v>59827.083333333336</v>
      </c>
      <c r="E57" s="111">
        <f t="shared" si="137"/>
        <v>59827.083333333336</v>
      </c>
      <c r="F57" s="111">
        <f t="shared" si="137"/>
        <v>59827.083333333336</v>
      </c>
      <c r="G57" s="111">
        <f t="shared" si="137"/>
        <v>59827.083333333336</v>
      </c>
      <c r="H57" s="111">
        <f t="shared" si="137"/>
        <v>59827.083333333336</v>
      </c>
      <c r="I57" s="111">
        <f t="shared" si="137"/>
        <v>59827.083333333336</v>
      </c>
      <c r="J57" s="111">
        <f t="shared" si="137"/>
        <v>59827.083333333336</v>
      </c>
      <c r="K57" s="111">
        <f t="shared" si="137"/>
        <v>59827.083333333336</v>
      </c>
      <c r="L57" s="111">
        <f t="shared" si="137"/>
        <v>59827.083333333336</v>
      </c>
      <c r="M57" s="111">
        <f t="shared" si="137"/>
        <v>59827.083333333336</v>
      </c>
      <c r="N57" s="111">
        <f t="shared" si="137"/>
        <v>59827.083333333336</v>
      </c>
      <c r="O57" s="111">
        <f t="shared" si="137"/>
        <v>59827.083333333336</v>
      </c>
      <c r="P57" s="111">
        <f t="shared" si="137"/>
        <v>717925</v>
      </c>
      <c r="Q57" s="111">
        <f t="shared" si="137"/>
        <v>59827.083333333336</v>
      </c>
      <c r="R57" s="111">
        <f t="shared" si="137"/>
        <v>62927.083333333336</v>
      </c>
      <c r="S57" s="111">
        <f t="shared" si="137"/>
        <v>62927.083333333336</v>
      </c>
      <c r="T57" s="111">
        <f t="shared" si="137"/>
        <v>62927.083333333336</v>
      </c>
      <c r="U57" s="111">
        <f t="shared" si="137"/>
        <v>62927.083333333336</v>
      </c>
      <c r="V57" s="111">
        <f t="shared" si="137"/>
        <v>62927.083333333336</v>
      </c>
      <c r="W57" s="111">
        <f t="shared" si="137"/>
        <v>62927.083333333336</v>
      </c>
      <c r="X57" s="111">
        <f t="shared" si="137"/>
        <v>62927.083333333336</v>
      </c>
      <c r="Y57" s="111">
        <f t="shared" si="137"/>
        <v>62927.083333333336</v>
      </c>
      <c r="Z57" s="111">
        <f t="shared" si="137"/>
        <v>62927.083333333336</v>
      </c>
      <c r="AA57" s="111">
        <f t="shared" si="137"/>
        <v>62927.083333333336</v>
      </c>
      <c r="AB57" s="111">
        <f t="shared" si="137"/>
        <v>62927.083333333336</v>
      </c>
      <c r="AC57" s="111">
        <f t="shared" si="137"/>
        <v>62927.083333333336</v>
      </c>
      <c r="AD57" s="111">
        <f t="shared" si="137"/>
        <v>755125</v>
      </c>
      <c r="AE57" s="111">
        <f t="shared" si="137"/>
        <v>62927.083333333336</v>
      </c>
      <c r="AF57" s="111">
        <f t="shared" si="137"/>
        <v>66027.083333333328</v>
      </c>
      <c r="AG57" s="111">
        <f t="shared" si="137"/>
        <v>66027.083333333328</v>
      </c>
      <c r="AH57" s="111">
        <f t="shared" si="137"/>
        <v>66027.083333333328</v>
      </c>
      <c r="AI57" s="111">
        <f t="shared" si="137"/>
        <v>66027.083333333328</v>
      </c>
      <c r="AJ57" s="111">
        <f t="shared" si="137"/>
        <v>66027.083333333328</v>
      </c>
      <c r="AK57" s="111">
        <f t="shared" si="137"/>
        <v>66027.083333333328</v>
      </c>
      <c r="AL57" s="111">
        <f t="shared" si="137"/>
        <v>66027.083333333328</v>
      </c>
      <c r="AM57" s="111">
        <f t="shared" si="137"/>
        <v>66027.083333333328</v>
      </c>
      <c r="AN57" s="111">
        <f t="shared" si="137"/>
        <v>66027.083333333328</v>
      </c>
      <c r="AO57" s="111">
        <f t="shared" si="137"/>
        <v>66027.083333333328</v>
      </c>
      <c r="AP57" s="111">
        <f t="shared" si="137"/>
        <v>66027.083333333328</v>
      </c>
      <c r="AQ57" s="111">
        <f t="shared" si="137"/>
        <v>66027.083333333328</v>
      </c>
      <c r="AR57" s="111">
        <f t="shared" si="137"/>
        <v>792325</v>
      </c>
      <c r="AS57" s="111">
        <f t="shared" si="137"/>
        <v>66027.083333333328</v>
      </c>
      <c r="AT57" s="111">
        <f t="shared" si="137"/>
        <v>2265375</v>
      </c>
    </row>
    <row r="58" spans="1:47" s="8" customFormat="1" ht="10.8" thickBot="1" x14ac:dyDescent="0.4">
      <c r="A58" s="112"/>
      <c r="B58" s="113"/>
      <c r="C58" s="113"/>
      <c r="D58" s="114"/>
      <c r="E58" s="114"/>
      <c r="F58" s="114"/>
      <c r="G58" s="114"/>
      <c r="H58" s="114"/>
      <c r="I58" s="114"/>
      <c r="J58" s="112"/>
      <c r="K58" s="112"/>
      <c r="L58" s="112"/>
      <c r="M58" s="112"/>
      <c r="N58" s="112"/>
      <c r="O58" s="112"/>
      <c r="P58" s="115"/>
      <c r="Q58" s="115"/>
      <c r="R58" s="114"/>
      <c r="S58" s="114"/>
      <c r="T58" s="114"/>
      <c r="U58" s="114"/>
      <c r="V58" s="114"/>
      <c r="W58" s="114"/>
      <c r="X58" s="112"/>
      <c r="Y58" s="112"/>
      <c r="Z58" s="112"/>
      <c r="AA58" s="112"/>
      <c r="AB58" s="112"/>
      <c r="AC58" s="112"/>
      <c r="AD58" s="115"/>
      <c r="AE58" s="115"/>
      <c r="AF58" s="114"/>
      <c r="AG58" s="114"/>
      <c r="AH58" s="114"/>
      <c r="AI58" s="114"/>
      <c r="AJ58" s="114"/>
      <c r="AK58" s="114"/>
      <c r="AL58" s="112"/>
      <c r="AM58" s="112"/>
      <c r="AN58" s="112"/>
      <c r="AO58" s="112"/>
      <c r="AP58" s="112"/>
      <c r="AQ58" s="112"/>
      <c r="AR58" s="115"/>
      <c r="AS58" s="115"/>
      <c r="AT58" s="112"/>
    </row>
    <row r="59" spans="1:47" s="78" customFormat="1" ht="21.6" thickTop="1" thickBot="1" x14ac:dyDescent="0.4">
      <c r="A59" s="74" t="s">
        <v>78</v>
      </c>
      <c r="B59" s="75"/>
      <c r="C59" s="75" t="str">
        <f t="shared" ref="C59:O59" si="138">C$5</f>
        <v>Нульовий період</v>
      </c>
      <c r="D59" s="75" t="str">
        <f t="shared" si="138"/>
        <v>січень</v>
      </c>
      <c r="E59" s="75" t="str">
        <f t="shared" si="138"/>
        <v>лютий</v>
      </c>
      <c r="F59" s="75" t="str">
        <f t="shared" si="138"/>
        <v>березень</v>
      </c>
      <c r="G59" s="75" t="str">
        <f t="shared" si="138"/>
        <v>квітень</v>
      </c>
      <c r="H59" s="75" t="str">
        <f t="shared" si="138"/>
        <v>травень</v>
      </c>
      <c r="I59" s="75" t="str">
        <f t="shared" si="138"/>
        <v>червень</v>
      </c>
      <c r="J59" s="75" t="str">
        <f t="shared" si="138"/>
        <v>липень</v>
      </c>
      <c r="K59" s="75" t="str">
        <f t="shared" si="138"/>
        <v>серпень</v>
      </c>
      <c r="L59" s="75" t="str">
        <f t="shared" si="138"/>
        <v>вересень</v>
      </c>
      <c r="M59" s="75" t="str">
        <f t="shared" si="138"/>
        <v>жовтень</v>
      </c>
      <c r="N59" s="75" t="str">
        <f t="shared" si="138"/>
        <v>листопад</v>
      </c>
      <c r="O59" s="75" t="str">
        <f t="shared" si="138"/>
        <v>грудень</v>
      </c>
      <c r="P59" s="100" t="str">
        <f>$P$13</f>
        <v>Разом за 1-й рік</v>
      </c>
      <c r="Q59" s="100" t="str">
        <f>$Q$13</f>
        <v>Середньомісячно за 1-й рік</v>
      </c>
      <c r="R59" s="75" t="str">
        <f t="shared" ref="R59:AC59" si="139">R$5</f>
        <v>січень</v>
      </c>
      <c r="S59" s="75" t="str">
        <f t="shared" si="139"/>
        <v>лютий</v>
      </c>
      <c r="T59" s="75" t="str">
        <f t="shared" si="139"/>
        <v>березень</v>
      </c>
      <c r="U59" s="75" t="str">
        <f t="shared" si="139"/>
        <v>квітень</v>
      </c>
      <c r="V59" s="75" t="str">
        <f t="shared" si="139"/>
        <v>травень</v>
      </c>
      <c r="W59" s="75" t="str">
        <f t="shared" si="139"/>
        <v>червень</v>
      </c>
      <c r="X59" s="75" t="str">
        <f t="shared" si="139"/>
        <v>липень</v>
      </c>
      <c r="Y59" s="75" t="str">
        <f t="shared" si="139"/>
        <v>серпень</v>
      </c>
      <c r="Z59" s="75" t="str">
        <f t="shared" si="139"/>
        <v>вересень</v>
      </c>
      <c r="AA59" s="75" t="str">
        <f t="shared" si="139"/>
        <v>жовтень</v>
      </c>
      <c r="AB59" s="75" t="str">
        <f t="shared" si="139"/>
        <v>листопад</v>
      </c>
      <c r="AC59" s="75" t="str">
        <f t="shared" si="139"/>
        <v>грудень</v>
      </c>
      <c r="AD59" s="100" t="str">
        <f>AD39</f>
        <v>Разом за 2-й рік</v>
      </c>
      <c r="AE59" s="100" t="str">
        <f>AE39</f>
        <v>Середньомісячно за 2-й рік</v>
      </c>
      <c r="AF59" s="75" t="str">
        <f t="shared" ref="AF59:AQ59" si="140">AF$5</f>
        <v>січень</v>
      </c>
      <c r="AG59" s="75" t="str">
        <f t="shared" si="140"/>
        <v>лютий</v>
      </c>
      <c r="AH59" s="75" t="str">
        <f t="shared" si="140"/>
        <v>березень</v>
      </c>
      <c r="AI59" s="75" t="str">
        <f t="shared" si="140"/>
        <v>квітень</v>
      </c>
      <c r="AJ59" s="75" t="str">
        <f t="shared" si="140"/>
        <v>травень</v>
      </c>
      <c r="AK59" s="75" t="str">
        <f t="shared" si="140"/>
        <v>червень</v>
      </c>
      <c r="AL59" s="75" t="str">
        <f t="shared" si="140"/>
        <v>липень</v>
      </c>
      <c r="AM59" s="75" t="str">
        <f t="shared" si="140"/>
        <v>серпень</v>
      </c>
      <c r="AN59" s="75" t="str">
        <f t="shared" si="140"/>
        <v>вересень</v>
      </c>
      <c r="AO59" s="75" t="str">
        <f t="shared" si="140"/>
        <v>жовтень</v>
      </c>
      <c r="AP59" s="75" t="str">
        <f t="shared" si="140"/>
        <v>листопад</v>
      </c>
      <c r="AQ59" s="75" t="str">
        <f t="shared" si="140"/>
        <v>грудень</v>
      </c>
      <c r="AR59" s="100" t="str">
        <f>AR39</f>
        <v>Разом за 3-й рік</v>
      </c>
      <c r="AS59" s="100" t="str">
        <f>AS39</f>
        <v>Середньомісячно за 3-й рік</v>
      </c>
      <c r="AT59" s="197" t="str">
        <f>AT39</f>
        <v>Разом за три роки</v>
      </c>
    </row>
    <row r="60" spans="1:47" s="78" customFormat="1" ht="10.8" thickTop="1" x14ac:dyDescent="0.35">
      <c r="A60" s="116" t="s">
        <v>79</v>
      </c>
      <c r="B60" s="85" t="str">
        <f>CHOOSE('Вхідні дані'!$R$2,'Вхідні дані'!$S$2,'Вхідні дані'!$S$3,'Вхідні дані'!$S$4,'Вхідні дані'!$S$5)</f>
        <v>UAH</v>
      </c>
      <c r="C60" s="117">
        <f t="shared" ref="C60:O60" si="141">C18</f>
        <v>0</v>
      </c>
      <c r="D60" s="117">
        <f t="shared" si="141"/>
        <v>1188000</v>
      </c>
      <c r="E60" s="117">
        <f t="shared" si="141"/>
        <v>1485000</v>
      </c>
      <c r="F60" s="117">
        <f t="shared" si="141"/>
        <v>1485000</v>
      </c>
      <c r="G60" s="117">
        <f t="shared" si="141"/>
        <v>1485000</v>
      </c>
      <c r="H60" s="117">
        <f t="shared" si="141"/>
        <v>1485000</v>
      </c>
      <c r="I60" s="117">
        <f t="shared" si="141"/>
        <v>1485000</v>
      </c>
      <c r="J60" s="117">
        <f t="shared" si="141"/>
        <v>1485000</v>
      </c>
      <c r="K60" s="117">
        <f t="shared" si="141"/>
        <v>1485000</v>
      </c>
      <c r="L60" s="117">
        <f t="shared" si="141"/>
        <v>1485000</v>
      </c>
      <c r="M60" s="117">
        <f t="shared" si="141"/>
        <v>1485000</v>
      </c>
      <c r="N60" s="117">
        <f t="shared" si="141"/>
        <v>1485000</v>
      </c>
      <c r="O60" s="117">
        <f t="shared" si="141"/>
        <v>1485000</v>
      </c>
      <c r="P60" s="118">
        <f>SUM(C60:O60)</f>
        <v>17523000</v>
      </c>
      <c r="Q60" s="118">
        <f t="shared" ref="Q60:Q66" si="142">P60/12</f>
        <v>1460250</v>
      </c>
      <c r="R60" s="117">
        <f t="shared" ref="R60:AC60" si="143">R18</f>
        <v>1485000</v>
      </c>
      <c r="S60" s="117">
        <f t="shared" si="143"/>
        <v>1485000</v>
      </c>
      <c r="T60" s="117">
        <f t="shared" si="143"/>
        <v>1485000</v>
      </c>
      <c r="U60" s="117">
        <f t="shared" si="143"/>
        <v>1485000</v>
      </c>
      <c r="V60" s="117">
        <f t="shared" si="143"/>
        <v>1485000</v>
      </c>
      <c r="W60" s="117">
        <f t="shared" si="143"/>
        <v>1485000</v>
      </c>
      <c r="X60" s="117">
        <f t="shared" si="143"/>
        <v>1485000</v>
      </c>
      <c r="Y60" s="117">
        <f t="shared" si="143"/>
        <v>1485000</v>
      </c>
      <c r="Z60" s="117">
        <f t="shared" si="143"/>
        <v>1485000</v>
      </c>
      <c r="AA60" s="117">
        <f t="shared" si="143"/>
        <v>1485000</v>
      </c>
      <c r="AB60" s="117">
        <f t="shared" si="143"/>
        <v>1485000</v>
      </c>
      <c r="AC60" s="117">
        <f t="shared" si="143"/>
        <v>1485000</v>
      </c>
      <c r="AD60" s="118">
        <f t="shared" ref="AD60:AD66" si="144">SUM(R60:AC60)</f>
        <v>17820000</v>
      </c>
      <c r="AE60" s="118">
        <f t="shared" ref="AE60:AE66" si="145">AD60/12</f>
        <v>1485000</v>
      </c>
      <c r="AF60" s="117">
        <f t="shared" ref="AF60:AQ60" si="146">AF18</f>
        <v>1485000</v>
      </c>
      <c r="AG60" s="117">
        <f t="shared" si="146"/>
        <v>1485000</v>
      </c>
      <c r="AH60" s="117">
        <f t="shared" si="146"/>
        <v>1485000</v>
      </c>
      <c r="AI60" s="117">
        <f t="shared" si="146"/>
        <v>1485000</v>
      </c>
      <c r="AJ60" s="117">
        <f t="shared" si="146"/>
        <v>1485000</v>
      </c>
      <c r="AK60" s="117">
        <f t="shared" si="146"/>
        <v>1485000</v>
      </c>
      <c r="AL60" s="117">
        <f t="shared" si="146"/>
        <v>1485000</v>
      </c>
      <c r="AM60" s="117">
        <f t="shared" si="146"/>
        <v>1485000</v>
      </c>
      <c r="AN60" s="117">
        <f t="shared" si="146"/>
        <v>1485000</v>
      </c>
      <c r="AO60" s="117">
        <f t="shared" si="146"/>
        <v>1485000</v>
      </c>
      <c r="AP60" s="117">
        <f t="shared" si="146"/>
        <v>1485000</v>
      </c>
      <c r="AQ60" s="117">
        <f t="shared" si="146"/>
        <v>1485000</v>
      </c>
      <c r="AR60" s="118">
        <f t="shared" ref="AR60:AR66" si="147">SUM(AF60:AQ60)</f>
        <v>17820000</v>
      </c>
      <c r="AS60" s="118">
        <f t="shared" ref="AS60:AS66" si="148">AR60/12</f>
        <v>1485000</v>
      </c>
      <c r="AT60" s="119">
        <f t="shared" ref="AT60:AT65" si="149">P60+AD60+AR60</f>
        <v>53163000</v>
      </c>
    </row>
    <row r="61" spans="1:47" s="78" customFormat="1" ht="10.5" x14ac:dyDescent="0.35">
      <c r="A61" s="120" t="str">
        <f>"- Собівартість"</f>
        <v>- Собівартість</v>
      </c>
      <c r="B61" s="85" t="str">
        <f>CHOOSE('Вхідні дані'!$R$2,'Вхідні дані'!$S$2,'Вхідні дані'!$S$3,'Вхідні дані'!$S$4,'Вхідні дані'!$S$5)</f>
        <v>UAH</v>
      </c>
      <c r="C61" s="117">
        <f t="shared" ref="C61:O61" si="150">C22</f>
        <v>0</v>
      </c>
      <c r="D61" s="117">
        <f t="shared" si="150"/>
        <v>594000</v>
      </c>
      <c r="E61" s="117">
        <f t="shared" si="150"/>
        <v>742500</v>
      </c>
      <c r="F61" s="117">
        <f t="shared" si="150"/>
        <v>742500</v>
      </c>
      <c r="G61" s="117">
        <f t="shared" si="150"/>
        <v>742500</v>
      </c>
      <c r="H61" s="117">
        <f t="shared" si="150"/>
        <v>742500</v>
      </c>
      <c r="I61" s="117">
        <f t="shared" si="150"/>
        <v>742500</v>
      </c>
      <c r="J61" s="117">
        <f t="shared" si="150"/>
        <v>742500</v>
      </c>
      <c r="K61" s="117">
        <f t="shared" si="150"/>
        <v>742500</v>
      </c>
      <c r="L61" s="117">
        <f t="shared" si="150"/>
        <v>742500</v>
      </c>
      <c r="M61" s="117">
        <f t="shared" si="150"/>
        <v>742500</v>
      </c>
      <c r="N61" s="117">
        <f t="shared" si="150"/>
        <v>742500</v>
      </c>
      <c r="O61" s="117">
        <f t="shared" si="150"/>
        <v>742500</v>
      </c>
      <c r="P61" s="118">
        <f t="shared" ref="P61:P66" si="151">SUM(C61:O61)</f>
        <v>8761500</v>
      </c>
      <c r="Q61" s="118">
        <f t="shared" si="142"/>
        <v>730125</v>
      </c>
      <c r="R61" s="117">
        <f t="shared" ref="R61:AC61" si="152">R22</f>
        <v>742500</v>
      </c>
      <c r="S61" s="117">
        <f t="shared" si="152"/>
        <v>742500</v>
      </c>
      <c r="T61" s="117">
        <f t="shared" si="152"/>
        <v>742500</v>
      </c>
      <c r="U61" s="117">
        <f t="shared" si="152"/>
        <v>742500</v>
      </c>
      <c r="V61" s="117">
        <f t="shared" si="152"/>
        <v>742500</v>
      </c>
      <c r="W61" s="117">
        <f t="shared" si="152"/>
        <v>742500</v>
      </c>
      <c r="X61" s="117">
        <f t="shared" si="152"/>
        <v>742500</v>
      </c>
      <c r="Y61" s="117">
        <f t="shared" si="152"/>
        <v>742500</v>
      </c>
      <c r="Z61" s="117">
        <f t="shared" si="152"/>
        <v>742500</v>
      </c>
      <c r="AA61" s="117">
        <f t="shared" si="152"/>
        <v>742500</v>
      </c>
      <c r="AB61" s="117">
        <f t="shared" si="152"/>
        <v>742500</v>
      </c>
      <c r="AC61" s="117">
        <f t="shared" si="152"/>
        <v>742500</v>
      </c>
      <c r="AD61" s="118">
        <f t="shared" si="144"/>
        <v>8910000</v>
      </c>
      <c r="AE61" s="118">
        <f t="shared" si="145"/>
        <v>742500</v>
      </c>
      <c r="AF61" s="117">
        <f t="shared" ref="AF61:AQ61" si="153">AF22</f>
        <v>742500</v>
      </c>
      <c r="AG61" s="117">
        <f t="shared" si="153"/>
        <v>742500</v>
      </c>
      <c r="AH61" s="117">
        <f t="shared" si="153"/>
        <v>742500</v>
      </c>
      <c r="AI61" s="117">
        <f t="shared" si="153"/>
        <v>742500</v>
      </c>
      <c r="AJ61" s="117">
        <f t="shared" si="153"/>
        <v>742500</v>
      </c>
      <c r="AK61" s="117">
        <f t="shared" si="153"/>
        <v>742500</v>
      </c>
      <c r="AL61" s="117">
        <f t="shared" si="153"/>
        <v>742500</v>
      </c>
      <c r="AM61" s="117">
        <f t="shared" si="153"/>
        <v>742500</v>
      </c>
      <c r="AN61" s="117">
        <f t="shared" si="153"/>
        <v>742500</v>
      </c>
      <c r="AO61" s="117">
        <f t="shared" si="153"/>
        <v>742500</v>
      </c>
      <c r="AP61" s="117">
        <f t="shared" si="153"/>
        <v>742500</v>
      </c>
      <c r="AQ61" s="117">
        <f t="shared" si="153"/>
        <v>742500</v>
      </c>
      <c r="AR61" s="118">
        <f t="shared" si="147"/>
        <v>8910000</v>
      </c>
      <c r="AS61" s="118">
        <f t="shared" si="148"/>
        <v>742500</v>
      </c>
      <c r="AT61" s="119">
        <f t="shared" si="149"/>
        <v>26581500</v>
      </c>
    </row>
    <row r="62" spans="1:47" s="78" customFormat="1" ht="10.5" x14ac:dyDescent="0.35">
      <c r="A62" s="116" t="s">
        <v>80</v>
      </c>
      <c r="B62" s="85" t="str">
        <f>CHOOSE('Вхідні дані'!$R$2,'Вхідні дані'!$S$2,'Вхідні дані'!$S$3,'Вхідні дані'!$S$4,'Вхідні дані'!$S$5)</f>
        <v>UAH</v>
      </c>
      <c r="C62" s="117">
        <f>C60-C61</f>
        <v>0</v>
      </c>
      <c r="D62" s="117">
        <f>D60-D61</f>
        <v>594000</v>
      </c>
      <c r="E62" s="117">
        <f t="shared" ref="E62:O62" si="154">E60-E61</f>
        <v>742500</v>
      </c>
      <c r="F62" s="117">
        <f t="shared" si="154"/>
        <v>742500</v>
      </c>
      <c r="G62" s="117">
        <f t="shared" si="154"/>
        <v>742500</v>
      </c>
      <c r="H62" s="117">
        <f t="shared" si="154"/>
        <v>742500</v>
      </c>
      <c r="I62" s="117">
        <f t="shared" si="154"/>
        <v>742500</v>
      </c>
      <c r="J62" s="117">
        <f t="shared" si="154"/>
        <v>742500</v>
      </c>
      <c r="K62" s="117">
        <f t="shared" si="154"/>
        <v>742500</v>
      </c>
      <c r="L62" s="117">
        <f t="shared" si="154"/>
        <v>742500</v>
      </c>
      <c r="M62" s="117">
        <f t="shared" si="154"/>
        <v>742500</v>
      </c>
      <c r="N62" s="117">
        <f t="shared" si="154"/>
        <v>742500</v>
      </c>
      <c r="O62" s="117">
        <f t="shared" si="154"/>
        <v>742500</v>
      </c>
      <c r="P62" s="118">
        <f t="shared" si="151"/>
        <v>8761500</v>
      </c>
      <c r="Q62" s="118">
        <f t="shared" si="142"/>
        <v>730125</v>
      </c>
      <c r="R62" s="117">
        <f>R60-R61</f>
        <v>742500</v>
      </c>
      <c r="S62" s="117">
        <f t="shared" ref="S62:AC62" si="155">S60-S61</f>
        <v>742500</v>
      </c>
      <c r="T62" s="117">
        <f t="shared" si="155"/>
        <v>742500</v>
      </c>
      <c r="U62" s="117">
        <f t="shared" si="155"/>
        <v>742500</v>
      </c>
      <c r="V62" s="117">
        <f t="shared" si="155"/>
        <v>742500</v>
      </c>
      <c r="W62" s="117">
        <f t="shared" si="155"/>
        <v>742500</v>
      </c>
      <c r="X62" s="117">
        <f t="shared" si="155"/>
        <v>742500</v>
      </c>
      <c r="Y62" s="117">
        <f t="shared" si="155"/>
        <v>742500</v>
      </c>
      <c r="Z62" s="117">
        <f t="shared" si="155"/>
        <v>742500</v>
      </c>
      <c r="AA62" s="117">
        <f t="shared" si="155"/>
        <v>742500</v>
      </c>
      <c r="AB62" s="117">
        <f t="shared" si="155"/>
        <v>742500</v>
      </c>
      <c r="AC62" s="117">
        <f t="shared" si="155"/>
        <v>742500</v>
      </c>
      <c r="AD62" s="118">
        <f t="shared" si="144"/>
        <v>8910000</v>
      </c>
      <c r="AE62" s="118">
        <f t="shared" si="145"/>
        <v>742500</v>
      </c>
      <c r="AF62" s="117">
        <f>AF60-AF61</f>
        <v>742500</v>
      </c>
      <c r="AG62" s="117">
        <f t="shared" ref="AG62:AQ62" si="156">AG60-AG61</f>
        <v>742500</v>
      </c>
      <c r="AH62" s="117">
        <f t="shared" si="156"/>
        <v>742500</v>
      </c>
      <c r="AI62" s="117">
        <f t="shared" si="156"/>
        <v>742500</v>
      </c>
      <c r="AJ62" s="117">
        <f t="shared" si="156"/>
        <v>742500</v>
      </c>
      <c r="AK62" s="117">
        <f t="shared" si="156"/>
        <v>742500</v>
      </c>
      <c r="AL62" s="117">
        <f t="shared" si="156"/>
        <v>742500</v>
      </c>
      <c r="AM62" s="117">
        <f t="shared" si="156"/>
        <v>742500</v>
      </c>
      <c r="AN62" s="117">
        <f t="shared" si="156"/>
        <v>742500</v>
      </c>
      <c r="AO62" s="117">
        <f t="shared" si="156"/>
        <v>742500</v>
      </c>
      <c r="AP62" s="117">
        <f t="shared" si="156"/>
        <v>742500</v>
      </c>
      <c r="AQ62" s="117">
        <f t="shared" si="156"/>
        <v>742500</v>
      </c>
      <c r="AR62" s="118">
        <f t="shared" si="147"/>
        <v>8910000</v>
      </c>
      <c r="AS62" s="118">
        <f t="shared" si="148"/>
        <v>742500</v>
      </c>
      <c r="AT62" s="119">
        <f t="shared" si="149"/>
        <v>26581500</v>
      </c>
    </row>
    <row r="63" spans="1:47" s="124" customFormat="1" ht="10.5" x14ac:dyDescent="0.35">
      <c r="A63" s="121" t="str">
        <f>"- Інвестиції"</f>
        <v>- Інвестиції</v>
      </c>
      <c r="B63" s="122" t="str">
        <f>CHOOSE('Вхідні дані'!$R$2,'Вхідні дані'!$S$2,'Вхідні дані'!$S$3,'Вхідні дані'!$S$4,'Вхідні дані'!$S$5)</f>
        <v>UAH</v>
      </c>
      <c r="C63" s="123">
        <f t="shared" ref="C63:O63" si="157">C35</f>
        <v>817000</v>
      </c>
      <c r="D63" s="123">
        <f t="shared" si="157"/>
        <v>0</v>
      </c>
      <c r="E63" s="123">
        <f t="shared" si="157"/>
        <v>0</v>
      </c>
      <c r="F63" s="123">
        <f t="shared" si="157"/>
        <v>0</v>
      </c>
      <c r="G63" s="123">
        <f t="shared" si="157"/>
        <v>0</v>
      </c>
      <c r="H63" s="123">
        <f t="shared" si="157"/>
        <v>0</v>
      </c>
      <c r="I63" s="123">
        <f t="shared" si="157"/>
        <v>0</v>
      </c>
      <c r="J63" s="123">
        <f t="shared" si="157"/>
        <v>0</v>
      </c>
      <c r="K63" s="123">
        <f t="shared" si="157"/>
        <v>0</v>
      </c>
      <c r="L63" s="123">
        <f t="shared" si="157"/>
        <v>0</v>
      </c>
      <c r="M63" s="123">
        <f t="shared" si="157"/>
        <v>0</v>
      </c>
      <c r="N63" s="123">
        <f t="shared" si="157"/>
        <v>0</v>
      </c>
      <c r="O63" s="123">
        <f t="shared" si="157"/>
        <v>0</v>
      </c>
      <c r="P63" s="118">
        <f t="shared" si="151"/>
        <v>817000</v>
      </c>
      <c r="Q63" s="118"/>
      <c r="R63" s="123">
        <f t="shared" ref="R63:AC63" si="158">R35</f>
        <v>0</v>
      </c>
      <c r="S63" s="123">
        <f t="shared" si="158"/>
        <v>0</v>
      </c>
      <c r="T63" s="123">
        <f t="shared" si="158"/>
        <v>0</v>
      </c>
      <c r="U63" s="123">
        <f t="shared" si="158"/>
        <v>0</v>
      </c>
      <c r="V63" s="123">
        <f t="shared" si="158"/>
        <v>0</v>
      </c>
      <c r="W63" s="123">
        <f t="shared" si="158"/>
        <v>0</v>
      </c>
      <c r="X63" s="123">
        <f t="shared" si="158"/>
        <v>0</v>
      </c>
      <c r="Y63" s="123">
        <f t="shared" si="158"/>
        <v>0</v>
      </c>
      <c r="Z63" s="123">
        <f t="shared" si="158"/>
        <v>0</v>
      </c>
      <c r="AA63" s="123">
        <f t="shared" si="158"/>
        <v>0</v>
      </c>
      <c r="AB63" s="123">
        <f t="shared" si="158"/>
        <v>0</v>
      </c>
      <c r="AC63" s="123">
        <f t="shared" si="158"/>
        <v>0</v>
      </c>
      <c r="AD63" s="118">
        <f t="shared" si="144"/>
        <v>0</v>
      </c>
      <c r="AE63" s="118"/>
      <c r="AF63" s="123">
        <f t="shared" ref="AF63:AQ63" si="159">AF35</f>
        <v>0</v>
      </c>
      <c r="AG63" s="123">
        <f t="shared" si="159"/>
        <v>0</v>
      </c>
      <c r="AH63" s="123">
        <f t="shared" si="159"/>
        <v>0</v>
      </c>
      <c r="AI63" s="123">
        <f t="shared" si="159"/>
        <v>0</v>
      </c>
      <c r="AJ63" s="123">
        <f t="shared" si="159"/>
        <v>0</v>
      </c>
      <c r="AK63" s="123">
        <f t="shared" si="159"/>
        <v>0</v>
      </c>
      <c r="AL63" s="123">
        <f t="shared" si="159"/>
        <v>0</v>
      </c>
      <c r="AM63" s="123">
        <f t="shared" si="159"/>
        <v>0</v>
      </c>
      <c r="AN63" s="123">
        <f t="shared" si="159"/>
        <v>0</v>
      </c>
      <c r="AO63" s="123">
        <f t="shared" si="159"/>
        <v>0</v>
      </c>
      <c r="AP63" s="123">
        <f t="shared" si="159"/>
        <v>0</v>
      </c>
      <c r="AQ63" s="123">
        <f t="shared" si="159"/>
        <v>0</v>
      </c>
      <c r="AR63" s="118">
        <f t="shared" si="147"/>
        <v>0</v>
      </c>
      <c r="AS63" s="118"/>
      <c r="AT63" s="119">
        <f t="shared" si="149"/>
        <v>817000</v>
      </c>
    </row>
    <row r="64" spans="1:47" s="78" customFormat="1" ht="10.5" x14ac:dyDescent="0.35">
      <c r="A64" s="120" t="str">
        <f>"- Поточні витрати"</f>
        <v>- Поточні витрати</v>
      </c>
      <c r="B64" s="85" t="str">
        <f>CHOOSE('Вхідні дані'!$R$2,'Вхідні дані'!$S$2,'Вхідні дані'!$S$3,'Вхідні дані'!$S$4,'Вхідні дані'!$S$5)</f>
        <v>UAH</v>
      </c>
      <c r="C64" s="117">
        <f>C57</f>
        <v>0</v>
      </c>
      <c r="D64" s="117">
        <f>D57</f>
        <v>59827.083333333336</v>
      </c>
      <c r="E64" s="117">
        <f t="shared" ref="E64:O64" si="160">E57</f>
        <v>59827.083333333336</v>
      </c>
      <c r="F64" s="117">
        <f t="shared" si="160"/>
        <v>59827.083333333336</v>
      </c>
      <c r="G64" s="117">
        <f t="shared" si="160"/>
        <v>59827.083333333336</v>
      </c>
      <c r="H64" s="117">
        <f t="shared" si="160"/>
        <v>59827.083333333336</v>
      </c>
      <c r="I64" s="117">
        <f t="shared" si="160"/>
        <v>59827.083333333336</v>
      </c>
      <c r="J64" s="117">
        <f t="shared" si="160"/>
        <v>59827.083333333336</v>
      </c>
      <c r="K64" s="117">
        <f t="shared" si="160"/>
        <v>59827.083333333336</v>
      </c>
      <c r="L64" s="117">
        <f t="shared" si="160"/>
        <v>59827.083333333336</v>
      </c>
      <c r="M64" s="117">
        <f t="shared" si="160"/>
        <v>59827.083333333336</v>
      </c>
      <c r="N64" s="117">
        <f t="shared" si="160"/>
        <v>59827.083333333336</v>
      </c>
      <c r="O64" s="117">
        <f t="shared" si="160"/>
        <v>59827.083333333336</v>
      </c>
      <c r="P64" s="118">
        <f t="shared" si="151"/>
        <v>717925.00000000012</v>
      </c>
      <c r="Q64" s="118">
        <f t="shared" si="142"/>
        <v>59827.083333333343</v>
      </c>
      <c r="R64" s="117">
        <f>R57</f>
        <v>62927.083333333336</v>
      </c>
      <c r="S64" s="117">
        <f t="shared" ref="S64:AC64" si="161">S57</f>
        <v>62927.083333333336</v>
      </c>
      <c r="T64" s="117">
        <f t="shared" si="161"/>
        <v>62927.083333333336</v>
      </c>
      <c r="U64" s="117">
        <f t="shared" si="161"/>
        <v>62927.083333333336</v>
      </c>
      <c r="V64" s="117">
        <f t="shared" si="161"/>
        <v>62927.083333333336</v>
      </c>
      <c r="W64" s="117">
        <f t="shared" si="161"/>
        <v>62927.083333333336</v>
      </c>
      <c r="X64" s="117">
        <f t="shared" si="161"/>
        <v>62927.083333333336</v>
      </c>
      <c r="Y64" s="117">
        <f t="shared" si="161"/>
        <v>62927.083333333336</v>
      </c>
      <c r="Z64" s="117">
        <f t="shared" si="161"/>
        <v>62927.083333333336</v>
      </c>
      <c r="AA64" s="117">
        <f t="shared" si="161"/>
        <v>62927.083333333336</v>
      </c>
      <c r="AB64" s="117">
        <f t="shared" si="161"/>
        <v>62927.083333333336</v>
      </c>
      <c r="AC64" s="117">
        <f t="shared" si="161"/>
        <v>62927.083333333336</v>
      </c>
      <c r="AD64" s="118">
        <f t="shared" si="144"/>
        <v>755125.00000000012</v>
      </c>
      <c r="AE64" s="118">
        <f t="shared" si="145"/>
        <v>62927.083333333343</v>
      </c>
      <c r="AF64" s="117">
        <f>AF57</f>
        <v>66027.083333333328</v>
      </c>
      <c r="AG64" s="117">
        <f t="shared" ref="AG64:AQ64" si="162">AG57</f>
        <v>66027.083333333328</v>
      </c>
      <c r="AH64" s="117">
        <f t="shared" si="162"/>
        <v>66027.083333333328</v>
      </c>
      <c r="AI64" s="117">
        <f t="shared" si="162"/>
        <v>66027.083333333328</v>
      </c>
      <c r="AJ64" s="117">
        <f t="shared" si="162"/>
        <v>66027.083333333328</v>
      </c>
      <c r="AK64" s="117">
        <f t="shared" si="162"/>
        <v>66027.083333333328</v>
      </c>
      <c r="AL64" s="117">
        <f t="shared" si="162"/>
        <v>66027.083333333328</v>
      </c>
      <c r="AM64" s="117">
        <f t="shared" si="162"/>
        <v>66027.083333333328</v>
      </c>
      <c r="AN64" s="117">
        <f t="shared" si="162"/>
        <v>66027.083333333328</v>
      </c>
      <c r="AO64" s="117">
        <f t="shared" si="162"/>
        <v>66027.083333333328</v>
      </c>
      <c r="AP64" s="117">
        <f t="shared" si="162"/>
        <v>66027.083333333328</v>
      </c>
      <c r="AQ64" s="117">
        <f t="shared" si="162"/>
        <v>66027.083333333328</v>
      </c>
      <c r="AR64" s="118">
        <f t="shared" si="147"/>
        <v>792325.00000000012</v>
      </c>
      <c r="AS64" s="118">
        <f t="shared" si="148"/>
        <v>66027.083333333343</v>
      </c>
      <c r="AT64" s="119">
        <f t="shared" si="149"/>
        <v>2265375.0000000005</v>
      </c>
    </row>
    <row r="65" spans="1:46" s="78" customFormat="1" ht="10.5" x14ac:dyDescent="0.35">
      <c r="A65" s="125" t="s">
        <v>108</v>
      </c>
      <c r="B65" s="85" t="str">
        <f>CHOOSE('Вхідні дані'!$R$2,'Вхідні дані'!$S$2,'Вхідні дані'!$S$3,'Вхідні дані'!$S$4,'Вхідні дані'!$S$5)</f>
        <v>UAH</v>
      </c>
      <c r="C65" s="117">
        <f>C62-C63-C64</f>
        <v>-817000</v>
      </c>
      <c r="D65" s="117">
        <f>D62-D63-D64</f>
        <v>534172.91666666663</v>
      </c>
      <c r="E65" s="117">
        <f>E62-E63-E64</f>
        <v>682672.91666666663</v>
      </c>
      <c r="F65" s="117">
        <f t="shared" ref="F65:O65" si="163">F62-F63-F64</f>
        <v>682672.91666666663</v>
      </c>
      <c r="G65" s="117">
        <f t="shared" si="163"/>
        <v>682672.91666666663</v>
      </c>
      <c r="H65" s="117">
        <f t="shared" si="163"/>
        <v>682672.91666666663</v>
      </c>
      <c r="I65" s="117">
        <f t="shared" si="163"/>
        <v>682672.91666666663</v>
      </c>
      <c r="J65" s="117">
        <f t="shared" si="163"/>
        <v>682672.91666666663</v>
      </c>
      <c r="K65" s="117">
        <f t="shared" si="163"/>
        <v>682672.91666666663</v>
      </c>
      <c r="L65" s="117">
        <f t="shared" si="163"/>
        <v>682672.91666666663</v>
      </c>
      <c r="M65" s="117">
        <f t="shared" si="163"/>
        <v>682672.91666666663</v>
      </c>
      <c r="N65" s="117">
        <f t="shared" si="163"/>
        <v>682672.91666666663</v>
      </c>
      <c r="O65" s="117">
        <f t="shared" si="163"/>
        <v>682672.91666666663</v>
      </c>
      <c r="P65" s="118">
        <f t="shared" si="151"/>
        <v>7226575.0000000009</v>
      </c>
      <c r="Q65" s="118">
        <f t="shared" si="142"/>
        <v>602214.58333333337</v>
      </c>
      <c r="R65" s="117">
        <f>R62-R63-R64</f>
        <v>679572.91666666663</v>
      </c>
      <c r="S65" s="117">
        <f>S62-S63-S64</f>
        <v>679572.91666666663</v>
      </c>
      <c r="T65" s="117">
        <f t="shared" ref="T65:AC65" si="164">T62-T63-T64</f>
        <v>679572.91666666663</v>
      </c>
      <c r="U65" s="117">
        <f t="shared" si="164"/>
        <v>679572.91666666663</v>
      </c>
      <c r="V65" s="117">
        <f t="shared" si="164"/>
        <v>679572.91666666663</v>
      </c>
      <c r="W65" s="117">
        <f t="shared" si="164"/>
        <v>679572.91666666663</v>
      </c>
      <c r="X65" s="117">
        <f t="shared" si="164"/>
        <v>679572.91666666663</v>
      </c>
      <c r="Y65" s="117">
        <f t="shared" si="164"/>
        <v>679572.91666666663</v>
      </c>
      <c r="Z65" s="117">
        <f t="shared" si="164"/>
        <v>679572.91666666663</v>
      </c>
      <c r="AA65" s="117">
        <f t="shared" si="164"/>
        <v>679572.91666666663</v>
      </c>
      <c r="AB65" s="117">
        <f t="shared" si="164"/>
        <v>679572.91666666663</v>
      </c>
      <c r="AC65" s="117">
        <f t="shared" si="164"/>
        <v>679572.91666666663</v>
      </c>
      <c r="AD65" s="118">
        <f t="shared" si="144"/>
        <v>8154875.0000000009</v>
      </c>
      <c r="AE65" s="118">
        <f t="shared" si="145"/>
        <v>679572.91666666674</v>
      </c>
      <c r="AF65" s="117">
        <f>AF62-AF63-AF64</f>
        <v>676472.91666666663</v>
      </c>
      <c r="AG65" s="117">
        <f>AG62-AG63-AG64</f>
        <v>676472.91666666663</v>
      </c>
      <c r="AH65" s="117">
        <f t="shared" ref="AH65:AQ65" si="165">AH62-AH63-AH64</f>
        <v>676472.91666666663</v>
      </c>
      <c r="AI65" s="117">
        <f t="shared" si="165"/>
        <v>676472.91666666663</v>
      </c>
      <c r="AJ65" s="117">
        <f t="shared" si="165"/>
        <v>676472.91666666663</v>
      </c>
      <c r="AK65" s="117">
        <f t="shared" si="165"/>
        <v>676472.91666666663</v>
      </c>
      <c r="AL65" s="117">
        <f t="shared" si="165"/>
        <v>676472.91666666663</v>
      </c>
      <c r="AM65" s="117">
        <f t="shared" si="165"/>
        <v>676472.91666666663</v>
      </c>
      <c r="AN65" s="117">
        <f t="shared" si="165"/>
        <v>676472.91666666663</v>
      </c>
      <c r="AO65" s="117">
        <f t="shared" si="165"/>
        <v>676472.91666666663</v>
      </c>
      <c r="AP65" s="117">
        <f t="shared" si="165"/>
        <v>676472.91666666663</v>
      </c>
      <c r="AQ65" s="117">
        <f t="shared" si="165"/>
        <v>676472.91666666663</v>
      </c>
      <c r="AR65" s="118">
        <f t="shared" si="147"/>
        <v>8117675.0000000009</v>
      </c>
      <c r="AS65" s="118">
        <f t="shared" si="148"/>
        <v>676472.91666666674</v>
      </c>
      <c r="AT65" s="119">
        <f t="shared" si="149"/>
        <v>23499125.000000004</v>
      </c>
    </row>
    <row r="66" spans="1:46" s="78" customFormat="1" ht="10.5" x14ac:dyDescent="0.35">
      <c r="A66" s="126" t="s">
        <v>109</v>
      </c>
      <c r="B66" s="85" t="str">
        <f>CHOOSE('Вхідні дані'!$R$2,'Вхідні дані'!$S$2,'Вхідні дані'!$S$3,'Вхідні дані'!$S$4,'Вхідні дані'!$S$5)</f>
        <v>UAH</v>
      </c>
      <c r="C66" s="117">
        <f t="shared" ref="C66:O66" si="166">C62-C64</f>
        <v>0</v>
      </c>
      <c r="D66" s="117">
        <f t="shared" si="166"/>
        <v>534172.91666666663</v>
      </c>
      <c r="E66" s="117">
        <f t="shared" si="166"/>
        <v>682672.91666666663</v>
      </c>
      <c r="F66" s="117">
        <f t="shared" si="166"/>
        <v>682672.91666666663</v>
      </c>
      <c r="G66" s="117">
        <f t="shared" si="166"/>
        <v>682672.91666666663</v>
      </c>
      <c r="H66" s="117">
        <f t="shared" si="166"/>
        <v>682672.91666666663</v>
      </c>
      <c r="I66" s="117">
        <f t="shared" si="166"/>
        <v>682672.91666666663</v>
      </c>
      <c r="J66" s="117">
        <f t="shared" si="166"/>
        <v>682672.91666666663</v>
      </c>
      <c r="K66" s="117">
        <f t="shared" si="166"/>
        <v>682672.91666666663</v>
      </c>
      <c r="L66" s="117">
        <f t="shared" si="166"/>
        <v>682672.91666666663</v>
      </c>
      <c r="M66" s="117">
        <f t="shared" si="166"/>
        <v>682672.91666666663</v>
      </c>
      <c r="N66" s="117">
        <f t="shared" si="166"/>
        <v>682672.91666666663</v>
      </c>
      <c r="O66" s="117">
        <f t="shared" si="166"/>
        <v>682672.91666666663</v>
      </c>
      <c r="P66" s="118">
        <f t="shared" si="151"/>
        <v>8043575.0000000009</v>
      </c>
      <c r="Q66" s="118">
        <f t="shared" si="142"/>
        <v>670297.91666666674</v>
      </c>
      <c r="R66" s="117">
        <f t="shared" ref="R66:AC66" si="167">R62-R64</f>
        <v>679572.91666666663</v>
      </c>
      <c r="S66" s="117">
        <f t="shared" si="167"/>
        <v>679572.91666666663</v>
      </c>
      <c r="T66" s="117">
        <f t="shared" si="167"/>
        <v>679572.91666666663</v>
      </c>
      <c r="U66" s="117">
        <f t="shared" si="167"/>
        <v>679572.91666666663</v>
      </c>
      <c r="V66" s="117">
        <f t="shared" si="167"/>
        <v>679572.91666666663</v>
      </c>
      <c r="W66" s="117">
        <f t="shared" si="167"/>
        <v>679572.91666666663</v>
      </c>
      <c r="X66" s="117">
        <f t="shared" si="167"/>
        <v>679572.91666666663</v>
      </c>
      <c r="Y66" s="117">
        <f t="shared" si="167"/>
        <v>679572.91666666663</v>
      </c>
      <c r="Z66" s="117">
        <f t="shared" si="167"/>
        <v>679572.91666666663</v>
      </c>
      <c r="AA66" s="117">
        <f t="shared" si="167"/>
        <v>679572.91666666663</v>
      </c>
      <c r="AB66" s="117">
        <f t="shared" si="167"/>
        <v>679572.91666666663</v>
      </c>
      <c r="AC66" s="117">
        <f t="shared" si="167"/>
        <v>679572.91666666663</v>
      </c>
      <c r="AD66" s="118">
        <f t="shared" si="144"/>
        <v>8154875.0000000009</v>
      </c>
      <c r="AE66" s="118">
        <f t="shared" si="145"/>
        <v>679572.91666666674</v>
      </c>
      <c r="AF66" s="117">
        <f t="shared" ref="AF66:AQ66" si="168">AF62-AF64</f>
        <v>676472.91666666663</v>
      </c>
      <c r="AG66" s="117">
        <f t="shared" si="168"/>
        <v>676472.91666666663</v>
      </c>
      <c r="AH66" s="117">
        <f t="shared" si="168"/>
        <v>676472.91666666663</v>
      </c>
      <c r="AI66" s="117">
        <f t="shared" si="168"/>
        <v>676472.91666666663</v>
      </c>
      <c r="AJ66" s="117">
        <f t="shared" si="168"/>
        <v>676472.91666666663</v>
      </c>
      <c r="AK66" s="117">
        <f t="shared" si="168"/>
        <v>676472.91666666663</v>
      </c>
      <c r="AL66" s="117">
        <f t="shared" si="168"/>
        <v>676472.91666666663</v>
      </c>
      <c r="AM66" s="117">
        <f t="shared" si="168"/>
        <v>676472.91666666663</v>
      </c>
      <c r="AN66" s="117">
        <f t="shared" si="168"/>
        <v>676472.91666666663</v>
      </c>
      <c r="AO66" s="117">
        <f t="shared" si="168"/>
        <v>676472.91666666663</v>
      </c>
      <c r="AP66" s="117">
        <f t="shared" si="168"/>
        <v>676472.91666666663</v>
      </c>
      <c r="AQ66" s="117">
        <f t="shared" si="168"/>
        <v>676472.91666666663</v>
      </c>
      <c r="AR66" s="118">
        <f t="shared" si="147"/>
        <v>8117675.0000000009</v>
      </c>
      <c r="AS66" s="118">
        <f t="shared" si="148"/>
        <v>676472.91666666674</v>
      </c>
      <c r="AT66" s="127"/>
    </row>
    <row r="67" spans="1:46" s="78" customFormat="1" ht="10.5" x14ac:dyDescent="0.35">
      <c r="A67" s="128" t="str">
        <f>"- Прибуток (збиток) накопичувальним підсумком"</f>
        <v>- Прибуток (збиток) накопичувальним підсумком</v>
      </c>
      <c r="B67" s="85" t="str">
        <f>CHOOSE('Вхідні дані'!$R$2,'Вхідні дані'!$S$2,'Вхідні дані'!$S$3,'Вхідні дані'!$S$4,'Вхідні дані'!$S$5)</f>
        <v>UAH</v>
      </c>
      <c r="C67" s="226">
        <f>C65+IF(ISNUMBER(B67),B67,0)</f>
        <v>-817000</v>
      </c>
      <c r="D67" s="117">
        <f t="shared" ref="D67:O67" si="169">D65+IF(ISNUMBER(C67),C67,0)</f>
        <v>-282827.08333333337</v>
      </c>
      <c r="E67" s="117">
        <f t="shared" si="169"/>
        <v>399845.83333333326</v>
      </c>
      <c r="F67" s="117">
        <f t="shared" si="169"/>
        <v>1082518.75</v>
      </c>
      <c r="G67" s="117">
        <f t="shared" si="169"/>
        <v>1765191.6666666665</v>
      </c>
      <c r="H67" s="117">
        <f t="shared" si="169"/>
        <v>2447864.583333333</v>
      </c>
      <c r="I67" s="117">
        <f t="shared" si="169"/>
        <v>3130537.4999999995</v>
      </c>
      <c r="J67" s="117">
        <f t="shared" si="169"/>
        <v>3813210.416666666</v>
      </c>
      <c r="K67" s="117">
        <f t="shared" si="169"/>
        <v>4495883.333333333</v>
      </c>
      <c r="L67" s="117">
        <f t="shared" si="169"/>
        <v>5178556.25</v>
      </c>
      <c r="M67" s="117">
        <f t="shared" si="169"/>
        <v>5861229.166666667</v>
      </c>
      <c r="N67" s="117">
        <f t="shared" si="169"/>
        <v>6543902.083333334</v>
      </c>
      <c r="O67" s="117">
        <f t="shared" si="169"/>
        <v>7226575.0000000009</v>
      </c>
      <c r="P67" s="118">
        <f>O67</f>
        <v>7226575.0000000009</v>
      </c>
      <c r="Q67" s="118"/>
      <c r="R67" s="117">
        <f>R65+IF(ISNUMBER(O67),O67,0)</f>
        <v>7906147.9166666679</v>
      </c>
      <c r="S67" s="117">
        <f t="shared" ref="S67:AC67" si="170">S65+IF(ISNUMBER(R67),R67,0)</f>
        <v>8585720.833333334</v>
      </c>
      <c r="T67" s="117">
        <f t="shared" si="170"/>
        <v>9265293.75</v>
      </c>
      <c r="U67" s="117">
        <f t="shared" si="170"/>
        <v>9944866.666666666</v>
      </c>
      <c r="V67" s="117">
        <f t="shared" si="170"/>
        <v>10624439.583333332</v>
      </c>
      <c r="W67" s="117">
        <f t="shared" si="170"/>
        <v>11304012.499999998</v>
      </c>
      <c r="X67" s="117">
        <f t="shared" si="170"/>
        <v>11983585.416666664</v>
      </c>
      <c r="Y67" s="117">
        <f t="shared" si="170"/>
        <v>12663158.33333333</v>
      </c>
      <c r="Z67" s="117">
        <f t="shared" si="170"/>
        <v>13342731.249999996</v>
      </c>
      <c r="AA67" s="117">
        <f t="shared" si="170"/>
        <v>14022304.166666662</v>
      </c>
      <c r="AB67" s="117">
        <f t="shared" si="170"/>
        <v>14701877.083333328</v>
      </c>
      <c r="AC67" s="117">
        <f t="shared" si="170"/>
        <v>15381449.999999994</v>
      </c>
      <c r="AD67" s="118">
        <f>AC67</f>
        <v>15381449.999999994</v>
      </c>
      <c r="AE67" s="118"/>
      <c r="AF67" s="117">
        <f>AF65+IF(ISNUMBER(AC67),AC67,0)</f>
        <v>16057922.91666666</v>
      </c>
      <c r="AG67" s="117">
        <f t="shared" ref="AG67:AQ67" si="171">AG65+IF(ISNUMBER(AF67),AF67,0)</f>
        <v>16734395.833333327</v>
      </c>
      <c r="AH67" s="117">
        <f t="shared" si="171"/>
        <v>17410868.749999993</v>
      </c>
      <c r="AI67" s="117">
        <f t="shared" si="171"/>
        <v>18087341.66666666</v>
      </c>
      <c r="AJ67" s="117">
        <f t="shared" si="171"/>
        <v>18763814.583333328</v>
      </c>
      <c r="AK67" s="117">
        <f t="shared" si="171"/>
        <v>19440287.499999996</v>
      </c>
      <c r="AL67" s="117">
        <f t="shared" si="171"/>
        <v>20116760.416666664</v>
      </c>
      <c r="AM67" s="117">
        <f t="shared" si="171"/>
        <v>20793233.333333332</v>
      </c>
      <c r="AN67" s="117">
        <f t="shared" si="171"/>
        <v>21469706.25</v>
      </c>
      <c r="AO67" s="117">
        <f t="shared" si="171"/>
        <v>22146179.166666668</v>
      </c>
      <c r="AP67" s="117">
        <f t="shared" si="171"/>
        <v>22822652.083333336</v>
      </c>
      <c r="AQ67" s="117">
        <f t="shared" si="171"/>
        <v>23499125.000000004</v>
      </c>
      <c r="AR67" s="118">
        <f>AQ67</f>
        <v>23499125.000000004</v>
      </c>
      <c r="AS67" s="118"/>
      <c r="AT67" s="127"/>
    </row>
    <row r="68" spans="1:46" s="78" customFormat="1" ht="10.8" thickBot="1" x14ac:dyDescent="0.45">
      <c r="P68" s="98"/>
      <c r="Q68" s="98"/>
      <c r="AD68" s="98"/>
      <c r="AE68" s="98"/>
      <c r="AR68" s="98"/>
      <c r="AS68" s="98"/>
    </row>
    <row r="69" spans="1:46" s="78" customFormat="1" ht="21.6" thickTop="1" thickBot="1" x14ac:dyDescent="0.4">
      <c r="A69" s="74" t="s">
        <v>81</v>
      </c>
      <c r="B69" s="75"/>
      <c r="C69" s="75" t="str">
        <f t="shared" ref="C69:O69" si="172">C$5</f>
        <v>Нульовий період</v>
      </c>
      <c r="D69" s="75" t="str">
        <f t="shared" si="172"/>
        <v>січень</v>
      </c>
      <c r="E69" s="75" t="str">
        <f t="shared" si="172"/>
        <v>лютий</v>
      </c>
      <c r="F69" s="75" t="str">
        <f t="shared" si="172"/>
        <v>березень</v>
      </c>
      <c r="G69" s="75" t="str">
        <f t="shared" si="172"/>
        <v>квітень</v>
      </c>
      <c r="H69" s="75" t="str">
        <f t="shared" si="172"/>
        <v>травень</v>
      </c>
      <c r="I69" s="75" t="str">
        <f t="shared" si="172"/>
        <v>червень</v>
      </c>
      <c r="J69" s="75" t="str">
        <f t="shared" si="172"/>
        <v>липень</v>
      </c>
      <c r="K69" s="75" t="str">
        <f t="shared" si="172"/>
        <v>серпень</v>
      </c>
      <c r="L69" s="75" t="str">
        <f t="shared" si="172"/>
        <v>вересень</v>
      </c>
      <c r="M69" s="75" t="str">
        <f t="shared" si="172"/>
        <v>жовтень</v>
      </c>
      <c r="N69" s="75" t="str">
        <f t="shared" si="172"/>
        <v>листопад</v>
      </c>
      <c r="O69" s="75" t="str">
        <f t="shared" si="172"/>
        <v>грудень</v>
      </c>
      <c r="P69" s="100" t="str">
        <f>$P$13</f>
        <v>Разом за 1-й рік</v>
      </c>
      <c r="Q69" s="100" t="str">
        <f>$Q$13</f>
        <v>Середньомісячно за 1-й рік</v>
      </c>
      <c r="R69" s="75" t="str">
        <f t="shared" ref="R69:AC69" si="173">R$5</f>
        <v>січень</v>
      </c>
      <c r="S69" s="75" t="str">
        <f t="shared" si="173"/>
        <v>лютий</v>
      </c>
      <c r="T69" s="75" t="str">
        <f t="shared" si="173"/>
        <v>березень</v>
      </c>
      <c r="U69" s="75" t="str">
        <f t="shared" si="173"/>
        <v>квітень</v>
      </c>
      <c r="V69" s="75" t="str">
        <f t="shared" si="173"/>
        <v>травень</v>
      </c>
      <c r="W69" s="75" t="str">
        <f t="shared" si="173"/>
        <v>червень</v>
      </c>
      <c r="X69" s="75" t="str">
        <f t="shared" si="173"/>
        <v>липень</v>
      </c>
      <c r="Y69" s="75" t="str">
        <f t="shared" si="173"/>
        <v>серпень</v>
      </c>
      <c r="Z69" s="75" t="str">
        <f t="shared" si="173"/>
        <v>вересень</v>
      </c>
      <c r="AA69" s="75" t="str">
        <f t="shared" si="173"/>
        <v>жовтень</v>
      </c>
      <c r="AB69" s="75" t="str">
        <f t="shared" si="173"/>
        <v>листопад</v>
      </c>
      <c r="AC69" s="75" t="str">
        <f t="shared" si="173"/>
        <v>грудень</v>
      </c>
      <c r="AD69" s="100" t="str">
        <f>AD59</f>
        <v>Разом за 2-й рік</v>
      </c>
      <c r="AE69" s="100" t="str">
        <f>AE59</f>
        <v>Середньомісячно за 2-й рік</v>
      </c>
      <c r="AF69" s="75" t="str">
        <f t="shared" ref="AF69:AQ69" si="174">AF$5</f>
        <v>січень</v>
      </c>
      <c r="AG69" s="75" t="str">
        <f t="shared" si="174"/>
        <v>лютий</v>
      </c>
      <c r="AH69" s="75" t="str">
        <f t="shared" si="174"/>
        <v>березень</v>
      </c>
      <c r="AI69" s="75" t="str">
        <f t="shared" si="174"/>
        <v>квітень</v>
      </c>
      <c r="AJ69" s="75" t="str">
        <f t="shared" si="174"/>
        <v>травень</v>
      </c>
      <c r="AK69" s="75" t="str">
        <f t="shared" si="174"/>
        <v>червень</v>
      </c>
      <c r="AL69" s="75" t="str">
        <f t="shared" si="174"/>
        <v>липень</v>
      </c>
      <c r="AM69" s="75" t="str">
        <f t="shared" si="174"/>
        <v>серпень</v>
      </c>
      <c r="AN69" s="75" t="str">
        <f t="shared" si="174"/>
        <v>вересень</v>
      </c>
      <c r="AO69" s="75" t="str">
        <f t="shared" si="174"/>
        <v>жовтень</v>
      </c>
      <c r="AP69" s="75" t="str">
        <f t="shared" si="174"/>
        <v>листопад</v>
      </c>
      <c r="AQ69" s="75" t="str">
        <f t="shared" si="174"/>
        <v>грудень</v>
      </c>
      <c r="AR69" s="100" t="str">
        <f>AR59</f>
        <v>Разом за 3-й рік</v>
      </c>
      <c r="AS69" s="100" t="str">
        <f>AS59</f>
        <v>Середньомісячно за 3-й рік</v>
      </c>
      <c r="AT69" s="197" t="str">
        <f>AT59</f>
        <v>Разом за три роки</v>
      </c>
    </row>
    <row r="70" spans="1:46" s="84" customFormat="1" ht="10.8" thickTop="1" x14ac:dyDescent="0.35">
      <c r="A70" s="129" t="s">
        <v>82</v>
      </c>
      <c r="B70" s="85" t="str">
        <f>CHOOSE('Вхідні дані'!$R$2,'Вхідні дані'!$S$2,'Вхідні дані'!$S$3,'Вхідні дані'!$S$4,'Вхідні дані'!$S$5)</f>
        <v>UAH</v>
      </c>
      <c r="C70" s="86">
        <f t="shared" ref="C70" si="175">C60</f>
        <v>0</v>
      </c>
      <c r="D70" s="86">
        <f t="shared" ref="D70:O70" si="176">D60</f>
        <v>1188000</v>
      </c>
      <c r="E70" s="86">
        <f t="shared" si="176"/>
        <v>1485000</v>
      </c>
      <c r="F70" s="86">
        <f t="shared" si="176"/>
        <v>1485000</v>
      </c>
      <c r="G70" s="86">
        <f t="shared" si="176"/>
        <v>1485000</v>
      </c>
      <c r="H70" s="86">
        <f t="shared" si="176"/>
        <v>1485000</v>
      </c>
      <c r="I70" s="86">
        <f t="shared" si="176"/>
        <v>1485000</v>
      </c>
      <c r="J70" s="86">
        <f t="shared" si="176"/>
        <v>1485000</v>
      </c>
      <c r="K70" s="86">
        <f t="shared" si="176"/>
        <v>1485000</v>
      </c>
      <c r="L70" s="86">
        <f t="shared" si="176"/>
        <v>1485000</v>
      </c>
      <c r="M70" s="86">
        <f t="shared" si="176"/>
        <v>1485000</v>
      </c>
      <c r="N70" s="86">
        <f t="shared" si="176"/>
        <v>1485000</v>
      </c>
      <c r="O70" s="86">
        <f t="shared" si="176"/>
        <v>1485000</v>
      </c>
      <c r="P70" s="87">
        <f>SUM(C70:O70)</f>
        <v>17523000</v>
      </c>
      <c r="Q70" s="87">
        <f>P70/12</f>
        <v>1460250</v>
      </c>
      <c r="R70" s="86">
        <f t="shared" ref="R70:AC70" si="177">R60</f>
        <v>1485000</v>
      </c>
      <c r="S70" s="86">
        <f t="shared" si="177"/>
        <v>1485000</v>
      </c>
      <c r="T70" s="86">
        <f t="shared" si="177"/>
        <v>1485000</v>
      </c>
      <c r="U70" s="86">
        <f t="shared" si="177"/>
        <v>1485000</v>
      </c>
      <c r="V70" s="86">
        <f t="shared" si="177"/>
        <v>1485000</v>
      </c>
      <c r="W70" s="86">
        <f t="shared" si="177"/>
        <v>1485000</v>
      </c>
      <c r="X70" s="86">
        <f t="shared" si="177"/>
        <v>1485000</v>
      </c>
      <c r="Y70" s="86">
        <f t="shared" si="177"/>
        <v>1485000</v>
      </c>
      <c r="Z70" s="86">
        <f t="shared" si="177"/>
        <v>1485000</v>
      </c>
      <c r="AA70" s="86">
        <f t="shared" si="177"/>
        <v>1485000</v>
      </c>
      <c r="AB70" s="86">
        <f t="shared" si="177"/>
        <v>1485000</v>
      </c>
      <c r="AC70" s="86">
        <f t="shared" si="177"/>
        <v>1485000</v>
      </c>
      <c r="AD70" s="87">
        <f>SUM(R70:AC70)</f>
        <v>17820000</v>
      </c>
      <c r="AE70" s="87">
        <f>AD70/12</f>
        <v>1485000</v>
      </c>
      <c r="AF70" s="86">
        <f t="shared" ref="AF70:AQ70" si="178">AF60</f>
        <v>1485000</v>
      </c>
      <c r="AG70" s="86">
        <f t="shared" si="178"/>
        <v>1485000</v>
      </c>
      <c r="AH70" s="86">
        <f t="shared" si="178"/>
        <v>1485000</v>
      </c>
      <c r="AI70" s="86">
        <f t="shared" si="178"/>
        <v>1485000</v>
      </c>
      <c r="AJ70" s="86">
        <f t="shared" si="178"/>
        <v>1485000</v>
      </c>
      <c r="AK70" s="86">
        <f t="shared" si="178"/>
        <v>1485000</v>
      </c>
      <c r="AL70" s="86">
        <f t="shared" si="178"/>
        <v>1485000</v>
      </c>
      <c r="AM70" s="86">
        <f t="shared" si="178"/>
        <v>1485000</v>
      </c>
      <c r="AN70" s="86">
        <f t="shared" si="178"/>
        <v>1485000</v>
      </c>
      <c r="AO70" s="86">
        <f t="shared" si="178"/>
        <v>1485000</v>
      </c>
      <c r="AP70" s="86">
        <f t="shared" si="178"/>
        <v>1485000</v>
      </c>
      <c r="AQ70" s="86">
        <f t="shared" si="178"/>
        <v>1485000</v>
      </c>
      <c r="AR70" s="87">
        <f>SUM(AF70:AQ70)</f>
        <v>17820000</v>
      </c>
      <c r="AS70" s="87">
        <f>AR70/12</f>
        <v>1485000</v>
      </c>
      <c r="AT70" s="130">
        <f>P70+AD70+AR70</f>
        <v>53163000</v>
      </c>
    </row>
    <row r="71" spans="1:46" s="84" customFormat="1" ht="10.5" x14ac:dyDescent="0.35">
      <c r="A71" s="129" t="s">
        <v>39</v>
      </c>
      <c r="B71" s="85" t="str">
        <f>CHOOSE('Вхідні дані'!$R$2,'Вхідні дані'!$S$2,'Вхідні дані'!$S$3,'Вхідні дані'!$S$4,'Вхідні дані'!$S$5)</f>
        <v>UAH</v>
      </c>
      <c r="C71" s="131">
        <f t="shared" ref="C71:O71" si="179">-(C22+C57)</f>
        <v>0</v>
      </c>
      <c r="D71" s="131">
        <f t="shared" si="179"/>
        <v>-653827.08333333337</v>
      </c>
      <c r="E71" s="131">
        <f t="shared" si="179"/>
        <v>-802327.08333333337</v>
      </c>
      <c r="F71" s="131">
        <f t="shared" si="179"/>
        <v>-802327.08333333337</v>
      </c>
      <c r="G71" s="131">
        <f t="shared" si="179"/>
        <v>-802327.08333333337</v>
      </c>
      <c r="H71" s="131">
        <f t="shared" si="179"/>
        <v>-802327.08333333337</v>
      </c>
      <c r="I71" s="131">
        <f t="shared" si="179"/>
        <v>-802327.08333333337</v>
      </c>
      <c r="J71" s="131">
        <f t="shared" si="179"/>
        <v>-802327.08333333337</v>
      </c>
      <c r="K71" s="131">
        <f t="shared" si="179"/>
        <v>-802327.08333333337</v>
      </c>
      <c r="L71" s="131">
        <f t="shared" si="179"/>
        <v>-802327.08333333337</v>
      </c>
      <c r="M71" s="131">
        <f t="shared" si="179"/>
        <v>-802327.08333333337</v>
      </c>
      <c r="N71" s="131">
        <f t="shared" si="179"/>
        <v>-802327.08333333337</v>
      </c>
      <c r="O71" s="131">
        <f t="shared" si="179"/>
        <v>-802327.08333333337</v>
      </c>
      <c r="P71" s="87">
        <f t="shared" ref="P71:P74" si="180">SUM(C71:O71)</f>
        <v>-9479425</v>
      </c>
      <c r="Q71" s="87">
        <f>P71/12</f>
        <v>-789952.08333333337</v>
      </c>
      <c r="R71" s="131">
        <f t="shared" ref="R71:AC71" si="181">-(R22+R57)</f>
        <v>-805427.08333333337</v>
      </c>
      <c r="S71" s="131">
        <f t="shared" si="181"/>
        <v>-805427.08333333337</v>
      </c>
      <c r="T71" s="131">
        <f t="shared" si="181"/>
        <v>-805427.08333333337</v>
      </c>
      <c r="U71" s="131">
        <f t="shared" si="181"/>
        <v>-805427.08333333337</v>
      </c>
      <c r="V71" s="131">
        <f t="shared" si="181"/>
        <v>-805427.08333333337</v>
      </c>
      <c r="W71" s="131">
        <f t="shared" si="181"/>
        <v>-805427.08333333337</v>
      </c>
      <c r="X71" s="131">
        <f t="shared" si="181"/>
        <v>-805427.08333333337</v>
      </c>
      <c r="Y71" s="131">
        <f t="shared" si="181"/>
        <v>-805427.08333333337</v>
      </c>
      <c r="Z71" s="131">
        <f t="shared" si="181"/>
        <v>-805427.08333333337</v>
      </c>
      <c r="AA71" s="131">
        <f t="shared" si="181"/>
        <v>-805427.08333333337</v>
      </c>
      <c r="AB71" s="131">
        <f t="shared" si="181"/>
        <v>-805427.08333333337</v>
      </c>
      <c r="AC71" s="131">
        <f t="shared" si="181"/>
        <v>-805427.08333333337</v>
      </c>
      <c r="AD71" s="87">
        <f>SUM(R71:AC71)</f>
        <v>-9665125</v>
      </c>
      <c r="AE71" s="87">
        <f>AD71/12</f>
        <v>-805427.08333333337</v>
      </c>
      <c r="AF71" s="131">
        <f t="shared" ref="AF71:AQ71" si="182">-(AF22+AF57)</f>
        <v>-808527.08333333337</v>
      </c>
      <c r="AG71" s="131">
        <f t="shared" si="182"/>
        <v>-808527.08333333337</v>
      </c>
      <c r="AH71" s="131">
        <f t="shared" si="182"/>
        <v>-808527.08333333337</v>
      </c>
      <c r="AI71" s="131">
        <f t="shared" si="182"/>
        <v>-808527.08333333337</v>
      </c>
      <c r="AJ71" s="131">
        <f t="shared" si="182"/>
        <v>-808527.08333333337</v>
      </c>
      <c r="AK71" s="131">
        <f t="shared" si="182"/>
        <v>-808527.08333333337</v>
      </c>
      <c r="AL71" s="131">
        <f t="shared" si="182"/>
        <v>-808527.08333333337</v>
      </c>
      <c r="AM71" s="131">
        <f t="shared" si="182"/>
        <v>-808527.08333333337</v>
      </c>
      <c r="AN71" s="131">
        <f t="shared" si="182"/>
        <v>-808527.08333333337</v>
      </c>
      <c r="AO71" s="131">
        <f t="shared" si="182"/>
        <v>-808527.08333333337</v>
      </c>
      <c r="AP71" s="131">
        <f t="shared" si="182"/>
        <v>-808527.08333333337</v>
      </c>
      <c r="AQ71" s="131">
        <f t="shared" si="182"/>
        <v>-808527.08333333337</v>
      </c>
      <c r="AR71" s="87">
        <f>SUM(AF71:AQ71)</f>
        <v>-9702325</v>
      </c>
      <c r="AS71" s="87">
        <f>AR71/12</f>
        <v>-808527.08333333337</v>
      </c>
      <c r="AT71" s="130">
        <f>P71+AD71+AR71</f>
        <v>-28846875</v>
      </c>
    </row>
    <row r="72" spans="1:46" s="84" customFormat="1" ht="10.5" x14ac:dyDescent="0.35">
      <c r="A72" s="129" t="s">
        <v>83</v>
      </c>
      <c r="B72" s="85" t="str">
        <f>CHOOSE('Вхідні дані'!$R$2,'Вхідні дані'!$S$2,'Вхідні дані'!$S$3,'Вхідні дані'!$S$4,'Вхідні дані'!$S$5)</f>
        <v>UAH</v>
      </c>
      <c r="C72" s="131">
        <f t="shared" ref="C72" si="183">SUM(C70:C71)</f>
        <v>0</v>
      </c>
      <c r="D72" s="131">
        <f t="shared" ref="D72:O72" si="184">SUM(D70:D71)</f>
        <v>534172.91666666663</v>
      </c>
      <c r="E72" s="86">
        <f t="shared" si="184"/>
        <v>682672.91666666663</v>
      </c>
      <c r="F72" s="86">
        <f t="shared" si="184"/>
        <v>682672.91666666663</v>
      </c>
      <c r="G72" s="86">
        <f t="shared" si="184"/>
        <v>682672.91666666663</v>
      </c>
      <c r="H72" s="86">
        <f t="shared" si="184"/>
        <v>682672.91666666663</v>
      </c>
      <c r="I72" s="86">
        <f t="shared" si="184"/>
        <v>682672.91666666663</v>
      </c>
      <c r="J72" s="86">
        <f t="shared" si="184"/>
        <v>682672.91666666663</v>
      </c>
      <c r="K72" s="131">
        <f t="shared" si="184"/>
        <v>682672.91666666663</v>
      </c>
      <c r="L72" s="131">
        <f t="shared" si="184"/>
        <v>682672.91666666663</v>
      </c>
      <c r="M72" s="131">
        <f t="shared" si="184"/>
        <v>682672.91666666663</v>
      </c>
      <c r="N72" s="131">
        <f t="shared" si="184"/>
        <v>682672.91666666663</v>
      </c>
      <c r="O72" s="131">
        <f t="shared" si="184"/>
        <v>682672.91666666663</v>
      </c>
      <c r="P72" s="87">
        <f t="shared" si="180"/>
        <v>8043575.0000000009</v>
      </c>
      <c r="Q72" s="87">
        <f>P72/12</f>
        <v>670297.91666666674</v>
      </c>
      <c r="R72" s="131">
        <f t="shared" ref="R72:AC72" si="185">SUM(R70:R71)</f>
        <v>679572.91666666663</v>
      </c>
      <c r="S72" s="86">
        <f t="shared" si="185"/>
        <v>679572.91666666663</v>
      </c>
      <c r="T72" s="86">
        <f t="shared" si="185"/>
        <v>679572.91666666663</v>
      </c>
      <c r="U72" s="86">
        <f t="shared" si="185"/>
        <v>679572.91666666663</v>
      </c>
      <c r="V72" s="86">
        <f t="shared" si="185"/>
        <v>679572.91666666663</v>
      </c>
      <c r="W72" s="86">
        <f t="shared" si="185"/>
        <v>679572.91666666663</v>
      </c>
      <c r="X72" s="86">
        <f t="shared" si="185"/>
        <v>679572.91666666663</v>
      </c>
      <c r="Y72" s="131">
        <f t="shared" si="185"/>
        <v>679572.91666666663</v>
      </c>
      <c r="Z72" s="131">
        <f t="shared" si="185"/>
        <v>679572.91666666663</v>
      </c>
      <c r="AA72" s="131">
        <f t="shared" si="185"/>
        <v>679572.91666666663</v>
      </c>
      <c r="AB72" s="131">
        <f t="shared" si="185"/>
        <v>679572.91666666663</v>
      </c>
      <c r="AC72" s="131">
        <f t="shared" si="185"/>
        <v>679572.91666666663</v>
      </c>
      <c r="AD72" s="87">
        <f>SUM(R72:AC72)</f>
        <v>8154875.0000000009</v>
      </c>
      <c r="AE72" s="87">
        <f>AD72/12</f>
        <v>679572.91666666674</v>
      </c>
      <c r="AF72" s="131">
        <f t="shared" ref="AF72:AQ72" si="186">SUM(AF70:AF71)</f>
        <v>676472.91666666663</v>
      </c>
      <c r="AG72" s="86">
        <f t="shared" si="186"/>
        <v>676472.91666666663</v>
      </c>
      <c r="AH72" s="86">
        <f t="shared" si="186"/>
        <v>676472.91666666663</v>
      </c>
      <c r="AI72" s="86">
        <f t="shared" si="186"/>
        <v>676472.91666666663</v>
      </c>
      <c r="AJ72" s="86">
        <f t="shared" si="186"/>
        <v>676472.91666666663</v>
      </c>
      <c r="AK72" s="86">
        <f t="shared" si="186"/>
        <v>676472.91666666663</v>
      </c>
      <c r="AL72" s="86">
        <f t="shared" si="186"/>
        <v>676472.91666666663</v>
      </c>
      <c r="AM72" s="131">
        <f t="shared" si="186"/>
        <v>676472.91666666663</v>
      </c>
      <c r="AN72" s="131">
        <f t="shared" si="186"/>
        <v>676472.91666666663</v>
      </c>
      <c r="AO72" s="131">
        <f t="shared" si="186"/>
        <v>676472.91666666663</v>
      </c>
      <c r="AP72" s="131">
        <f t="shared" si="186"/>
        <v>676472.91666666663</v>
      </c>
      <c r="AQ72" s="131">
        <f t="shared" si="186"/>
        <v>676472.91666666663</v>
      </c>
      <c r="AR72" s="87">
        <f>SUM(AF72:AQ72)</f>
        <v>8117675.0000000009</v>
      </c>
      <c r="AS72" s="87">
        <f>AR72/12</f>
        <v>676472.91666666674</v>
      </c>
      <c r="AT72" s="130">
        <f>P72+AD72+AR72</f>
        <v>24316125.000000004</v>
      </c>
    </row>
    <row r="73" spans="1:46" s="84" customFormat="1" ht="10.5" x14ac:dyDescent="0.35">
      <c r="A73" s="129" t="s">
        <v>84</v>
      </c>
      <c r="B73" s="85" t="str">
        <f>CHOOSE('Вхідні дані'!$R$2,'Вхідні дані'!$S$2,'Вхідні дані'!$S$3,'Вхідні дані'!$S$4,'Вхідні дані'!$S$5)</f>
        <v>UAH</v>
      </c>
      <c r="C73" s="131">
        <f t="shared" ref="C73:O73" si="187">-(C35)</f>
        <v>-817000</v>
      </c>
      <c r="D73" s="131">
        <f t="shared" si="187"/>
        <v>0</v>
      </c>
      <c r="E73" s="131">
        <f t="shared" si="187"/>
        <v>0</v>
      </c>
      <c r="F73" s="131">
        <f t="shared" si="187"/>
        <v>0</v>
      </c>
      <c r="G73" s="131">
        <f t="shared" si="187"/>
        <v>0</v>
      </c>
      <c r="H73" s="131">
        <f t="shared" si="187"/>
        <v>0</v>
      </c>
      <c r="I73" s="131">
        <f t="shared" si="187"/>
        <v>0</v>
      </c>
      <c r="J73" s="131">
        <f t="shared" si="187"/>
        <v>0</v>
      </c>
      <c r="K73" s="131">
        <f t="shared" si="187"/>
        <v>0</v>
      </c>
      <c r="L73" s="131">
        <f t="shared" si="187"/>
        <v>0</v>
      </c>
      <c r="M73" s="131">
        <f t="shared" si="187"/>
        <v>0</v>
      </c>
      <c r="N73" s="131">
        <f t="shared" si="187"/>
        <v>0</v>
      </c>
      <c r="O73" s="131">
        <f t="shared" si="187"/>
        <v>0</v>
      </c>
      <c r="P73" s="87">
        <f t="shared" si="180"/>
        <v>-817000</v>
      </c>
      <c r="Q73" s="87"/>
      <c r="R73" s="131">
        <f t="shared" ref="R73:AC73" si="188">-(R35)</f>
        <v>0</v>
      </c>
      <c r="S73" s="131">
        <f t="shared" si="188"/>
        <v>0</v>
      </c>
      <c r="T73" s="131">
        <f t="shared" si="188"/>
        <v>0</v>
      </c>
      <c r="U73" s="131">
        <f t="shared" si="188"/>
        <v>0</v>
      </c>
      <c r="V73" s="131">
        <f t="shared" si="188"/>
        <v>0</v>
      </c>
      <c r="W73" s="131">
        <f t="shared" si="188"/>
        <v>0</v>
      </c>
      <c r="X73" s="131">
        <f t="shared" si="188"/>
        <v>0</v>
      </c>
      <c r="Y73" s="131">
        <f t="shared" si="188"/>
        <v>0</v>
      </c>
      <c r="Z73" s="131">
        <f t="shared" si="188"/>
        <v>0</v>
      </c>
      <c r="AA73" s="131">
        <f t="shared" si="188"/>
        <v>0</v>
      </c>
      <c r="AB73" s="131">
        <f t="shared" si="188"/>
        <v>0</v>
      </c>
      <c r="AC73" s="131">
        <f t="shared" si="188"/>
        <v>0</v>
      </c>
      <c r="AD73" s="87">
        <f>SUM(R73:AC73)</f>
        <v>0</v>
      </c>
      <c r="AE73" s="87"/>
      <c r="AF73" s="131">
        <f t="shared" ref="AF73:AQ73" si="189">-(AF35)</f>
        <v>0</v>
      </c>
      <c r="AG73" s="131">
        <f t="shared" si="189"/>
        <v>0</v>
      </c>
      <c r="AH73" s="131">
        <f t="shared" si="189"/>
        <v>0</v>
      </c>
      <c r="AI73" s="131">
        <f t="shared" si="189"/>
        <v>0</v>
      </c>
      <c r="AJ73" s="131">
        <f t="shared" si="189"/>
        <v>0</v>
      </c>
      <c r="AK73" s="131">
        <f t="shared" si="189"/>
        <v>0</v>
      </c>
      <c r="AL73" s="131">
        <f t="shared" si="189"/>
        <v>0</v>
      </c>
      <c r="AM73" s="131">
        <f t="shared" si="189"/>
        <v>0</v>
      </c>
      <c r="AN73" s="131">
        <f t="shared" si="189"/>
        <v>0</v>
      </c>
      <c r="AO73" s="131">
        <f t="shared" si="189"/>
        <v>0</v>
      </c>
      <c r="AP73" s="131">
        <f t="shared" si="189"/>
        <v>0</v>
      </c>
      <c r="AQ73" s="131">
        <f t="shared" si="189"/>
        <v>0</v>
      </c>
      <c r="AR73" s="87">
        <f>SUM(AF73:AQ73)</f>
        <v>0</v>
      </c>
      <c r="AS73" s="87"/>
      <c r="AT73" s="130">
        <f>P73+AD73+AR73</f>
        <v>-817000</v>
      </c>
    </row>
    <row r="74" spans="1:46" s="134" customFormat="1" ht="10.5" x14ac:dyDescent="0.35">
      <c r="A74" s="129" t="s">
        <v>85</v>
      </c>
      <c r="B74" s="122" t="str">
        <f>CHOOSE('Вхідні дані'!$R$2,'Вхідні дані'!$S$2,'Вхідні дані'!$S$3,'Вхідні дані'!$S$4,'Вхідні дані'!$S$5)</f>
        <v>UAH</v>
      </c>
      <c r="C74" s="132">
        <f t="shared" ref="C74:O74" si="190">C35</f>
        <v>817000</v>
      </c>
      <c r="D74" s="132">
        <f t="shared" si="190"/>
        <v>0</v>
      </c>
      <c r="E74" s="132">
        <f t="shared" si="190"/>
        <v>0</v>
      </c>
      <c r="F74" s="132">
        <f t="shared" si="190"/>
        <v>0</v>
      </c>
      <c r="G74" s="132">
        <f t="shared" si="190"/>
        <v>0</v>
      </c>
      <c r="H74" s="132">
        <f t="shared" si="190"/>
        <v>0</v>
      </c>
      <c r="I74" s="132">
        <f t="shared" si="190"/>
        <v>0</v>
      </c>
      <c r="J74" s="132">
        <f t="shared" si="190"/>
        <v>0</v>
      </c>
      <c r="K74" s="132">
        <f t="shared" si="190"/>
        <v>0</v>
      </c>
      <c r="L74" s="132">
        <f t="shared" si="190"/>
        <v>0</v>
      </c>
      <c r="M74" s="132">
        <f t="shared" si="190"/>
        <v>0</v>
      </c>
      <c r="N74" s="132">
        <f t="shared" si="190"/>
        <v>0</v>
      </c>
      <c r="O74" s="132">
        <f t="shared" si="190"/>
        <v>0</v>
      </c>
      <c r="P74" s="87">
        <f t="shared" si="180"/>
        <v>817000</v>
      </c>
      <c r="Q74" s="87"/>
      <c r="R74" s="132">
        <f t="shared" ref="R74:AC74" si="191">R35</f>
        <v>0</v>
      </c>
      <c r="S74" s="132">
        <f t="shared" si="191"/>
        <v>0</v>
      </c>
      <c r="T74" s="132">
        <f t="shared" si="191"/>
        <v>0</v>
      </c>
      <c r="U74" s="132">
        <f t="shared" si="191"/>
        <v>0</v>
      </c>
      <c r="V74" s="132">
        <f t="shared" si="191"/>
        <v>0</v>
      </c>
      <c r="W74" s="132">
        <f t="shared" si="191"/>
        <v>0</v>
      </c>
      <c r="X74" s="132">
        <f t="shared" si="191"/>
        <v>0</v>
      </c>
      <c r="Y74" s="132">
        <f t="shared" si="191"/>
        <v>0</v>
      </c>
      <c r="Z74" s="132">
        <f t="shared" si="191"/>
        <v>0</v>
      </c>
      <c r="AA74" s="132">
        <f t="shared" si="191"/>
        <v>0</v>
      </c>
      <c r="AB74" s="132">
        <f t="shared" si="191"/>
        <v>0</v>
      </c>
      <c r="AC74" s="132">
        <f t="shared" si="191"/>
        <v>0</v>
      </c>
      <c r="AD74" s="87">
        <f>SUM(R74:AC74)</f>
        <v>0</v>
      </c>
      <c r="AE74" s="87"/>
      <c r="AF74" s="132">
        <f t="shared" ref="AF74:AQ74" si="192">AF35</f>
        <v>0</v>
      </c>
      <c r="AG74" s="132">
        <f t="shared" si="192"/>
        <v>0</v>
      </c>
      <c r="AH74" s="132">
        <f t="shared" si="192"/>
        <v>0</v>
      </c>
      <c r="AI74" s="132">
        <f t="shared" si="192"/>
        <v>0</v>
      </c>
      <c r="AJ74" s="132">
        <f t="shared" si="192"/>
        <v>0</v>
      </c>
      <c r="AK74" s="132">
        <f t="shared" si="192"/>
        <v>0</v>
      </c>
      <c r="AL74" s="132">
        <f t="shared" si="192"/>
        <v>0</v>
      </c>
      <c r="AM74" s="132">
        <f t="shared" si="192"/>
        <v>0</v>
      </c>
      <c r="AN74" s="132">
        <f t="shared" si="192"/>
        <v>0</v>
      </c>
      <c r="AO74" s="132">
        <f t="shared" si="192"/>
        <v>0</v>
      </c>
      <c r="AP74" s="132">
        <f t="shared" si="192"/>
        <v>0</v>
      </c>
      <c r="AQ74" s="132">
        <f t="shared" si="192"/>
        <v>0</v>
      </c>
      <c r="AR74" s="87">
        <f>SUM(AF74:AQ74)</f>
        <v>0</v>
      </c>
      <c r="AS74" s="87"/>
      <c r="AT74" s="133">
        <f>P74+AD74+AR74</f>
        <v>817000</v>
      </c>
    </row>
    <row r="75" spans="1:46" s="84" customFormat="1" ht="10.5" x14ac:dyDescent="0.35">
      <c r="A75" s="129" t="s">
        <v>86</v>
      </c>
      <c r="B75" s="85" t="str">
        <f>CHOOSE('Вхідні дані'!$R$2,'Вхідні дані'!$S$2,'Вхідні дані'!$S$3,'Вхідні дані'!$S$4,'Вхідні дані'!$S$5)</f>
        <v>UAH</v>
      </c>
      <c r="C75" s="131">
        <v>-1</v>
      </c>
      <c r="D75" s="86">
        <f>C76</f>
        <v>-1</v>
      </c>
      <c r="E75" s="86">
        <f>D76</f>
        <v>534171.91666666663</v>
      </c>
      <c r="F75" s="86">
        <f t="shared" ref="F75:O75" si="193">E76</f>
        <v>1216844.8333333333</v>
      </c>
      <c r="G75" s="86">
        <f t="shared" si="193"/>
        <v>1899517.75</v>
      </c>
      <c r="H75" s="86">
        <f t="shared" si="193"/>
        <v>2582190.6666666665</v>
      </c>
      <c r="I75" s="86">
        <f t="shared" si="193"/>
        <v>3264863.583333333</v>
      </c>
      <c r="J75" s="86">
        <f t="shared" si="193"/>
        <v>3947536.4999999995</v>
      </c>
      <c r="K75" s="131">
        <f t="shared" si="193"/>
        <v>4630209.416666666</v>
      </c>
      <c r="L75" s="131">
        <f t="shared" si="193"/>
        <v>5312882.333333333</v>
      </c>
      <c r="M75" s="131">
        <f t="shared" si="193"/>
        <v>5995555.25</v>
      </c>
      <c r="N75" s="131">
        <f t="shared" si="193"/>
        <v>6678228.166666667</v>
      </c>
      <c r="O75" s="131">
        <f t="shared" si="193"/>
        <v>7360901.083333334</v>
      </c>
      <c r="P75" s="135">
        <f>C75</f>
        <v>-1</v>
      </c>
      <c r="Q75" s="135"/>
      <c r="R75" s="131">
        <f>O76</f>
        <v>8043574.0000000009</v>
      </c>
      <c r="S75" s="86">
        <f t="shared" ref="S75:AC75" si="194">R76</f>
        <v>8723146.9166666679</v>
      </c>
      <c r="T75" s="86">
        <f t="shared" si="194"/>
        <v>9402719.833333334</v>
      </c>
      <c r="U75" s="86">
        <f t="shared" si="194"/>
        <v>10082292.75</v>
      </c>
      <c r="V75" s="86">
        <f t="shared" si="194"/>
        <v>10761865.666666666</v>
      </c>
      <c r="W75" s="86">
        <f t="shared" si="194"/>
        <v>11441438.583333332</v>
      </c>
      <c r="X75" s="86">
        <f t="shared" si="194"/>
        <v>12121011.499999998</v>
      </c>
      <c r="Y75" s="131">
        <f t="shared" si="194"/>
        <v>12800584.416666664</v>
      </c>
      <c r="Z75" s="131">
        <f t="shared" si="194"/>
        <v>13480157.33333333</v>
      </c>
      <c r="AA75" s="131">
        <f t="shared" si="194"/>
        <v>14159730.249999996</v>
      </c>
      <c r="AB75" s="131">
        <f t="shared" si="194"/>
        <v>14839303.166666662</v>
      </c>
      <c r="AC75" s="131">
        <f t="shared" si="194"/>
        <v>15518876.083333328</v>
      </c>
      <c r="AD75" s="135">
        <f>R75</f>
        <v>8043574.0000000009</v>
      </c>
      <c r="AE75" s="135"/>
      <c r="AF75" s="131">
        <f>AC76</f>
        <v>16198448.999999994</v>
      </c>
      <c r="AG75" s="86">
        <f t="shared" ref="AG75:AQ75" si="195">AF76</f>
        <v>16874921.91666666</v>
      </c>
      <c r="AH75" s="86">
        <f t="shared" si="195"/>
        <v>17551394.833333328</v>
      </c>
      <c r="AI75" s="86">
        <f t="shared" si="195"/>
        <v>18227867.749999996</v>
      </c>
      <c r="AJ75" s="86">
        <f t="shared" si="195"/>
        <v>18904340.666666664</v>
      </c>
      <c r="AK75" s="86">
        <f t="shared" si="195"/>
        <v>19580813.583333332</v>
      </c>
      <c r="AL75" s="86">
        <f t="shared" si="195"/>
        <v>20257286.5</v>
      </c>
      <c r="AM75" s="131">
        <f t="shared" si="195"/>
        <v>20933759.416666668</v>
      </c>
      <c r="AN75" s="131">
        <f t="shared" si="195"/>
        <v>21610232.333333336</v>
      </c>
      <c r="AO75" s="131">
        <f t="shared" si="195"/>
        <v>22286705.250000004</v>
      </c>
      <c r="AP75" s="131">
        <f t="shared" si="195"/>
        <v>22963178.166666672</v>
      </c>
      <c r="AQ75" s="131">
        <f t="shared" si="195"/>
        <v>23639651.08333334</v>
      </c>
      <c r="AR75" s="135">
        <f>AF75</f>
        <v>16198448.999999994</v>
      </c>
      <c r="AS75" s="135"/>
      <c r="AT75" s="130">
        <f>P75</f>
        <v>-1</v>
      </c>
    </row>
    <row r="76" spans="1:46" s="84" customFormat="1" ht="10.5" x14ac:dyDescent="0.35">
      <c r="A76" s="129" t="s">
        <v>87</v>
      </c>
      <c r="B76" s="85" t="str">
        <f>CHOOSE('Вхідні дані'!$R$2,'Вхідні дані'!$S$2,'Вхідні дані'!$S$3,'Вхідні дані'!$S$4,'Вхідні дані'!$S$5)</f>
        <v>UAH</v>
      </c>
      <c r="C76" s="131">
        <f>C72+C73+C74+C75</f>
        <v>-1</v>
      </c>
      <c r="D76" s="131">
        <f>D72+D73+D74+D75</f>
        <v>534171.91666666663</v>
      </c>
      <c r="E76" s="86">
        <f>E72+E73+E74+E75</f>
        <v>1216844.8333333333</v>
      </c>
      <c r="F76" s="86">
        <f t="shared" ref="F76:O76" si="196">F72+F73+F74+F75</f>
        <v>1899517.75</v>
      </c>
      <c r="G76" s="86">
        <f t="shared" si="196"/>
        <v>2582190.6666666665</v>
      </c>
      <c r="H76" s="86">
        <f t="shared" si="196"/>
        <v>3264863.583333333</v>
      </c>
      <c r="I76" s="86">
        <f t="shared" si="196"/>
        <v>3947536.4999999995</v>
      </c>
      <c r="J76" s="86">
        <f t="shared" si="196"/>
        <v>4630209.416666666</v>
      </c>
      <c r="K76" s="131">
        <f t="shared" si="196"/>
        <v>5312882.333333333</v>
      </c>
      <c r="L76" s="131">
        <f t="shared" si="196"/>
        <v>5995555.25</v>
      </c>
      <c r="M76" s="131">
        <f t="shared" si="196"/>
        <v>6678228.166666667</v>
      </c>
      <c r="N76" s="131">
        <f t="shared" si="196"/>
        <v>7360901.083333334</v>
      </c>
      <c r="O76" s="131">
        <f t="shared" si="196"/>
        <v>8043574.0000000009</v>
      </c>
      <c r="P76" s="135">
        <f>O76</f>
        <v>8043574.0000000009</v>
      </c>
      <c r="Q76" s="135"/>
      <c r="R76" s="131">
        <f>R72+R73+R74+R75</f>
        <v>8723146.9166666679</v>
      </c>
      <c r="S76" s="86">
        <f>S72+S73+S74+S75</f>
        <v>9402719.833333334</v>
      </c>
      <c r="T76" s="86">
        <f t="shared" ref="T76:AC76" si="197">T72+T73+T74+T75</f>
        <v>10082292.75</v>
      </c>
      <c r="U76" s="86">
        <f t="shared" si="197"/>
        <v>10761865.666666666</v>
      </c>
      <c r="V76" s="86">
        <f t="shared" si="197"/>
        <v>11441438.583333332</v>
      </c>
      <c r="W76" s="86">
        <f t="shared" si="197"/>
        <v>12121011.499999998</v>
      </c>
      <c r="X76" s="86">
        <f t="shared" si="197"/>
        <v>12800584.416666664</v>
      </c>
      <c r="Y76" s="131">
        <f t="shared" si="197"/>
        <v>13480157.33333333</v>
      </c>
      <c r="Z76" s="131">
        <f t="shared" si="197"/>
        <v>14159730.249999996</v>
      </c>
      <c r="AA76" s="131">
        <f t="shared" si="197"/>
        <v>14839303.166666662</v>
      </c>
      <c r="AB76" s="131">
        <f t="shared" si="197"/>
        <v>15518876.083333328</v>
      </c>
      <c r="AC76" s="131">
        <f t="shared" si="197"/>
        <v>16198448.999999994</v>
      </c>
      <c r="AD76" s="135">
        <f>AC76</f>
        <v>16198448.999999994</v>
      </c>
      <c r="AE76" s="135"/>
      <c r="AF76" s="131">
        <f>AF72+AF73+AF74+AF75</f>
        <v>16874921.91666666</v>
      </c>
      <c r="AG76" s="86">
        <f>AG72+AG73+AG74+AG75</f>
        <v>17551394.833333328</v>
      </c>
      <c r="AH76" s="86">
        <f t="shared" ref="AH76:AQ76" si="198">AH72+AH73+AH74+AH75</f>
        <v>18227867.749999996</v>
      </c>
      <c r="AI76" s="86">
        <f t="shared" si="198"/>
        <v>18904340.666666664</v>
      </c>
      <c r="AJ76" s="86">
        <f t="shared" si="198"/>
        <v>19580813.583333332</v>
      </c>
      <c r="AK76" s="86">
        <f t="shared" si="198"/>
        <v>20257286.5</v>
      </c>
      <c r="AL76" s="86">
        <f t="shared" si="198"/>
        <v>20933759.416666668</v>
      </c>
      <c r="AM76" s="131">
        <f t="shared" si="198"/>
        <v>21610232.333333336</v>
      </c>
      <c r="AN76" s="131">
        <f t="shared" si="198"/>
        <v>22286705.250000004</v>
      </c>
      <c r="AO76" s="131">
        <f t="shared" si="198"/>
        <v>22963178.166666672</v>
      </c>
      <c r="AP76" s="131">
        <f t="shared" si="198"/>
        <v>23639651.08333334</v>
      </c>
      <c r="AQ76" s="131">
        <f t="shared" si="198"/>
        <v>24316124.000000007</v>
      </c>
      <c r="AR76" s="135">
        <f>AQ76</f>
        <v>24316124.000000007</v>
      </c>
      <c r="AS76" s="135"/>
      <c r="AT76" s="130">
        <f>AR76</f>
        <v>24316124.000000007</v>
      </c>
    </row>
    <row r="77" spans="1:46" s="78" customFormat="1" ht="10.8" thickBot="1" x14ac:dyDescent="0.45">
      <c r="P77" s="98"/>
      <c r="Q77" s="98"/>
      <c r="AD77" s="98"/>
      <c r="AE77" s="98"/>
      <c r="AR77" s="98"/>
      <c r="AS77" s="98"/>
    </row>
    <row r="78" spans="1:46" s="78" customFormat="1" ht="11.1" thickTop="1" thickBot="1" x14ac:dyDescent="0.4">
      <c r="A78" s="74" t="s">
        <v>88</v>
      </c>
      <c r="B78" s="75"/>
      <c r="C78" s="75" t="str">
        <f t="shared" ref="C78:AQ78" si="199">C$5</f>
        <v>Нульовий період</v>
      </c>
      <c r="D78" s="75" t="str">
        <f t="shared" si="199"/>
        <v>січень</v>
      </c>
      <c r="E78" s="75" t="str">
        <f t="shared" si="199"/>
        <v>лютий</v>
      </c>
      <c r="F78" s="75" t="str">
        <f t="shared" si="199"/>
        <v>березень</v>
      </c>
      <c r="G78" s="75" t="str">
        <f t="shared" si="199"/>
        <v>квітень</v>
      </c>
      <c r="H78" s="75" t="str">
        <f t="shared" si="199"/>
        <v>травень</v>
      </c>
      <c r="I78" s="75" t="str">
        <f t="shared" si="199"/>
        <v>червень</v>
      </c>
      <c r="J78" s="75" t="str">
        <f t="shared" si="199"/>
        <v>липень</v>
      </c>
      <c r="K78" s="75" t="str">
        <f t="shared" si="199"/>
        <v>серпень</v>
      </c>
      <c r="L78" s="75" t="str">
        <f t="shared" si="199"/>
        <v>вересень</v>
      </c>
      <c r="M78" s="75" t="str">
        <f t="shared" si="199"/>
        <v>жовтень</v>
      </c>
      <c r="N78" s="75" t="str">
        <f t="shared" si="199"/>
        <v>листопад</v>
      </c>
      <c r="O78" s="75" t="str">
        <f t="shared" si="199"/>
        <v>грудень</v>
      </c>
      <c r="P78" s="136"/>
      <c r="Q78" s="136"/>
      <c r="R78" s="75" t="str">
        <f t="shared" si="199"/>
        <v>січень</v>
      </c>
      <c r="S78" s="75" t="str">
        <f t="shared" si="199"/>
        <v>лютий</v>
      </c>
      <c r="T78" s="75" t="str">
        <f t="shared" si="199"/>
        <v>березень</v>
      </c>
      <c r="U78" s="75" t="str">
        <f t="shared" si="199"/>
        <v>квітень</v>
      </c>
      <c r="V78" s="75" t="str">
        <f t="shared" si="199"/>
        <v>травень</v>
      </c>
      <c r="W78" s="75" t="str">
        <f t="shared" si="199"/>
        <v>червень</v>
      </c>
      <c r="X78" s="75" t="str">
        <f t="shared" si="199"/>
        <v>липень</v>
      </c>
      <c r="Y78" s="75" t="str">
        <f t="shared" si="199"/>
        <v>серпень</v>
      </c>
      <c r="Z78" s="75" t="str">
        <f t="shared" si="199"/>
        <v>вересень</v>
      </c>
      <c r="AA78" s="75" t="str">
        <f t="shared" si="199"/>
        <v>жовтень</v>
      </c>
      <c r="AB78" s="75" t="str">
        <f t="shared" si="199"/>
        <v>листопад</v>
      </c>
      <c r="AC78" s="75" t="str">
        <f t="shared" si="199"/>
        <v>грудень</v>
      </c>
      <c r="AD78" s="136"/>
      <c r="AE78" s="136"/>
      <c r="AF78" s="75" t="str">
        <f t="shared" si="199"/>
        <v>січень</v>
      </c>
      <c r="AG78" s="75" t="str">
        <f t="shared" si="199"/>
        <v>лютий</v>
      </c>
      <c r="AH78" s="75" t="str">
        <f t="shared" si="199"/>
        <v>березень</v>
      </c>
      <c r="AI78" s="75" t="str">
        <f t="shared" si="199"/>
        <v>квітень</v>
      </c>
      <c r="AJ78" s="75" t="str">
        <f t="shared" si="199"/>
        <v>травень</v>
      </c>
      <c r="AK78" s="75" t="str">
        <f t="shared" si="199"/>
        <v>червень</v>
      </c>
      <c r="AL78" s="75" t="str">
        <f t="shared" si="199"/>
        <v>липень</v>
      </c>
      <c r="AM78" s="75" t="str">
        <f t="shared" si="199"/>
        <v>серпень</v>
      </c>
      <c r="AN78" s="75" t="str">
        <f t="shared" si="199"/>
        <v>вересень</v>
      </c>
      <c r="AO78" s="75" t="str">
        <f t="shared" si="199"/>
        <v>жовтень</v>
      </c>
      <c r="AP78" s="75" t="str">
        <f t="shared" si="199"/>
        <v>листопад</v>
      </c>
      <c r="AQ78" s="75" t="str">
        <f t="shared" si="199"/>
        <v>грудень</v>
      </c>
      <c r="AR78" s="136"/>
      <c r="AS78" s="136"/>
      <c r="AT78" s="75"/>
    </row>
    <row r="79" spans="1:46" s="78" customFormat="1" ht="14.1" thickTop="1" x14ac:dyDescent="0.4">
      <c r="A79" s="137"/>
      <c r="B79" s="138"/>
      <c r="C79" s="138"/>
      <c r="D79" s="137"/>
      <c r="E79" s="137"/>
      <c r="F79" s="137"/>
      <c r="G79" s="137"/>
      <c r="H79" s="137"/>
      <c r="I79" s="137"/>
      <c r="J79" s="139"/>
      <c r="P79" s="98"/>
      <c r="Q79" s="98"/>
      <c r="R79" s="137"/>
      <c r="S79" s="137"/>
      <c r="T79" s="137"/>
      <c r="U79" s="137"/>
      <c r="V79" s="137"/>
      <c r="W79" s="137"/>
      <c r="X79" s="139"/>
      <c r="AD79" s="98"/>
      <c r="AE79" s="98"/>
      <c r="AF79" s="137"/>
      <c r="AG79" s="137"/>
      <c r="AH79" s="137"/>
      <c r="AI79" s="137"/>
      <c r="AJ79" s="137"/>
      <c r="AK79" s="137"/>
      <c r="AL79" s="139"/>
      <c r="AR79" s="98"/>
      <c r="AS79" s="98"/>
      <c r="AT79" s="140"/>
    </row>
    <row r="80" spans="1:46" s="146" customFormat="1" ht="10.5" x14ac:dyDescent="0.35">
      <c r="A80" s="141" t="s">
        <v>28</v>
      </c>
      <c r="B80" s="142">
        <f>'Вхідні дані'!M38</f>
        <v>0.1</v>
      </c>
      <c r="C80" s="142"/>
      <c r="D80" s="143">
        <f>1/POWER((1+$B$80/12),D81)</f>
        <v>1</v>
      </c>
      <c r="E80" s="143">
        <f t="shared" ref="E80:O80" si="200">1/POWER((1+$B$80/12),E81)</f>
        <v>0.99173553719008267</v>
      </c>
      <c r="F80" s="143">
        <f t="shared" si="200"/>
        <v>0.98353937572570183</v>
      </c>
      <c r="G80" s="143">
        <f t="shared" si="200"/>
        <v>0.97541095113292753</v>
      </c>
      <c r="H80" s="143">
        <f t="shared" si="200"/>
        <v>0.9673497036029034</v>
      </c>
      <c r="I80" s="143">
        <f t="shared" si="200"/>
        <v>0.95935507795329267</v>
      </c>
      <c r="J80" s="143">
        <f t="shared" si="200"/>
        <v>0.95142652359004232</v>
      </c>
      <c r="K80" s="143">
        <f t="shared" si="200"/>
        <v>0.94356349446946353</v>
      </c>
      <c r="L80" s="143">
        <f t="shared" si="200"/>
        <v>0.93576544906062498</v>
      </c>
      <c r="M80" s="143">
        <f t="shared" si="200"/>
        <v>0.9280318503080579</v>
      </c>
      <c r="N80" s="143">
        <f t="shared" si="200"/>
        <v>0.92036216559476813</v>
      </c>
      <c r="O80" s="143">
        <f t="shared" si="200"/>
        <v>0.91275586670555531</v>
      </c>
      <c r="P80" s="144"/>
      <c r="Q80" s="144"/>
      <c r="R80" s="143">
        <f t="shared" ref="R80:AC80" si="201">1/POWER((1+$B$80/12),R81)</f>
        <v>0.90521242979063321</v>
      </c>
      <c r="S80" s="143">
        <f t="shared" si="201"/>
        <v>0.89773133532955385</v>
      </c>
      <c r="T80" s="143">
        <f t="shared" si="201"/>
        <v>0.89031206809542529</v>
      </c>
      <c r="U80" s="143">
        <f t="shared" si="201"/>
        <v>0.88295411711943006</v>
      </c>
      <c r="V80" s="143">
        <f t="shared" si="201"/>
        <v>0.87565697565563305</v>
      </c>
      <c r="W80" s="143">
        <f t="shared" si="201"/>
        <v>0.86842014114608246</v>
      </c>
      <c r="X80" s="143">
        <f t="shared" si="201"/>
        <v>0.86124311518619745</v>
      </c>
      <c r="Y80" s="143">
        <f t="shared" si="201"/>
        <v>0.85412540349044375</v>
      </c>
      <c r="Z80" s="143">
        <f t="shared" si="201"/>
        <v>0.84706651585829151</v>
      </c>
      <c r="AA80" s="143">
        <f t="shared" si="201"/>
        <v>0.84006596614045448</v>
      </c>
      <c r="AB80" s="143">
        <f t="shared" si="201"/>
        <v>0.83312327220540916</v>
      </c>
      <c r="AC80" s="143">
        <f t="shared" si="201"/>
        <v>0.82623795590619109</v>
      </c>
      <c r="AD80" s="144"/>
      <c r="AE80" s="144"/>
      <c r="AF80" s="143">
        <f t="shared" ref="AF80:AQ80" si="202">1/POWER((1+$B$80/12),AF81)</f>
        <v>0.81940954304746227</v>
      </c>
      <c r="AG80" s="143">
        <f t="shared" si="202"/>
        <v>0.81263756335285531</v>
      </c>
      <c r="AH80" s="143">
        <f t="shared" si="202"/>
        <v>0.80592155043258373</v>
      </c>
      <c r="AI80" s="143">
        <f t="shared" si="202"/>
        <v>0.79926104175132262</v>
      </c>
      <c r="AJ80" s="143">
        <f t="shared" si="202"/>
        <v>0.79265557859635305</v>
      </c>
      <c r="AK80" s="143">
        <f t="shared" si="202"/>
        <v>0.78610470604597016</v>
      </c>
      <c r="AL80" s="143">
        <f t="shared" si="202"/>
        <v>0.77960797293815209</v>
      </c>
      <c r="AM80" s="143">
        <f t="shared" si="202"/>
        <v>0.77316493183948976</v>
      </c>
      <c r="AN80" s="143">
        <f t="shared" si="202"/>
        <v>0.76677513901437</v>
      </c>
      <c r="AO80" s="143">
        <f t="shared" si="202"/>
        <v>0.76043815439441664</v>
      </c>
      <c r="AP80" s="143">
        <f t="shared" si="202"/>
        <v>0.75415354154818171</v>
      </c>
      <c r="AQ80" s="143">
        <f t="shared" si="202"/>
        <v>0.74792086765108945</v>
      </c>
      <c r="AR80" s="144"/>
      <c r="AS80" s="144"/>
      <c r="AT80" s="145"/>
    </row>
    <row r="81" spans="1:46" s="151" customFormat="1" ht="10.5" hidden="1" x14ac:dyDescent="0.4">
      <c r="A81" s="147"/>
      <c r="B81" s="142"/>
      <c r="C81" s="142"/>
      <c r="D81" s="148">
        <v>0</v>
      </c>
      <c r="E81" s="148">
        <v>1</v>
      </c>
      <c r="F81" s="148">
        <v>2</v>
      </c>
      <c r="G81" s="148">
        <v>3</v>
      </c>
      <c r="H81" s="148">
        <v>4</v>
      </c>
      <c r="I81" s="148">
        <v>5</v>
      </c>
      <c r="J81" s="148">
        <v>6</v>
      </c>
      <c r="K81" s="148">
        <v>7</v>
      </c>
      <c r="L81" s="148">
        <v>8</v>
      </c>
      <c r="M81" s="148">
        <v>9</v>
      </c>
      <c r="N81" s="148">
        <v>10</v>
      </c>
      <c r="O81" s="148">
        <v>11</v>
      </c>
      <c r="P81" s="149"/>
      <c r="Q81" s="149"/>
      <c r="R81" s="148">
        <v>12</v>
      </c>
      <c r="S81" s="148">
        <v>13</v>
      </c>
      <c r="T81" s="148">
        <v>14</v>
      </c>
      <c r="U81" s="148">
        <v>15</v>
      </c>
      <c r="V81" s="148">
        <v>16</v>
      </c>
      <c r="W81" s="148">
        <v>17</v>
      </c>
      <c r="X81" s="148">
        <v>18</v>
      </c>
      <c r="Y81" s="148">
        <v>19</v>
      </c>
      <c r="Z81" s="148">
        <v>20</v>
      </c>
      <c r="AA81" s="148">
        <v>21</v>
      </c>
      <c r="AB81" s="148">
        <v>22</v>
      </c>
      <c r="AC81" s="148">
        <v>23</v>
      </c>
      <c r="AD81" s="149"/>
      <c r="AE81" s="149"/>
      <c r="AF81" s="148">
        <v>24</v>
      </c>
      <c r="AG81" s="148">
        <v>25</v>
      </c>
      <c r="AH81" s="148">
        <v>26</v>
      </c>
      <c r="AI81" s="148">
        <v>27</v>
      </c>
      <c r="AJ81" s="148">
        <v>28</v>
      </c>
      <c r="AK81" s="148">
        <v>29</v>
      </c>
      <c r="AL81" s="148">
        <v>30</v>
      </c>
      <c r="AM81" s="148">
        <v>31</v>
      </c>
      <c r="AN81" s="148">
        <v>32</v>
      </c>
      <c r="AO81" s="148">
        <v>33</v>
      </c>
      <c r="AP81" s="148">
        <v>34</v>
      </c>
      <c r="AQ81" s="148">
        <v>35</v>
      </c>
      <c r="AR81" s="149"/>
      <c r="AS81" s="149"/>
      <c r="AT81" s="150"/>
    </row>
    <row r="82" spans="1:46" s="151" customFormat="1" ht="10.5" x14ac:dyDescent="0.35">
      <c r="A82" s="128" t="str">
        <f>"Чистий грошовий потік (NCF), "&amp;CHOOSE('Вхідні дані'!$R$2,'Вхідні дані'!$S$2,'Вхідні дані'!$S$3,'Вхідні дані'!$S$4,'Вхідні дані'!$S$5)&amp;""</f>
        <v>Чистий грошовий потік (NCF), UAH</v>
      </c>
      <c r="B82" s="142"/>
      <c r="C82" s="142"/>
      <c r="D82" s="86">
        <f>D66</f>
        <v>534172.91666666663</v>
      </c>
      <c r="E82" s="86">
        <f t="shared" ref="E82:O82" si="203">E66</f>
        <v>682672.91666666663</v>
      </c>
      <c r="F82" s="86">
        <f t="shared" si="203"/>
        <v>682672.91666666663</v>
      </c>
      <c r="G82" s="86">
        <f t="shared" si="203"/>
        <v>682672.91666666663</v>
      </c>
      <c r="H82" s="86">
        <f t="shared" si="203"/>
        <v>682672.91666666663</v>
      </c>
      <c r="I82" s="86">
        <f t="shared" si="203"/>
        <v>682672.91666666663</v>
      </c>
      <c r="J82" s="86">
        <f t="shared" si="203"/>
        <v>682672.91666666663</v>
      </c>
      <c r="K82" s="86">
        <f t="shared" si="203"/>
        <v>682672.91666666663</v>
      </c>
      <c r="L82" s="86">
        <f t="shared" si="203"/>
        <v>682672.91666666663</v>
      </c>
      <c r="M82" s="86">
        <f t="shared" si="203"/>
        <v>682672.91666666663</v>
      </c>
      <c r="N82" s="86">
        <f t="shared" si="203"/>
        <v>682672.91666666663</v>
      </c>
      <c r="O82" s="86">
        <f t="shared" si="203"/>
        <v>682672.91666666663</v>
      </c>
      <c r="P82" s="149"/>
      <c r="Q82" s="149"/>
      <c r="R82" s="86">
        <f>R66</f>
        <v>679572.91666666663</v>
      </c>
      <c r="S82" s="86">
        <f t="shared" ref="S82:AC82" si="204">S66</f>
        <v>679572.91666666663</v>
      </c>
      <c r="T82" s="86">
        <f t="shared" si="204"/>
        <v>679572.91666666663</v>
      </c>
      <c r="U82" s="86">
        <f t="shared" si="204"/>
        <v>679572.91666666663</v>
      </c>
      <c r="V82" s="86">
        <f t="shared" si="204"/>
        <v>679572.91666666663</v>
      </c>
      <c r="W82" s="86">
        <f t="shared" si="204"/>
        <v>679572.91666666663</v>
      </c>
      <c r="X82" s="86">
        <f t="shared" si="204"/>
        <v>679572.91666666663</v>
      </c>
      <c r="Y82" s="86">
        <f t="shared" si="204"/>
        <v>679572.91666666663</v>
      </c>
      <c r="Z82" s="86">
        <f t="shared" si="204"/>
        <v>679572.91666666663</v>
      </c>
      <c r="AA82" s="86">
        <f t="shared" si="204"/>
        <v>679572.91666666663</v>
      </c>
      <c r="AB82" s="86">
        <f t="shared" si="204"/>
        <v>679572.91666666663</v>
      </c>
      <c r="AC82" s="86">
        <f t="shared" si="204"/>
        <v>679572.91666666663</v>
      </c>
      <c r="AD82" s="149"/>
      <c r="AE82" s="149"/>
      <c r="AF82" s="86">
        <f>AF66</f>
        <v>676472.91666666663</v>
      </c>
      <c r="AG82" s="86">
        <f t="shared" ref="AG82:AQ82" si="205">AG66</f>
        <v>676472.91666666663</v>
      </c>
      <c r="AH82" s="86">
        <f t="shared" si="205"/>
        <v>676472.91666666663</v>
      </c>
      <c r="AI82" s="86">
        <f t="shared" si="205"/>
        <v>676472.91666666663</v>
      </c>
      <c r="AJ82" s="86">
        <f t="shared" si="205"/>
        <v>676472.91666666663</v>
      </c>
      <c r="AK82" s="86">
        <f t="shared" si="205"/>
        <v>676472.91666666663</v>
      </c>
      <c r="AL82" s="86">
        <f t="shared" si="205"/>
        <v>676472.91666666663</v>
      </c>
      <c r="AM82" s="86">
        <f t="shared" si="205"/>
        <v>676472.91666666663</v>
      </c>
      <c r="AN82" s="86">
        <f t="shared" si="205"/>
        <v>676472.91666666663</v>
      </c>
      <c r="AO82" s="86">
        <f t="shared" si="205"/>
        <v>676472.91666666663</v>
      </c>
      <c r="AP82" s="86">
        <f t="shared" si="205"/>
        <v>676472.91666666663</v>
      </c>
      <c r="AQ82" s="86">
        <f t="shared" si="205"/>
        <v>676472.91666666663</v>
      </c>
      <c r="AR82" s="149"/>
      <c r="AS82" s="149"/>
      <c r="AT82" s="150"/>
    </row>
    <row r="83" spans="1:46" s="151" customFormat="1" ht="10.5" x14ac:dyDescent="0.35">
      <c r="A83" s="128" t="str">
        <f>"Чистий грошовий потік (NCF) накопичувальним підсумком, "&amp;CHOOSE('Вхідні дані'!$R$2,'Вхідні дані'!$S$2,'Вхідні дані'!$S$3,'Вхідні дані'!$S$4,'Вхідні дані'!$S$5)&amp;""</f>
        <v>Чистий грошовий потік (NCF) накопичувальним підсумком, UAH</v>
      </c>
      <c r="B83" s="142"/>
      <c r="C83" s="142"/>
      <c r="D83" s="86">
        <f>B83+D82</f>
        <v>534172.91666666663</v>
      </c>
      <c r="E83" s="86">
        <f t="shared" ref="E83:O83" si="206">D83+E82</f>
        <v>1216845.8333333333</v>
      </c>
      <c r="F83" s="86">
        <f t="shared" si="206"/>
        <v>1899518.75</v>
      </c>
      <c r="G83" s="86">
        <f t="shared" si="206"/>
        <v>2582191.6666666665</v>
      </c>
      <c r="H83" s="86">
        <f t="shared" si="206"/>
        <v>3264864.583333333</v>
      </c>
      <c r="I83" s="86">
        <f t="shared" si="206"/>
        <v>3947537.4999999995</v>
      </c>
      <c r="J83" s="86">
        <f t="shared" si="206"/>
        <v>4630210.416666666</v>
      </c>
      <c r="K83" s="86">
        <f t="shared" si="206"/>
        <v>5312883.333333333</v>
      </c>
      <c r="L83" s="86">
        <f t="shared" si="206"/>
        <v>5995556.25</v>
      </c>
      <c r="M83" s="86">
        <f t="shared" si="206"/>
        <v>6678229.166666667</v>
      </c>
      <c r="N83" s="86">
        <f t="shared" si="206"/>
        <v>7360902.083333334</v>
      </c>
      <c r="O83" s="86">
        <f t="shared" si="206"/>
        <v>8043575.0000000009</v>
      </c>
      <c r="P83" s="149"/>
      <c r="Q83" s="149"/>
      <c r="R83" s="86">
        <f>O83+R82</f>
        <v>8723147.9166666679</v>
      </c>
      <c r="S83" s="86">
        <f t="shared" ref="S83:AC83" si="207">R83+S82</f>
        <v>9402720.833333334</v>
      </c>
      <c r="T83" s="86">
        <f t="shared" si="207"/>
        <v>10082293.75</v>
      </c>
      <c r="U83" s="86">
        <f t="shared" si="207"/>
        <v>10761866.666666666</v>
      </c>
      <c r="V83" s="86">
        <f t="shared" si="207"/>
        <v>11441439.583333332</v>
      </c>
      <c r="W83" s="86">
        <f t="shared" si="207"/>
        <v>12121012.499999998</v>
      </c>
      <c r="X83" s="86">
        <f t="shared" si="207"/>
        <v>12800585.416666664</v>
      </c>
      <c r="Y83" s="86">
        <f t="shared" si="207"/>
        <v>13480158.33333333</v>
      </c>
      <c r="Z83" s="86">
        <f t="shared" si="207"/>
        <v>14159731.249999996</v>
      </c>
      <c r="AA83" s="86">
        <f t="shared" si="207"/>
        <v>14839304.166666662</v>
      </c>
      <c r="AB83" s="86">
        <f t="shared" si="207"/>
        <v>15518877.083333328</v>
      </c>
      <c r="AC83" s="86">
        <f t="shared" si="207"/>
        <v>16198449.999999994</v>
      </c>
      <c r="AD83" s="149"/>
      <c r="AE83" s="149"/>
      <c r="AF83" s="86">
        <f>AC83+AF82</f>
        <v>16874922.91666666</v>
      </c>
      <c r="AG83" s="86">
        <f t="shared" ref="AG83:AQ83" si="208">AF83+AG82</f>
        <v>17551395.833333328</v>
      </c>
      <c r="AH83" s="86">
        <f t="shared" si="208"/>
        <v>18227868.749999996</v>
      </c>
      <c r="AI83" s="86">
        <f t="shared" si="208"/>
        <v>18904341.666666664</v>
      </c>
      <c r="AJ83" s="86">
        <f t="shared" si="208"/>
        <v>19580814.583333332</v>
      </c>
      <c r="AK83" s="86">
        <f t="shared" si="208"/>
        <v>20257287.5</v>
      </c>
      <c r="AL83" s="86">
        <f t="shared" si="208"/>
        <v>20933760.416666668</v>
      </c>
      <c r="AM83" s="86">
        <f t="shared" si="208"/>
        <v>21610233.333333336</v>
      </c>
      <c r="AN83" s="86">
        <f t="shared" si="208"/>
        <v>22286706.250000004</v>
      </c>
      <c r="AO83" s="86">
        <f t="shared" si="208"/>
        <v>22963179.166666672</v>
      </c>
      <c r="AP83" s="86">
        <f t="shared" si="208"/>
        <v>23639652.08333334</v>
      </c>
      <c r="AQ83" s="86">
        <f t="shared" si="208"/>
        <v>24316125.000000007</v>
      </c>
      <c r="AR83" s="149"/>
      <c r="AS83" s="149"/>
      <c r="AT83" s="150"/>
    </row>
    <row r="84" spans="1:46" s="78" customFormat="1" ht="10.5" x14ac:dyDescent="0.35">
      <c r="A84" s="124" t="str">
        <f>"Чиста приведена вартість (NPV), "&amp;CHOOSE('Вхідні дані'!$R$2,'Вхідні дані'!$S$2,'Вхідні дані'!$S$3,'Вхідні дані'!$S$4,'Вхідні дані'!$S$5)&amp;""</f>
        <v>Чиста приведена вартість (NPV), UAH</v>
      </c>
      <c r="B84" s="152"/>
      <c r="C84" s="152"/>
      <c r="D84" s="86">
        <f>IF(D82*D80&lt;0,D82,D82*D80)</f>
        <v>534172.91666666663</v>
      </c>
      <c r="E84" s="86">
        <f t="shared" ref="E84:O84" si="209">IF(E82*E80&lt;0,E82,E82*E80)</f>
        <v>677030.99173553719</v>
      </c>
      <c r="F84" s="86">
        <f t="shared" si="209"/>
        <v>671435.69428317738</v>
      </c>
      <c r="G84" s="86">
        <f t="shared" si="209"/>
        <v>665886.63895852305</v>
      </c>
      <c r="H84" s="86">
        <f t="shared" si="209"/>
        <v>660383.44359522953</v>
      </c>
      <c r="I84" s="86">
        <f t="shared" si="209"/>
        <v>654925.72918535164</v>
      </c>
      <c r="J84" s="86">
        <f t="shared" si="209"/>
        <v>649513.11985324125</v>
      </c>
      <c r="K84" s="86">
        <f t="shared" si="209"/>
        <v>644145.24282966089</v>
      </c>
      <c r="L84" s="86">
        <f>IF(L82*L80&lt;0,L82,L82*L80)</f>
        <v>638821.72842610988</v>
      </c>
      <c r="M84" s="86">
        <f t="shared" si="209"/>
        <v>633542.21000936523</v>
      </c>
      <c r="N84" s="86">
        <f t="shared" si="209"/>
        <v>628306.32397622999</v>
      </c>
      <c r="O84" s="86">
        <f t="shared" si="209"/>
        <v>623113.70972849266</v>
      </c>
      <c r="P84" s="87"/>
      <c r="Q84" s="87"/>
      <c r="R84" s="86">
        <f>IF(R82*R80&lt;0,R82,R82*R80)</f>
        <v>615157.85111574084</v>
      </c>
      <c r="S84" s="86">
        <f t="shared" ref="S84:AC84" si="210">IF(S82*S80&lt;0,S82,S82*S80)</f>
        <v>610073.9019329662</v>
      </c>
      <c r="T84" s="86">
        <f t="shared" si="210"/>
        <v>605031.96885914006</v>
      </c>
      <c r="U84" s="86">
        <f t="shared" si="210"/>
        <v>600031.70465369266</v>
      </c>
      <c r="V84" s="86">
        <f t="shared" si="210"/>
        <v>595072.76494581089</v>
      </c>
      <c r="W84" s="86">
        <f t="shared" si="210"/>
        <v>590154.80821072159</v>
      </c>
      <c r="X84" s="86">
        <f t="shared" si="210"/>
        <v>585277.49574617017</v>
      </c>
      <c r="Y84" s="86">
        <f t="shared" si="210"/>
        <v>580440.49164909439</v>
      </c>
      <c r="Z84" s="86">
        <f>IF(Z82*Z80&lt;0,Z82,Z82*Z80)</f>
        <v>575643.46279249038</v>
      </c>
      <c r="AA84" s="86">
        <f t="shared" si="210"/>
        <v>570886.07880246988</v>
      </c>
      <c r="AB84" s="86">
        <f t="shared" si="210"/>
        <v>566168.01203550713</v>
      </c>
      <c r="AC84" s="86">
        <f t="shared" si="210"/>
        <v>561488.93755587493</v>
      </c>
      <c r="AD84" s="87"/>
      <c r="AE84" s="87"/>
      <c r="AF84" s="86">
        <f>IF(AF82*AF80&lt;0,AF82,AF82*AF80)</f>
        <v>554308.36352981732</v>
      </c>
      <c r="AG84" s="86">
        <f t="shared" ref="AG84:AQ84" si="211">IF(AG82*AG80&lt;0,AG82,AG82*AG80)</f>
        <v>549727.30267419911</v>
      </c>
      <c r="AH84" s="86">
        <f t="shared" si="211"/>
        <v>545184.10182565195</v>
      </c>
      <c r="AI84" s="86">
        <f t="shared" si="211"/>
        <v>540678.44809155562</v>
      </c>
      <c r="AJ84" s="86">
        <f t="shared" si="211"/>
        <v>536210.0311651791</v>
      </c>
      <c r="AK84" s="86">
        <f t="shared" si="211"/>
        <v>531778.54330431006</v>
      </c>
      <c r="AL84" s="86">
        <f t="shared" si="211"/>
        <v>527383.67931005941</v>
      </c>
      <c r="AM84" s="86">
        <f t="shared" si="211"/>
        <v>523025.13650584413</v>
      </c>
      <c r="AN84" s="86">
        <f>IF(AN82*AN80&lt;0,AN82,AN82*AN80)</f>
        <v>518702.61471653963</v>
      </c>
      <c r="AO84" s="86">
        <f t="shared" si="211"/>
        <v>514415.81624780799</v>
      </c>
      <c r="AP84" s="86">
        <f t="shared" si="211"/>
        <v>510164.44586559461</v>
      </c>
      <c r="AQ84" s="86">
        <f t="shared" si="211"/>
        <v>505948.21077579644</v>
      </c>
      <c r="AR84" s="153"/>
      <c r="AS84" s="153"/>
      <c r="AT84" s="87"/>
    </row>
    <row r="85" spans="1:46" s="78" customFormat="1" ht="10.5" x14ac:dyDescent="0.35">
      <c r="A85" s="124" t="str">
        <f>"Чиста приведена вартість (NPV) накопичувальним підсумком, "&amp;CHOOSE('Вхідні дані'!$R$2,'Вхідні дані'!$S$2,'Вхідні дані'!$S$3,'Вхідні дані'!$S$4,'Вхідні дані'!$S$5)&amp;""</f>
        <v>Чиста приведена вартість (NPV) накопичувальним підсумком, UAH</v>
      </c>
      <c r="B85" s="152"/>
      <c r="C85" s="152"/>
      <c r="D85" s="86">
        <f>B85+D84</f>
        <v>534172.91666666663</v>
      </c>
      <c r="E85" s="86">
        <f t="shared" ref="E85:O85" si="212">D85+E84</f>
        <v>1211203.9084022038</v>
      </c>
      <c r="F85" s="86">
        <f t="shared" si="212"/>
        <v>1882639.6026853812</v>
      </c>
      <c r="G85" s="86">
        <f t="shared" si="212"/>
        <v>2548526.2416439042</v>
      </c>
      <c r="H85" s="86">
        <f t="shared" si="212"/>
        <v>3208909.6852391339</v>
      </c>
      <c r="I85" s="86">
        <f t="shared" si="212"/>
        <v>3863835.4144244855</v>
      </c>
      <c r="J85" s="86">
        <f t="shared" si="212"/>
        <v>4513348.5342777269</v>
      </c>
      <c r="K85" s="86">
        <f t="shared" si="212"/>
        <v>5157493.7771073878</v>
      </c>
      <c r="L85" s="86">
        <f t="shared" si="212"/>
        <v>5796315.5055334978</v>
      </c>
      <c r="M85" s="86">
        <f t="shared" si="212"/>
        <v>6429857.7155428631</v>
      </c>
      <c r="N85" s="86">
        <f t="shared" si="212"/>
        <v>7058164.039519093</v>
      </c>
      <c r="O85" s="86">
        <f t="shared" si="212"/>
        <v>7681277.7492475854</v>
      </c>
      <c r="P85" s="87"/>
      <c r="Q85" s="87"/>
      <c r="R85" s="86">
        <f>O85+R84</f>
        <v>8296435.6003633263</v>
      </c>
      <c r="S85" s="86">
        <f t="shared" ref="S85:AC85" si="213">R85+S84</f>
        <v>8906509.5022962932</v>
      </c>
      <c r="T85" s="86">
        <f t="shared" si="213"/>
        <v>9511541.471155433</v>
      </c>
      <c r="U85" s="86">
        <f t="shared" si="213"/>
        <v>10111573.175809126</v>
      </c>
      <c r="V85" s="86">
        <f t="shared" si="213"/>
        <v>10706645.940754937</v>
      </c>
      <c r="W85" s="86">
        <f t="shared" si="213"/>
        <v>11296800.748965658</v>
      </c>
      <c r="X85" s="86">
        <f t="shared" si="213"/>
        <v>11882078.244711827</v>
      </c>
      <c r="Y85" s="86">
        <f t="shared" si="213"/>
        <v>12462518.736360922</v>
      </c>
      <c r="Z85" s="86">
        <f t="shared" si="213"/>
        <v>13038162.199153412</v>
      </c>
      <c r="AA85" s="86">
        <f t="shared" si="213"/>
        <v>13609048.277955882</v>
      </c>
      <c r="AB85" s="86">
        <f t="shared" si="213"/>
        <v>14175216.28999139</v>
      </c>
      <c r="AC85" s="86">
        <f t="shared" si="213"/>
        <v>14736705.227547266</v>
      </c>
      <c r="AD85" s="87"/>
      <c r="AE85" s="87"/>
      <c r="AF85" s="86">
        <f>AC85+AF84</f>
        <v>15291013.591077084</v>
      </c>
      <c r="AG85" s="86">
        <f t="shared" ref="AG85:AQ85" si="214">AF85+AG84</f>
        <v>15840740.893751282</v>
      </c>
      <c r="AH85" s="86">
        <f t="shared" si="214"/>
        <v>16385924.995576935</v>
      </c>
      <c r="AI85" s="86">
        <f t="shared" si="214"/>
        <v>16926603.443668492</v>
      </c>
      <c r="AJ85" s="86">
        <f t="shared" si="214"/>
        <v>17462813.474833671</v>
      </c>
      <c r="AK85" s="86">
        <f t="shared" si="214"/>
        <v>17994592.01813798</v>
      </c>
      <c r="AL85" s="86">
        <f t="shared" si="214"/>
        <v>18521975.697448041</v>
      </c>
      <c r="AM85" s="86">
        <f t="shared" si="214"/>
        <v>19045000.833953887</v>
      </c>
      <c r="AN85" s="86">
        <f t="shared" si="214"/>
        <v>19563703.448670428</v>
      </c>
      <c r="AO85" s="86">
        <f t="shared" si="214"/>
        <v>20078119.264918238</v>
      </c>
      <c r="AP85" s="86">
        <f t="shared" si="214"/>
        <v>20588283.710783832</v>
      </c>
      <c r="AQ85" s="86">
        <f t="shared" si="214"/>
        <v>21094231.921559628</v>
      </c>
      <c r="AR85" s="153"/>
      <c r="AS85" s="153"/>
      <c r="AT85" s="87"/>
    </row>
    <row r="86" spans="1:46" s="78" customFormat="1" ht="10.5" x14ac:dyDescent="0.35">
      <c r="A86" s="128"/>
      <c r="B86" s="154"/>
      <c r="C86" s="154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3"/>
      <c r="Q86" s="153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3"/>
      <c r="AE86" s="153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3"/>
      <c r="AS86" s="153"/>
      <c r="AT86" s="155"/>
    </row>
    <row r="87" spans="1:46" s="78" customFormat="1" ht="10.5" x14ac:dyDescent="0.4">
      <c r="A87" s="156" t="str">
        <f>"Чиста приведена вартість (NPV) на кінець 3-го року, "&amp;CHOOSE('Вхідні дані'!$R$2,'Вхідні дані'!$S$2,'Вхідні дані'!$S$3,'Вхідні дані'!$S$4,'Вхідні дані'!$S$5)&amp;""</f>
        <v>Чиста приведена вартість (NPV) на кінець 3-го року, UAH</v>
      </c>
      <c r="B87" s="157">
        <f>AQ85+AT73</f>
        <v>20277231.921559628</v>
      </c>
      <c r="C87" s="153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3"/>
      <c r="Q87" s="153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3"/>
      <c r="AE87" s="153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3"/>
      <c r="AS87" s="153"/>
      <c r="AT87" s="155"/>
    </row>
    <row r="88" spans="1:46" s="78" customFormat="1" ht="10.5" x14ac:dyDescent="0.4">
      <c r="A88" s="156" t="s">
        <v>89</v>
      </c>
      <c r="B88" s="157">
        <f>AQ85/AT35</f>
        <v>25.819133318922432</v>
      </c>
      <c r="C88" s="153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3"/>
      <c r="Q88" s="153"/>
      <c r="R88" s="94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3"/>
      <c r="AE88" s="153"/>
      <c r="AF88" s="94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3"/>
      <c r="AS88" s="153"/>
      <c r="AT88" s="155"/>
    </row>
    <row r="89" spans="1:46" s="78" customFormat="1" ht="10.5" x14ac:dyDescent="0.4">
      <c r="A89" s="158" t="s">
        <v>90</v>
      </c>
      <c r="B89" s="159">
        <f>AT94</f>
        <v>2</v>
      </c>
      <c r="C89" s="225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3"/>
      <c r="Q89" s="153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3"/>
      <c r="AE89" s="153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3"/>
      <c r="AS89" s="153"/>
      <c r="AT89" s="155"/>
    </row>
    <row r="90" spans="1:46" s="8" customFormat="1" ht="10.5" x14ac:dyDescent="0.4">
      <c r="A90" s="158" t="s">
        <v>91</v>
      </c>
      <c r="B90" s="159">
        <f>AT95</f>
        <v>1</v>
      </c>
      <c r="C90" s="225"/>
      <c r="D90" s="114"/>
      <c r="E90" s="114"/>
      <c r="F90" s="160"/>
      <c r="G90" s="160"/>
      <c r="H90" s="160"/>
      <c r="I90" s="114"/>
      <c r="J90" s="112"/>
      <c r="K90" s="112"/>
      <c r="L90" s="112"/>
      <c r="M90" s="112"/>
      <c r="N90" s="112"/>
      <c r="O90" s="112"/>
      <c r="P90" s="115"/>
      <c r="Q90" s="115"/>
      <c r="R90" s="114"/>
      <c r="S90" s="114"/>
      <c r="T90" s="160"/>
      <c r="U90" s="160"/>
      <c r="V90" s="160"/>
      <c r="W90" s="114"/>
      <c r="X90" s="112"/>
      <c r="Y90" s="112"/>
      <c r="Z90" s="112"/>
      <c r="AA90" s="112"/>
      <c r="AB90" s="112"/>
      <c r="AC90" s="112"/>
      <c r="AD90" s="115"/>
      <c r="AE90" s="115"/>
      <c r="AF90" s="114"/>
      <c r="AG90" s="114"/>
      <c r="AH90" s="160"/>
      <c r="AI90" s="160"/>
      <c r="AJ90" s="160"/>
      <c r="AK90" s="114"/>
      <c r="AL90" s="112"/>
      <c r="AM90" s="112"/>
      <c r="AN90" s="112"/>
      <c r="AO90" s="112"/>
      <c r="AP90" s="112"/>
      <c r="AQ90" s="112"/>
      <c r="AR90" s="115"/>
      <c r="AS90" s="115"/>
      <c r="AT90" s="112"/>
    </row>
    <row r="91" spans="1:46" s="78" customFormat="1" ht="10.5" x14ac:dyDescent="0.4">
      <c r="B91" s="94"/>
      <c r="C91" s="94"/>
      <c r="D91" s="161"/>
      <c r="F91" s="162"/>
      <c r="P91" s="98"/>
      <c r="Q91" s="98"/>
      <c r="R91" s="161"/>
      <c r="T91" s="162"/>
      <c r="AD91" s="98"/>
      <c r="AE91" s="98"/>
      <c r="AF91" s="161"/>
      <c r="AH91" s="162"/>
      <c r="AR91" s="98"/>
      <c r="AS91" s="98"/>
    </row>
    <row r="92" spans="1:46" s="163" customFormat="1" ht="10.5" hidden="1" x14ac:dyDescent="0.4">
      <c r="B92" s="164" t="s">
        <v>110</v>
      </c>
      <c r="C92" s="164"/>
      <c r="D92" s="164">
        <f t="shared" ref="D92:O92" si="215">IF(D67&gt;0,0,1)</f>
        <v>1</v>
      </c>
      <c r="E92" s="164">
        <f t="shared" si="215"/>
        <v>0</v>
      </c>
      <c r="F92" s="164">
        <f t="shared" si="215"/>
        <v>0</v>
      </c>
      <c r="G92" s="164">
        <f t="shared" si="215"/>
        <v>0</v>
      </c>
      <c r="H92" s="164">
        <f t="shared" si="215"/>
        <v>0</v>
      </c>
      <c r="I92" s="164">
        <f t="shared" si="215"/>
        <v>0</v>
      </c>
      <c r="J92" s="164">
        <f t="shared" si="215"/>
        <v>0</v>
      </c>
      <c r="K92" s="164">
        <f t="shared" si="215"/>
        <v>0</v>
      </c>
      <c r="L92" s="164">
        <f t="shared" si="215"/>
        <v>0</v>
      </c>
      <c r="M92" s="164">
        <f t="shared" si="215"/>
        <v>0</v>
      </c>
      <c r="N92" s="164">
        <f t="shared" si="215"/>
        <v>0</v>
      </c>
      <c r="O92" s="164">
        <f t="shared" si="215"/>
        <v>0</v>
      </c>
      <c r="P92" s="165"/>
      <c r="Q92" s="165"/>
      <c r="R92" s="164">
        <f t="shared" ref="R92:AC92" si="216">IF(R67&gt;0,0,1)</f>
        <v>0</v>
      </c>
      <c r="S92" s="164">
        <f t="shared" si="216"/>
        <v>0</v>
      </c>
      <c r="T92" s="164">
        <f t="shared" si="216"/>
        <v>0</v>
      </c>
      <c r="U92" s="164">
        <f t="shared" si="216"/>
        <v>0</v>
      </c>
      <c r="V92" s="164">
        <f t="shared" si="216"/>
        <v>0</v>
      </c>
      <c r="W92" s="164">
        <f t="shared" si="216"/>
        <v>0</v>
      </c>
      <c r="X92" s="164">
        <f t="shared" si="216"/>
        <v>0</v>
      </c>
      <c r="Y92" s="164">
        <f t="shared" si="216"/>
        <v>0</v>
      </c>
      <c r="Z92" s="164">
        <f t="shared" si="216"/>
        <v>0</v>
      </c>
      <c r="AA92" s="164">
        <f t="shared" si="216"/>
        <v>0</v>
      </c>
      <c r="AB92" s="164">
        <f t="shared" si="216"/>
        <v>0</v>
      </c>
      <c r="AC92" s="164">
        <f t="shared" si="216"/>
        <v>0</v>
      </c>
      <c r="AD92" s="165"/>
      <c r="AE92" s="165"/>
      <c r="AF92" s="164">
        <f t="shared" ref="AF92:AQ92" si="217">IF(AF67&gt;0,0,1)</f>
        <v>0</v>
      </c>
      <c r="AG92" s="164">
        <f t="shared" si="217"/>
        <v>0</v>
      </c>
      <c r="AH92" s="164">
        <f t="shared" si="217"/>
        <v>0</v>
      </c>
      <c r="AI92" s="164">
        <f t="shared" si="217"/>
        <v>0</v>
      </c>
      <c r="AJ92" s="164">
        <f t="shared" si="217"/>
        <v>0</v>
      </c>
      <c r="AK92" s="164">
        <f t="shared" si="217"/>
        <v>0</v>
      </c>
      <c r="AL92" s="164">
        <f t="shared" si="217"/>
        <v>0</v>
      </c>
      <c r="AM92" s="164">
        <f t="shared" si="217"/>
        <v>0</v>
      </c>
      <c r="AN92" s="164">
        <f t="shared" si="217"/>
        <v>0</v>
      </c>
      <c r="AO92" s="164">
        <f t="shared" si="217"/>
        <v>0</v>
      </c>
      <c r="AP92" s="164">
        <f t="shared" si="217"/>
        <v>0</v>
      </c>
      <c r="AQ92" s="164">
        <f t="shared" si="217"/>
        <v>0</v>
      </c>
      <c r="AR92" s="165"/>
      <c r="AS92" s="165"/>
      <c r="AT92" s="163">
        <f>SUM(D92:AQ92)</f>
        <v>1</v>
      </c>
    </row>
    <row r="93" spans="1:46" s="164" customFormat="1" ht="10.199999999999999" hidden="1" x14ac:dyDescent="0.35">
      <c r="B93" s="164" t="s">
        <v>111</v>
      </c>
      <c r="D93" s="164">
        <f>IF(D66&gt;0,0,1)</f>
        <v>0</v>
      </c>
      <c r="E93" s="164">
        <f>IF(OR(E66&gt;0,D93=0),0,1)</f>
        <v>0</v>
      </c>
      <c r="F93" s="164">
        <f t="shared" ref="F93:O93" si="218">IF(OR(F66&gt;0,E93=0),0,1)</f>
        <v>0</v>
      </c>
      <c r="G93" s="164">
        <f t="shared" si="218"/>
        <v>0</v>
      </c>
      <c r="H93" s="164">
        <f t="shared" si="218"/>
        <v>0</v>
      </c>
      <c r="I93" s="164">
        <f t="shared" si="218"/>
        <v>0</v>
      </c>
      <c r="J93" s="164">
        <f>IF(OR(J66&gt;0,I93=0),0,1)</f>
        <v>0</v>
      </c>
      <c r="K93" s="164">
        <f t="shared" si="218"/>
        <v>0</v>
      </c>
      <c r="L93" s="164">
        <f t="shared" si="218"/>
        <v>0</v>
      </c>
      <c r="M93" s="164">
        <f>IF(OR(M66&gt;0,L93=0),0,1)</f>
        <v>0</v>
      </c>
      <c r="N93" s="164">
        <f t="shared" si="218"/>
        <v>0</v>
      </c>
      <c r="O93" s="164">
        <f t="shared" si="218"/>
        <v>0</v>
      </c>
      <c r="R93" s="164">
        <f>IF(OR(R66&gt;0,O93=0),0,1)</f>
        <v>0</v>
      </c>
      <c r="S93" s="164">
        <f t="shared" ref="S93:AC93" si="219">IF(OR(S66&gt;0,R93=0),0,1)</f>
        <v>0</v>
      </c>
      <c r="T93" s="164">
        <f t="shared" si="219"/>
        <v>0</v>
      </c>
      <c r="U93" s="164">
        <f t="shared" si="219"/>
        <v>0</v>
      </c>
      <c r="V93" s="164">
        <f t="shared" si="219"/>
        <v>0</v>
      </c>
      <c r="W93" s="164">
        <f>IF(OR(W66&gt;0,V93=0),0,1)</f>
        <v>0</v>
      </c>
      <c r="X93" s="164">
        <f t="shared" si="219"/>
        <v>0</v>
      </c>
      <c r="Y93" s="164">
        <f t="shared" si="219"/>
        <v>0</v>
      </c>
      <c r="Z93" s="164">
        <f>IF(OR(Z66&gt;0,Y93=0),0,1)</f>
        <v>0</v>
      </c>
      <c r="AA93" s="164">
        <f t="shared" si="219"/>
        <v>0</v>
      </c>
      <c r="AB93" s="164">
        <f t="shared" si="219"/>
        <v>0</v>
      </c>
      <c r="AC93" s="164">
        <f t="shared" si="219"/>
        <v>0</v>
      </c>
      <c r="AF93" s="164">
        <f>IF(OR(AF66&gt;0,AC93=0),0,1)</f>
        <v>0</v>
      </c>
      <c r="AG93" s="164">
        <f t="shared" ref="AG93:AQ93" si="220">IF(OR(AG66&gt;0,AF93=0),0,1)</f>
        <v>0</v>
      </c>
      <c r="AH93" s="164">
        <f t="shared" si="220"/>
        <v>0</v>
      </c>
      <c r="AI93" s="164">
        <f t="shared" si="220"/>
        <v>0</v>
      </c>
      <c r="AJ93" s="164">
        <f t="shared" si="220"/>
        <v>0</v>
      </c>
      <c r="AK93" s="164">
        <f>IF(OR(AK66&gt;0,AJ93=0),0,1)</f>
        <v>0</v>
      </c>
      <c r="AL93" s="164">
        <f t="shared" si="220"/>
        <v>0</v>
      </c>
      <c r="AM93" s="164">
        <f t="shared" si="220"/>
        <v>0</v>
      </c>
      <c r="AN93" s="164">
        <f>IF(OR(AN66&gt;0,AM93=0),0,1)</f>
        <v>0</v>
      </c>
      <c r="AO93" s="164">
        <f t="shared" si="220"/>
        <v>0</v>
      </c>
      <c r="AP93" s="164">
        <f t="shared" si="220"/>
        <v>0</v>
      </c>
      <c r="AQ93" s="164">
        <f t="shared" si="220"/>
        <v>0</v>
      </c>
      <c r="AT93" s="163">
        <f>SUM(D93:AQ93)</f>
        <v>0</v>
      </c>
    </row>
    <row r="94" spans="1:46" s="78" customFormat="1" ht="10.5" hidden="1" x14ac:dyDescent="0.4">
      <c r="P94" s="98"/>
      <c r="Q94" s="98"/>
      <c r="AD94" s="98"/>
      <c r="AE94" s="98"/>
      <c r="AR94" s="98"/>
      <c r="AS94" s="98"/>
      <c r="AT94" s="78">
        <f>IF(AS66&lt;0,"проект не окупается",IF(AT92&lt;36,AT92+1,-AT65/AS66+37))</f>
        <v>2</v>
      </c>
    </row>
    <row r="95" spans="1:46" s="167" customFormat="1" ht="14.1" hidden="1" x14ac:dyDescent="0.5">
      <c r="A95" s="78"/>
      <c r="B95" s="166"/>
      <c r="C95" s="166"/>
      <c r="P95" s="168"/>
      <c r="Q95" s="168"/>
      <c r="AD95" s="168"/>
      <c r="AE95" s="168"/>
      <c r="AR95" s="168"/>
      <c r="AS95" s="168"/>
      <c r="AT95" s="167">
        <f>IF(AS66&lt;0,"проект не окупается",IF(AT93&lt;36,AT93+1,-AT65/AS66+37))</f>
        <v>1</v>
      </c>
    </row>
    <row r="96" spans="1:46" s="167" customFormat="1" ht="14.1" x14ac:dyDescent="0.5">
      <c r="A96" s="78"/>
      <c r="B96" s="166"/>
      <c r="C96" s="166"/>
      <c r="P96" s="168"/>
      <c r="Q96" s="168"/>
      <c r="AD96" s="168"/>
      <c r="AE96" s="168"/>
      <c r="AR96" s="168"/>
      <c r="AS96" s="168"/>
    </row>
    <row r="97" spans="1:45" s="172" customFormat="1" ht="14.1" x14ac:dyDescent="0.5">
      <c r="A97" s="169"/>
      <c r="B97" s="169"/>
      <c r="C97" s="169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1"/>
      <c r="Q97" s="171"/>
      <c r="AD97" s="173"/>
      <c r="AE97" s="173"/>
      <c r="AR97" s="173"/>
      <c r="AS97" s="173"/>
    </row>
    <row r="98" spans="1:45" s="172" customFormat="1" ht="14.1" x14ac:dyDescent="0.5">
      <c r="A98" s="169"/>
      <c r="B98" s="169"/>
      <c r="C98" s="169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1"/>
      <c r="Q98" s="173"/>
      <c r="AD98" s="173"/>
      <c r="AE98" s="173"/>
      <c r="AR98" s="173"/>
      <c r="AS98" s="173"/>
    </row>
    <row r="99" spans="1:45" s="172" customFormat="1" ht="14.1" x14ac:dyDescent="0.5">
      <c r="A99" s="169"/>
      <c r="B99" s="169"/>
      <c r="C99" s="169"/>
      <c r="P99" s="173"/>
      <c r="Q99" s="173"/>
      <c r="AD99" s="173"/>
      <c r="AE99" s="173"/>
      <c r="AR99" s="173"/>
      <c r="AS99" s="173"/>
    </row>
    <row r="100" spans="1:45" s="167" customFormat="1" ht="14.1" x14ac:dyDescent="0.5">
      <c r="A100" s="78"/>
      <c r="B100" s="166"/>
      <c r="C100" s="166"/>
      <c r="P100" s="168"/>
      <c r="Q100" s="168"/>
      <c r="AD100" s="168"/>
      <c r="AE100" s="168"/>
      <c r="AR100" s="168"/>
      <c r="AS100" s="168"/>
    </row>
    <row r="101" spans="1:45" s="167" customFormat="1" ht="14.1" x14ac:dyDescent="0.5">
      <c r="A101" s="78"/>
      <c r="B101" s="166"/>
      <c r="C101" s="166"/>
      <c r="P101" s="168"/>
      <c r="Q101" s="168"/>
      <c r="AD101" s="168"/>
      <c r="AE101" s="168"/>
      <c r="AR101" s="168"/>
      <c r="AS101" s="168"/>
    </row>
    <row r="102" spans="1:45" s="167" customFormat="1" ht="14.1" x14ac:dyDescent="0.5">
      <c r="A102" s="78"/>
      <c r="B102" s="166"/>
      <c r="C102" s="166"/>
      <c r="P102" s="168"/>
      <c r="Q102" s="168"/>
      <c r="AD102" s="168"/>
      <c r="AE102" s="168"/>
      <c r="AR102" s="168"/>
      <c r="AS102" s="168"/>
    </row>
    <row r="103" spans="1:45" s="167" customFormat="1" ht="14.1" x14ac:dyDescent="0.5">
      <c r="A103" s="78"/>
      <c r="B103" s="166"/>
      <c r="C103" s="166"/>
      <c r="P103" s="168"/>
      <c r="Q103" s="168"/>
      <c r="AD103" s="168"/>
      <c r="AE103" s="168"/>
      <c r="AR103" s="168"/>
      <c r="AS103" s="168"/>
    </row>
    <row r="104" spans="1:45" s="167" customFormat="1" ht="14.1" x14ac:dyDescent="0.5">
      <c r="A104" s="78"/>
      <c r="B104" s="166"/>
      <c r="C104" s="166"/>
      <c r="P104" s="168"/>
      <c r="Q104" s="168"/>
      <c r="AD104" s="168"/>
      <c r="AE104" s="168"/>
      <c r="AR104" s="168"/>
      <c r="AS104" s="168"/>
    </row>
    <row r="105" spans="1:45" s="167" customFormat="1" ht="14.1" x14ac:dyDescent="0.5">
      <c r="A105" s="78"/>
      <c r="B105" s="166"/>
      <c r="C105" s="166"/>
      <c r="P105" s="168"/>
      <c r="Q105" s="168"/>
      <c r="AD105" s="168"/>
      <c r="AE105" s="168"/>
      <c r="AR105" s="168"/>
      <c r="AS105" s="168"/>
    </row>
    <row r="106" spans="1:45" s="167" customFormat="1" ht="14.1" x14ac:dyDescent="0.5">
      <c r="A106" s="78"/>
      <c r="B106" s="166"/>
      <c r="C106" s="166"/>
      <c r="P106" s="168"/>
      <c r="Q106" s="168"/>
      <c r="AD106" s="168"/>
      <c r="AE106" s="168"/>
      <c r="AR106" s="168"/>
      <c r="AS106" s="168"/>
    </row>
    <row r="107" spans="1:45" s="167" customFormat="1" ht="14.1" x14ac:dyDescent="0.5">
      <c r="A107" s="78"/>
      <c r="B107" s="166"/>
      <c r="C107" s="166"/>
      <c r="P107" s="168"/>
      <c r="Q107" s="168"/>
      <c r="AD107" s="168"/>
      <c r="AE107" s="168"/>
      <c r="AR107" s="168"/>
      <c r="AS107" s="168"/>
    </row>
    <row r="108" spans="1:45" s="167" customFormat="1" ht="14.1" x14ac:dyDescent="0.5">
      <c r="A108" s="78"/>
      <c r="B108" s="166"/>
      <c r="C108" s="166"/>
      <c r="P108" s="168"/>
      <c r="Q108" s="168"/>
      <c r="AD108" s="168"/>
      <c r="AE108" s="168"/>
      <c r="AR108" s="168"/>
      <c r="AS108" s="168"/>
    </row>
  </sheetData>
  <mergeCells count="10">
    <mergeCell ref="D3:Q3"/>
    <mergeCell ref="R3:AE3"/>
    <mergeCell ref="AF3:AS3"/>
    <mergeCell ref="AT12:AT13"/>
    <mergeCell ref="D4:Q4"/>
    <mergeCell ref="D12:Q12"/>
    <mergeCell ref="R4:AE4"/>
    <mergeCell ref="R12:AE12"/>
    <mergeCell ref="AF4:AS4"/>
    <mergeCell ref="AF12:AS12"/>
  </mergeCells>
  <conditionalFormatting sqref="D8:O9">
    <cfRule type="cellIs" dxfId="26" priority="129" operator="lessThan">
      <formula>1</formula>
    </cfRule>
    <cfRule type="cellIs" dxfId="25" priority="130" operator="greaterThan">
      <formula>1</formula>
    </cfRule>
  </conditionalFormatting>
  <conditionalFormatting sqref="D8:O8">
    <cfRule type="cellIs" dxfId="24" priority="131" operator="lessThan">
      <formula>1</formula>
    </cfRule>
  </conditionalFormatting>
  <conditionalFormatting sqref="R6:AC6">
    <cfRule type="cellIs" dxfId="23" priority="116" operator="lessThan">
      <formula>1</formula>
    </cfRule>
    <cfRule type="cellIs" dxfId="22" priority="117" operator="greaterThan">
      <formula>1</formula>
    </cfRule>
  </conditionalFormatting>
  <conditionalFormatting sqref="R8:AC8">
    <cfRule type="cellIs" dxfId="21" priority="115" operator="lessThan">
      <formula>1</formula>
    </cfRule>
  </conditionalFormatting>
  <conditionalFormatting sqref="R8:AC9">
    <cfRule type="cellIs" dxfId="20" priority="113" operator="lessThan">
      <formula>1</formula>
    </cfRule>
    <cfRule type="cellIs" dxfId="19" priority="114" operator="greaterThan">
      <formula>1</formula>
    </cfRule>
  </conditionalFormatting>
  <conditionalFormatting sqref="AF8:AQ8">
    <cfRule type="cellIs" dxfId="18" priority="97" operator="lessThan">
      <formula>1</formula>
    </cfRule>
  </conditionalFormatting>
  <conditionalFormatting sqref="AF8:AQ9">
    <cfRule type="cellIs" dxfId="17" priority="95" operator="lessThan">
      <formula>1</formula>
    </cfRule>
    <cfRule type="cellIs" dxfId="16" priority="96" operator="greaterThan">
      <formula>1</formula>
    </cfRule>
  </conditionalFormatting>
  <conditionalFormatting sqref="D7:O7">
    <cfRule type="cellIs" dxfId="15" priority="31" operator="lessThan">
      <formula>1</formula>
    </cfRule>
    <cfRule type="cellIs" dxfId="14" priority="32" operator="greaterThan">
      <formula>1</formula>
    </cfRule>
  </conditionalFormatting>
  <conditionalFormatting sqref="D6:O6">
    <cfRule type="cellIs" dxfId="13" priority="15" operator="lessThan">
      <formula>1</formula>
    </cfRule>
    <cfRule type="cellIs" dxfId="12" priority="16" operator="greaterThan">
      <formula>1</formula>
    </cfRule>
  </conditionalFormatting>
  <conditionalFormatting sqref="R7:AC7">
    <cfRule type="cellIs" dxfId="11" priority="13" operator="lessThan">
      <formula>1</formula>
    </cfRule>
    <cfRule type="cellIs" dxfId="10" priority="14" operator="greaterThan">
      <formula>1</formula>
    </cfRule>
  </conditionalFormatting>
  <conditionalFormatting sqref="AF7:AQ7">
    <cfRule type="cellIs" dxfId="9" priority="11" operator="lessThan">
      <formula>1</formula>
    </cfRule>
    <cfRule type="cellIs" dxfId="8" priority="12" operator="greaterThan">
      <formula>1</formula>
    </cfRule>
  </conditionalFormatting>
  <conditionalFormatting sqref="D10:O10">
    <cfRule type="cellIs" dxfId="7" priority="9" operator="lessThan">
      <formula>1</formula>
    </cfRule>
    <cfRule type="cellIs" dxfId="6" priority="10" operator="greaterThan">
      <formula>1</formula>
    </cfRule>
  </conditionalFormatting>
  <conditionalFormatting sqref="R10:AC10">
    <cfRule type="cellIs" dxfId="5" priority="7" operator="lessThan">
      <formula>1</formula>
    </cfRule>
    <cfRule type="cellIs" dxfId="4" priority="8" operator="greaterThan">
      <formula>1</formula>
    </cfRule>
  </conditionalFormatting>
  <conditionalFormatting sqref="AF6:AQ6">
    <cfRule type="cellIs" dxfId="3" priority="3" operator="lessThan">
      <formula>1</formula>
    </cfRule>
    <cfRule type="cellIs" dxfId="2" priority="4" operator="greaterThan">
      <formula>1</formula>
    </cfRule>
  </conditionalFormatting>
  <conditionalFormatting sqref="AF10:AQ10">
    <cfRule type="cellIs" dxfId="1" priority="1" operator="lessThan">
      <formula>1</formula>
    </cfRule>
    <cfRule type="cellIs" dxfId="0" priority="2" operator="greater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52" fitToHeight="2" orientation="landscape" horizontalDpi="300" verticalDpi="300" r:id="rId1"/>
  <headerFooter alignWithMargins="0"/>
  <colBreaks count="2" manualBreakCount="2">
    <brk id="17" min="2" max="99" man="1"/>
    <brk id="31" min="2" max="99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34330-AB07-4EA0-A767-79A059300239}">
  <dimension ref="A1:AP19"/>
  <sheetViews>
    <sheetView workbookViewId="0">
      <selection activeCell="B13" sqref="B13"/>
    </sheetView>
  </sheetViews>
  <sheetFormatPr defaultRowHeight="14.4" x14ac:dyDescent="0.55000000000000004"/>
  <cols>
    <col min="1" max="1" width="25.41796875" customWidth="1"/>
    <col min="2" max="4" width="13.15625" bestFit="1" customWidth="1"/>
    <col min="6" max="6" width="31.83984375" bestFit="1" customWidth="1"/>
    <col min="8" max="8" width="9.5234375" bestFit="1" customWidth="1"/>
  </cols>
  <sheetData>
    <row r="1" spans="1:42" ht="43.2" x14ac:dyDescent="0.55000000000000004">
      <c r="B1" s="257" t="s">
        <v>138</v>
      </c>
      <c r="C1" s="257" t="s">
        <v>140</v>
      </c>
      <c r="D1" s="257" t="s">
        <v>139</v>
      </c>
      <c r="F1" s="257" t="s">
        <v>142</v>
      </c>
      <c r="G1" s="258" t="str">
        <f>'Детальний розрахунок'!D13</f>
        <v>січень</v>
      </c>
      <c r="H1" s="258" t="str">
        <f>'Детальний розрахунок'!E13</f>
        <v>лютий</v>
      </c>
      <c r="I1" s="258" t="str">
        <f>'Детальний розрахунок'!F13</f>
        <v>березень</v>
      </c>
      <c r="J1" s="258" t="str">
        <f>'Детальний розрахунок'!G13</f>
        <v>квітень</v>
      </c>
      <c r="K1" s="258" t="str">
        <f>'Детальний розрахунок'!H13</f>
        <v>травень</v>
      </c>
      <c r="L1" s="258" t="str">
        <f>'Детальний розрахунок'!I13</f>
        <v>червень</v>
      </c>
      <c r="M1" s="258" t="str">
        <f>'Детальний розрахунок'!J13</f>
        <v>липень</v>
      </c>
      <c r="N1" s="258" t="str">
        <f>'Детальний розрахунок'!K13</f>
        <v>серпень</v>
      </c>
      <c r="O1" s="258" t="str">
        <f>'Детальний розрахунок'!L13</f>
        <v>вересень</v>
      </c>
      <c r="P1" s="258" t="str">
        <f>'Детальний розрахунок'!M13</f>
        <v>жовтень</v>
      </c>
      <c r="Q1" s="258" t="str">
        <f>'Детальний розрахунок'!N13</f>
        <v>листопад</v>
      </c>
      <c r="R1" s="258" t="str">
        <f>'Детальний розрахунок'!O13</f>
        <v>грудень</v>
      </c>
      <c r="S1" s="258" t="str">
        <f>'Детальний розрахунок'!R13</f>
        <v>січень</v>
      </c>
      <c r="T1" s="258" t="str">
        <f>'Детальний розрахунок'!S13</f>
        <v>лютий</v>
      </c>
      <c r="U1" s="258" t="str">
        <f>'Детальний розрахунок'!T13</f>
        <v>березень</v>
      </c>
      <c r="V1" s="258" t="str">
        <f>'Детальний розрахунок'!U13</f>
        <v>квітень</v>
      </c>
      <c r="W1" s="258" t="str">
        <f>'Детальний розрахунок'!V13</f>
        <v>травень</v>
      </c>
      <c r="X1" s="258" t="str">
        <f>'Детальний розрахунок'!W13</f>
        <v>червень</v>
      </c>
      <c r="Y1" s="258" t="str">
        <f>'Детальний розрахунок'!X13</f>
        <v>липень</v>
      </c>
      <c r="Z1" s="258" t="str">
        <f>'Детальний розрахунок'!Y13</f>
        <v>серпень</v>
      </c>
      <c r="AA1" s="258" t="str">
        <f>'Детальний розрахунок'!Z13</f>
        <v>вересень</v>
      </c>
      <c r="AB1" s="258" t="str">
        <f>'Детальний розрахунок'!AA13</f>
        <v>жовтень</v>
      </c>
      <c r="AC1" s="258" t="str">
        <f>'Детальний розрахунок'!AB13</f>
        <v>листопад</v>
      </c>
      <c r="AD1" s="258" t="str">
        <f>'Детальний розрахунок'!AC13</f>
        <v>грудень</v>
      </c>
      <c r="AE1" s="258" t="str">
        <f>'Детальний розрахунок'!AF13</f>
        <v>січень</v>
      </c>
      <c r="AF1" s="258" t="str">
        <f>'Детальний розрахунок'!AG13</f>
        <v>лютий</v>
      </c>
      <c r="AG1" s="258" t="str">
        <f>'Детальний розрахунок'!AH13</f>
        <v>березень</v>
      </c>
      <c r="AH1" s="258" t="str">
        <f>'Детальний розрахунок'!AI13</f>
        <v>квітень</v>
      </c>
      <c r="AI1" s="258" t="str">
        <f>'Детальний розрахунок'!AJ13</f>
        <v>травень</v>
      </c>
      <c r="AJ1" s="258" t="str">
        <f>'Детальний розрахунок'!AK13</f>
        <v>червень</v>
      </c>
      <c r="AK1" s="258" t="str">
        <f>'Детальний розрахунок'!AL13</f>
        <v>липень</v>
      </c>
      <c r="AL1" s="258" t="str">
        <f>'Детальний розрахунок'!AM13</f>
        <v>серпень</v>
      </c>
      <c r="AM1" s="258" t="str">
        <f>'Детальний розрахунок'!AN13</f>
        <v>вересень</v>
      </c>
      <c r="AN1" s="258" t="str">
        <f>'Детальний розрахунок'!AO13</f>
        <v>жовтень</v>
      </c>
      <c r="AO1" s="258" t="str">
        <f>'Детальний розрахунок'!AP13</f>
        <v>листопад</v>
      </c>
      <c r="AP1" s="258" t="str">
        <f>'Детальний розрахунок'!AQ13</f>
        <v>грудень</v>
      </c>
    </row>
    <row r="2" spans="1:42" x14ac:dyDescent="0.55000000000000004">
      <c r="A2" s="257" t="str">
        <f>"Виручка, "&amp;CHOOSE('Вхідні дані'!$R$2,'Вхідні дані'!$S$2,'Вхідні дані'!$S$3,'Вхідні дані'!$S$4,'Вхідні дані'!$S$5)&amp;"/рік"</f>
        <v>Виручка, UAH/рік</v>
      </c>
      <c r="B2" s="258">
        <f>'Детальний розрахунок'!P60</f>
        <v>17523000</v>
      </c>
      <c r="C2" s="258">
        <f>'Детальний розрахунок'!AD60</f>
        <v>17820000</v>
      </c>
      <c r="D2" s="258">
        <f>'Детальний розрахунок'!AR60</f>
        <v>17820000</v>
      </c>
      <c r="F2" t="str">
        <f>"ДИНАМІКА ПРОДАЖІВ, "&amp;CHOOSE('Вхідні дані'!$R$2,'Вхідні дані'!$S$2,'Вхідні дані'!$S$3,'Вхідні дані'!$S$4,'Вхідні дані'!$S$5)&amp;"/міс."</f>
        <v>ДИНАМІКА ПРОДАЖІВ, UAH/міс.</v>
      </c>
      <c r="G2" s="258">
        <f>'Детальний розрахунок'!D18</f>
        <v>1188000</v>
      </c>
      <c r="H2" s="258">
        <f>'Детальний розрахунок'!E18</f>
        <v>1485000</v>
      </c>
      <c r="I2" s="258">
        <f>'Детальний розрахунок'!F18</f>
        <v>1485000</v>
      </c>
      <c r="J2" s="258">
        <f>'Детальний розрахунок'!G18</f>
        <v>1485000</v>
      </c>
      <c r="K2" s="258">
        <f>'Детальний розрахунок'!H18</f>
        <v>1485000</v>
      </c>
      <c r="L2" s="258">
        <f>'Детальний розрахунок'!I18</f>
        <v>1485000</v>
      </c>
      <c r="M2" s="258">
        <f>'Детальний розрахунок'!J18</f>
        <v>1485000</v>
      </c>
      <c r="N2" s="258">
        <f>'Детальний розрахунок'!K18</f>
        <v>1485000</v>
      </c>
      <c r="O2" s="258">
        <f>'Детальний розрахунок'!L18</f>
        <v>1485000</v>
      </c>
      <c r="P2" s="258">
        <f>'Детальний розрахунок'!M18</f>
        <v>1485000</v>
      </c>
      <c r="Q2" s="258">
        <f>'Детальний розрахунок'!N18</f>
        <v>1485000</v>
      </c>
      <c r="R2" s="258">
        <f>'Детальний розрахунок'!O18</f>
        <v>1485000</v>
      </c>
      <c r="S2" s="258">
        <f>'Детальний розрахунок'!R18</f>
        <v>1485000</v>
      </c>
      <c r="T2" s="258">
        <f>'Детальний розрахунок'!S18</f>
        <v>1485000</v>
      </c>
      <c r="U2" s="258">
        <f>'Детальний розрахунок'!T18</f>
        <v>1485000</v>
      </c>
      <c r="V2" s="258">
        <f>'Детальний розрахунок'!U18</f>
        <v>1485000</v>
      </c>
      <c r="W2" s="258">
        <f>'Детальний розрахунок'!V18</f>
        <v>1485000</v>
      </c>
      <c r="X2" s="258">
        <f>'Детальний розрахунок'!W18</f>
        <v>1485000</v>
      </c>
      <c r="Y2" s="258">
        <f>'Детальний розрахунок'!X18</f>
        <v>1485000</v>
      </c>
      <c r="Z2" s="258">
        <f>'Детальний розрахунок'!Y18</f>
        <v>1485000</v>
      </c>
      <c r="AA2" s="258">
        <f>'Детальний розрахунок'!Z18</f>
        <v>1485000</v>
      </c>
      <c r="AB2" s="258">
        <f>'Детальний розрахунок'!AA18</f>
        <v>1485000</v>
      </c>
      <c r="AC2" s="258">
        <f>'Детальний розрахунок'!AB18</f>
        <v>1485000</v>
      </c>
      <c r="AD2" s="258">
        <f>'Детальний розрахунок'!AC18</f>
        <v>1485000</v>
      </c>
      <c r="AE2" s="258">
        <f>'Детальний розрахунок'!AF18</f>
        <v>1485000</v>
      </c>
      <c r="AF2" s="258">
        <f>'Детальний розрахунок'!AG18</f>
        <v>1485000</v>
      </c>
      <c r="AG2" s="258">
        <f>'Детальний розрахунок'!AH18</f>
        <v>1485000</v>
      </c>
      <c r="AH2" s="258">
        <f>'Детальний розрахунок'!AI18</f>
        <v>1485000</v>
      </c>
      <c r="AI2" s="258">
        <f>'Детальний розрахунок'!AJ18</f>
        <v>1485000</v>
      </c>
      <c r="AJ2" s="258">
        <f>'Детальний розрахунок'!AK18</f>
        <v>1485000</v>
      </c>
      <c r="AK2" s="258">
        <f>'Детальний розрахунок'!AL18</f>
        <v>1485000</v>
      </c>
      <c r="AL2" s="258">
        <f>'Детальний розрахунок'!AM18</f>
        <v>1485000</v>
      </c>
      <c r="AM2" s="258">
        <f>'Детальний розрахунок'!AN18</f>
        <v>1485000</v>
      </c>
      <c r="AN2" s="258">
        <f>'Детальний розрахунок'!AO18</f>
        <v>1485000</v>
      </c>
      <c r="AO2" s="258">
        <f>'Детальний розрахунок'!AP18</f>
        <v>1485000</v>
      </c>
      <c r="AP2" s="258">
        <f>'Детальний розрахунок'!AQ18</f>
        <v>1485000</v>
      </c>
    </row>
    <row r="3" spans="1:42" x14ac:dyDescent="0.55000000000000004">
      <c r="A3" s="257" t="str">
        <f>"Собівартість, "&amp;CHOOSE('Вхідні дані'!$R$2,'Вхідні дані'!$S$2,'Вхідні дані'!$S$3,'Вхідні дані'!$S$4,'Вхідні дані'!$S$5)&amp;"/рік"</f>
        <v>Собівартість, UAH/рік</v>
      </c>
      <c r="B3" s="258">
        <f>'Детальний розрахунок'!P61</f>
        <v>8761500</v>
      </c>
      <c r="C3" s="258">
        <f>'Детальний розрахунок'!AD61</f>
        <v>8910000</v>
      </c>
      <c r="D3" s="258">
        <f>'Детальний розрахунок'!AR61</f>
        <v>8910000</v>
      </c>
      <c r="F3" t="str">
        <f>"ДИНАМИКА ВИТРАТ, "&amp;CHOOSE('Вхідні дані'!$R$2,'Вхідні дані'!$S$2,'Вхідні дані'!$S$3,'Вхідні дані'!$S$4,'Вхідні дані'!$S$5)&amp;"/міс."</f>
        <v>ДИНАМИКА ВИТРАТ, UAH/міс.</v>
      </c>
      <c r="G3" s="258">
        <f>G4+G5</f>
        <v>653827.08333333337</v>
      </c>
      <c r="H3" s="258">
        <f t="shared" ref="H3:S3" si="0">H4+H5</f>
        <v>802327.08333333337</v>
      </c>
      <c r="I3" s="258">
        <f t="shared" si="0"/>
        <v>802327.08333333337</v>
      </c>
      <c r="J3" s="258">
        <f t="shared" si="0"/>
        <v>802327.08333333337</v>
      </c>
      <c r="K3" s="258">
        <f t="shared" si="0"/>
        <v>802327.08333333337</v>
      </c>
      <c r="L3" s="258">
        <f t="shared" si="0"/>
        <v>802327.08333333337</v>
      </c>
      <c r="M3" s="258">
        <f t="shared" si="0"/>
        <v>802327.08333333337</v>
      </c>
      <c r="N3" s="258">
        <f t="shared" si="0"/>
        <v>802327.08333333337</v>
      </c>
      <c r="O3" s="258">
        <f t="shared" si="0"/>
        <v>802327.08333333337</v>
      </c>
      <c r="P3" s="258">
        <f t="shared" si="0"/>
        <v>802327.08333333337</v>
      </c>
      <c r="Q3" s="258">
        <f t="shared" si="0"/>
        <v>802327.08333333337</v>
      </c>
      <c r="R3" s="258">
        <f t="shared" si="0"/>
        <v>802327.08333333337</v>
      </c>
      <c r="S3" s="258">
        <f t="shared" si="0"/>
        <v>805427.08333333337</v>
      </c>
      <c r="T3" s="258">
        <f t="shared" ref="T3" si="1">T4+T5</f>
        <v>805427.08333333337</v>
      </c>
      <c r="U3" s="258">
        <f t="shared" ref="U3" si="2">U4+U5</f>
        <v>805427.08333333337</v>
      </c>
      <c r="V3" s="258">
        <f t="shared" ref="V3" si="3">V4+V5</f>
        <v>805427.08333333337</v>
      </c>
      <c r="W3" s="258">
        <f t="shared" ref="W3" si="4">W4+W5</f>
        <v>805427.08333333337</v>
      </c>
      <c r="X3" s="258">
        <f t="shared" ref="X3" si="5">X4+X5</f>
        <v>805427.08333333337</v>
      </c>
      <c r="Y3" s="258">
        <f t="shared" ref="Y3" si="6">Y4+Y5</f>
        <v>805427.08333333337</v>
      </c>
      <c r="Z3" s="258">
        <f t="shared" ref="Z3" si="7">Z4+Z5</f>
        <v>805427.08333333337</v>
      </c>
      <c r="AA3" s="258">
        <f t="shared" ref="AA3" si="8">AA4+AA5</f>
        <v>805427.08333333337</v>
      </c>
      <c r="AB3" s="258">
        <f t="shared" ref="AB3" si="9">AB4+AB5</f>
        <v>805427.08333333337</v>
      </c>
      <c r="AC3" s="258">
        <f t="shared" ref="AC3" si="10">AC4+AC5</f>
        <v>805427.08333333337</v>
      </c>
      <c r="AD3" s="258">
        <f t="shared" ref="AD3" si="11">AD4+AD5</f>
        <v>805427.08333333337</v>
      </c>
      <c r="AE3" s="258">
        <f t="shared" ref="AE3" si="12">AE4+AE5</f>
        <v>808527.08333333337</v>
      </c>
      <c r="AF3" s="258">
        <f t="shared" ref="AF3" si="13">AF4+AF5</f>
        <v>808527.08333333337</v>
      </c>
      <c r="AG3" s="258">
        <f t="shared" ref="AG3" si="14">AG4+AG5</f>
        <v>808527.08333333337</v>
      </c>
      <c r="AH3" s="258">
        <f t="shared" ref="AH3" si="15">AH4+AH5</f>
        <v>808527.08333333337</v>
      </c>
      <c r="AI3" s="258">
        <f t="shared" ref="AI3" si="16">AI4+AI5</f>
        <v>808527.08333333337</v>
      </c>
      <c r="AJ3" s="258">
        <f t="shared" ref="AJ3" si="17">AJ4+AJ5</f>
        <v>808527.08333333337</v>
      </c>
      <c r="AK3" s="258">
        <f t="shared" ref="AK3" si="18">AK4+AK5</f>
        <v>808527.08333333337</v>
      </c>
      <c r="AL3" s="258">
        <f t="shared" ref="AL3" si="19">AL4+AL5</f>
        <v>808527.08333333337</v>
      </c>
      <c r="AM3" s="258">
        <f t="shared" ref="AM3" si="20">AM4+AM5</f>
        <v>808527.08333333337</v>
      </c>
      <c r="AN3" s="258">
        <f t="shared" ref="AN3" si="21">AN4+AN5</f>
        <v>808527.08333333337</v>
      </c>
      <c r="AO3" s="258">
        <f t="shared" ref="AO3" si="22">AO4+AO5</f>
        <v>808527.08333333337</v>
      </c>
      <c r="AP3" s="258">
        <f t="shared" ref="AP3" si="23">AP4+AP5</f>
        <v>808527.08333333337</v>
      </c>
    </row>
    <row r="4" spans="1:42" ht="28.8" x14ac:dyDescent="0.55000000000000004">
      <c r="A4" s="257" t="str">
        <f>"Поточні витрати (без собівартості), "&amp;CHOOSE('Вхідні дані'!$R$2,'Вхідні дані'!$S$2,'Вхідні дані'!$S$3,'Вхідні дані'!$S$4,'Вхідні дані'!$S$5)&amp;"/рік"</f>
        <v>Поточні витрати (без собівартості), UAH/рік</v>
      </c>
      <c r="B4" s="258">
        <f>'Детальний розрахунок'!P64</f>
        <v>717925.00000000012</v>
      </c>
      <c r="C4" s="258">
        <f>'Детальний розрахунок'!AD64</f>
        <v>755125.00000000012</v>
      </c>
      <c r="D4" s="258">
        <f>'Детальний розрахунок'!AR64</f>
        <v>792325.00000000012</v>
      </c>
      <c r="F4" t="str">
        <f>"ДИНАМИКА СОБІВАРТОСТІ, "&amp;CHOOSE('Вхідні дані'!$R$2,'Вхідні дані'!$S$2,'Вхідні дані'!$S$3,'Вхідні дані'!$S$4,'Вхідні дані'!$S$5)&amp;"/міс."</f>
        <v>ДИНАМИКА СОБІВАРТОСТІ, UAH/міс.</v>
      </c>
      <c r="G4" s="258">
        <f>'Детальний розрахунок'!D22</f>
        <v>594000</v>
      </c>
      <c r="H4" s="258">
        <f>'Детальний розрахунок'!E22</f>
        <v>742500</v>
      </c>
      <c r="I4" s="258">
        <f>'Детальний розрахунок'!F22</f>
        <v>742500</v>
      </c>
      <c r="J4" s="258">
        <f>'Детальний розрахунок'!G22</f>
        <v>742500</v>
      </c>
      <c r="K4" s="258">
        <f>'Детальний розрахунок'!H22</f>
        <v>742500</v>
      </c>
      <c r="L4" s="258">
        <f>'Детальний розрахунок'!I22</f>
        <v>742500</v>
      </c>
      <c r="M4" s="258">
        <f>'Детальний розрахунок'!J22</f>
        <v>742500</v>
      </c>
      <c r="N4" s="258">
        <f>'Детальний розрахунок'!K22</f>
        <v>742500</v>
      </c>
      <c r="O4" s="258">
        <f>'Детальний розрахунок'!L22</f>
        <v>742500</v>
      </c>
      <c r="P4" s="258">
        <f>'Детальний розрахунок'!M22</f>
        <v>742500</v>
      </c>
      <c r="Q4" s="258">
        <f>'Детальний розрахунок'!N22</f>
        <v>742500</v>
      </c>
      <c r="R4" s="258">
        <f>'Детальний розрахунок'!O22</f>
        <v>742500</v>
      </c>
      <c r="S4" s="258">
        <f>'Детальний розрахунок'!R22</f>
        <v>742500</v>
      </c>
      <c r="T4" s="258">
        <f>'Детальний розрахунок'!S22</f>
        <v>742500</v>
      </c>
      <c r="U4" s="258">
        <f>'Детальний розрахунок'!T22</f>
        <v>742500</v>
      </c>
      <c r="V4" s="258">
        <f>'Детальний розрахунок'!U22</f>
        <v>742500</v>
      </c>
      <c r="W4" s="258">
        <f>'Детальний розрахунок'!V22</f>
        <v>742500</v>
      </c>
      <c r="X4" s="258">
        <f>'Детальний розрахунок'!W22</f>
        <v>742500</v>
      </c>
      <c r="Y4" s="258">
        <f>'Детальний розрахунок'!X22</f>
        <v>742500</v>
      </c>
      <c r="Z4" s="258">
        <f>'Детальний розрахунок'!Y22</f>
        <v>742500</v>
      </c>
      <c r="AA4" s="258">
        <f>'Детальний розрахунок'!Z22</f>
        <v>742500</v>
      </c>
      <c r="AB4" s="258">
        <f>'Детальний розрахунок'!AA22</f>
        <v>742500</v>
      </c>
      <c r="AC4" s="258">
        <f>'Детальний розрахунок'!AB22</f>
        <v>742500</v>
      </c>
      <c r="AD4" s="258">
        <f>'Детальний розрахунок'!AC22</f>
        <v>742500</v>
      </c>
      <c r="AE4" s="258">
        <f>'Детальний розрахунок'!AF22</f>
        <v>742500</v>
      </c>
      <c r="AF4" s="258">
        <f>'Детальний розрахунок'!AG22</f>
        <v>742500</v>
      </c>
      <c r="AG4" s="258">
        <f>'Детальний розрахунок'!AH22</f>
        <v>742500</v>
      </c>
      <c r="AH4" s="258">
        <f>'Детальний розрахунок'!AI22</f>
        <v>742500</v>
      </c>
      <c r="AI4" s="258">
        <f>'Детальний розрахунок'!AJ22</f>
        <v>742500</v>
      </c>
      <c r="AJ4" s="258">
        <f>'Детальний розрахунок'!AK22</f>
        <v>742500</v>
      </c>
      <c r="AK4" s="258">
        <f>'Детальний розрахунок'!AL22</f>
        <v>742500</v>
      </c>
      <c r="AL4" s="258">
        <f>'Детальний розрахунок'!AM22</f>
        <v>742500</v>
      </c>
      <c r="AM4" s="258">
        <f>'Детальний розрахунок'!AN22</f>
        <v>742500</v>
      </c>
      <c r="AN4" s="258">
        <f>'Детальний розрахунок'!AO22</f>
        <v>742500</v>
      </c>
      <c r="AO4" s="258">
        <f>'Детальний розрахунок'!AP22</f>
        <v>742500</v>
      </c>
      <c r="AP4" s="258">
        <f>'Детальний розрахунок'!AQ22</f>
        <v>742500</v>
      </c>
    </row>
    <row r="5" spans="1:42" x14ac:dyDescent="0.55000000000000004">
      <c r="A5" s="257" t="str">
        <f>"Чистий прибуток, "&amp;CHOOSE('Вхідні дані'!$R$2,'Вхідні дані'!$S$2,'Вхідні дані'!$S$3,'Вхідні дані'!$S$4,'Вхідні дані'!$S$5)&amp;"/рік"</f>
        <v>Чистий прибуток, UAH/рік</v>
      </c>
      <c r="B5" s="258">
        <f>'Детальний розрахунок'!P66</f>
        <v>8043575.0000000009</v>
      </c>
      <c r="C5" s="258">
        <f>'Детальний розрахунок'!AD66</f>
        <v>8154875.0000000009</v>
      </c>
      <c r="D5" s="258">
        <f>'Детальний розрахунок'!AR66</f>
        <v>8117675.0000000009</v>
      </c>
      <c r="F5" t="str">
        <f>"ПОТОЧНІ ВИТРАТИ, "&amp;CHOOSE('Вхідні дані'!$R$2,'Вхідні дані'!$S$2,'Вхідні дані'!$S$3,'Вхідні дані'!$S$4,'Вхідні дані'!$S$5)&amp;"/міс."</f>
        <v>ПОТОЧНІ ВИТРАТИ, UAH/міс.</v>
      </c>
      <c r="G5" s="258">
        <f>'Детальний розрахунок'!D57</f>
        <v>59827.083333333336</v>
      </c>
      <c r="H5" s="258">
        <f>'Детальний розрахунок'!E57</f>
        <v>59827.083333333336</v>
      </c>
      <c r="I5" s="258">
        <f>'Детальний розрахунок'!F57</f>
        <v>59827.083333333336</v>
      </c>
      <c r="J5" s="258">
        <f>'Детальний розрахунок'!G57</f>
        <v>59827.083333333336</v>
      </c>
      <c r="K5" s="258">
        <f>'Детальний розрахунок'!H57</f>
        <v>59827.083333333336</v>
      </c>
      <c r="L5" s="258">
        <f>'Детальний розрахунок'!I57</f>
        <v>59827.083333333336</v>
      </c>
      <c r="M5" s="258">
        <f>'Детальний розрахунок'!J57</f>
        <v>59827.083333333336</v>
      </c>
      <c r="N5" s="258">
        <f>'Детальний розрахунок'!K57</f>
        <v>59827.083333333336</v>
      </c>
      <c r="O5" s="258">
        <f>'Детальний розрахунок'!L57</f>
        <v>59827.083333333336</v>
      </c>
      <c r="P5" s="258">
        <f>'Детальний розрахунок'!M57</f>
        <v>59827.083333333336</v>
      </c>
      <c r="Q5" s="258">
        <f>'Детальний розрахунок'!N57</f>
        <v>59827.083333333336</v>
      </c>
      <c r="R5" s="258">
        <f>'Детальний розрахунок'!O57</f>
        <v>59827.083333333336</v>
      </c>
      <c r="S5" s="258">
        <f>'Детальний розрахунок'!R57</f>
        <v>62927.083333333336</v>
      </c>
      <c r="T5" s="258">
        <f>'Детальний розрахунок'!S57</f>
        <v>62927.083333333336</v>
      </c>
      <c r="U5" s="258">
        <f>'Детальний розрахунок'!T57</f>
        <v>62927.083333333336</v>
      </c>
      <c r="V5" s="258">
        <f>'Детальний розрахунок'!U57</f>
        <v>62927.083333333336</v>
      </c>
      <c r="W5" s="258">
        <f>'Детальний розрахунок'!V57</f>
        <v>62927.083333333336</v>
      </c>
      <c r="X5" s="258">
        <f>'Детальний розрахунок'!W57</f>
        <v>62927.083333333336</v>
      </c>
      <c r="Y5" s="258">
        <f>'Детальний розрахунок'!X57</f>
        <v>62927.083333333336</v>
      </c>
      <c r="Z5" s="258">
        <f>'Детальний розрахунок'!Y57</f>
        <v>62927.083333333336</v>
      </c>
      <c r="AA5" s="258">
        <f>'Детальний розрахунок'!Z57</f>
        <v>62927.083333333336</v>
      </c>
      <c r="AB5" s="258">
        <f>'Детальний розрахунок'!AA57</f>
        <v>62927.083333333336</v>
      </c>
      <c r="AC5" s="258">
        <f>'Детальний розрахунок'!AB57</f>
        <v>62927.083333333336</v>
      </c>
      <c r="AD5" s="258">
        <f>'Детальний розрахунок'!AC57</f>
        <v>62927.083333333336</v>
      </c>
      <c r="AE5" s="258">
        <f>'Детальний розрахунок'!AF57</f>
        <v>66027.083333333328</v>
      </c>
      <c r="AF5" s="258">
        <f>'Детальний розрахунок'!AG57</f>
        <v>66027.083333333328</v>
      </c>
      <c r="AG5" s="258">
        <f>'Детальний розрахунок'!AH57</f>
        <v>66027.083333333328</v>
      </c>
      <c r="AH5" s="258">
        <f>'Детальний розрахунок'!AI57</f>
        <v>66027.083333333328</v>
      </c>
      <c r="AI5" s="258">
        <f>'Детальний розрахунок'!AJ57</f>
        <v>66027.083333333328</v>
      </c>
      <c r="AJ5" s="258">
        <f>'Детальний розрахунок'!AK57</f>
        <v>66027.083333333328</v>
      </c>
      <c r="AK5" s="258">
        <f>'Детальний розрахунок'!AL57</f>
        <v>66027.083333333328</v>
      </c>
      <c r="AL5" s="258">
        <f>'Детальний розрахунок'!AM57</f>
        <v>66027.083333333328</v>
      </c>
      <c r="AM5" s="258">
        <f>'Детальний розрахунок'!AN57</f>
        <v>66027.083333333328</v>
      </c>
      <c r="AN5" s="258">
        <f>'Детальний розрахунок'!AO57</f>
        <v>66027.083333333328</v>
      </c>
      <c r="AO5" s="258">
        <f>'Детальний розрахунок'!AP57</f>
        <v>66027.083333333328</v>
      </c>
      <c r="AP5" s="258">
        <f>'Детальний розрахунок'!AQ57</f>
        <v>66027.083333333328</v>
      </c>
    </row>
    <row r="6" spans="1:42" x14ac:dyDescent="0.55000000000000004">
      <c r="F6" t="str">
        <f>"ЧИСТИЙ ПРИБУТОК, "&amp;CHOOSE('Вхідні дані'!$R$2,'Вхідні дані'!$S$2,'Вхідні дані'!$S$3,'Вхідні дані'!$S$4,'Вхідні дані'!$S$5)&amp;"/міс."</f>
        <v>ЧИСТИЙ ПРИБУТОК, UAH/міс.</v>
      </c>
      <c r="G6" s="258">
        <f>G2-G3</f>
        <v>534172.91666666663</v>
      </c>
      <c r="H6" s="258">
        <f t="shared" ref="H6:S6" si="24">H2-H3</f>
        <v>682672.91666666663</v>
      </c>
      <c r="I6" s="258">
        <f t="shared" si="24"/>
        <v>682672.91666666663</v>
      </c>
      <c r="J6" s="258">
        <f t="shared" si="24"/>
        <v>682672.91666666663</v>
      </c>
      <c r="K6" s="258">
        <f t="shared" si="24"/>
        <v>682672.91666666663</v>
      </c>
      <c r="L6" s="258">
        <f t="shared" si="24"/>
        <v>682672.91666666663</v>
      </c>
      <c r="M6" s="258">
        <f t="shared" si="24"/>
        <v>682672.91666666663</v>
      </c>
      <c r="N6" s="258">
        <f t="shared" si="24"/>
        <v>682672.91666666663</v>
      </c>
      <c r="O6" s="258">
        <f t="shared" si="24"/>
        <v>682672.91666666663</v>
      </c>
      <c r="P6" s="258">
        <f t="shared" si="24"/>
        <v>682672.91666666663</v>
      </c>
      <c r="Q6" s="258">
        <f t="shared" si="24"/>
        <v>682672.91666666663</v>
      </c>
      <c r="R6" s="258">
        <f t="shared" si="24"/>
        <v>682672.91666666663</v>
      </c>
      <c r="S6" s="258">
        <f t="shared" si="24"/>
        <v>679572.91666666663</v>
      </c>
      <c r="T6" s="258">
        <f t="shared" ref="T6:AD6" si="25">T2-T3</f>
        <v>679572.91666666663</v>
      </c>
      <c r="U6" s="258">
        <f t="shared" si="25"/>
        <v>679572.91666666663</v>
      </c>
      <c r="V6" s="258">
        <f t="shared" si="25"/>
        <v>679572.91666666663</v>
      </c>
      <c r="W6" s="258">
        <f t="shared" si="25"/>
        <v>679572.91666666663</v>
      </c>
      <c r="X6" s="258">
        <f t="shared" si="25"/>
        <v>679572.91666666663</v>
      </c>
      <c r="Y6" s="258">
        <f t="shared" si="25"/>
        <v>679572.91666666663</v>
      </c>
      <c r="Z6" s="258">
        <f t="shared" si="25"/>
        <v>679572.91666666663</v>
      </c>
      <c r="AA6" s="258">
        <f t="shared" si="25"/>
        <v>679572.91666666663</v>
      </c>
      <c r="AB6" s="258">
        <f t="shared" si="25"/>
        <v>679572.91666666663</v>
      </c>
      <c r="AC6" s="258">
        <f t="shared" si="25"/>
        <v>679572.91666666663</v>
      </c>
      <c r="AD6" s="258">
        <f t="shared" si="25"/>
        <v>679572.91666666663</v>
      </c>
      <c r="AE6" s="258">
        <f t="shared" ref="AE6" si="26">AE2-AE3</f>
        <v>676472.91666666663</v>
      </c>
      <c r="AF6" s="258">
        <f t="shared" ref="AF6:AP6" si="27">AF2-AF3</f>
        <v>676472.91666666663</v>
      </c>
      <c r="AG6" s="258">
        <f t="shared" si="27"/>
        <v>676472.91666666663</v>
      </c>
      <c r="AH6" s="258">
        <f t="shared" si="27"/>
        <v>676472.91666666663</v>
      </c>
      <c r="AI6" s="258">
        <f t="shared" si="27"/>
        <v>676472.91666666663</v>
      </c>
      <c r="AJ6" s="258">
        <f t="shared" si="27"/>
        <v>676472.91666666663</v>
      </c>
      <c r="AK6" s="258">
        <f t="shared" si="27"/>
        <v>676472.91666666663</v>
      </c>
      <c r="AL6" s="258">
        <f t="shared" si="27"/>
        <v>676472.91666666663</v>
      </c>
      <c r="AM6" s="258">
        <f t="shared" si="27"/>
        <v>676472.91666666663</v>
      </c>
      <c r="AN6" s="258">
        <f t="shared" si="27"/>
        <v>676472.91666666663</v>
      </c>
      <c r="AO6" s="258">
        <f t="shared" si="27"/>
        <v>676472.91666666663</v>
      </c>
      <c r="AP6" s="258">
        <f t="shared" si="27"/>
        <v>676472.91666666663</v>
      </c>
    </row>
    <row r="7" spans="1:42" x14ac:dyDescent="0.55000000000000004">
      <c r="A7" s="257"/>
      <c r="AP7" s="258"/>
    </row>
    <row r="8" spans="1:42" x14ac:dyDescent="0.55000000000000004">
      <c r="A8" t="s">
        <v>141</v>
      </c>
    </row>
    <row r="9" spans="1:42" x14ac:dyDescent="0.55000000000000004">
      <c r="A9" s="260" t="str">
        <f>'Детальний розрахунок'!A25</f>
        <v>Авансовий платіж по оренді</v>
      </c>
      <c r="B9" s="258">
        <f>'Детальний розрахунок'!C25</f>
        <v>0</v>
      </c>
    </row>
    <row r="10" spans="1:42" x14ac:dyDescent="0.55000000000000004">
      <c r="A10" s="260" t="str">
        <f>'Детальний розрахунок'!A26</f>
        <v>Ремонт приміщення та вивіска</v>
      </c>
      <c r="B10" s="258">
        <f>'Детальний розрахунок'!C26</f>
        <v>105000</v>
      </c>
    </row>
    <row r="11" spans="1:42" x14ac:dyDescent="0.55000000000000004">
      <c r="A11" s="260" t="str">
        <f>'Детальний розрахунок'!A27</f>
        <v>Сигналізація (охоронна та пожежна)</v>
      </c>
      <c r="B11" s="258">
        <f>'Детальний розрахунок'!C27</f>
        <v>0</v>
      </c>
    </row>
    <row r="12" spans="1:42" x14ac:dyDescent="0.55000000000000004">
      <c r="A12" s="260" t="str">
        <f>'Детальний розрахунок'!A28</f>
        <v>Відеоспостереження</v>
      </c>
      <c r="B12" s="258">
        <f>'Детальний розрахунок'!C28</f>
        <v>0</v>
      </c>
    </row>
    <row r="13" spans="1:42" x14ac:dyDescent="0.55000000000000004">
      <c r="A13" s="260" t="str">
        <f>'Детальний розрахунок'!A29</f>
        <v>Меблі та обладнання</v>
      </c>
      <c r="B13" s="258">
        <f>'Детальний розрахунок'!C29</f>
        <v>471000</v>
      </c>
    </row>
    <row r="14" spans="1:42" x14ac:dyDescent="0.55000000000000004">
      <c r="A14" s="260" t="str">
        <f>'Детальний розрахунок'!A30</f>
        <v>Комп'ютери, каси та інша техніка</v>
      </c>
      <c r="B14" s="258">
        <f>'Детальний розрахунок'!C30</f>
        <v>15000</v>
      </c>
    </row>
    <row r="15" spans="1:42" x14ac:dyDescent="0.55000000000000004">
      <c r="A15" s="260" t="str">
        <f>'Детальний розрахунок'!A31</f>
        <v>Первісний закуп товарів</v>
      </c>
      <c r="B15" s="258">
        <f>'Детальний розрахунок'!C31</f>
        <v>30000</v>
      </c>
    </row>
    <row r="16" spans="1:42" x14ac:dyDescent="0.55000000000000004">
      <c r="A16" s="260" t="str">
        <f>'Детальний розрахунок'!A32</f>
        <v>Рекламна кампанія до відкриття</v>
      </c>
      <c r="B16" s="258">
        <f>'Детальний розрахунок'!C32</f>
        <v>0</v>
      </c>
    </row>
    <row r="17" spans="1:2" x14ac:dyDescent="0.55000000000000004">
      <c r="A17" s="260" t="str">
        <f>'Детальний розрахунок'!A33</f>
        <v>Паушальний внесок</v>
      </c>
      <c r="B17" s="258">
        <f>'Детальний розрахунок'!C33</f>
        <v>196000</v>
      </c>
    </row>
    <row r="18" spans="1:2" x14ac:dyDescent="0.55000000000000004">
      <c r="A18" s="260" t="str">
        <f>'Детальний розрахунок'!A34</f>
        <v>Інше</v>
      </c>
      <c r="B18" s="258">
        <f>'Детальний розрахунок'!C34</f>
        <v>0</v>
      </c>
    </row>
    <row r="19" spans="1:2" x14ac:dyDescent="0.55000000000000004">
      <c r="A19" s="259"/>
    </row>
  </sheetData>
  <pageMargins left="0.7" right="0.7" top="0.75" bottom="0.75" header="0.3" footer="0.3"/>
  <pageSetup paperSize="9" scale="2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D0E5-1AEA-4554-A6C9-2DBBA23D8562}">
  <dimension ref="A1:N1"/>
  <sheetViews>
    <sheetView zoomScale="60" zoomScaleNormal="60" workbookViewId="0">
      <selection activeCell="P26" sqref="P26"/>
    </sheetView>
  </sheetViews>
  <sheetFormatPr defaultRowHeight="14.4" x14ac:dyDescent="0.55000000000000004"/>
  <sheetData>
    <row r="1" spans="1:14" ht="49.2" customHeight="1" x14ac:dyDescent="0.55000000000000004">
      <c r="A1" s="527" t="str">
        <f>'Детальний розрахунок'!D3</f>
        <v>Фінансова модель франшизи "Галя Балувана", Міста з населенням більше 1 000 000 чол., Площа торгової точки 65 кв.м.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</sheetData>
  <mergeCells count="1">
    <mergeCell ref="A1:N1"/>
  </mergeCells>
  <pageMargins left="0.70866141732283472" right="0.70866141732283472" top="0.74803149606299213" bottom="0.74803149606299213" header="0.31496062992125984" footer="0.31496062992125984"/>
  <pageSetup paperSize="9"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Вхідні дані</vt:lpstr>
      <vt:lpstr>Інвестиції</vt:lpstr>
      <vt:lpstr>Узагальнений розрахунок</vt:lpstr>
      <vt:lpstr>Детальний розрахунок</vt:lpstr>
      <vt:lpstr>ВД Графіки</vt:lpstr>
      <vt:lpstr>Графіки</vt:lpstr>
      <vt:lpstr>'Детальний розрахунок'!Заголовки_для_печати</vt:lpstr>
      <vt:lpstr>Інвестиції!Заголовки_для_печати</vt:lpstr>
      <vt:lpstr>'Вхідні дані'!Область_печати</vt:lpstr>
      <vt:lpstr>'Детальний розрахунок'!Область_печати</vt:lpstr>
      <vt:lpstr>Інвестиції!Область_печати</vt:lpstr>
      <vt:lpstr>'Узагальнений розрахунок'!Область_печати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Яна Мирская</cp:lastModifiedBy>
  <cp:lastPrinted>2020-05-05T11:38:39Z</cp:lastPrinted>
  <dcterms:created xsi:type="dcterms:W3CDTF">2013-12-25T12:04:54Z</dcterms:created>
  <dcterms:modified xsi:type="dcterms:W3CDTF">2020-05-05T11:38:47Z</dcterms:modified>
</cp:coreProperties>
</file>