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Документы\United Gamers\франчпакет\02_Описание бизнес-процессов\"/>
    </mc:Choice>
  </mc:AlternateContent>
  <xr:revisionPtr revIDLastSave="0" documentId="13_ncr:1_{91688D63-3193-4258-AAE6-3F002FCC84D5}" xr6:coauthVersionLast="44" xr6:coauthVersionMax="44" xr10:uidLastSave="{00000000-0000-0000-0000-000000000000}"/>
  <bookViews>
    <workbookView xWindow="-108" yWindow="-108" windowWidth="23256" windowHeight="12576" activeTab="2" xr2:uid="{00000000-000D-0000-FFFF-FFFF00000000}"/>
  </bookViews>
  <sheets>
    <sheet name="стартовые затраты" sheetId="4" r:id="rId1"/>
    <sheet name="доходы_затраты" sheetId="2" r:id="rId2"/>
    <sheet name="кэшфлоу   20 комп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D7" i="2"/>
  <c r="C7" i="2"/>
  <c r="B4" i="4"/>
  <c r="O5" i="3" l="1"/>
  <c r="P5" i="3"/>
  <c r="Q5" i="3"/>
  <c r="R5" i="3"/>
  <c r="S5" i="3"/>
  <c r="T5" i="3"/>
  <c r="U5" i="3"/>
  <c r="V5" i="3"/>
  <c r="W5" i="3"/>
  <c r="X5" i="3"/>
  <c r="Y5" i="3"/>
  <c r="Z5" i="3"/>
  <c r="O6" i="3"/>
  <c r="O12" i="3" s="1"/>
  <c r="P6" i="3"/>
  <c r="P12" i="3" s="1"/>
  <c r="Q6" i="3"/>
  <c r="Q12" i="3" s="1"/>
  <c r="R6" i="3"/>
  <c r="R12" i="3" s="1"/>
  <c r="S6" i="3"/>
  <c r="S12" i="3" s="1"/>
  <c r="T6" i="3"/>
  <c r="T12" i="3" s="1"/>
  <c r="U6" i="3"/>
  <c r="U12" i="3" s="1"/>
  <c r="V6" i="3"/>
  <c r="V12" i="3" s="1"/>
  <c r="W6" i="3"/>
  <c r="W12" i="3" s="1"/>
  <c r="X6" i="3"/>
  <c r="X12" i="3" s="1"/>
  <c r="Y6" i="3"/>
  <c r="Y12" i="3" s="1"/>
  <c r="Z6" i="3"/>
  <c r="Z12" i="3" s="1"/>
  <c r="T13" i="3"/>
  <c r="D6" i="3"/>
  <c r="D12" i="3" s="1"/>
  <c r="E6" i="3"/>
  <c r="E12" i="3" s="1"/>
  <c r="F6" i="3"/>
  <c r="F12" i="3" s="1"/>
  <c r="G6" i="3"/>
  <c r="G12" i="3" s="1"/>
  <c r="H6" i="3"/>
  <c r="H12" i="3" s="1"/>
  <c r="I6" i="3"/>
  <c r="I12" i="3" s="1"/>
  <c r="J6" i="3"/>
  <c r="J12" i="3" s="1"/>
  <c r="K6" i="3"/>
  <c r="K12" i="3" s="1"/>
  <c r="L6" i="3"/>
  <c r="L12" i="3" s="1"/>
  <c r="M6" i="3"/>
  <c r="M12" i="3" s="1"/>
  <c r="N6" i="3"/>
  <c r="N12" i="3" s="1"/>
  <c r="C6" i="3"/>
  <c r="C12" i="3" s="1"/>
  <c r="I13" i="3"/>
  <c r="M13" i="3"/>
  <c r="E29" i="2"/>
  <c r="D29" i="2"/>
  <c r="D5" i="3"/>
  <c r="E5" i="3"/>
  <c r="F5" i="3"/>
  <c r="G5" i="3"/>
  <c r="H5" i="3"/>
  <c r="I5" i="3"/>
  <c r="J5" i="3"/>
  <c r="K5" i="3"/>
  <c r="L5" i="3"/>
  <c r="M5" i="3"/>
  <c r="N5" i="3"/>
  <c r="C5" i="3"/>
  <c r="B7" i="4"/>
  <c r="D7" i="4"/>
  <c r="C7" i="4"/>
  <c r="C4" i="4"/>
  <c r="D4" i="4"/>
  <c r="E14" i="2"/>
  <c r="E15" i="2" s="1"/>
  <c r="D14" i="2"/>
  <c r="C14" i="2"/>
  <c r="C15" i="2" s="1"/>
  <c r="D25" i="2"/>
  <c r="E25" i="2"/>
  <c r="C25" i="2"/>
  <c r="E27" i="2"/>
  <c r="D27" i="2"/>
  <c r="C27" i="2"/>
  <c r="D15" i="2"/>
  <c r="C11" i="3" l="1"/>
  <c r="K13" i="3"/>
  <c r="K11" i="3"/>
  <c r="G13" i="3"/>
  <c r="G11" i="3"/>
  <c r="W13" i="3"/>
  <c r="W11" i="3"/>
  <c r="S11" i="3"/>
  <c r="O13" i="3"/>
  <c r="O11" i="3"/>
  <c r="N11" i="3"/>
  <c r="J13" i="3"/>
  <c r="J11" i="3"/>
  <c r="F13" i="3"/>
  <c r="F11" i="3"/>
  <c r="Z11" i="3"/>
  <c r="V11" i="3"/>
  <c r="R11" i="3"/>
  <c r="M11" i="3"/>
  <c r="I11" i="3"/>
  <c r="E13" i="3"/>
  <c r="E11" i="3"/>
  <c r="Y13" i="3"/>
  <c r="Y11" i="3"/>
  <c r="U11" i="3"/>
  <c r="Q13" i="3"/>
  <c r="Q11" i="3"/>
  <c r="L13" i="3"/>
  <c r="L11" i="3"/>
  <c r="H13" i="3"/>
  <c r="H11" i="3"/>
  <c r="D13" i="3"/>
  <c r="D11" i="3"/>
  <c r="N13" i="3"/>
  <c r="U13" i="3"/>
  <c r="X13" i="3"/>
  <c r="X11" i="3"/>
  <c r="T11" i="3"/>
  <c r="P13" i="3"/>
  <c r="P11" i="3"/>
  <c r="C13" i="3"/>
  <c r="S13" i="3"/>
  <c r="Z13" i="3"/>
  <c r="V13" i="3"/>
  <c r="R13" i="3"/>
  <c r="C29" i="2"/>
  <c r="D52" i="2"/>
  <c r="D33" i="2" s="1"/>
  <c r="E52" i="2"/>
  <c r="E33" i="2" s="1"/>
  <c r="C52" i="2"/>
  <c r="C33" i="2" s="1"/>
  <c r="D45" i="2"/>
  <c r="E45" i="2"/>
  <c r="C45" i="2"/>
  <c r="D41" i="2"/>
  <c r="E41" i="2"/>
  <c r="C41" i="2"/>
  <c r="D16" i="4"/>
  <c r="C16" i="4"/>
  <c r="B16" i="4"/>
  <c r="B8" i="3" s="1"/>
  <c r="B17" i="3" s="1"/>
  <c r="B21" i="3" s="1"/>
  <c r="W14" i="3" l="1"/>
  <c r="W15" i="3" s="1"/>
  <c r="O9" i="3"/>
  <c r="S9" i="3"/>
  <c r="S19" i="3" s="1"/>
  <c r="S20" i="3" s="1"/>
  <c r="W9" i="3"/>
  <c r="W19" i="3" s="1"/>
  <c r="W20" i="3" s="1"/>
  <c r="P9" i="3"/>
  <c r="T9" i="3"/>
  <c r="X9" i="3"/>
  <c r="V9" i="3"/>
  <c r="C9" i="3"/>
  <c r="Q9" i="3"/>
  <c r="Q19" i="3" s="1"/>
  <c r="Q20" i="3" s="1"/>
  <c r="U9" i="3"/>
  <c r="U19" i="3" s="1"/>
  <c r="U20" i="3" s="1"/>
  <c r="Y9" i="3"/>
  <c r="R9" i="3"/>
  <c r="R19" i="3" s="1"/>
  <c r="R20" i="3" s="1"/>
  <c r="Z9" i="3"/>
  <c r="Z19" i="3" s="1"/>
  <c r="Z20" i="3" s="1"/>
  <c r="C19" i="3"/>
  <c r="C20" i="3" s="1"/>
  <c r="U14" i="3"/>
  <c r="U15" i="3" s="1"/>
  <c r="R14" i="3"/>
  <c r="R15" i="3" s="1"/>
  <c r="C14" i="3"/>
  <c r="C15" i="3" s="1"/>
  <c r="E46" i="2"/>
  <c r="C53" i="2"/>
  <c r="D46" i="2"/>
  <c r="C46" i="2"/>
  <c r="E53" i="2"/>
  <c r="E55" i="2" s="1"/>
  <c r="E32" i="2" s="1"/>
  <c r="D53" i="2"/>
  <c r="O19" i="3" l="1"/>
  <c r="O20" i="3" s="1"/>
  <c r="O14" i="3"/>
  <c r="O15" i="3" s="1"/>
  <c r="T19" i="3"/>
  <c r="T20" i="3" s="1"/>
  <c r="T14" i="3"/>
  <c r="T15" i="3" s="1"/>
  <c r="Z14" i="3"/>
  <c r="Z15" i="3" s="1"/>
  <c r="P19" i="3"/>
  <c r="P20" i="3" s="1"/>
  <c r="P14" i="3"/>
  <c r="P15" i="3" s="1"/>
  <c r="X19" i="3"/>
  <c r="X20" i="3" s="1"/>
  <c r="X14" i="3"/>
  <c r="X15" i="3" s="1"/>
  <c r="Q14" i="3"/>
  <c r="Q15" i="3" s="1"/>
  <c r="Y19" i="3"/>
  <c r="Y20" i="3" s="1"/>
  <c r="Y14" i="3"/>
  <c r="Y15" i="3" s="1"/>
  <c r="V19" i="3"/>
  <c r="V20" i="3" s="1"/>
  <c r="V14" i="3"/>
  <c r="V15" i="3" s="1"/>
  <c r="S14" i="3"/>
  <c r="S15" i="3" s="1"/>
  <c r="C21" i="3"/>
  <c r="C55" i="2"/>
  <c r="C32" i="2" s="1"/>
  <c r="C31" i="2" s="1"/>
  <c r="D55" i="2"/>
  <c r="D32" i="2" s="1"/>
  <c r="J9" i="3"/>
  <c r="L9" i="3"/>
  <c r="D9" i="3"/>
  <c r="D19" i="3" s="1"/>
  <c r="D20" i="3" s="1"/>
  <c r="G9" i="3"/>
  <c r="H9" i="3"/>
  <c r="K9" i="3"/>
  <c r="E9" i="3"/>
  <c r="E19" i="3" s="1"/>
  <c r="E20" i="3" s="1"/>
  <c r="I9" i="3"/>
  <c r="M9" i="3"/>
  <c r="F9" i="3"/>
  <c r="N9" i="3"/>
  <c r="M14" i="3" l="1"/>
  <c r="M19" i="3"/>
  <c r="M20" i="3" s="1"/>
  <c r="J14" i="3"/>
  <c r="J19" i="3"/>
  <c r="J20" i="3" s="1"/>
  <c r="I14" i="3"/>
  <c r="I19" i="3"/>
  <c r="I20" i="3" s="1"/>
  <c r="G14" i="3"/>
  <c r="G19" i="3"/>
  <c r="G20" i="3" s="1"/>
  <c r="N14" i="3"/>
  <c r="N19" i="3"/>
  <c r="N20" i="3" s="1"/>
  <c r="H14" i="3"/>
  <c r="H19" i="3"/>
  <c r="H20" i="3" s="1"/>
  <c r="F14" i="3"/>
  <c r="F19" i="3"/>
  <c r="F20" i="3" s="1"/>
  <c r="K14" i="3"/>
  <c r="K19" i="3"/>
  <c r="K20" i="3" s="1"/>
  <c r="L14" i="3"/>
  <c r="L19" i="3"/>
  <c r="L20" i="3" s="1"/>
  <c r="E14" i="3"/>
  <c r="D15" i="3"/>
  <c r="D14" i="3"/>
  <c r="C34" i="2"/>
  <c r="C57" i="2" s="1"/>
  <c r="C59" i="2" s="1"/>
  <c r="C17" i="3"/>
  <c r="L15" i="3"/>
  <c r="F15" i="3"/>
  <c r="G15" i="3"/>
  <c r="M15" i="3"/>
  <c r="K15" i="3"/>
  <c r="N15" i="3"/>
  <c r="I15" i="3"/>
  <c r="J15" i="3"/>
  <c r="H15" i="3"/>
  <c r="E31" i="2"/>
  <c r="E34" i="2" s="1"/>
  <c r="E57" i="2" s="1"/>
  <c r="E59" i="2" s="1"/>
  <c r="D31" i="2"/>
  <c r="D34" i="2" s="1"/>
  <c r="D57" i="2" s="1"/>
  <c r="D59" i="2" s="1"/>
  <c r="E15" i="3" l="1"/>
  <c r="D21" i="3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D17" i="3"/>
  <c r="E17" i="3" s="1"/>
  <c r="F17" i="3" s="1"/>
  <c r="G17" i="3" l="1"/>
  <c r="H17" i="3" l="1"/>
  <c r="I17" i="3" l="1"/>
  <c r="J17" i="3" l="1"/>
  <c r="K17" i="3" l="1"/>
  <c r="L17" i="3" l="1"/>
  <c r="M17" i="3" l="1"/>
  <c r="N17" i="3" l="1"/>
  <c r="O17" i="3" l="1"/>
  <c r="P17" i="3" l="1"/>
  <c r="Q17" i="3" l="1"/>
  <c r="R17" i="3" l="1"/>
  <c r="S17" i="3" l="1"/>
  <c r="T17" i="3" l="1"/>
  <c r="U17" i="3" l="1"/>
  <c r="V17" i="3" l="1"/>
  <c r="W17" i="3" l="1"/>
  <c r="X17" i="3" l="1"/>
  <c r="Y17" i="3" l="1"/>
  <c r="Z17" i="3" l="1"/>
</calcChain>
</file>

<file path=xl/sharedStrings.xml><?xml version="1.0" encoding="utf-8"?>
<sst xmlns="http://schemas.openxmlformats.org/spreadsheetml/2006/main" count="117" uniqueCount="111">
  <si>
    <t>Инвестиции в открытие:</t>
  </si>
  <si>
    <t xml:space="preserve">Статья расходов </t>
  </si>
  <si>
    <t>прогнозный кэш-флоу</t>
  </si>
  <si>
    <t xml:space="preserve">формат </t>
  </si>
  <si>
    <t>стоимость работ</t>
  </si>
  <si>
    <t>0 месяц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</si>
  <si>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</si>
  <si>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</si>
  <si>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</si>
  <si>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</si>
  <si>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</si>
  <si>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</si>
  <si>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</si>
  <si>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</si>
  <si>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</si>
  <si>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</si>
  <si>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</si>
  <si>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</si>
  <si>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13 месяц</t>
  </si>
  <si>
    <t>14 месяц</t>
  </si>
  <si>
    <t>15 месяц</t>
  </si>
  <si>
    <t>16 месяц</t>
  </si>
  <si>
    <t>17 месяц</t>
  </si>
  <si>
    <t>18 месяц</t>
  </si>
  <si>
    <t>19 месяц</t>
  </si>
  <si>
    <t>20 месяц</t>
  </si>
  <si>
    <t>21 месяц</t>
  </si>
  <si>
    <t>22 месяц</t>
  </si>
  <si>
    <t>23 месяц</t>
  </si>
  <si>
    <t>24 месяц</t>
  </si>
  <si>
    <t>Проектирование, ремонтные работы и монтаж</t>
  </si>
  <si>
    <t>Мебель, декор, освещение</t>
  </si>
  <si>
    <t>Кассовое оборудование</t>
  </si>
  <si>
    <t>Стартовая рекламная кампания</t>
  </si>
  <si>
    <t>Закупка сопутствующих товаров  и расходных материалов</t>
  </si>
  <si>
    <t xml:space="preserve">основная единица расчета доходов и расходов </t>
  </si>
  <si>
    <t xml:space="preserve">Паушальный взнос </t>
  </si>
  <si>
    <t>Итого:</t>
  </si>
  <si>
    <t>расходная часть</t>
  </si>
  <si>
    <t>постоянные издержки</t>
  </si>
  <si>
    <t>Ожидаемая выручка от продажи сопутствующих товаров</t>
  </si>
  <si>
    <t>Коммунальные платежи</t>
  </si>
  <si>
    <t>Пожарная сигнализация (абон.плата)</t>
  </si>
  <si>
    <t xml:space="preserve">Картриджи принтер, канц. товары </t>
  </si>
  <si>
    <t xml:space="preserve">обслуживание ккм </t>
  </si>
  <si>
    <t>уборка и доставка</t>
  </si>
  <si>
    <t>Ожидаемая выручка</t>
  </si>
  <si>
    <t>Бухгалтер</t>
  </si>
  <si>
    <t>РКО+банковский счет</t>
  </si>
  <si>
    <t>ИТОГО ПОСТОЯННЫЕ ИЗДЕРЖКИ</t>
  </si>
  <si>
    <t>Переменные издержки</t>
  </si>
  <si>
    <t>Налоги на ФОТ специалистов</t>
  </si>
  <si>
    <t>Ремонт Поддерживающий</t>
  </si>
  <si>
    <t>Эквайринг</t>
  </si>
  <si>
    <t>Затраты на открытие</t>
  </si>
  <si>
    <t>постоянные затраты</t>
  </si>
  <si>
    <t>доходная часть</t>
  </si>
  <si>
    <t>переменные затраты</t>
  </si>
  <si>
    <t>1. основные доходы</t>
  </si>
  <si>
    <t xml:space="preserve">кол-во дней в месяце </t>
  </si>
  <si>
    <t>выручка в мес по основному доходу</t>
  </si>
  <si>
    <t>Роялти</t>
  </si>
  <si>
    <t>Операционная рентабельность</t>
  </si>
  <si>
    <t>Операционная прибыль</t>
  </si>
  <si>
    <t>раскрутка</t>
  </si>
  <si>
    <t>20 комп.</t>
  </si>
  <si>
    <t>40 комп.</t>
  </si>
  <si>
    <t>60 комп.</t>
  </si>
  <si>
    <t>Стаховой депозит(оплата двух месяцев аренды помещения)</t>
  </si>
  <si>
    <t>Подставьте фактические значения для вашего региона!!!</t>
  </si>
  <si>
    <t>Калькулятор франчайзиногового кибер-клуба</t>
  </si>
  <si>
    <t xml:space="preserve">Программное обеспечение (CeNet) </t>
  </si>
  <si>
    <t>Лицензии на игры</t>
  </si>
  <si>
    <t>Техник (по требованию)</t>
  </si>
  <si>
    <t>Амортизация компьютерного игрового оборудования (36 мес)</t>
  </si>
  <si>
    <t>ФОТ администраторов</t>
  </si>
  <si>
    <t>SMM/community менеджер</t>
  </si>
  <si>
    <t>Маркетинговый бюджет</t>
  </si>
  <si>
    <t>Закупка розницы (снеки и т.д.)</t>
  </si>
  <si>
    <t>Продажа снеков</t>
  </si>
  <si>
    <t>средний чек бронирования bootcamp</t>
  </si>
  <si>
    <t>кол-во комнат</t>
  </si>
  <si>
    <t>количество бронирования 1 bootcamp в мес</t>
  </si>
  <si>
    <t>выручка от  бронирования bootcamp в мес</t>
  </si>
  <si>
    <t>выручка от аренды ПК</t>
  </si>
  <si>
    <t>2. сопутствующие услуги</t>
  </si>
  <si>
    <t>средний чек снеки</t>
  </si>
  <si>
    <t>конверсия в покупки снеков</t>
  </si>
  <si>
    <t>ИТОГО выручка в мес</t>
  </si>
  <si>
    <t>ИТОГО сопутствующие услуги</t>
  </si>
  <si>
    <t>кол-во компьютеров в клубе</t>
  </si>
  <si>
    <t xml:space="preserve">Аренда  площадь от 80 до 150 метров, 500 - 1200р. кв. метр в месяц </t>
  </si>
  <si>
    <t>Манго/МТС телефония</t>
  </si>
  <si>
    <t>Интернет (200-300 мб/с+резервн. канал)</t>
  </si>
  <si>
    <t>ПАТЕНТ</t>
  </si>
  <si>
    <t>Среднесуточная загрузка за период 30 дней, часов</t>
  </si>
  <si>
    <t>загрузка часов в сутки</t>
  </si>
  <si>
    <t>ИТОГО ИЗДЕРЖКИ</t>
  </si>
  <si>
    <t>ИТОГО ЧИСТАЯ ПРИБЫЛЬ в мес (с учетом фонда на амортизацию)</t>
  </si>
  <si>
    <t>ИТОГО ЧИСТАЯ ПРИБЫЛЬ в мес (без формирования фонда на амортизацию)</t>
  </si>
  <si>
    <t>Подведение электричества и высокоскоростного интернета*</t>
  </si>
  <si>
    <t>Рабочее места администратора</t>
  </si>
  <si>
    <t>Ппроизводство рекламной вывески и вывески ресепщн</t>
  </si>
  <si>
    <t xml:space="preserve">Регистрация ООО или ИП </t>
  </si>
  <si>
    <t>Игровое оборудование, кресла, столы</t>
  </si>
  <si>
    <t>!!! Бизнес-модель учитывает стоимость полной амортизации оборудования за 36 мес.</t>
  </si>
  <si>
    <t>* денежный поток (с учетом амортизации)</t>
  </si>
  <si>
    <t>* денежный поток (без учетом амортизации) EBIDA</t>
  </si>
  <si>
    <t>окупаемость</t>
  </si>
  <si>
    <t>Операционная прибыль БЕЗ учета амортизации</t>
  </si>
  <si>
    <t>средняя стоимость часа игры,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</si>
</sst>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-* #,##0\ &quot;₽&quot;_-;\-* #,##0\ &quot;₽&quot;_-;_-* &quot;-&quot;\ &quot;₽&quot;_-;_-@"/>
    <numFmt numFmtId="165" formatCode="_-* #,##0\ _₽_-;\-* #,##0\ _₽_-;_-* &quot;-&quot;??\ _₽_-;_-@"/>
    <numFmt numFmtId="166" formatCode="_-* #,##0\ _₽_-;\-* #,##0\ _₽_-;_-* &quot;-&quot;\ _₽_-;_-@"/>
    <numFmt numFmtId="167" formatCode="_-* #,##0.0\ _₽_-;\-* #,##0.0\ _₽_-;_-* &quot;-&quot;\ _₽_-;_-@"/>
    <numFmt numFmtId="168" formatCode="_-* #,##0_-;\-* #,##0_-;_-* &quot;-&quot;??_-;_-@_-"/>
  </numFmts>
  <fonts count="15" x14ac:knownFonts="1">
    <font>
      <sz val="12"/>
      <color rgb="FF000000"/>
      <name val="Calibri"/>
    </font>
    <font>
      <b/>
      <sz val="11"/>
      <color rgb="FF000000"/>
      <name val="Calibri"/>
      <family val="2"/>
      <charset val="204"/>
    </font>
    <font>
      <sz val="12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b/>
      <sz val="15"/>
      <color rgb="FF000000"/>
      <name val="Calibri"/>
      <family val="2"/>
      <charset val="204"/>
    </font>
    <font>
      <b/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24"/>
      <color rgb="FFFFC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FFC000"/>
      <name val="Calibri"/>
      <family val="2"/>
      <charset val="204"/>
    </font>
    <font>
      <sz val="11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9FC5E8"/>
        <bgColor rgb="FF9FC5E8"/>
      </patternFill>
    </fill>
    <fill>
      <patternFill patternType="solid">
        <fgColor theme="0"/>
        <bgColor rgb="FF8EAAD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DD6EE"/>
      </patternFill>
    </fill>
    <fill>
      <patternFill patternType="solid">
        <fgColor rgb="FF92D050"/>
        <bgColor indexed="64"/>
      </patternFill>
    </fill>
    <fill>
      <patternFill patternType="solid">
        <fgColor theme="2" tint="-0.89999084444715716"/>
        <bgColor rgb="FF8EAADB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FC5E8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rgb="FFFFFF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7">
    <xf numFmtId="0" fontId="0" fillId="0" borderId="0" xfId="0" applyFont="1" applyAlignment="1"/>
    <xf numFmtId="0" fontId="3" fillId="3" borderId="6" xfId="0" applyFont="1" applyFill="1" applyBorder="1"/>
    <xf numFmtId="0" fontId="4" fillId="0" borderId="1" xfId="0" applyFont="1" applyBorder="1"/>
    <xf numFmtId="0" fontId="4" fillId="0" borderId="0" xfId="0" applyFont="1"/>
    <xf numFmtId="0" fontId="0" fillId="0" borderId="1" xfId="0" applyFont="1" applyBorder="1"/>
    <xf numFmtId="0" fontId="0" fillId="0" borderId="0" xfId="0" applyFont="1" applyAlignment="1"/>
    <xf numFmtId="165" fontId="5" fillId="0" borderId="0" xfId="0" applyNumberFormat="1" applyFont="1"/>
    <xf numFmtId="0" fontId="5" fillId="0" borderId="0" xfId="0" applyFont="1" applyAlignment="1">
      <alignment wrapText="1"/>
    </xf>
    <xf numFmtId="0" fontId="0" fillId="0" borderId="0" xfId="0" applyFont="1"/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/>
    </xf>
    <xf numFmtId="165" fontId="5" fillId="0" borderId="1" xfId="0" applyNumberFormat="1" applyFont="1" applyBorder="1"/>
    <xf numFmtId="166" fontId="5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6" fontId="7" fillId="5" borderId="1" xfId="0" applyNumberFormat="1" applyFont="1" applyFill="1" applyBorder="1"/>
    <xf numFmtId="166" fontId="5" fillId="0" borderId="0" xfId="0" applyNumberFormat="1" applyFont="1"/>
    <xf numFmtId="166" fontId="7" fillId="6" borderId="1" xfId="0" applyNumberFormat="1" applyFont="1" applyFill="1" applyBorder="1"/>
    <xf numFmtId="0" fontId="5" fillId="0" borderId="0" xfId="0" applyFont="1" applyAlignment="1">
      <alignment horizontal="left" wrapText="1"/>
    </xf>
    <xf numFmtId="165" fontId="5" fillId="0" borderId="1" xfId="0" applyNumberFormat="1" applyFont="1" applyBorder="1" applyAlignment="1"/>
    <xf numFmtId="0" fontId="5" fillId="0" borderId="1" xfId="0" applyFont="1" applyBorder="1"/>
    <xf numFmtId="166" fontId="0" fillId="0" borderId="0" xfId="0" applyNumberFormat="1" applyFont="1"/>
    <xf numFmtId="0" fontId="5" fillId="3" borderId="6" xfId="0" applyFont="1" applyFill="1" applyBorder="1"/>
    <xf numFmtId="166" fontId="0" fillId="0" borderId="1" xfId="0" applyNumberFormat="1" applyFont="1" applyBorder="1"/>
    <xf numFmtId="165" fontId="7" fillId="0" borderId="1" xfId="0" applyNumberFormat="1" applyFont="1" applyBorder="1"/>
    <xf numFmtId="165" fontId="7" fillId="4" borderId="1" xfId="0" applyNumberFormat="1" applyFont="1" applyFill="1" applyBorder="1"/>
    <xf numFmtId="165" fontId="5" fillId="4" borderId="1" xfId="0" applyNumberFormat="1" applyFont="1" applyFill="1" applyBorder="1"/>
    <xf numFmtId="9" fontId="5" fillId="0" borderId="1" xfId="0" applyNumberFormat="1" applyFont="1" applyBorder="1"/>
    <xf numFmtId="0" fontId="4" fillId="0" borderId="1" xfId="0" applyFont="1" applyBorder="1" applyAlignment="1">
      <alignment wrapText="1"/>
    </xf>
    <xf numFmtId="165" fontId="7" fillId="3" borderId="1" xfId="0" applyNumberFormat="1" applyFont="1" applyFill="1" applyBorder="1"/>
    <xf numFmtId="0" fontId="0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164" fontId="4" fillId="8" borderId="1" xfId="0" applyNumberFormat="1" applyFont="1" applyFill="1" applyBorder="1" applyAlignment="1"/>
    <xf numFmtId="0" fontId="0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166" fontId="5" fillId="8" borderId="1" xfId="0" applyNumberFormat="1" applyFont="1" applyFill="1" applyBorder="1"/>
    <xf numFmtId="165" fontId="5" fillId="9" borderId="1" xfId="0" applyNumberFormat="1" applyFont="1" applyFill="1" applyBorder="1" applyAlignment="1"/>
    <xf numFmtId="0" fontId="2" fillId="0" borderId="1" xfId="0" applyFont="1" applyBorder="1"/>
    <xf numFmtId="0" fontId="0" fillId="0" borderId="7" xfId="0" applyFont="1" applyBorder="1"/>
    <xf numFmtId="0" fontId="5" fillId="3" borderId="14" xfId="0" applyFont="1" applyFill="1" applyBorder="1"/>
    <xf numFmtId="166" fontId="7" fillId="0" borderId="15" xfId="0" applyNumberFormat="1" applyFont="1" applyBorder="1"/>
    <xf numFmtId="166" fontId="5" fillId="10" borderId="13" xfId="0" applyNumberFormat="1" applyFont="1" applyFill="1" applyBorder="1"/>
    <xf numFmtId="0" fontId="5" fillId="7" borderId="1" xfId="0" applyFont="1" applyFill="1" applyBorder="1"/>
    <xf numFmtId="167" fontId="5" fillId="10" borderId="13" xfId="0" applyNumberFormat="1" applyFont="1" applyFill="1" applyBorder="1"/>
    <xf numFmtId="167" fontId="0" fillId="10" borderId="13" xfId="0" applyNumberFormat="1" applyFont="1" applyFill="1" applyBorder="1"/>
    <xf numFmtId="167" fontId="5" fillId="11" borderId="13" xfId="0" applyNumberFormat="1" applyFont="1" applyFill="1" applyBorder="1"/>
    <xf numFmtId="9" fontId="0" fillId="0" borderId="1" xfId="1" applyFont="1" applyBorder="1"/>
    <xf numFmtId="166" fontId="10" fillId="0" borderId="0" xfId="0" applyNumberFormat="1" applyFont="1"/>
    <xf numFmtId="0" fontId="10" fillId="0" borderId="16" xfId="0" applyFont="1" applyFill="1" applyBorder="1"/>
    <xf numFmtId="0" fontId="10" fillId="0" borderId="6" xfId="0" applyFont="1" applyFill="1" applyBorder="1"/>
    <xf numFmtId="0" fontId="10" fillId="12" borderId="6" xfId="0" applyFont="1" applyFill="1" applyBorder="1"/>
    <xf numFmtId="166" fontId="10" fillId="12" borderId="0" xfId="0" applyNumberFormat="1" applyFont="1" applyFill="1"/>
    <xf numFmtId="0" fontId="12" fillId="0" borderId="1" xfId="0" applyFont="1" applyBorder="1"/>
    <xf numFmtId="0" fontId="10" fillId="15" borderId="1" xfId="0" applyFont="1" applyFill="1" applyBorder="1"/>
    <xf numFmtId="0" fontId="12" fillId="0" borderId="7" xfId="0" applyFont="1" applyBorder="1"/>
    <xf numFmtId="0" fontId="12" fillId="0" borderId="1" xfId="0" applyNumberFormat="1" applyFont="1" applyBorder="1"/>
    <xf numFmtId="0" fontId="0" fillId="0" borderId="0" xfId="0" applyNumberFormat="1" applyFont="1" applyAlignment="1"/>
    <xf numFmtId="0" fontId="0" fillId="4" borderId="1" xfId="0" applyNumberFormat="1" applyFont="1" applyFill="1" applyBorder="1"/>
    <xf numFmtId="0" fontId="12" fillId="0" borderId="0" xfId="0" applyFont="1"/>
    <xf numFmtId="166" fontId="5" fillId="15" borderId="1" xfId="0" applyNumberFormat="1" applyFont="1" applyFill="1" applyBorder="1"/>
    <xf numFmtId="0" fontId="0" fillId="15" borderId="1" xfId="0" applyFont="1" applyFill="1" applyBorder="1" applyAlignment="1">
      <alignment horizontal="left" wrapText="1"/>
    </xf>
    <xf numFmtId="166" fontId="7" fillId="16" borderId="1" xfId="0" applyNumberFormat="1" applyFont="1" applyFill="1" applyBorder="1"/>
    <xf numFmtId="0" fontId="13" fillId="17" borderId="0" xfId="0" applyFont="1" applyFill="1" applyAlignment="1">
      <alignment wrapText="1"/>
    </xf>
    <xf numFmtId="166" fontId="13" fillId="17" borderId="0" xfId="0" applyNumberFormat="1" applyFont="1" applyFill="1"/>
    <xf numFmtId="0" fontId="12" fillId="8" borderId="1" xfId="0" applyFont="1" applyFill="1" applyBorder="1" applyAlignment="1">
      <alignment wrapText="1"/>
    </xf>
    <xf numFmtId="168" fontId="0" fillId="8" borderId="1" xfId="2" applyNumberFormat="1" applyFont="1" applyFill="1" applyBorder="1" applyAlignment="1">
      <alignment horizontal="right"/>
    </xf>
    <xf numFmtId="0" fontId="3" fillId="10" borderId="6" xfId="0" applyFont="1" applyFill="1" applyBorder="1"/>
    <xf numFmtId="0" fontId="2" fillId="8" borderId="12" xfId="0" applyFont="1" applyFill="1" applyBorder="1" applyAlignment="1"/>
    <xf numFmtId="0" fontId="3" fillId="18" borderId="10" xfId="0" applyFont="1" applyFill="1" applyBorder="1" applyAlignment="1"/>
    <xf numFmtId="0" fontId="2" fillId="12" borderId="11" xfId="0" applyFont="1" applyFill="1" applyBorder="1" applyAlignment="1"/>
    <xf numFmtId="0" fontId="14" fillId="3" borderId="6" xfId="0" applyFont="1" applyFill="1" applyBorder="1"/>
    <xf numFmtId="0" fontId="4" fillId="8" borderId="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8" xfId="0" applyFont="1" applyBorder="1"/>
    <xf numFmtId="0" fontId="11" fillId="13" borderId="3" xfId="0" applyFont="1" applyFill="1" applyBorder="1" applyAlignment="1">
      <alignment horizontal="center"/>
    </xf>
    <xf numFmtId="0" fontId="2" fillId="14" borderId="4" xfId="0" applyFont="1" applyFill="1" applyBorder="1"/>
    <xf numFmtId="0" fontId="2" fillId="14" borderId="5" xfId="0" applyFont="1" applyFill="1" applyBorder="1"/>
    <xf numFmtId="0" fontId="1" fillId="2" borderId="2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8" fillId="12" borderId="0" xfId="0" applyFont="1" applyFill="1" applyAlignment="1"/>
    <xf numFmtId="0" fontId="8" fillId="0" borderId="1" xfId="0" applyFont="1" applyBorder="1"/>
  </cellXfs>
  <cellStyles count="3">
    <cellStyle name="Обычный" xfId="0" builtinId="0"/>
    <cellStyle name="Процентный" xfId="1" builtinId="5"/>
    <cellStyle name="Финансовый" xfId="2" builtinId="3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A5A5A5"/>
          <bgColor rgb="FFA5A5A5"/>
        </patternFill>
      </fill>
    </dxf>
  </dxfs>
  <tableStyles count="1" defaultTableStyle="TableStyleMedium2" defaultPivotStyle="PivotStyleLight16">
    <tableStyle name="стартовые затраты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67E7-5D31-4637-B8BF-C82461C02AA1}">
  <dimension ref="A1:D16"/>
  <sheetViews>
    <sheetView topLeftCell="A4" workbookViewId="0">
      <selection activeCell="G7" sqref="G7"/>
    </sheetView>
  </sheetViews>
  <sheetFormatPr defaultRowHeight="15.6" x14ac:dyDescent="0.3"/>
  <cols>
    <col min="1" max="1" width="27.796875" style="34" customWidth="1"/>
    <col min="2" max="2" width="16.59765625" customWidth="1"/>
    <col min="3" max="4" width="16.59765625" style="5" customWidth="1"/>
  </cols>
  <sheetData>
    <row r="1" spans="1:4" x14ac:dyDescent="0.3">
      <c r="A1" s="32" t="s">
        <v>1</v>
      </c>
      <c r="B1" s="74" t="s">
        <v>3</v>
      </c>
      <c r="C1" s="75"/>
      <c r="D1" s="76"/>
    </row>
    <row r="2" spans="1:4" x14ac:dyDescent="0.3">
      <c r="A2" s="33" t="s">
        <v>0</v>
      </c>
      <c r="B2" s="36" t="s">
        <v>65</v>
      </c>
      <c r="C2" s="36" t="s">
        <v>66</v>
      </c>
      <c r="D2" s="36" t="s">
        <v>67</v>
      </c>
    </row>
    <row r="3" spans="1:4" x14ac:dyDescent="0.3">
      <c r="A3" s="74" t="s">
        <v>4</v>
      </c>
      <c r="B3" s="75"/>
      <c r="C3" s="75"/>
      <c r="D3" s="76"/>
    </row>
    <row r="4" spans="1:4" ht="31.2" x14ac:dyDescent="0.3">
      <c r="A4" s="31" t="s">
        <v>68</v>
      </c>
      <c r="B4" s="68">
        <f>доходы_затраты!C7*2</f>
        <v>112000</v>
      </c>
      <c r="C4" s="68">
        <f>доходы_затраты!D7*2</f>
        <v>156000</v>
      </c>
      <c r="D4" s="68">
        <f>доходы_затраты!E7*2</f>
        <v>195000</v>
      </c>
    </row>
    <row r="5" spans="1:4" s="5" customFormat="1" ht="46.8" x14ac:dyDescent="0.3">
      <c r="A5" s="67" t="s">
        <v>100</v>
      </c>
      <c r="B5" s="68"/>
      <c r="C5" s="68"/>
      <c r="D5" s="68"/>
    </row>
    <row r="6" spans="1:4" ht="31.2" x14ac:dyDescent="0.3">
      <c r="A6" s="31" t="s">
        <v>30</v>
      </c>
      <c r="B6" s="68">
        <v>550000</v>
      </c>
      <c r="C6" s="68">
        <v>970000</v>
      </c>
      <c r="D6" s="68">
        <v>1200000</v>
      </c>
    </row>
    <row r="7" spans="1:4" ht="31.2" x14ac:dyDescent="0.3">
      <c r="A7" s="67" t="s">
        <v>104</v>
      </c>
      <c r="B7" s="68">
        <f>20*115000</f>
        <v>2300000</v>
      </c>
      <c r="C7" s="68">
        <f>40*115000</f>
        <v>4600000</v>
      </c>
      <c r="D7" s="68">
        <f>60*115000</f>
        <v>6900000</v>
      </c>
    </row>
    <row r="8" spans="1:4" x14ac:dyDescent="0.3">
      <c r="A8" s="31" t="s">
        <v>31</v>
      </c>
      <c r="B8" s="68">
        <v>180000</v>
      </c>
      <c r="C8" s="68">
        <v>250000</v>
      </c>
      <c r="D8" s="68">
        <v>300000</v>
      </c>
    </row>
    <row r="9" spans="1:4" ht="31.2" x14ac:dyDescent="0.3">
      <c r="A9" s="67" t="s">
        <v>101</v>
      </c>
      <c r="B9" s="68">
        <v>70000</v>
      </c>
      <c r="C9" s="68">
        <v>70000</v>
      </c>
      <c r="D9" s="68">
        <v>70000</v>
      </c>
    </row>
    <row r="10" spans="1:4" ht="31.2" x14ac:dyDescent="0.3">
      <c r="A10" s="67" t="s">
        <v>102</v>
      </c>
      <c r="B10" s="68">
        <v>95000</v>
      </c>
      <c r="C10" s="68">
        <v>95000</v>
      </c>
      <c r="D10" s="68">
        <v>95000</v>
      </c>
    </row>
    <row r="11" spans="1:4" x14ac:dyDescent="0.3">
      <c r="A11" s="31" t="s">
        <v>32</v>
      </c>
      <c r="B11" s="68">
        <v>25000</v>
      </c>
      <c r="C11" s="68">
        <v>25000</v>
      </c>
      <c r="D11" s="68">
        <v>25000</v>
      </c>
    </row>
    <row r="12" spans="1:4" x14ac:dyDescent="0.3">
      <c r="A12" s="67" t="s">
        <v>103</v>
      </c>
      <c r="B12" s="68">
        <v>15000</v>
      </c>
      <c r="C12" s="68">
        <v>15000</v>
      </c>
      <c r="D12" s="68">
        <v>15000</v>
      </c>
    </row>
    <row r="13" spans="1:4" ht="31.2" x14ac:dyDescent="0.3">
      <c r="A13" s="31" t="s">
        <v>33</v>
      </c>
      <c r="B13" s="68">
        <v>50000</v>
      </c>
      <c r="C13" s="68">
        <v>50000</v>
      </c>
      <c r="D13" s="68">
        <v>75000</v>
      </c>
    </row>
    <row r="14" spans="1:4" ht="46.8" x14ac:dyDescent="0.3">
      <c r="A14" s="31" t="s">
        <v>34</v>
      </c>
      <c r="B14" s="68">
        <v>45000</v>
      </c>
      <c r="C14" s="68">
        <v>50000</v>
      </c>
      <c r="D14" s="68">
        <v>55000</v>
      </c>
    </row>
    <row r="15" spans="1:4" x14ac:dyDescent="0.3">
      <c r="A15" s="31" t="s">
        <v>36</v>
      </c>
      <c r="B15" s="68">
        <v>450000</v>
      </c>
      <c r="C15" s="68">
        <v>450000</v>
      </c>
      <c r="D15" s="68">
        <v>450000</v>
      </c>
    </row>
    <row r="16" spans="1:4" x14ac:dyDescent="0.3">
      <c r="A16" s="32" t="s">
        <v>37</v>
      </c>
      <c r="B16" s="35">
        <f>SUM(B4:B15)</f>
        <v>3892000</v>
      </c>
      <c r="C16" s="35">
        <f>SUM(C4:C15)</f>
        <v>6731000</v>
      </c>
      <c r="D16" s="35">
        <f>SUM(D4:D15)</f>
        <v>9380000</v>
      </c>
    </row>
  </sheetData>
  <mergeCells count="2">
    <mergeCell ref="A3:D3"/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80"/>
  <sheetViews>
    <sheetView topLeftCell="A4" workbookViewId="0">
      <selection activeCell="F11" sqref="F11"/>
    </sheetView>
  </sheetViews>
  <sheetFormatPr defaultColWidth="11.19921875" defaultRowHeight="15" customHeight="1" x14ac:dyDescent="0.3"/>
  <cols>
    <col min="1" max="1" width="2.09765625" customWidth="1"/>
    <col min="2" max="2" width="47.796875" customWidth="1"/>
    <col min="3" max="3" width="12.19921875" customWidth="1"/>
    <col min="4" max="4" width="11.69921875" customWidth="1"/>
    <col min="5" max="5" width="12" customWidth="1"/>
    <col min="6" max="6" width="32.19921875" customWidth="1"/>
    <col min="7" max="26" width="8.796875" customWidth="1"/>
  </cols>
  <sheetData>
    <row r="1" spans="1:6" ht="66" customHeight="1" x14ac:dyDescent="0.6">
      <c r="A1" s="79" t="s">
        <v>70</v>
      </c>
      <c r="B1" s="80"/>
      <c r="C1" s="80"/>
      <c r="D1" s="80"/>
      <c r="E1" s="81"/>
      <c r="F1" s="7"/>
    </row>
    <row r="2" spans="1:6" ht="15" customHeight="1" x14ac:dyDescent="0.3">
      <c r="A2" s="8"/>
      <c r="B2" s="8" t="s">
        <v>69</v>
      </c>
      <c r="C2" s="8"/>
      <c r="D2" s="7"/>
      <c r="E2" s="7"/>
      <c r="F2" s="7"/>
    </row>
    <row r="3" spans="1:6" ht="15" customHeight="1" x14ac:dyDescent="0.3">
      <c r="A3" s="8"/>
      <c r="B3" s="8"/>
      <c r="C3" s="8"/>
      <c r="D3" s="8"/>
      <c r="E3" s="9"/>
    </row>
    <row r="4" spans="1:6" ht="15" customHeight="1" x14ac:dyDescent="0.3">
      <c r="A4" s="8"/>
      <c r="B4" s="3" t="s">
        <v>35</v>
      </c>
      <c r="C4" s="8"/>
      <c r="D4" s="8"/>
      <c r="E4" s="9"/>
    </row>
    <row r="5" spans="1:6" ht="15" customHeight="1" x14ac:dyDescent="0.4">
      <c r="A5" s="8"/>
      <c r="B5" s="77" t="s">
        <v>38</v>
      </c>
      <c r="C5" s="78"/>
      <c r="D5" s="78"/>
      <c r="E5" s="78"/>
      <c r="F5" s="7"/>
    </row>
    <row r="6" spans="1:6" ht="15.6" x14ac:dyDescent="0.3">
      <c r="A6" s="8"/>
      <c r="B6" s="10" t="s">
        <v>39</v>
      </c>
      <c r="C6" s="37" t="s">
        <v>65</v>
      </c>
      <c r="D6" s="37" t="s">
        <v>66</v>
      </c>
      <c r="E6" s="37" t="s">
        <v>67</v>
      </c>
      <c r="F6" s="7"/>
    </row>
    <row r="7" spans="1:6" ht="15.6" x14ac:dyDescent="0.3">
      <c r="A7" s="8"/>
      <c r="B7" s="55" t="s">
        <v>91</v>
      </c>
      <c r="C7" s="38">
        <f>80*700</f>
        <v>56000</v>
      </c>
      <c r="D7" s="38">
        <f>120*650</f>
        <v>78000</v>
      </c>
      <c r="E7" s="39">
        <f>150*650</f>
        <v>97500</v>
      </c>
      <c r="F7" s="7"/>
    </row>
    <row r="8" spans="1:6" ht="15.6" x14ac:dyDescent="0.3">
      <c r="A8" s="8"/>
      <c r="B8" s="4" t="s">
        <v>41</v>
      </c>
      <c r="C8" s="38">
        <v>20000</v>
      </c>
      <c r="D8" s="38">
        <v>30000</v>
      </c>
      <c r="E8" s="39">
        <v>40000</v>
      </c>
      <c r="F8" s="7"/>
    </row>
    <row r="9" spans="1:6" ht="15.6" x14ac:dyDescent="0.3">
      <c r="A9" s="8"/>
      <c r="B9" s="4" t="s">
        <v>42</v>
      </c>
      <c r="C9" s="38">
        <v>2000</v>
      </c>
      <c r="D9" s="38">
        <v>2000</v>
      </c>
      <c r="E9" s="39">
        <v>2000</v>
      </c>
      <c r="F9" s="7"/>
    </row>
    <row r="10" spans="1:6" ht="12.75" customHeight="1" x14ac:dyDescent="0.3">
      <c r="A10" s="8"/>
      <c r="B10" s="55" t="s">
        <v>92</v>
      </c>
      <c r="C10" s="38">
        <v>3000</v>
      </c>
      <c r="D10" s="38">
        <v>3000</v>
      </c>
      <c r="E10" s="39">
        <v>3000</v>
      </c>
      <c r="F10" s="7"/>
    </row>
    <row r="11" spans="1:6" ht="15" customHeight="1" x14ac:dyDescent="0.3">
      <c r="A11" s="8"/>
      <c r="B11" s="4" t="s">
        <v>43</v>
      </c>
      <c r="C11" s="38">
        <v>1500</v>
      </c>
      <c r="D11" s="38">
        <v>2500</v>
      </c>
      <c r="E11" s="39">
        <v>3000</v>
      </c>
      <c r="F11" s="7"/>
    </row>
    <row r="12" spans="1:6" ht="15.6" x14ac:dyDescent="0.3">
      <c r="B12" s="55" t="s">
        <v>93</v>
      </c>
      <c r="C12" s="38">
        <v>25000</v>
      </c>
      <c r="D12" s="38">
        <v>25000</v>
      </c>
      <c r="E12" s="38">
        <v>25000</v>
      </c>
      <c r="F12" s="7"/>
    </row>
    <row r="13" spans="1:6" s="5" customFormat="1" ht="15.6" x14ac:dyDescent="0.3">
      <c r="B13" s="55"/>
      <c r="C13" s="38"/>
      <c r="D13" s="38"/>
      <c r="E13" s="38"/>
      <c r="F13" s="7"/>
    </row>
    <row r="14" spans="1:6" s="5" customFormat="1" ht="15" customHeight="1" x14ac:dyDescent="0.3">
      <c r="A14" s="8"/>
      <c r="B14" s="2" t="s">
        <v>75</v>
      </c>
      <c r="C14" s="18">
        <f>4*25000</f>
        <v>100000</v>
      </c>
      <c r="D14" s="18">
        <f t="shared" ref="D14" si="0">4*25000</f>
        <v>100000</v>
      </c>
      <c r="E14" s="18">
        <f>6*25000</f>
        <v>150000</v>
      </c>
      <c r="F14" s="19"/>
    </row>
    <row r="15" spans="1:6" ht="15.75" customHeight="1" x14ac:dyDescent="0.3">
      <c r="A15" s="8"/>
      <c r="B15" s="4" t="s">
        <v>51</v>
      </c>
      <c r="C15" s="12">
        <f>C14*0.47</f>
        <v>47000</v>
      </c>
      <c r="D15" s="12">
        <f>D14*0.47</f>
        <v>47000</v>
      </c>
      <c r="E15" s="12">
        <f>E14*0.47</f>
        <v>70500</v>
      </c>
      <c r="F15" s="19"/>
    </row>
    <row r="16" spans="1:6" s="5" customFormat="1" ht="15.75" customHeight="1" x14ac:dyDescent="0.3">
      <c r="A16" s="8"/>
      <c r="B16" s="4"/>
      <c r="C16" s="12"/>
      <c r="D16" s="12"/>
      <c r="E16" s="12"/>
      <c r="F16" s="19"/>
    </row>
    <row r="17" spans="1:6" ht="15.75" customHeight="1" x14ac:dyDescent="0.3">
      <c r="A17" s="8"/>
      <c r="B17" s="4" t="s">
        <v>52</v>
      </c>
      <c r="C17" s="12">
        <v>5000</v>
      </c>
      <c r="D17" s="12">
        <v>5000</v>
      </c>
      <c r="E17" s="12">
        <v>5000</v>
      </c>
      <c r="F17" s="19"/>
    </row>
    <row r="18" spans="1:6" ht="15.75" customHeight="1" x14ac:dyDescent="0.3">
      <c r="B18" s="4" t="s">
        <v>71</v>
      </c>
      <c r="C18" s="38">
        <v>5000</v>
      </c>
      <c r="D18" s="38">
        <v>5000</v>
      </c>
      <c r="E18" s="38">
        <v>5000</v>
      </c>
      <c r="F18" s="7"/>
    </row>
    <row r="19" spans="1:6" ht="15.75" customHeight="1" x14ac:dyDescent="0.3">
      <c r="B19" s="4" t="s">
        <v>72</v>
      </c>
      <c r="C19" s="38">
        <v>2000</v>
      </c>
      <c r="D19" s="38">
        <v>2000</v>
      </c>
      <c r="E19" s="39">
        <v>2000</v>
      </c>
      <c r="F19" s="7"/>
    </row>
    <row r="20" spans="1:6" ht="15.75" customHeight="1" x14ac:dyDescent="0.3">
      <c r="B20" s="4" t="s">
        <v>44</v>
      </c>
      <c r="C20" s="38">
        <v>1500</v>
      </c>
      <c r="D20" s="38">
        <v>1500</v>
      </c>
      <c r="E20" s="39">
        <v>2000</v>
      </c>
      <c r="F20" s="7"/>
    </row>
    <row r="21" spans="1:6" ht="15.75" customHeight="1" x14ac:dyDescent="0.3">
      <c r="B21" s="4" t="s">
        <v>45</v>
      </c>
      <c r="C21" s="38">
        <v>4500</v>
      </c>
      <c r="D21" s="38">
        <v>4500</v>
      </c>
      <c r="E21" s="39">
        <v>4500</v>
      </c>
      <c r="F21" s="7"/>
    </row>
    <row r="22" spans="1:6" ht="15.75" customHeight="1" x14ac:dyDescent="0.3">
      <c r="B22" s="14" t="s">
        <v>73</v>
      </c>
      <c r="C22" s="38">
        <v>5000</v>
      </c>
      <c r="D22" s="38">
        <v>7500</v>
      </c>
      <c r="E22" s="39">
        <v>15000</v>
      </c>
      <c r="F22" s="7"/>
    </row>
    <row r="23" spans="1:6" ht="15.75" customHeight="1" x14ac:dyDescent="0.3">
      <c r="A23" s="8"/>
      <c r="B23" s="14" t="s">
        <v>47</v>
      </c>
      <c r="C23" s="38">
        <v>10000</v>
      </c>
      <c r="D23" s="38">
        <v>10000</v>
      </c>
      <c r="E23" s="39">
        <v>10000</v>
      </c>
      <c r="F23" s="7"/>
    </row>
    <row r="24" spans="1:6" ht="15.75" customHeight="1" x14ac:dyDescent="0.3">
      <c r="A24" s="8"/>
      <c r="B24" s="14" t="s">
        <v>48</v>
      </c>
      <c r="C24" s="38">
        <v>1500</v>
      </c>
      <c r="D24" s="38">
        <v>1500</v>
      </c>
      <c r="E24" s="38">
        <v>1500</v>
      </c>
      <c r="F24" s="7"/>
    </row>
    <row r="25" spans="1:6" s="5" customFormat="1" ht="15" customHeight="1" x14ac:dyDescent="0.3">
      <c r="A25" s="8"/>
      <c r="B25" s="56" t="s">
        <v>94</v>
      </c>
      <c r="C25" s="64">
        <f>59400/12</f>
        <v>4950</v>
      </c>
      <c r="D25" s="64">
        <f t="shared" ref="D25:E25" si="1">59400/12</f>
        <v>4950</v>
      </c>
      <c r="E25" s="64">
        <f t="shared" si="1"/>
        <v>4950</v>
      </c>
      <c r="F25" s="19"/>
    </row>
    <row r="26" spans="1:6" ht="15.75" customHeight="1" x14ac:dyDescent="0.3">
      <c r="A26" s="8"/>
      <c r="B26" s="4" t="s">
        <v>76</v>
      </c>
      <c r="C26" s="12">
        <v>5000</v>
      </c>
      <c r="D26" s="12">
        <v>5000</v>
      </c>
      <c r="E26" s="12">
        <v>5000</v>
      </c>
      <c r="F26" s="7"/>
    </row>
    <row r="27" spans="1:6" s="5" customFormat="1" ht="30.6" customHeight="1" x14ac:dyDescent="0.3">
      <c r="A27" s="8"/>
      <c r="B27" s="63" t="s">
        <v>74</v>
      </c>
      <c r="C27" s="62">
        <f>20*110000/36</f>
        <v>61111.111111111109</v>
      </c>
      <c r="D27" s="62">
        <f>40*110000/36</f>
        <v>122222.22222222222</v>
      </c>
      <c r="E27" s="62">
        <f>60*110000/36</f>
        <v>183333.33333333334</v>
      </c>
      <c r="F27" s="7"/>
    </row>
    <row r="28" spans="1:6" s="5" customFormat="1" ht="15.75" customHeight="1" x14ac:dyDescent="0.3">
      <c r="A28" s="8"/>
      <c r="B28" s="14" t="s">
        <v>77</v>
      </c>
      <c r="C28" s="38">
        <v>15000</v>
      </c>
      <c r="D28" s="38">
        <v>19000</v>
      </c>
      <c r="E28" s="38">
        <v>30000</v>
      </c>
      <c r="F28" s="7"/>
    </row>
    <row r="29" spans="1:6" ht="15.75" customHeight="1" x14ac:dyDescent="0.3">
      <c r="A29" s="8"/>
      <c r="B29" s="15" t="s">
        <v>49</v>
      </c>
      <c r="C29" s="16">
        <f>SUM(C7:C28)</f>
        <v>375061.11111111112</v>
      </c>
      <c r="D29" s="16">
        <f>SUM(D7:D28)</f>
        <v>475672.22222222225</v>
      </c>
      <c r="E29" s="16">
        <f>SUM(E7:E28)</f>
        <v>659283.33333333337</v>
      </c>
      <c r="F29" s="7"/>
    </row>
    <row r="30" spans="1:6" ht="15.75" customHeight="1" x14ac:dyDescent="0.3">
      <c r="A30" s="8"/>
      <c r="B30" s="8"/>
      <c r="C30" s="17"/>
      <c r="D30" s="17"/>
      <c r="E30" s="6"/>
      <c r="F30" s="7"/>
    </row>
    <row r="31" spans="1:6" ht="15" customHeight="1" x14ac:dyDescent="0.3">
      <c r="A31" s="8"/>
      <c r="B31" s="2" t="s">
        <v>50</v>
      </c>
      <c r="C31" s="18">
        <f>SUM(C32:C33)</f>
        <v>44085</v>
      </c>
      <c r="D31" s="18">
        <f>SUM(D32:D33)</f>
        <v>73916.400000000009</v>
      </c>
      <c r="E31" s="18">
        <f>SUM(E32:E33)</f>
        <v>102312.44</v>
      </c>
      <c r="F31" s="19"/>
    </row>
    <row r="32" spans="1:6" ht="15.75" customHeight="1" x14ac:dyDescent="0.3">
      <c r="A32" s="8"/>
      <c r="B32" s="4" t="s">
        <v>53</v>
      </c>
      <c r="C32" s="12">
        <f>C55*2%*0.4</f>
        <v>4710</v>
      </c>
      <c r="D32" s="12">
        <f t="shared" ref="D32:E32" si="2">D55*2%*0.4</f>
        <v>7766.4000000000005</v>
      </c>
      <c r="E32" s="12">
        <f t="shared" si="2"/>
        <v>10647.440000000002</v>
      </c>
      <c r="F32" s="7"/>
    </row>
    <row r="33" spans="1:6" ht="15.75" customHeight="1" x14ac:dyDescent="0.3">
      <c r="A33" s="8"/>
      <c r="B33" s="40" t="s">
        <v>78</v>
      </c>
      <c r="C33" s="12">
        <f>C52/2</f>
        <v>39375</v>
      </c>
      <c r="D33" s="12">
        <f>D52/2</f>
        <v>66150.000000000015</v>
      </c>
      <c r="E33" s="12">
        <f>E52/2</f>
        <v>91665</v>
      </c>
      <c r="F33" s="7"/>
    </row>
    <row r="34" spans="1:6" ht="15.75" customHeight="1" x14ac:dyDescent="0.3">
      <c r="A34" s="8"/>
      <c r="B34" s="61" t="s">
        <v>97</v>
      </c>
      <c r="C34" s="50">
        <f>C29+C31</f>
        <v>419146.11111111112</v>
      </c>
      <c r="D34" s="50">
        <f t="shared" ref="D34:E34" si="3">D29+D31</f>
        <v>549588.62222222227</v>
      </c>
      <c r="E34" s="50">
        <f t="shared" si="3"/>
        <v>761595.77333333343</v>
      </c>
      <c r="F34" s="7"/>
    </row>
    <row r="35" spans="1:6" ht="15.75" customHeight="1" x14ac:dyDescent="0.3">
      <c r="A35" s="8"/>
      <c r="B35" s="3" t="s">
        <v>56</v>
      </c>
      <c r="C35" s="17"/>
      <c r="D35" s="17"/>
      <c r="E35" s="23"/>
      <c r="F35" s="7"/>
    </row>
    <row r="36" spans="1:6" ht="15.75" customHeight="1" x14ac:dyDescent="0.3">
      <c r="A36" s="8"/>
      <c r="B36" s="2" t="s">
        <v>58</v>
      </c>
      <c r="C36" s="12"/>
      <c r="D36" s="12"/>
      <c r="E36" s="12"/>
      <c r="F36" s="7"/>
    </row>
    <row r="37" spans="1:6" ht="17.399999999999999" customHeight="1" x14ac:dyDescent="0.3">
      <c r="A37" s="8"/>
      <c r="B37" s="86" t="s">
        <v>110</v>
      </c>
      <c r="C37" s="12">
        <v>60</v>
      </c>
      <c r="D37" s="12">
        <v>60</v>
      </c>
      <c r="E37" s="12">
        <v>60</v>
      </c>
      <c r="F37" s="7"/>
    </row>
    <row r="38" spans="1:6" ht="15.75" customHeight="1" x14ac:dyDescent="0.3">
      <c r="A38" s="8"/>
      <c r="B38" s="4" t="s">
        <v>90</v>
      </c>
      <c r="C38" s="12">
        <v>20</v>
      </c>
      <c r="D38" s="12">
        <v>40</v>
      </c>
      <c r="E38" s="45">
        <v>60</v>
      </c>
      <c r="F38" s="7"/>
    </row>
    <row r="39" spans="1:6" ht="20.399999999999999" customHeight="1" x14ac:dyDescent="0.3">
      <c r="A39" s="11"/>
      <c r="B39" s="4" t="s">
        <v>59</v>
      </c>
      <c r="C39" s="42">
        <v>30</v>
      </c>
      <c r="D39" s="42">
        <v>30</v>
      </c>
      <c r="E39" s="42">
        <v>30</v>
      </c>
      <c r="F39" s="7"/>
    </row>
    <row r="40" spans="1:6" ht="20.399999999999999" customHeight="1" x14ac:dyDescent="0.3">
      <c r="A40" s="8"/>
      <c r="B40" s="57" t="s">
        <v>95</v>
      </c>
      <c r="C40" s="46">
        <v>12.5</v>
      </c>
      <c r="D40" s="46">
        <v>10.5</v>
      </c>
      <c r="E40" s="46">
        <v>9.6999999999999993</v>
      </c>
      <c r="F40" s="7"/>
    </row>
    <row r="41" spans="1:6" s="5" customFormat="1" ht="20.399999999999999" customHeight="1" x14ac:dyDescent="0.3">
      <c r="A41" s="8"/>
      <c r="B41" s="41" t="s">
        <v>84</v>
      </c>
      <c r="C41" s="44">
        <f>C40*C39*C38*C37</f>
        <v>450000</v>
      </c>
      <c r="D41" s="44">
        <f>D40*D39*D38*D37</f>
        <v>756000</v>
      </c>
      <c r="E41" s="44">
        <f>E40*E39*E38*E37</f>
        <v>1047600</v>
      </c>
      <c r="F41" s="7"/>
    </row>
    <row r="42" spans="1:6" s="5" customFormat="1" ht="20.399999999999999" customHeight="1" x14ac:dyDescent="0.3">
      <c r="A42" s="8"/>
      <c r="B42" s="41" t="s">
        <v>80</v>
      </c>
      <c r="C42" s="44">
        <v>5000</v>
      </c>
      <c r="D42" s="44">
        <v>5000</v>
      </c>
      <c r="E42" s="44">
        <v>5000</v>
      </c>
      <c r="F42" s="7"/>
    </row>
    <row r="43" spans="1:6" s="5" customFormat="1" ht="20.399999999999999" customHeight="1" x14ac:dyDescent="0.3">
      <c r="A43" s="8"/>
      <c r="B43" s="41" t="s">
        <v>81</v>
      </c>
      <c r="C43" s="44">
        <v>2</v>
      </c>
      <c r="D43" s="44">
        <v>3</v>
      </c>
      <c r="E43" s="44">
        <v>4</v>
      </c>
      <c r="F43" s="7"/>
    </row>
    <row r="44" spans="1:6" s="5" customFormat="1" ht="20.399999999999999" customHeight="1" x14ac:dyDescent="0.3">
      <c r="A44" s="8"/>
      <c r="B44" s="41" t="s">
        <v>82</v>
      </c>
      <c r="C44" s="46">
        <v>6</v>
      </c>
      <c r="D44" s="47">
        <v>5.5</v>
      </c>
      <c r="E44" s="48">
        <v>5</v>
      </c>
      <c r="F44" s="7"/>
    </row>
    <row r="45" spans="1:6" s="5" customFormat="1" ht="20.399999999999999" customHeight="1" x14ac:dyDescent="0.3">
      <c r="A45" s="8"/>
      <c r="B45" s="41" t="s">
        <v>83</v>
      </c>
      <c r="C45" s="44">
        <f>C42*C43*C44</f>
        <v>60000</v>
      </c>
      <c r="D45" s="44">
        <f>D42*D43*D44</f>
        <v>82500</v>
      </c>
      <c r="E45" s="44">
        <f>E42*E43*E44</f>
        <v>100000</v>
      </c>
      <c r="F45" s="7"/>
    </row>
    <row r="46" spans="1:6" ht="14.4" customHeight="1" x14ac:dyDescent="0.3">
      <c r="A46" s="8"/>
      <c r="B46" s="2" t="s">
        <v>60</v>
      </c>
      <c r="C46" s="43">
        <f>C41+C45</f>
        <v>510000</v>
      </c>
      <c r="D46" s="43">
        <f>D41+D45</f>
        <v>838500</v>
      </c>
      <c r="E46" s="43">
        <f>E41+E45</f>
        <v>1147600</v>
      </c>
      <c r="F46" s="7"/>
    </row>
    <row r="47" spans="1:6" ht="15.75" customHeight="1" x14ac:dyDescent="0.3">
      <c r="A47" s="8"/>
      <c r="B47" s="4"/>
      <c r="C47" s="12"/>
      <c r="D47" s="12"/>
      <c r="E47" s="21"/>
      <c r="F47" s="7"/>
    </row>
    <row r="48" spans="1:6" ht="15.75" customHeight="1" x14ac:dyDescent="0.3">
      <c r="A48" s="8"/>
      <c r="B48" s="4"/>
      <c r="C48" s="24"/>
      <c r="D48" s="24"/>
      <c r="E48" s="4"/>
      <c r="F48" s="7"/>
    </row>
    <row r="49" spans="1:6" ht="15.75" customHeight="1" x14ac:dyDescent="0.3">
      <c r="A49" s="8"/>
      <c r="B49" s="2" t="s">
        <v>85</v>
      </c>
      <c r="C49" s="24"/>
      <c r="D49" s="24"/>
      <c r="E49" s="4"/>
      <c r="F49" s="7"/>
    </row>
    <row r="50" spans="1:6" s="5" customFormat="1" ht="15.75" customHeight="1" x14ac:dyDescent="0.3">
      <c r="A50" s="8"/>
      <c r="B50" s="2" t="s">
        <v>86</v>
      </c>
      <c r="C50" s="24">
        <v>150</v>
      </c>
      <c r="D50" s="24">
        <v>150</v>
      </c>
      <c r="E50" s="24">
        <v>150</v>
      </c>
      <c r="F50" s="7"/>
    </row>
    <row r="51" spans="1:6" s="5" customFormat="1" ht="15.75" customHeight="1" x14ac:dyDescent="0.3">
      <c r="A51" s="8"/>
      <c r="B51" s="2" t="s">
        <v>87</v>
      </c>
      <c r="C51" s="49">
        <v>7.0000000000000007E-2</v>
      </c>
      <c r="D51" s="49">
        <v>7.0000000000000007E-2</v>
      </c>
      <c r="E51" s="49">
        <v>7.0000000000000007E-2</v>
      </c>
      <c r="F51" s="7"/>
    </row>
    <row r="52" spans="1:6" ht="15.75" customHeight="1" x14ac:dyDescent="0.3">
      <c r="A52" s="8"/>
      <c r="B52" s="4" t="s">
        <v>79</v>
      </c>
      <c r="C52" s="24">
        <f>C38*C39*C40*C51*C50</f>
        <v>78750</v>
      </c>
      <c r="D52" s="24">
        <f>D38*D39*D40*D51*D50</f>
        <v>132300.00000000003</v>
      </c>
      <c r="E52" s="24">
        <f>E38*E39*E40*E51*E50</f>
        <v>183330</v>
      </c>
      <c r="F52" s="7"/>
    </row>
    <row r="53" spans="1:6" ht="15.75" customHeight="1" x14ac:dyDescent="0.3">
      <c r="A53" s="8"/>
      <c r="B53" s="51" t="s">
        <v>89</v>
      </c>
      <c r="C53" s="50">
        <f>SUM(C52:C52)</f>
        <v>78750</v>
      </c>
      <c r="D53" s="50">
        <f>SUM(D52:D52)</f>
        <v>132300.00000000003</v>
      </c>
      <c r="E53" s="50">
        <f>SUM(E52:E52)</f>
        <v>183330</v>
      </c>
      <c r="F53" s="7"/>
    </row>
    <row r="54" spans="1:6" s="5" customFormat="1" ht="15.75" customHeight="1" x14ac:dyDescent="0.3">
      <c r="A54" s="8"/>
      <c r="B54" s="52"/>
      <c r="C54" s="50"/>
      <c r="D54" s="50"/>
      <c r="E54" s="50"/>
      <c r="F54" s="7"/>
    </row>
    <row r="55" spans="1:6" ht="15.75" customHeight="1" x14ac:dyDescent="0.3">
      <c r="A55" s="8"/>
      <c r="B55" s="53" t="s">
        <v>88</v>
      </c>
      <c r="C55" s="54">
        <f>C53+C46</f>
        <v>588750</v>
      </c>
      <c r="D55" s="54">
        <f>D53+D46</f>
        <v>970800</v>
      </c>
      <c r="E55" s="54">
        <f>E53+E46</f>
        <v>1330930</v>
      </c>
      <c r="F55" s="7"/>
    </row>
    <row r="56" spans="1:6" ht="15.75" customHeight="1" x14ac:dyDescent="0.3">
      <c r="A56" s="8"/>
      <c r="B56" s="8"/>
      <c r="C56" s="22"/>
      <c r="D56" s="22"/>
      <c r="E56" s="8"/>
      <c r="F56" s="7"/>
    </row>
    <row r="57" spans="1:6" ht="31.2" customHeight="1" x14ac:dyDescent="0.3">
      <c r="A57" s="8"/>
      <c r="B57" s="65" t="s">
        <v>98</v>
      </c>
      <c r="C57" s="66">
        <f>C55-C34</f>
        <v>169603.88888888888</v>
      </c>
      <c r="D57" s="66">
        <f t="shared" ref="D57:E57" si="4">D55-D34</f>
        <v>421211.37777777773</v>
      </c>
      <c r="E57" s="66">
        <f t="shared" si="4"/>
        <v>569334.22666666657</v>
      </c>
      <c r="F57" s="7"/>
    </row>
    <row r="58" spans="1:6" ht="15.75" customHeight="1" x14ac:dyDescent="0.3">
      <c r="A58" s="8"/>
      <c r="B58" s="8"/>
      <c r="C58" s="22"/>
      <c r="D58" s="22"/>
      <c r="E58" s="8"/>
      <c r="F58" s="7"/>
    </row>
    <row r="59" spans="1:6" ht="15.75" customHeight="1" x14ac:dyDescent="0.3">
      <c r="A59" s="8"/>
      <c r="B59" s="65" t="s">
        <v>99</v>
      </c>
      <c r="C59" s="66">
        <f>C57-C36+C27</f>
        <v>230715</v>
      </c>
      <c r="D59" s="66">
        <f t="shared" ref="D59:E59" si="5">D57-D36+D27</f>
        <v>543433.6</v>
      </c>
      <c r="E59" s="66">
        <f t="shared" si="5"/>
        <v>752667.55999999994</v>
      </c>
      <c r="F59" s="7"/>
    </row>
    <row r="60" spans="1:6" ht="15.75" customHeight="1" x14ac:dyDescent="0.3">
      <c r="A60" s="8"/>
      <c r="B60" s="8"/>
      <c r="C60" s="22"/>
      <c r="D60" s="22"/>
      <c r="E60" s="8"/>
      <c r="F60" s="7"/>
    </row>
    <row r="61" spans="1:6" ht="15.75" customHeight="1" x14ac:dyDescent="0.3">
      <c r="A61" s="8"/>
      <c r="B61" s="8"/>
      <c r="C61" s="22"/>
      <c r="D61" s="22"/>
      <c r="E61" s="8"/>
      <c r="F61" s="7"/>
    </row>
    <row r="62" spans="1:6" ht="15.75" customHeight="1" x14ac:dyDescent="0.3">
      <c r="A62" s="8"/>
      <c r="B62" s="8"/>
      <c r="C62" s="22"/>
      <c r="D62" s="22"/>
      <c r="E62" s="8"/>
      <c r="F62" s="7"/>
    </row>
    <row r="63" spans="1:6" ht="15.75" customHeight="1" x14ac:dyDescent="0.3">
      <c r="A63" s="8"/>
      <c r="B63" s="8"/>
      <c r="C63" s="22"/>
      <c r="D63" s="22"/>
      <c r="E63" s="8"/>
      <c r="F63" s="7"/>
    </row>
    <row r="64" spans="1:6" ht="15.75" customHeight="1" x14ac:dyDescent="0.3">
      <c r="A64" s="8"/>
      <c r="B64" s="8"/>
      <c r="C64" s="22"/>
      <c r="D64" s="22"/>
      <c r="E64" s="8"/>
      <c r="F64" s="7"/>
    </row>
    <row r="65" spans="1:6" ht="15.75" customHeight="1" x14ac:dyDescent="0.3">
      <c r="A65" s="8"/>
      <c r="B65" s="8"/>
      <c r="C65" s="22"/>
      <c r="D65" s="22"/>
      <c r="E65" s="8"/>
      <c r="F65" s="7"/>
    </row>
    <row r="66" spans="1:6" ht="15.75" customHeight="1" x14ac:dyDescent="0.3">
      <c r="A66" s="8"/>
      <c r="B66" s="8"/>
      <c r="C66" s="22"/>
      <c r="D66" s="22"/>
      <c r="E66" s="8"/>
      <c r="F66" s="7"/>
    </row>
    <row r="67" spans="1:6" ht="15.75" customHeight="1" x14ac:dyDescent="0.3">
      <c r="A67" s="8"/>
      <c r="B67" s="8"/>
      <c r="C67" s="22"/>
      <c r="D67" s="22"/>
      <c r="E67" s="8"/>
      <c r="F67" s="7"/>
    </row>
    <row r="68" spans="1:6" ht="15.75" customHeight="1" x14ac:dyDescent="0.3">
      <c r="A68" s="8"/>
      <c r="B68" s="8"/>
      <c r="C68" s="22"/>
      <c r="D68" s="22"/>
      <c r="E68" s="8"/>
      <c r="F68" s="7"/>
    </row>
    <row r="69" spans="1:6" ht="15.75" customHeight="1" x14ac:dyDescent="0.3">
      <c r="A69" s="8"/>
      <c r="B69" s="8"/>
      <c r="C69" s="22"/>
      <c r="D69" s="22"/>
      <c r="E69" s="8"/>
      <c r="F69" s="7"/>
    </row>
    <row r="70" spans="1:6" ht="15.75" customHeight="1" x14ac:dyDescent="0.3">
      <c r="A70" s="8"/>
      <c r="B70" s="8"/>
      <c r="C70" s="22"/>
      <c r="D70" s="22"/>
      <c r="E70" s="8"/>
      <c r="F70" s="7"/>
    </row>
    <row r="71" spans="1:6" ht="15.75" customHeight="1" x14ac:dyDescent="0.3">
      <c r="A71" s="8"/>
      <c r="B71" s="8"/>
      <c r="C71" s="22"/>
      <c r="D71" s="22"/>
      <c r="E71" s="8"/>
      <c r="F71" s="7"/>
    </row>
    <row r="72" spans="1:6" ht="15.75" customHeight="1" x14ac:dyDescent="0.3">
      <c r="A72" s="8"/>
      <c r="B72" s="8"/>
      <c r="C72" s="22"/>
      <c r="D72" s="22"/>
      <c r="E72" s="8"/>
      <c r="F72" s="7"/>
    </row>
    <row r="73" spans="1:6" ht="15.75" customHeight="1" x14ac:dyDescent="0.3">
      <c r="A73" s="8"/>
      <c r="B73" s="8"/>
      <c r="C73" s="22"/>
      <c r="D73" s="22"/>
      <c r="E73" s="8"/>
      <c r="F73" s="7"/>
    </row>
    <row r="74" spans="1:6" ht="15.75" customHeight="1" x14ac:dyDescent="0.3">
      <c r="A74" s="8"/>
      <c r="B74" s="8"/>
      <c r="C74" s="22"/>
      <c r="D74" s="22"/>
      <c r="E74" s="8"/>
      <c r="F74" s="7"/>
    </row>
    <row r="75" spans="1:6" ht="15.75" customHeight="1" x14ac:dyDescent="0.3">
      <c r="A75" s="8"/>
      <c r="B75" s="8"/>
      <c r="C75" s="22"/>
      <c r="D75" s="22"/>
      <c r="E75" s="8"/>
      <c r="F75" s="7"/>
    </row>
    <row r="76" spans="1:6" ht="15.75" customHeight="1" x14ac:dyDescent="0.3">
      <c r="A76" s="8"/>
      <c r="B76" s="8"/>
      <c r="C76" s="22"/>
      <c r="D76" s="22"/>
      <c r="E76" s="8"/>
      <c r="F76" s="7"/>
    </row>
    <row r="77" spans="1:6" ht="15.75" customHeight="1" x14ac:dyDescent="0.3">
      <c r="A77" s="8"/>
      <c r="B77" s="8"/>
      <c r="C77" s="22"/>
      <c r="D77" s="22"/>
      <c r="E77" s="8"/>
      <c r="F77" s="7"/>
    </row>
    <row r="78" spans="1:6" ht="15.75" customHeight="1" x14ac:dyDescent="0.3">
      <c r="A78" s="8"/>
      <c r="B78" s="8"/>
      <c r="C78" s="22"/>
      <c r="D78" s="22"/>
      <c r="E78" s="8"/>
      <c r="F78" s="7"/>
    </row>
    <row r="79" spans="1:6" ht="15.75" customHeight="1" x14ac:dyDescent="0.3">
      <c r="A79" s="8"/>
      <c r="B79" s="8"/>
      <c r="C79" s="22"/>
      <c r="D79" s="22"/>
      <c r="E79" s="8"/>
      <c r="F79" s="7"/>
    </row>
    <row r="80" spans="1:6" ht="15.75" customHeight="1" x14ac:dyDescent="0.3">
      <c r="A80" s="8"/>
      <c r="B80" s="8"/>
      <c r="C80" s="22"/>
      <c r="D80" s="22"/>
      <c r="E80" s="8"/>
      <c r="F80" s="7"/>
    </row>
    <row r="81" spans="1:6" ht="15.75" customHeight="1" x14ac:dyDescent="0.3">
      <c r="A81" s="8"/>
      <c r="B81" s="8"/>
      <c r="C81" s="22"/>
      <c r="D81" s="22"/>
      <c r="E81" s="8"/>
      <c r="F81" s="7"/>
    </row>
    <row r="82" spans="1:6" ht="15.75" customHeight="1" x14ac:dyDescent="0.3">
      <c r="A82" s="8"/>
      <c r="B82" s="8"/>
      <c r="C82" s="22"/>
      <c r="D82" s="22"/>
      <c r="E82" s="8"/>
      <c r="F82" s="7"/>
    </row>
    <row r="83" spans="1:6" ht="15.75" customHeight="1" x14ac:dyDescent="0.3">
      <c r="A83" s="8"/>
      <c r="B83" s="8"/>
      <c r="C83" s="22"/>
      <c r="D83" s="22"/>
      <c r="E83" s="8"/>
      <c r="F83" s="7"/>
    </row>
    <row r="84" spans="1:6" ht="15.75" customHeight="1" x14ac:dyDescent="0.3">
      <c r="A84" s="8"/>
      <c r="B84" s="8"/>
      <c r="C84" s="22"/>
      <c r="D84" s="22"/>
      <c r="E84" s="8"/>
      <c r="F84" s="7"/>
    </row>
    <row r="85" spans="1:6" ht="15.75" customHeight="1" x14ac:dyDescent="0.3">
      <c r="A85" s="8"/>
      <c r="B85" s="8"/>
      <c r="C85" s="22"/>
      <c r="D85" s="22"/>
      <c r="E85" s="8"/>
      <c r="F85" s="7"/>
    </row>
    <row r="86" spans="1:6" ht="15.75" customHeight="1" x14ac:dyDescent="0.3">
      <c r="A86" s="8"/>
      <c r="B86" s="8"/>
      <c r="C86" s="22"/>
      <c r="D86" s="22"/>
      <c r="E86" s="8"/>
      <c r="F86" s="7"/>
    </row>
    <row r="87" spans="1:6" ht="15.75" customHeight="1" x14ac:dyDescent="0.3">
      <c r="A87" s="8"/>
      <c r="B87" s="8"/>
      <c r="C87" s="22"/>
      <c r="D87" s="22"/>
      <c r="E87" s="8"/>
      <c r="F87" s="7"/>
    </row>
    <row r="88" spans="1:6" ht="15.75" customHeight="1" x14ac:dyDescent="0.3">
      <c r="A88" s="8"/>
      <c r="B88" s="8"/>
      <c r="C88" s="22"/>
      <c r="D88" s="22"/>
      <c r="E88" s="8"/>
      <c r="F88" s="7"/>
    </row>
    <row r="89" spans="1:6" ht="15.75" customHeight="1" x14ac:dyDescent="0.3">
      <c r="A89" s="8"/>
      <c r="B89" s="8"/>
      <c r="C89" s="22"/>
      <c r="D89" s="22"/>
      <c r="E89" s="8"/>
      <c r="F89" s="7"/>
    </row>
    <row r="90" spans="1:6" ht="15.75" customHeight="1" x14ac:dyDescent="0.3">
      <c r="A90" s="8"/>
      <c r="B90" s="8"/>
      <c r="C90" s="22"/>
      <c r="D90" s="22"/>
      <c r="E90" s="8"/>
      <c r="F90" s="7"/>
    </row>
    <row r="91" spans="1:6" ht="15.75" customHeight="1" x14ac:dyDescent="0.3">
      <c r="A91" s="8"/>
      <c r="B91" s="8"/>
      <c r="C91" s="22"/>
      <c r="D91" s="22"/>
      <c r="E91" s="8"/>
      <c r="F91" s="7"/>
    </row>
    <row r="92" spans="1:6" ht="15.75" customHeight="1" x14ac:dyDescent="0.3">
      <c r="A92" s="8"/>
      <c r="B92" s="8"/>
      <c r="C92" s="22"/>
      <c r="D92" s="22"/>
      <c r="E92" s="8"/>
      <c r="F92" s="7"/>
    </row>
    <row r="93" spans="1:6" ht="15.75" customHeight="1" x14ac:dyDescent="0.3">
      <c r="A93" s="8"/>
      <c r="B93" s="8"/>
      <c r="C93" s="22"/>
      <c r="D93" s="22"/>
      <c r="E93" s="8"/>
      <c r="F93" s="7"/>
    </row>
    <row r="94" spans="1:6" ht="15.75" customHeight="1" x14ac:dyDescent="0.3">
      <c r="A94" s="8"/>
      <c r="B94" s="8"/>
      <c r="C94" s="22"/>
      <c r="D94" s="22"/>
      <c r="E94" s="8"/>
      <c r="F94" s="7"/>
    </row>
    <row r="95" spans="1:6" ht="15.75" customHeight="1" x14ac:dyDescent="0.3">
      <c r="A95" s="8"/>
      <c r="B95" s="8"/>
      <c r="C95" s="22"/>
      <c r="D95" s="22"/>
      <c r="E95" s="8"/>
      <c r="F95" s="7"/>
    </row>
    <row r="96" spans="1:6" ht="15.75" customHeight="1" x14ac:dyDescent="0.3">
      <c r="A96" s="8"/>
      <c r="B96" s="8"/>
      <c r="C96" s="22"/>
      <c r="D96" s="22"/>
      <c r="E96" s="8"/>
      <c r="F96" s="7"/>
    </row>
    <row r="97" spans="1:6" ht="15.75" customHeight="1" x14ac:dyDescent="0.3">
      <c r="A97" s="8"/>
      <c r="B97" s="8"/>
      <c r="C97" s="22"/>
      <c r="D97" s="22"/>
      <c r="E97" s="8"/>
      <c r="F97" s="7"/>
    </row>
    <row r="98" spans="1:6" ht="15.75" customHeight="1" x14ac:dyDescent="0.3">
      <c r="A98" s="8"/>
      <c r="B98" s="8"/>
      <c r="C98" s="22"/>
      <c r="D98" s="22"/>
      <c r="E98" s="8"/>
      <c r="F98" s="7"/>
    </row>
    <row r="99" spans="1:6" ht="15.75" customHeight="1" x14ac:dyDescent="0.3">
      <c r="A99" s="8"/>
      <c r="B99" s="8"/>
      <c r="C99" s="22"/>
      <c r="D99" s="22"/>
      <c r="E99" s="8"/>
      <c r="F99" s="7"/>
    </row>
    <row r="100" spans="1:6" ht="15.75" customHeight="1" x14ac:dyDescent="0.3">
      <c r="A100" s="8"/>
      <c r="B100" s="8"/>
      <c r="C100" s="22"/>
      <c r="D100" s="22"/>
      <c r="E100" s="8"/>
      <c r="F100" s="7"/>
    </row>
    <row r="101" spans="1:6" ht="15.75" customHeight="1" x14ac:dyDescent="0.3">
      <c r="A101" s="8"/>
      <c r="B101" s="8"/>
      <c r="C101" s="22"/>
      <c r="D101" s="22"/>
      <c r="E101" s="8"/>
      <c r="F101" s="7"/>
    </row>
    <row r="102" spans="1:6" ht="15.75" customHeight="1" x14ac:dyDescent="0.3">
      <c r="A102" s="8"/>
      <c r="B102" s="8"/>
      <c r="C102" s="22"/>
      <c r="D102" s="22"/>
      <c r="E102" s="8"/>
      <c r="F102" s="7"/>
    </row>
    <row r="103" spans="1:6" ht="15.75" customHeight="1" x14ac:dyDescent="0.3">
      <c r="A103" s="8"/>
      <c r="B103" s="8"/>
      <c r="C103" s="22"/>
      <c r="D103" s="22"/>
      <c r="E103" s="8"/>
      <c r="F103" s="7"/>
    </row>
    <row r="104" spans="1:6" ht="15.75" customHeight="1" x14ac:dyDescent="0.3">
      <c r="A104" s="8"/>
      <c r="B104" s="8"/>
      <c r="C104" s="22"/>
      <c r="D104" s="22"/>
      <c r="E104" s="8"/>
      <c r="F104" s="7"/>
    </row>
    <row r="105" spans="1:6" ht="15.75" customHeight="1" x14ac:dyDescent="0.3">
      <c r="A105" s="8"/>
      <c r="B105" s="8"/>
      <c r="C105" s="22"/>
      <c r="D105" s="22"/>
      <c r="E105" s="8"/>
      <c r="F105" s="7"/>
    </row>
    <row r="106" spans="1:6" ht="15.75" customHeight="1" x14ac:dyDescent="0.3">
      <c r="A106" s="8"/>
      <c r="B106" s="8"/>
      <c r="C106" s="22"/>
      <c r="D106" s="22"/>
      <c r="E106" s="8"/>
      <c r="F106" s="7"/>
    </row>
    <row r="107" spans="1:6" ht="15.75" customHeight="1" x14ac:dyDescent="0.3">
      <c r="A107" s="8"/>
      <c r="B107" s="8"/>
      <c r="C107" s="22"/>
      <c r="D107" s="22"/>
      <c r="E107" s="8"/>
      <c r="F107" s="7"/>
    </row>
    <row r="108" spans="1:6" ht="15.75" customHeight="1" x14ac:dyDescent="0.3">
      <c r="A108" s="8"/>
      <c r="B108" s="8"/>
      <c r="C108" s="22"/>
      <c r="D108" s="22"/>
      <c r="E108" s="8"/>
      <c r="F108" s="7"/>
    </row>
    <row r="109" spans="1:6" ht="15.75" customHeight="1" x14ac:dyDescent="0.3">
      <c r="A109" s="8"/>
      <c r="B109" s="8"/>
      <c r="C109" s="8"/>
      <c r="D109" s="8"/>
      <c r="E109" s="8"/>
      <c r="F109" s="7"/>
    </row>
    <row r="110" spans="1:6" ht="15.75" customHeight="1" x14ac:dyDescent="0.3">
      <c r="A110" s="8"/>
      <c r="B110" s="8"/>
      <c r="C110" s="8"/>
      <c r="D110" s="8"/>
      <c r="E110" s="8"/>
      <c r="F110" s="7"/>
    </row>
    <row r="111" spans="1:6" ht="15.75" customHeight="1" x14ac:dyDescent="0.3">
      <c r="A111" s="8"/>
      <c r="B111" s="8"/>
      <c r="C111" s="8"/>
      <c r="D111" s="8"/>
      <c r="E111" s="8"/>
      <c r="F111" s="7"/>
    </row>
    <row r="112" spans="1:6" ht="15.75" customHeight="1" x14ac:dyDescent="0.3">
      <c r="A112" s="8"/>
      <c r="B112" s="8"/>
      <c r="C112" s="8"/>
      <c r="D112" s="8"/>
      <c r="E112" s="8"/>
      <c r="F112" s="7"/>
    </row>
    <row r="113" spans="1:6" ht="15.75" customHeight="1" x14ac:dyDescent="0.3">
      <c r="A113" s="8"/>
      <c r="B113" s="8"/>
      <c r="C113" s="8"/>
      <c r="D113" s="8"/>
      <c r="E113" s="8"/>
      <c r="F113" s="7"/>
    </row>
    <row r="114" spans="1:6" ht="15.75" customHeight="1" x14ac:dyDescent="0.3">
      <c r="A114" s="8"/>
      <c r="B114" s="8"/>
      <c r="C114" s="8"/>
      <c r="D114" s="8"/>
      <c r="E114" s="8"/>
      <c r="F114" s="7"/>
    </row>
    <row r="115" spans="1:6" ht="15.75" customHeight="1" x14ac:dyDescent="0.3">
      <c r="A115" s="8"/>
      <c r="B115" s="8"/>
      <c r="C115" s="8"/>
      <c r="D115" s="8"/>
      <c r="E115" s="8"/>
      <c r="F115" s="7"/>
    </row>
    <row r="116" spans="1:6" ht="15.75" customHeight="1" x14ac:dyDescent="0.3">
      <c r="A116" s="8"/>
      <c r="B116" s="8"/>
      <c r="C116" s="8"/>
      <c r="D116" s="8"/>
      <c r="E116" s="8"/>
      <c r="F116" s="7"/>
    </row>
    <row r="117" spans="1:6" ht="15.75" customHeight="1" x14ac:dyDescent="0.3">
      <c r="A117" s="8"/>
      <c r="B117" s="8"/>
      <c r="C117" s="8"/>
      <c r="D117" s="8"/>
      <c r="E117" s="8"/>
      <c r="F117" s="7"/>
    </row>
    <row r="118" spans="1:6" ht="15.75" customHeight="1" x14ac:dyDescent="0.3">
      <c r="A118" s="8"/>
      <c r="B118" s="8"/>
      <c r="C118" s="8"/>
      <c r="D118" s="8"/>
      <c r="E118" s="8"/>
      <c r="F118" s="7"/>
    </row>
    <row r="119" spans="1:6" ht="15.75" customHeight="1" x14ac:dyDescent="0.3">
      <c r="A119" s="8"/>
      <c r="B119" s="8"/>
      <c r="C119" s="8"/>
      <c r="D119" s="8"/>
      <c r="E119" s="8"/>
      <c r="F119" s="7"/>
    </row>
    <row r="120" spans="1:6" ht="15.75" customHeight="1" x14ac:dyDescent="0.3">
      <c r="A120" s="8"/>
      <c r="B120" s="8"/>
      <c r="C120" s="8"/>
      <c r="D120" s="8"/>
      <c r="E120" s="8"/>
      <c r="F120" s="7"/>
    </row>
    <row r="121" spans="1:6" ht="15.75" customHeight="1" x14ac:dyDescent="0.3">
      <c r="A121" s="8"/>
      <c r="B121" s="8"/>
      <c r="C121" s="8"/>
      <c r="D121" s="8"/>
      <c r="E121" s="8"/>
      <c r="F121" s="7"/>
    </row>
    <row r="122" spans="1:6" ht="15.75" customHeight="1" x14ac:dyDescent="0.3">
      <c r="A122" s="8"/>
      <c r="B122" s="8"/>
      <c r="C122" s="8"/>
      <c r="D122" s="8"/>
      <c r="E122" s="8"/>
      <c r="F122" s="7"/>
    </row>
    <row r="123" spans="1:6" ht="15.75" customHeight="1" x14ac:dyDescent="0.3">
      <c r="A123" s="8"/>
      <c r="B123" s="8"/>
      <c r="C123" s="8"/>
      <c r="D123" s="8"/>
      <c r="E123" s="8"/>
      <c r="F123" s="7"/>
    </row>
    <row r="124" spans="1:6" ht="15.75" customHeight="1" x14ac:dyDescent="0.3">
      <c r="A124" s="8"/>
      <c r="B124" s="8"/>
      <c r="C124" s="8"/>
      <c r="D124" s="8"/>
      <c r="E124" s="8"/>
      <c r="F124" s="7"/>
    </row>
    <row r="125" spans="1:6" ht="15.75" customHeight="1" x14ac:dyDescent="0.3">
      <c r="A125" s="8"/>
      <c r="B125" s="8"/>
      <c r="C125" s="8"/>
      <c r="D125" s="8"/>
      <c r="E125" s="8"/>
      <c r="F125" s="7"/>
    </row>
    <row r="126" spans="1:6" ht="15.75" customHeight="1" x14ac:dyDescent="0.3">
      <c r="A126" s="8"/>
      <c r="B126" s="8"/>
      <c r="C126" s="8"/>
      <c r="D126" s="8"/>
      <c r="E126" s="8"/>
      <c r="F126" s="7"/>
    </row>
    <row r="127" spans="1:6" ht="15.75" customHeight="1" x14ac:dyDescent="0.3">
      <c r="A127" s="8"/>
      <c r="B127" s="8"/>
      <c r="C127" s="8"/>
      <c r="D127" s="8"/>
      <c r="E127" s="8"/>
      <c r="F127" s="7"/>
    </row>
    <row r="128" spans="1:6" ht="15.75" customHeight="1" x14ac:dyDescent="0.3">
      <c r="A128" s="8"/>
      <c r="B128" s="8"/>
      <c r="C128" s="8"/>
      <c r="D128" s="8"/>
      <c r="E128" s="8"/>
      <c r="F128" s="7"/>
    </row>
    <row r="129" spans="1:6" ht="15.75" customHeight="1" x14ac:dyDescent="0.3">
      <c r="A129" s="8"/>
      <c r="B129" s="8"/>
      <c r="C129" s="8"/>
      <c r="D129" s="8"/>
      <c r="E129" s="8"/>
      <c r="F129" s="7"/>
    </row>
    <row r="130" spans="1:6" ht="15.75" customHeight="1" x14ac:dyDescent="0.3">
      <c r="A130" s="8"/>
      <c r="B130" s="8"/>
      <c r="C130" s="8"/>
      <c r="D130" s="8"/>
      <c r="E130" s="8"/>
      <c r="F130" s="7"/>
    </row>
    <row r="131" spans="1:6" ht="15.75" customHeight="1" x14ac:dyDescent="0.3">
      <c r="A131" s="8"/>
      <c r="B131" s="8"/>
      <c r="C131" s="8"/>
      <c r="D131" s="8"/>
      <c r="E131" s="8"/>
      <c r="F131" s="7"/>
    </row>
    <row r="132" spans="1:6" ht="15.75" customHeight="1" x14ac:dyDescent="0.3">
      <c r="A132" s="8"/>
      <c r="B132" s="8"/>
      <c r="C132" s="8"/>
      <c r="D132" s="8"/>
      <c r="E132" s="8"/>
      <c r="F132" s="7"/>
    </row>
    <row r="133" spans="1:6" ht="15.75" customHeight="1" x14ac:dyDescent="0.3">
      <c r="A133" s="8"/>
      <c r="B133" s="8"/>
      <c r="C133" s="8"/>
      <c r="D133" s="8"/>
      <c r="E133" s="8"/>
      <c r="F133" s="7"/>
    </row>
    <row r="134" spans="1:6" ht="15.75" customHeight="1" x14ac:dyDescent="0.3">
      <c r="A134" s="8"/>
      <c r="B134" s="8"/>
      <c r="C134" s="8"/>
      <c r="D134" s="8"/>
      <c r="E134" s="8"/>
      <c r="F134" s="7"/>
    </row>
    <row r="135" spans="1:6" ht="15.75" customHeight="1" x14ac:dyDescent="0.3">
      <c r="A135" s="8"/>
      <c r="B135" s="8"/>
      <c r="C135" s="8"/>
      <c r="D135" s="8"/>
      <c r="E135" s="8"/>
      <c r="F135" s="7"/>
    </row>
    <row r="136" spans="1:6" ht="15.75" customHeight="1" x14ac:dyDescent="0.3">
      <c r="A136" s="8"/>
      <c r="B136" s="8"/>
      <c r="C136" s="8"/>
      <c r="D136" s="8"/>
      <c r="E136" s="8"/>
      <c r="F136" s="7"/>
    </row>
    <row r="137" spans="1:6" ht="15.75" customHeight="1" x14ac:dyDescent="0.3">
      <c r="A137" s="8"/>
      <c r="B137" s="8"/>
      <c r="C137" s="8"/>
      <c r="D137" s="8"/>
      <c r="E137" s="8"/>
      <c r="F137" s="7"/>
    </row>
    <row r="138" spans="1:6" ht="15.75" customHeight="1" x14ac:dyDescent="0.3">
      <c r="A138" s="8"/>
      <c r="B138" s="8"/>
      <c r="C138" s="8"/>
      <c r="D138" s="8"/>
      <c r="E138" s="8"/>
      <c r="F138" s="7"/>
    </row>
    <row r="139" spans="1:6" ht="15.75" customHeight="1" x14ac:dyDescent="0.3">
      <c r="A139" s="8"/>
      <c r="B139" s="8"/>
      <c r="C139" s="8"/>
      <c r="D139" s="8"/>
      <c r="E139" s="8"/>
      <c r="F139" s="7"/>
    </row>
    <row r="140" spans="1:6" ht="15.75" customHeight="1" x14ac:dyDescent="0.3">
      <c r="A140" s="8"/>
      <c r="B140" s="8"/>
      <c r="C140" s="8"/>
      <c r="D140" s="8"/>
      <c r="E140" s="8"/>
      <c r="F140" s="7"/>
    </row>
    <row r="141" spans="1:6" ht="15.75" customHeight="1" x14ac:dyDescent="0.3">
      <c r="A141" s="8"/>
      <c r="B141" s="8"/>
      <c r="C141" s="8"/>
      <c r="D141" s="8"/>
      <c r="E141" s="8"/>
      <c r="F141" s="7"/>
    </row>
    <row r="142" spans="1:6" ht="15.75" customHeight="1" x14ac:dyDescent="0.3">
      <c r="A142" s="8"/>
      <c r="B142" s="8"/>
      <c r="C142" s="8"/>
      <c r="D142" s="8"/>
      <c r="E142" s="8"/>
      <c r="F142" s="7"/>
    </row>
    <row r="143" spans="1:6" ht="15.75" customHeight="1" x14ac:dyDescent="0.3">
      <c r="A143" s="8"/>
      <c r="B143" s="8"/>
      <c r="C143" s="8"/>
      <c r="D143" s="8"/>
      <c r="E143" s="8"/>
      <c r="F143" s="7"/>
    </row>
    <row r="144" spans="1:6" ht="15.75" customHeight="1" x14ac:dyDescent="0.3">
      <c r="A144" s="8"/>
      <c r="B144" s="8"/>
      <c r="C144" s="8"/>
      <c r="D144" s="8"/>
      <c r="E144" s="8"/>
      <c r="F144" s="7"/>
    </row>
    <row r="145" spans="1:6" ht="15.75" customHeight="1" x14ac:dyDescent="0.3">
      <c r="A145" s="8"/>
      <c r="B145" s="8"/>
      <c r="C145" s="8"/>
      <c r="D145" s="8"/>
      <c r="E145" s="8"/>
      <c r="F145" s="7"/>
    </row>
    <row r="146" spans="1:6" ht="15.75" customHeight="1" x14ac:dyDescent="0.3">
      <c r="A146" s="8"/>
      <c r="B146" s="8"/>
      <c r="C146" s="8"/>
      <c r="D146" s="8"/>
      <c r="E146" s="8"/>
      <c r="F146" s="7"/>
    </row>
    <row r="147" spans="1:6" ht="15.75" customHeight="1" x14ac:dyDescent="0.3">
      <c r="A147" s="8"/>
      <c r="B147" s="8"/>
      <c r="C147" s="8"/>
      <c r="D147" s="8"/>
      <c r="E147" s="8"/>
      <c r="F147" s="7"/>
    </row>
    <row r="148" spans="1:6" ht="15.75" customHeight="1" x14ac:dyDescent="0.3">
      <c r="A148" s="8"/>
      <c r="B148" s="8"/>
      <c r="C148" s="8"/>
      <c r="D148" s="8"/>
      <c r="E148" s="8"/>
      <c r="F148" s="7"/>
    </row>
    <row r="149" spans="1:6" ht="15.75" customHeight="1" x14ac:dyDescent="0.3">
      <c r="A149" s="8"/>
      <c r="B149" s="8"/>
      <c r="C149" s="8"/>
      <c r="D149" s="8"/>
      <c r="E149" s="8"/>
      <c r="F149" s="7"/>
    </row>
    <row r="150" spans="1:6" ht="15.75" customHeight="1" x14ac:dyDescent="0.3">
      <c r="A150" s="8"/>
      <c r="B150" s="8"/>
      <c r="C150" s="8"/>
      <c r="D150" s="8"/>
      <c r="E150" s="8"/>
      <c r="F150" s="7"/>
    </row>
    <row r="151" spans="1:6" ht="15.75" customHeight="1" x14ac:dyDescent="0.3">
      <c r="A151" s="8"/>
      <c r="B151" s="8"/>
      <c r="C151" s="8"/>
      <c r="D151" s="8"/>
      <c r="E151" s="8"/>
      <c r="F151" s="7"/>
    </row>
    <row r="152" spans="1:6" ht="15.75" customHeight="1" x14ac:dyDescent="0.3">
      <c r="A152" s="8"/>
      <c r="B152" s="8"/>
      <c r="C152" s="8"/>
      <c r="D152" s="8"/>
      <c r="E152" s="8"/>
      <c r="F152" s="7"/>
    </row>
    <row r="153" spans="1:6" ht="15.75" customHeight="1" x14ac:dyDescent="0.3">
      <c r="A153" s="8"/>
      <c r="B153" s="8"/>
      <c r="C153" s="8"/>
      <c r="D153" s="8"/>
      <c r="E153" s="8"/>
      <c r="F153" s="7"/>
    </row>
    <row r="154" spans="1:6" ht="15.75" customHeight="1" x14ac:dyDescent="0.3">
      <c r="A154" s="8"/>
      <c r="B154" s="8"/>
      <c r="C154" s="8"/>
      <c r="D154" s="8"/>
      <c r="E154" s="8"/>
      <c r="F154" s="7"/>
    </row>
    <row r="155" spans="1:6" ht="15.75" customHeight="1" x14ac:dyDescent="0.3">
      <c r="A155" s="8"/>
      <c r="B155" s="8"/>
      <c r="C155" s="8"/>
      <c r="D155" s="8"/>
      <c r="E155" s="8"/>
      <c r="F155" s="7"/>
    </row>
    <row r="156" spans="1:6" ht="15.75" customHeight="1" x14ac:dyDescent="0.3">
      <c r="A156" s="8"/>
      <c r="B156" s="8"/>
      <c r="C156" s="8"/>
      <c r="D156" s="8"/>
      <c r="E156" s="8"/>
      <c r="F156" s="7"/>
    </row>
    <row r="157" spans="1:6" ht="15.75" customHeight="1" x14ac:dyDescent="0.3">
      <c r="A157" s="8"/>
      <c r="B157" s="8"/>
      <c r="C157" s="8"/>
      <c r="D157" s="8"/>
      <c r="E157" s="8"/>
      <c r="F157" s="7"/>
    </row>
    <row r="158" spans="1:6" ht="15.75" customHeight="1" x14ac:dyDescent="0.3">
      <c r="A158" s="8"/>
      <c r="B158" s="8"/>
      <c r="C158" s="8"/>
      <c r="D158" s="8"/>
      <c r="E158" s="8"/>
      <c r="F158" s="7"/>
    </row>
    <row r="159" spans="1:6" ht="15.75" customHeight="1" x14ac:dyDescent="0.3">
      <c r="A159" s="8"/>
      <c r="B159" s="8"/>
      <c r="C159" s="8"/>
      <c r="D159" s="8"/>
      <c r="E159" s="8"/>
      <c r="F159" s="7"/>
    </row>
    <row r="160" spans="1:6" ht="15.75" customHeight="1" x14ac:dyDescent="0.3">
      <c r="A160" s="8"/>
      <c r="B160" s="8"/>
      <c r="C160" s="8"/>
      <c r="D160" s="8"/>
      <c r="E160" s="8"/>
      <c r="F160" s="7"/>
    </row>
    <row r="161" spans="1:6" ht="15.75" customHeight="1" x14ac:dyDescent="0.3">
      <c r="A161" s="8"/>
      <c r="B161" s="8"/>
      <c r="C161" s="8"/>
      <c r="D161" s="8"/>
      <c r="E161" s="8"/>
      <c r="F161" s="7"/>
    </row>
    <row r="162" spans="1:6" ht="15.75" customHeight="1" x14ac:dyDescent="0.3">
      <c r="A162" s="8"/>
      <c r="B162" s="8"/>
      <c r="C162" s="8"/>
      <c r="D162" s="8"/>
      <c r="E162" s="8"/>
      <c r="F162" s="7"/>
    </row>
    <row r="163" spans="1:6" ht="15.75" customHeight="1" x14ac:dyDescent="0.3">
      <c r="A163" s="8"/>
      <c r="B163" s="8"/>
      <c r="C163" s="8"/>
      <c r="D163" s="8"/>
      <c r="E163" s="8"/>
      <c r="F163" s="7"/>
    </row>
    <row r="164" spans="1:6" ht="15.75" customHeight="1" x14ac:dyDescent="0.3">
      <c r="A164" s="8"/>
      <c r="B164" s="8"/>
      <c r="C164" s="8"/>
      <c r="D164" s="8"/>
      <c r="E164" s="8"/>
      <c r="F164" s="7"/>
    </row>
    <row r="165" spans="1:6" ht="15.75" customHeight="1" x14ac:dyDescent="0.3">
      <c r="A165" s="8"/>
      <c r="B165" s="8"/>
      <c r="C165" s="8"/>
      <c r="D165" s="8"/>
      <c r="E165" s="8"/>
      <c r="F165" s="7"/>
    </row>
    <row r="166" spans="1:6" ht="15.75" customHeight="1" x14ac:dyDescent="0.3">
      <c r="A166" s="8"/>
      <c r="B166" s="8"/>
      <c r="C166" s="8"/>
      <c r="D166" s="8"/>
      <c r="E166" s="8"/>
      <c r="F166" s="7"/>
    </row>
    <row r="167" spans="1:6" ht="15.75" customHeight="1" x14ac:dyDescent="0.3">
      <c r="F167" s="7"/>
    </row>
    <row r="168" spans="1:6" ht="15.75" customHeight="1" x14ac:dyDescent="0.3">
      <c r="F168" s="7"/>
    </row>
    <row r="169" spans="1:6" ht="15.75" customHeight="1" x14ac:dyDescent="0.3">
      <c r="F169" s="7"/>
    </row>
    <row r="170" spans="1:6" ht="15.75" customHeight="1" x14ac:dyDescent="0.3">
      <c r="F170" s="7"/>
    </row>
    <row r="171" spans="1:6" ht="15.75" customHeight="1" x14ac:dyDescent="0.3">
      <c r="F171" s="7"/>
    </row>
    <row r="172" spans="1:6" ht="15.75" customHeight="1" x14ac:dyDescent="0.3">
      <c r="F172" s="7"/>
    </row>
    <row r="173" spans="1:6" ht="15.75" customHeight="1" x14ac:dyDescent="0.3">
      <c r="F173" s="7"/>
    </row>
    <row r="174" spans="1:6" ht="15.75" customHeight="1" x14ac:dyDescent="0.3">
      <c r="F174" s="7"/>
    </row>
    <row r="175" spans="1:6" ht="15.75" customHeight="1" x14ac:dyDescent="0.3">
      <c r="F175" s="7"/>
    </row>
    <row r="176" spans="1:6" ht="15.75" customHeight="1" x14ac:dyDescent="0.3">
      <c r="F176" s="7"/>
    </row>
    <row r="177" spans="6:6" ht="15.75" customHeight="1" x14ac:dyDescent="0.3">
      <c r="F177" s="7"/>
    </row>
    <row r="178" spans="6:6" ht="15.75" customHeight="1" x14ac:dyDescent="0.3">
      <c r="F178" s="7"/>
    </row>
    <row r="179" spans="6:6" ht="15.75" customHeight="1" x14ac:dyDescent="0.3">
      <c r="F179" s="7"/>
    </row>
    <row r="180" spans="6:6" ht="15.75" customHeight="1" x14ac:dyDescent="0.3">
      <c r="F180" s="7"/>
    </row>
    <row r="181" spans="6:6" ht="15.75" customHeight="1" x14ac:dyDescent="0.3">
      <c r="F181" s="7"/>
    </row>
    <row r="182" spans="6:6" ht="15.75" customHeight="1" x14ac:dyDescent="0.3">
      <c r="F182" s="7"/>
    </row>
    <row r="183" spans="6:6" ht="15.75" customHeight="1" x14ac:dyDescent="0.3">
      <c r="F183" s="7"/>
    </row>
    <row r="184" spans="6:6" ht="15.75" customHeight="1" x14ac:dyDescent="0.3">
      <c r="F184" s="7"/>
    </row>
    <row r="185" spans="6:6" ht="15.75" customHeight="1" x14ac:dyDescent="0.3">
      <c r="F185" s="7"/>
    </row>
    <row r="186" spans="6:6" ht="15.75" customHeight="1" x14ac:dyDescent="0.3">
      <c r="F186" s="7"/>
    </row>
    <row r="187" spans="6:6" ht="15.75" customHeight="1" x14ac:dyDescent="0.3">
      <c r="F187" s="7"/>
    </row>
    <row r="188" spans="6:6" ht="15.75" customHeight="1" x14ac:dyDescent="0.3">
      <c r="F188" s="7"/>
    </row>
    <row r="189" spans="6:6" ht="15.75" customHeight="1" x14ac:dyDescent="0.3">
      <c r="F189" s="7"/>
    </row>
    <row r="190" spans="6:6" ht="15.75" customHeight="1" x14ac:dyDescent="0.3">
      <c r="F190" s="7"/>
    </row>
    <row r="191" spans="6:6" ht="15.75" customHeight="1" x14ac:dyDescent="0.3">
      <c r="F191" s="7"/>
    </row>
    <row r="192" spans="6:6" ht="15.75" customHeight="1" x14ac:dyDescent="0.3">
      <c r="F192" s="7"/>
    </row>
    <row r="193" spans="6:6" ht="15.75" customHeight="1" x14ac:dyDescent="0.3">
      <c r="F193" s="7"/>
    </row>
    <row r="194" spans="6:6" ht="15.75" customHeight="1" x14ac:dyDescent="0.3">
      <c r="F194" s="7"/>
    </row>
    <row r="195" spans="6:6" ht="15.75" customHeight="1" x14ac:dyDescent="0.3">
      <c r="F195" s="7"/>
    </row>
    <row r="196" spans="6:6" ht="15.75" customHeight="1" x14ac:dyDescent="0.3">
      <c r="F196" s="7"/>
    </row>
    <row r="197" spans="6:6" ht="15.75" customHeight="1" x14ac:dyDescent="0.3">
      <c r="F197" s="7"/>
    </row>
    <row r="198" spans="6:6" ht="15.75" customHeight="1" x14ac:dyDescent="0.3">
      <c r="F198" s="7"/>
    </row>
    <row r="199" spans="6:6" ht="15.75" customHeight="1" x14ac:dyDescent="0.3">
      <c r="F199" s="7"/>
    </row>
    <row r="200" spans="6:6" ht="15.75" customHeight="1" x14ac:dyDescent="0.3">
      <c r="F200" s="7"/>
    </row>
    <row r="201" spans="6:6" ht="15.75" customHeight="1" x14ac:dyDescent="0.3">
      <c r="F201" s="7"/>
    </row>
    <row r="202" spans="6:6" ht="15.75" customHeight="1" x14ac:dyDescent="0.3">
      <c r="F202" s="7"/>
    </row>
    <row r="203" spans="6:6" ht="15.75" customHeight="1" x14ac:dyDescent="0.3">
      <c r="F203" s="7"/>
    </row>
    <row r="204" spans="6:6" ht="15.75" customHeight="1" x14ac:dyDescent="0.3">
      <c r="F204" s="7"/>
    </row>
    <row r="205" spans="6:6" ht="15.75" customHeight="1" x14ac:dyDescent="0.3">
      <c r="F205" s="7"/>
    </row>
    <row r="206" spans="6:6" ht="15.75" customHeight="1" x14ac:dyDescent="0.3">
      <c r="F206" s="7"/>
    </row>
    <row r="207" spans="6:6" ht="15.75" customHeight="1" x14ac:dyDescent="0.3">
      <c r="F207" s="7"/>
    </row>
    <row r="208" spans="6:6" ht="15.75" customHeight="1" x14ac:dyDescent="0.3">
      <c r="F208" s="7"/>
    </row>
    <row r="209" spans="6:6" ht="15.75" customHeight="1" x14ac:dyDescent="0.3">
      <c r="F209" s="7"/>
    </row>
    <row r="210" spans="6:6" ht="15.75" customHeight="1" x14ac:dyDescent="0.3">
      <c r="F210" s="7"/>
    </row>
    <row r="211" spans="6:6" ht="15.75" customHeight="1" x14ac:dyDescent="0.3">
      <c r="F211" s="7"/>
    </row>
    <row r="212" spans="6:6" ht="15.75" customHeight="1" x14ac:dyDescent="0.3">
      <c r="F212" s="7"/>
    </row>
    <row r="213" spans="6:6" ht="15.75" customHeight="1" x14ac:dyDescent="0.3">
      <c r="F213" s="7"/>
    </row>
    <row r="214" spans="6:6" ht="15.75" customHeight="1" x14ac:dyDescent="0.3">
      <c r="F214" s="7"/>
    </row>
    <row r="215" spans="6:6" ht="15.75" customHeight="1" x14ac:dyDescent="0.3">
      <c r="F215" s="7"/>
    </row>
    <row r="216" spans="6:6" ht="15.75" customHeight="1" x14ac:dyDescent="0.3">
      <c r="F216" s="7"/>
    </row>
    <row r="217" spans="6:6" ht="15.75" customHeight="1" x14ac:dyDescent="0.3">
      <c r="F217" s="7"/>
    </row>
    <row r="218" spans="6:6" ht="15.75" customHeight="1" x14ac:dyDescent="0.3">
      <c r="F218" s="7"/>
    </row>
    <row r="219" spans="6:6" ht="15.75" customHeight="1" x14ac:dyDescent="0.3">
      <c r="F219" s="7"/>
    </row>
    <row r="220" spans="6:6" ht="15.75" customHeight="1" x14ac:dyDescent="0.3">
      <c r="F220" s="7"/>
    </row>
    <row r="221" spans="6:6" ht="15.75" customHeight="1" x14ac:dyDescent="0.3">
      <c r="F221" s="7"/>
    </row>
    <row r="222" spans="6:6" ht="15.75" customHeight="1" x14ac:dyDescent="0.3">
      <c r="F222" s="7"/>
    </row>
    <row r="223" spans="6:6" ht="15.75" customHeight="1" x14ac:dyDescent="0.3">
      <c r="F223" s="7"/>
    </row>
    <row r="224" spans="6:6" ht="15.75" customHeight="1" x14ac:dyDescent="0.3">
      <c r="F224" s="7"/>
    </row>
    <row r="225" spans="6:6" ht="15.75" customHeight="1" x14ac:dyDescent="0.3">
      <c r="F225" s="7"/>
    </row>
    <row r="226" spans="6:6" ht="15.75" customHeight="1" x14ac:dyDescent="0.3">
      <c r="F226" s="7"/>
    </row>
    <row r="227" spans="6:6" ht="15.75" customHeight="1" x14ac:dyDescent="0.3">
      <c r="F227" s="7"/>
    </row>
    <row r="228" spans="6:6" ht="15.75" customHeight="1" x14ac:dyDescent="0.3">
      <c r="F228" s="7"/>
    </row>
    <row r="229" spans="6:6" ht="15.75" customHeight="1" x14ac:dyDescent="0.3">
      <c r="F229" s="7"/>
    </row>
    <row r="230" spans="6:6" ht="15.75" customHeight="1" x14ac:dyDescent="0.3">
      <c r="F230" s="7"/>
    </row>
    <row r="231" spans="6:6" ht="15.75" customHeight="1" x14ac:dyDescent="0.3">
      <c r="F231" s="7"/>
    </row>
    <row r="232" spans="6:6" ht="15.75" customHeight="1" x14ac:dyDescent="0.3">
      <c r="F232" s="7"/>
    </row>
    <row r="233" spans="6:6" ht="15.75" customHeight="1" x14ac:dyDescent="0.3">
      <c r="F233" s="7"/>
    </row>
    <row r="234" spans="6:6" ht="15.75" customHeight="1" x14ac:dyDescent="0.3">
      <c r="F234" s="7"/>
    </row>
    <row r="235" spans="6:6" ht="15.75" customHeight="1" x14ac:dyDescent="0.3">
      <c r="F235" s="7"/>
    </row>
    <row r="236" spans="6:6" ht="15.75" customHeight="1" x14ac:dyDescent="0.3">
      <c r="F236" s="7"/>
    </row>
    <row r="237" spans="6:6" ht="15.75" customHeight="1" x14ac:dyDescent="0.3">
      <c r="F237" s="7"/>
    </row>
    <row r="238" spans="6:6" ht="15.75" customHeight="1" x14ac:dyDescent="0.3">
      <c r="F238" s="7"/>
    </row>
    <row r="239" spans="6:6" ht="15.75" customHeight="1" x14ac:dyDescent="0.3">
      <c r="F239" s="7"/>
    </row>
    <row r="240" spans="6:6" ht="15.75" customHeight="1" x14ac:dyDescent="0.3">
      <c r="F240" s="7"/>
    </row>
    <row r="241" spans="6:6" ht="15.75" customHeight="1" x14ac:dyDescent="0.3">
      <c r="F241" s="7"/>
    </row>
    <row r="242" spans="6:6" ht="15.75" customHeight="1" x14ac:dyDescent="0.3">
      <c r="F242" s="7"/>
    </row>
    <row r="243" spans="6:6" ht="15.75" customHeight="1" x14ac:dyDescent="0.3">
      <c r="F243" s="7"/>
    </row>
    <row r="244" spans="6:6" ht="15.75" customHeight="1" x14ac:dyDescent="0.3">
      <c r="F244" s="7"/>
    </row>
    <row r="245" spans="6:6" ht="15.75" customHeight="1" x14ac:dyDescent="0.3">
      <c r="F245" s="7"/>
    </row>
    <row r="246" spans="6:6" ht="15.75" customHeight="1" x14ac:dyDescent="0.3">
      <c r="F246" s="7"/>
    </row>
    <row r="247" spans="6:6" ht="15.75" customHeight="1" x14ac:dyDescent="0.3">
      <c r="F247" s="7"/>
    </row>
    <row r="248" spans="6:6" ht="15.75" customHeight="1" x14ac:dyDescent="0.3">
      <c r="F248" s="7"/>
    </row>
    <row r="249" spans="6:6" ht="15.75" customHeight="1" x14ac:dyDescent="0.3">
      <c r="F249" s="7"/>
    </row>
    <row r="250" spans="6:6" ht="15.75" customHeight="1" x14ac:dyDescent="0.3">
      <c r="F250" s="7"/>
    </row>
    <row r="251" spans="6:6" ht="15.75" customHeight="1" x14ac:dyDescent="0.3">
      <c r="F251" s="7"/>
    </row>
    <row r="252" spans="6:6" ht="15.75" customHeight="1" x14ac:dyDescent="0.3">
      <c r="F252" s="7"/>
    </row>
    <row r="253" spans="6:6" ht="15.75" customHeight="1" x14ac:dyDescent="0.3">
      <c r="F253" s="7"/>
    </row>
    <row r="254" spans="6:6" ht="15.75" customHeight="1" x14ac:dyDescent="0.3">
      <c r="F254" s="7"/>
    </row>
    <row r="255" spans="6:6" ht="15.75" customHeight="1" x14ac:dyDescent="0.3">
      <c r="F255" s="7"/>
    </row>
    <row r="256" spans="6:6" ht="15.75" customHeight="1" x14ac:dyDescent="0.3">
      <c r="F256" s="7"/>
    </row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</sheetData>
  <mergeCells count="2">
    <mergeCell ref="B5:E5"/>
    <mergeCell ref="A1:E1"/>
  </mergeCells>
  <phoneticPr fontId="9" type="noConversion"/>
  <pageMargins left="0" right="0" top="1" bottom="0" header="0" footer="0"/>
  <pageSetup orientation="portrait" r:id="rId1"/>
  <rowBreaks count="1" manualBreakCount="1">
    <brk id="47" man="1"/>
  </rowBreaks>
  <colBreaks count="1" manualBreakCount="1">
    <brk id="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2"/>
  <sheetViews>
    <sheetView tabSelected="1" topLeftCell="E1" workbookViewId="0">
      <selection activeCell="R22" sqref="R22"/>
    </sheetView>
  </sheetViews>
  <sheetFormatPr defaultColWidth="11.19921875" defaultRowHeight="15" customHeight="1" x14ac:dyDescent="0.3"/>
  <cols>
    <col min="1" max="1" width="24.69921875" customWidth="1"/>
    <col min="2" max="26" width="11.8984375" customWidth="1"/>
    <col min="27" max="27" width="5.19921875" customWidth="1"/>
  </cols>
  <sheetData>
    <row r="1" spans="1:27" ht="15.6" x14ac:dyDescent="0.3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27" ht="15.6" x14ac:dyDescent="0.3">
      <c r="A2" s="7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7" ht="15.6" x14ac:dyDescent="0.3">
      <c r="A3" s="2" t="s">
        <v>2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2" t="s">
        <v>27</v>
      </c>
      <c r="Y3" s="2" t="s">
        <v>28</v>
      </c>
      <c r="Z3" s="2" t="s">
        <v>29</v>
      </c>
      <c r="AA3" s="3"/>
    </row>
    <row r="4" spans="1:27" s="59" customFormat="1" ht="15.6" x14ac:dyDescent="0.3">
      <c r="A4" s="58" t="s">
        <v>96</v>
      </c>
      <c r="C4" s="60">
        <v>7.5</v>
      </c>
      <c r="D4" s="60">
        <v>11</v>
      </c>
      <c r="E4" s="60">
        <v>12.5</v>
      </c>
      <c r="F4" s="60">
        <v>12.5</v>
      </c>
      <c r="G4" s="60">
        <v>12.5</v>
      </c>
      <c r="H4" s="60">
        <v>12.5</v>
      </c>
      <c r="I4" s="60">
        <v>12.5</v>
      </c>
      <c r="J4" s="60">
        <v>12.5</v>
      </c>
      <c r="K4" s="60">
        <v>12.5</v>
      </c>
      <c r="L4" s="60">
        <v>12.5</v>
      </c>
      <c r="M4" s="60">
        <v>12.5</v>
      </c>
      <c r="N4" s="60">
        <v>12.5</v>
      </c>
      <c r="O4" s="60">
        <v>12.5</v>
      </c>
      <c r="P4" s="60">
        <v>12.5</v>
      </c>
      <c r="Q4" s="60">
        <v>12.5</v>
      </c>
      <c r="R4" s="60">
        <v>12.5</v>
      </c>
      <c r="S4" s="60">
        <v>12.5</v>
      </c>
      <c r="T4" s="60">
        <v>12.5</v>
      </c>
      <c r="U4" s="60">
        <v>12.5</v>
      </c>
      <c r="V4" s="60">
        <v>12.5</v>
      </c>
      <c r="W4" s="60">
        <v>12.5</v>
      </c>
      <c r="X4" s="60">
        <v>12.5</v>
      </c>
      <c r="Y4" s="60">
        <v>12.5</v>
      </c>
      <c r="Z4" s="60">
        <v>12.5</v>
      </c>
    </row>
    <row r="5" spans="1:27" ht="15.6" x14ac:dyDescent="0.3">
      <c r="A5" s="4" t="s">
        <v>46</v>
      </c>
      <c r="B5" s="11">
        <v>0</v>
      </c>
      <c r="C5" s="11">
        <f>доходы_затраты!$C$55/доходы_затраты!$C$40*C4</f>
        <v>353250</v>
      </c>
      <c r="D5" s="11">
        <f>доходы_затраты!$C$55/доходы_затраты!$C$40*D4</f>
        <v>518100</v>
      </c>
      <c r="E5" s="11">
        <f>доходы_затраты!$C$55/доходы_затраты!$C$40*E4</f>
        <v>588750</v>
      </c>
      <c r="F5" s="11">
        <f>доходы_затраты!$C$55/доходы_затраты!$C$40*F4</f>
        <v>588750</v>
      </c>
      <c r="G5" s="11">
        <f>доходы_затраты!$C$55/доходы_затраты!$C$40*G4</f>
        <v>588750</v>
      </c>
      <c r="H5" s="11">
        <f>доходы_затраты!$C$55/доходы_затраты!$C$40*H4</f>
        <v>588750</v>
      </c>
      <c r="I5" s="11">
        <f>доходы_затраты!$C$55/доходы_затраты!$C$40*I4</f>
        <v>588750</v>
      </c>
      <c r="J5" s="11">
        <f>доходы_затраты!$C$55/доходы_затраты!$C$40*J4</f>
        <v>588750</v>
      </c>
      <c r="K5" s="11">
        <f>доходы_затраты!$C$55/доходы_затраты!$C$40*K4</f>
        <v>588750</v>
      </c>
      <c r="L5" s="11">
        <f>доходы_затраты!$C$55/доходы_затраты!$C$40*L4</f>
        <v>588750</v>
      </c>
      <c r="M5" s="11">
        <f>доходы_затраты!$C$55/доходы_затраты!$C$40*M4</f>
        <v>588750</v>
      </c>
      <c r="N5" s="11">
        <f>доходы_затраты!$C$55/доходы_затраты!$C$40*N4</f>
        <v>588750</v>
      </c>
      <c r="O5" s="11">
        <f>доходы_затраты!$C$55/доходы_затраты!$C$40*O4</f>
        <v>588750</v>
      </c>
      <c r="P5" s="11">
        <f>доходы_затраты!$C$55/доходы_затраты!$C$40*P4</f>
        <v>588750</v>
      </c>
      <c r="Q5" s="11">
        <f>доходы_затраты!$C$55/доходы_затраты!$C$40*Q4</f>
        <v>588750</v>
      </c>
      <c r="R5" s="11">
        <f>доходы_затраты!$C$55/доходы_затраты!$C$40*R4</f>
        <v>588750</v>
      </c>
      <c r="S5" s="11">
        <f>доходы_затраты!$C$55/доходы_затраты!$C$40*S4</f>
        <v>588750</v>
      </c>
      <c r="T5" s="11">
        <f>доходы_затраты!$C$55/доходы_затраты!$C$40*T4</f>
        <v>588750</v>
      </c>
      <c r="U5" s="11">
        <f>доходы_затраты!$C$55/доходы_затраты!$C$40*U4</f>
        <v>588750</v>
      </c>
      <c r="V5" s="11">
        <f>доходы_затраты!$C$55/доходы_затраты!$C$40*V4</f>
        <v>588750</v>
      </c>
      <c r="W5" s="11">
        <f>доходы_затраты!$C$55/доходы_затраты!$C$40*W4</f>
        <v>588750</v>
      </c>
      <c r="X5" s="11">
        <f>доходы_затраты!$C$55/доходы_затраты!$C$40*X4</f>
        <v>588750</v>
      </c>
      <c r="Y5" s="11">
        <f>доходы_затраты!$C$55/доходы_затраты!$C$40*Y4</f>
        <v>588750</v>
      </c>
      <c r="Z5" s="11">
        <f>доходы_затраты!$C$55/доходы_затраты!$C$40*Z4</f>
        <v>588750</v>
      </c>
    </row>
    <row r="6" spans="1:27" ht="46.8" x14ac:dyDescent="0.3">
      <c r="A6" s="13" t="s">
        <v>40</v>
      </c>
      <c r="B6" s="11"/>
      <c r="C6" s="11">
        <f>доходы_затраты!$C$53</f>
        <v>78750</v>
      </c>
      <c r="D6" s="11">
        <f>доходы_затраты!$C$53</f>
        <v>78750</v>
      </c>
      <c r="E6" s="11">
        <f>доходы_затраты!$C$53</f>
        <v>78750</v>
      </c>
      <c r="F6" s="11">
        <f>доходы_затраты!$C$53</f>
        <v>78750</v>
      </c>
      <c r="G6" s="11">
        <f>доходы_затраты!$C$53</f>
        <v>78750</v>
      </c>
      <c r="H6" s="11">
        <f>доходы_затраты!$C$53</f>
        <v>78750</v>
      </c>
      <c r="I6" s="11">
        <f>доходы_затраты!$C$53</f>
        <v>78750</v>
      </c>
      <c r="J6" s="11">
        <f>доходы_затраты!$C$53</f>
        <v>78750</v>
      </c>
      <c r="K6" s="11">
        <f>доходы_затраты!$C$53</f>
        <v>78750</v>
      </c>
      <c r="L6" s="11">
        <f>доходы_затраты!$C$53</f>
        <v>78750</v>
      </c>
      <c r="M6" s="11">
        <f>доходы_затраты!$C$53</f>
        <v>78750</v>
      </c>
      <c r="N6" s="11">
        <f>доходы_затраты!$C$53</f>
        <v>78750</v>
      </c>
      <c r="O6" s="11">
        <f>доходы_затраты!$C$53</f>
        <v>78750</v>
      </c>
      <c r="P6" s="11">
        <f>доходы_затраты!$C$53</f>
        <v>78750</v>
      </c>
      <c r="Q6" s="11">
        <f>доходы_затраты!$C$53</f>
        <v>78750</v>
      </c>
      <c r="R6" s="11">
        <f>доходы_затраты!$C$53</f>
        <v>78750</v>
      </c>
      <c r="S6" s="11">
        <f>доходы_затраты!$C$53</f>
        <v>78750</v>
      </c>
      <c r="T6" s="11">
        <f>доходы_затраты!$C$53</f>
        <v>78750</v>
      </c>
      <c r="U6" s="11">
        <f>доходы_затраты!$C$53</f>
        <v>78750</v>
      </c>
      <c r="V6" s="11">
        <f>доходы_затраты!$C$53</f>
        <v>78750</v>
      </c>
      <c r="W6" s="11">
        <f>доходы_затраты!$C$53</f>
        <v>78750</v>
      </c>
      <c r="X6" s="11">
        <f>доходы_затраты!$C$53</f>
        <v>78750</v>
      </c>
      <c r="Y6" s="11">
        <f>доходы_затраты!$C$53</f>
        <v>78750</v>
      </c>
      <c r="Z6" s="11">
        <f>доходы_затраты!$C$53</f>
        <v>78750</v>
      </c>
    </row>
    <row r="7" spans="1:27" ht="15.6" x14ac:dyDescent="0.3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7" ht="15.6" x14ac:dyDescent="0.3">
      <c r="A8" s="4" t="s">
        <v>54</v>
      </c>
      <c r="B8" s="11">
        <f>'стартовые затраты'!B16</f>
        <v>3892000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</row>
    <row r="9" spans="1:27" ht="15.6" x14ac:dyDescent="0.3">
      <c r="A9" s="4" t="s">
        <v>55</v>
      </c>
      <c r="B9" s="11">
        <v>0</v>
      </c>
      <c r="C9" s="20">
        <f>доходы_затраты!C29</f>
        <v>375061.11111111112</v>
      </c>
      <c r="D9" s="11">
        <f>доходы_затраты!$C$29</f>
        <v>375061.11111111112</v>
      </c>
      <c r="E9" s="11">
        <f>доходы_затраты!$C$29</f>
        <v>375061.11111111112</v>
      </c>
      <c r="F9" s="11">
        <f>доходы_затраты!$C$29</f>
        <v>375061.11111111112</v>
      </c>
      <c r="G9" s="11">
        <f>доходы_затраты!$C$29</f>
        <v>375061.11111111112</v>
      </c>
      <c r="H9" s="11">
        <f>доходы_затраты!$C$29</f>
        <v>375061.11111111112</v>
      </c>
      <c r="I9" s="11">
        <f>доходы_затраты!$C$29</f>
        <v>375061.11111111112</v>
      </c>
      <c r="J9" s="11">
        <f>доходы_затраты!$C$29</f>
        <v>375061.11111111112</v>
      </c>
      <c r="K9" s="11">
        <f>доходы_затраты!$C$29</f>
        <v>375061.11111111112</v>
      </c>
      <c r="L9" s="11">
        <f>доходы_затраты!$C$29</f>
        <v>375061.11111111112</v>
      </c>
      <c r="M9" s="11">
        <f>доходы_затраты!$C$29</f>
        <v>375061.11111111112</v>
      </c>
      <c r="N9" s="11">
        <f>доходы_затраты!$C$29</f>
        <v>375061.11111111112</v>
      </c>
      <c r="O9" s="11">
        <f>доходы_затраты!$C$29</f>
        <v>375061.11111111112</v>
      </c>
      <c r="P9" s="11">
        <f>доходы_затраты!$C$29</f>
        <v>375061.11111111112</v>
      </c>
      <c r="Q9" s="11">
        <f>доходы_затраты!$C$29</f>
        <v>375061.11111111112</v>
      </c>
      <c r="R9" s="11">
        <f>доходы_затраты!$C$29</f>
        <v>375061.11111111112</v>
      </c>
      <c r="S9" s="11">
        <f>доходы_затраты!$C$29</f>
        <v>375061.11111111112</v>
      </c>
      <c r="T9" s="11">
        <f>доходы_затраты!$C$29</f>
        <v>375061.11111111112</v>
      </c>
      <c r="U9" s="11">
        <f>доходы_затраты!$C$29</f>
        <v>375061.11111111112</v>
      </c>
      <c r="V9" s="11">
        <f>доходы_затраты!$C$29</f>
        <v>375061.11111111112</v>
      </c>
      <c r="W9" s="11">
        <f>доходы_затраты!$C$29</f>
        <v>375061.11111111112</v>
      </c>
      <c r="X9" s="11">
        <f>доходы_затраты!$C$29</f>
        <v>375061.11111111112</v>
      </c>
      <c r="Y9" s="11">
        <f>доходы_затраты!$C$29</f>
        <v>375061.11111111112</v>
      </c>
      <c r="Z9" s="11">
        <f>доходы_затраты!$C$29</f>
        <v>375061.11111111112</v>
      </c>
    </row>
    <row r="10" spans="1:27" ht="15.6" x14ac:dyDescent="0.3">
      <c r="A10" s="4" t="s">
        <v>57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7" s="5" customFormat="1" ht="15.75" customHeight="1" x14ac:dyDescent="0.3">
      <c r="A11" s="4" t="s">
        <v>53</v>
      </c>
      <c r="C11" s="12">
        <f>0.02*(C5+C6)</f>
        <v>8640</v>
      </c>
      <c r="D11" s="12">
        <f t="shared" ref="D11:Z11" si="0">0.02*(D5+D6)</f>
        <v>11937</v>
      </c>
      <c r="E11" s="12">
        <f t="shared" si="0"/>
        <v>13350</v>
      </c>
      <c r="F11" s="12">
        <f t="shared" si="0"/>
        <v>13350</v>
      </c>
      <c r="G11" s="12">
        <f t="shared" si="0"/>
        <v>13350</v>
      </c>
      <c r="H11" s="12">
        <f t="shared" si="0"/>
        <v>13350</v>
      </c>
      <c r="I11" s="12">
        <f t="shared" si="0"/>
        <v>13350</v>
      </c>
      <c r="J11" s="12">
        <f t="shared" si="0"/>
        <v>13350</v>
      </c>
      <c r="K11" s="12">
        <f t="shared" si="0"/>
        <v>13350</v>
      </c>
      <c r="L11" s="12">
        <f t="shared" si="0"/>
        <v>13350</v>
      </c>
      <c r="M11" s="12">
        <f t="shared" si="0"/>
        <v>13350</v>
      </c>
      <c r="N11" s="12">
        <f t="shared" si="0"/>
        <v>13350</v>
      </c>
      <c r="O11" s="12">
        <f t="shared" si="0"/>
        <v>13350</v>
      </c>
      <c r="P11" s="12">
        <f t="shared" si="0"/>
        <v>13350</v>
      </c>
      <c r="Q11" s="12">
        <f t="shared" si="0"/>
        <v>13350</v>
      </c>
      <c r="R11" s="12">
        <f t="shared" si="0"/>
        <v>13350</v>
      </c>
      <c r="S11" s="12">
        <f t="shared" si="0"/>
        <v>13350</v>
      </c>
      <c r="T11" s="12">
        <f t="shared" si="0"/>
        <v>13350</v>
      </c>
      <c r="U11" s="12">
        <f t="shared" si="0"/>
        <v>13350</v>
      </c>
      <c r="V11" s="12">
        <f t="shared" si="0"/>
        <v>13350</v>
      </c>
      <c r="W11" s="12">
        <f t="shared" si="0"/>
        <v>13350</v>
      </c>
      <c r="X11" s="12">
        <f t="shared" si="0"/>
        <v>13350</v>
      </c>
      <c r="Y11" s="12">
        <f t="shared" si="0"/>
        <v>13350</v>
      </c>
      <c r="Z11" s="12">
        <f t="shared" si="0"/>
        <v>13350</v>
      </c>
    </row>
    <row r="12" spans="1:27" s="5" customFormat="1" ht="15.75" customHeight="1" x14ac:dyDescent="0.3">
      <c r="A12" s="40" t="s">
        <v>78</v>
      </c>
      <c r="C12" s="12">
        <f>C6/2</f>
        <v>39375</v>
      </c>
      <c r="D12" s="12">
        <f t="shared" ref="D12:Z12" si="1">D6/2</f>
        <v>39375</v>
      </c>
      <c r="E12" s="12">
        <f t="shared" si="1"/>
        <v>39375</v>
      </c>
      <c r="F12" s="12">
        <f t="shared" si="1"/>
        <v>39375</v>
      </c>
      <c r="G12" s="12">
        <f t="shared" si="1"/>
        <v>39375</v>
      </c>
      <c r="H12" s="12">
        <f t="shared" si="1"/>
        <v>39375</v>
      </c>
      <c r="I12" s="12">
        <f t="shared" si="1"/>
        <v>39375</v>
      </c>
      <c r="J12" s="12">
        <f t="shared" si="1"/>
        <v>39375</v>
      </c>
      <c r="K12" s="12">
        <f t="shared" si="1"/>
        <v>39375</v>
      </c>
      <c r="L12" s="12">
        <f t="shared" si="1"/>
        <v>39375</v>
      </c>
      <c r="M12" s="12">
        <f t="shared" si="1"/>
        <v>39375</v>
      </c>
      <c r="N12" s="12">
        <f t="shared" si="1"/>
        <v>39375</v>
      </c>
      <c r="O12" s="12">
        <f t="shared" si="1"/>
        <v>39375</v>
      </c>
      <c r="P12" s="12">
        <f t="shared" si="1"/>
        <v>39375</v>
      </c>
      <c r="Q12" s="12">
        <f t="shared" si="1"/>
        <v>39375</v>
      </c>
      <c r="R12" s="12">
        <f t="shared" si="1"/>
        <v>39375</v>
      </c>
      <c r="S12" s="12">
        <f t="shared" si="1"/>
        <v>39375</v>
      </c>
      <c r="T12" s="12">
        <f t="shared" si="1"/>
        <v>39375</v>
      </c>
      <c r="U12" s="12">
        <f t="shared" si="1"/>
        <v>39375</v>
      </c>
      <c r="V12" s="12">
        <f t="shared" si="1"/>
        <v>39375</v>
      </c>
      <c r="W12" s="12">
        <f t="shared" si="1"/>
        <v>39375</v>
      </c>
      <c r="X12" s="12">
        <f t="shared" si="1"/>
        <v>39375</v>
      </c>
      <c r="Y12" s="12">
        <f t="shared" si="1"/>
        <v>39375</v>
      </c>
      <c r="Z12" s="12">
        <f t="shared" si="1"/>
        <v>39375</v>
      </c>
    </row>
    <row r="13" spans="1:27" ht="15.75" customHeight="1" x14ac:dyDescent="0.3">
      <c r="A13" s="2" t="s">
        <v>61</v>
      </c>
      <c r="B13" s="11"/>
      <c r="C13" s="27">
        <f>0.03*C5</f>
        <v>10597.5</v>
      </c>
      <c r="D13" s="27">
        <f t="shared" ref="D13:N13" si="2">0.03*D5</f>
        <v>15543</v>
      </c>
      <c r="E13" s="27">
        <f t="shared" si="2"/>
        <v>17662.5</v>
      </c>
      <c r="F13" s="27">
        <f t="shared" si="2"/>
        <v>17662.5</v>
      </c>
      <c r="G13" s="27">
        <f t="shared" si="2"/>
        <v>17662.5</v>
      </c>
      <c r="H13" s="27">
        <f t="shared" si="2"/>
        <v>17662.5</v>
      </c>
      <c r="I13" s="27">
        <f t="shared" si="2"/>
        <v>17662.5</v>
      </c>
      <c r="J13" s="27">
        <f t="shared" si="2"/>
        <v>17662.5</v>
      </c>
      <c r="K13" s="27">
        <f t="shared" si="2"/>
        <v>17662.5</v>
      </c>
      <c r="L13" s="27">
        <f t="shared" si="2"/>
        <v>17662.5</v>
      </c>
      <c r="M13" s="27">
        <f t="shared" si="2"/>
        <v>17662.5</v>
      </c>
      <c r="N13" s="27">
        <f t="shared" si="2"/>
        <v>17662.5</v>
      </c>
      <c r="O13" s="27">
        <f t="shared" ref="O13:Z13" si="3">0.03*O5</f>
        <v>17662.5</v>
      </c>
      <c r="P13" s="27">
        <f t="shared" si="3"/>
        <v>17662.5</v>
      </c>
      <c r="Q13" s="27">
        <f t="shared" si="3"/>
        <v>17662.5</v>
      </c>
      <c r="R13" s="27">
        <f t="shared" si="3"/>
        <v>17662.5</v>
      </c>
      <c r="S13" s="27">
        <f t="shared" si="3"/>
        <v>17662.5</v>
      </c>
      <c r="T13" s="27">
        <f t="shared" si="3"/>
        <v>17662.5</v>
      </c>
      <c r="U13" s="27">
        <f t="shared" si="3"/>
        <v>17662.5</v>
      </c>
      <c r="V13" s="27">
        <f t="shared" si="3"/>
        <v>17662.5</v>
      </c>
      <c r="W13" s="27">
        <f t="shared" si="3"/>
        <v>17662.5</v>
      </c>
      <c r="X13" s="27">
        <f t="shared" si="3"/>
        <v>17662.5</v>
      </c>
      <c r="Y13" s="27">
        <f t="shared" si="3"/>
        <v>17662.5</v>
      </c>
      <c r="Z13" s="27">
        <f t="shared" si="3"/>
        <v>17662.5</v>
      </c>
    </row>
    <row r="14" spans="1:27" ht="15.6" x14ac:dyDescent="0.3">
      <c r="A14" s="2" t="s">
        <v>63</v>
      </c>
      <c r="B14" s="25"/>
      <c r="C14" s="26">
        <f>C5+C6-C9-SUM(C11:C13)</f>
        <v>-1673.611111111124</v>
      </c>
      <c r="D14" s="26">
        <f t="shared" ref="D14:Z14" si="4">D5+D6-D9-SUM(D11:D13)</f>
        <v>154933.88888888888</v>
      </c>
      <c r="E14" s="26">
        <f t="shared" si="4"/>
        <v>222051.38888888888</v>
      </c>
      <c r="F14" s="26">
        <f t="shared" si="4"/>
        <v>222051.38888888888</v>
      </c>
      <c r="G14" s="26">
        <f t="shared" si="4"/>
        <v>222051.38888888888</v>
      </c>
      <c r="H14" s="26">
        <f t="shared" si="4"/>
        <v>222051.38888888888</v>
      </c>
      <c r="I14" s="26">
        <f t="shared" si="4"/>
        <v>222051.38888888888</v>
      </c>
      <c r="J14" s="26">
        <f t="shared" si="4"/>
        <v>222051.38888888888</v>
      </c>
      <c r="K14" s="26">
        <f t="shared" si="4"/>
        <v>222051.38888888888</v>
      </c>
      <c r="L14" s="26">
        <f t="shared" si="4"/>
        <v>222051.38888888888</v>
      </c>
      <c r="M14" s="26">
        <f t="shared" si="4"/>
        <v>222051.38888888888</v>
      </c>
      <c r="N14" s="26">
        <f t="shared" si="4"/>
        <v>222051.38888888888</v>
      </c>
      <c r="O14" s="26">
        <f t="shared" si="4"/>
        <v>222051.38888888888</v>
      </c>
      <c r="P14" s="26">
        <f t="shared" si="4"/>
        <v>222051.38888888888</v>
      </c>
      <c r="Q14" s="26">
        <f t="shared" si="4"/>
        <v>222051.38888888888</v>
      </c>
      <c r="R14" s="26">
        <f t="shared" si="4"/>
        <v>222051.38888888888</v>
      </c>
      <c r="S14" s="26">
        <f t="shared" si="4"/>
        <v>222051.38888888888</v>
      </c>
      <c r="T14" s="26">
        <f t="shared" si="4"/>
        <v>222051.38888888888</v>
      </c>
      <c r="U14" s="26">
        <f t="shared" si="4"/>
        <v>222051.38888888888</v>
      </c>
      <c r="V14" s="26">
        <f t="shared" si="4"/>
        <v>222051.38888888888</v>
      </c>
      <c r="W14" s="26">
        <f t="shared" si="4"/>
        <v>222051.38888888888</v>
      </c>
      <c r="X14" s="26">
        <f t="shared" si="4"/>
        <v>222051.38888888888</v>
      </c>
      <c r="Y14" s="26">
        <f t="shared" si="4"/>
        <v>222051.38888888888</v>
      </c>
      <c r="Z14" s="26">
        <f t="shared" si="4"/>
        <v>222051.38888888888</v>
      </c>
      <c r="AA14" s="3"/>
    </row>
    <row r="15" spans="1:27" ht="15.6" x14ac:dyDescent="0.3">
      <c r="A15" s="4" t="s">
        <v>62</v>
      </c>
      <c r="B15" s="11"/>
      <c r="C15" s="28">
        <f t="shared" ref="C15:D15" si="5">C14/C5</f>
        <v>-4.7377526146104004E-3</v>
      </c>
      <c r="D15" s="28">
        <f t="shared" si="5"/>
        <v>0.29904244139912928</v>
      </c>
      <c r="E15" s="28">
        <f t="shared" ref="E15:N15" si="6">E14/E5</f>
        <v>0.37715734843123377</v>
      </c>
      <c r="F15" s="28">
        <f t="shared" si="6"/>
        <v>0.37715734843123377</v>
      </c>
      <c r="G15" s="28">
        <f t="shared" si="6"/>
        <v>0.37715734843123377</v>
      </c>
      <c r="H15" s="28">
        <f t="shared" si="6"/>
        <v>0.37715734843123377</v>
      </c>
      <c r="I15" s="28">
        <f t="shared" si="6"/>
        <v>0.37715734843123377</v>
      </c>
      <c r="J15" s="28">
        <f t="shared" si="6"/>
        <v>0.37715734843123377</v>
      </c>
      <c r="K15" s="28">
        <f t="shared" si="6"/>
        <v>0.37715734843123377</v>
      </c>
      <c r="L15" s="28">
        <f t="shared" si="6"/>
        <v>0.37715734843123377</v>
      </c>
      <c r="M15" s="28">
        <f t="shared" si="6"/>
        <v>0.37715734843123377</v>
      </c>
      <c r="N15" s="28">
        <f t="shared" si="6"/>
        <v>0.37715734843123377</v>
      </c>
      <c r="O15" s="28">
        <f t="shared" ref="O15:Z15" si="7">O14/O5</f>
        <v>0.37715734843123377</v>
      </c>
      <c r="P15" s="28">
        <f t="shared" si="7"/>
        <v>0.37715734843123377</v>
      </c>
      <c r="Q15" s="28">
        <f t="shared" si="7"/>
        <v>0.37715734843123377</v>
      </c>
      <c r="R15" s="28">
        <f t="shared" si="7"/>
        <v>0.37715734843123377</v>
      </c>
      <c r="S15" s="28">
        <f t="shared" si="7"/>
        <v>0.37715734843123377</v>
      </c>
      <c r="T15" s="28">
        <f t="shared" si="7"/>
        <v>0.37715734843123377</v>
      </c>
      <c r="U15" s="28">
        <f t="shared" si="7"/>
        <v>0.37715734843123377</v>
      </c>
      <c r="V15" s="28">
        <f t="shared" si="7"/>
        <v>0.37715734843123377</v>
      </c>
      <c r="W15" s="28">
        <f t="shared" si="7"/>
        <v>0.37715734843123377</v>
      </c>
      <c r="X15" s="28">
        <f t="shared" si="7"/>
        <v>0.37715734843123377</v>
      </c>
      <c r="Y15" s="28">
        <f t="shared" si="7"/>
        <v>0.37715734843123377</v>
      </c>
      <c r="Z15" s="28">
        <f t="shared" si="7"/>
        <v>0.37715734843123377</v>
      </c>
    </row>
    <row r="16" spans="1:27" ht="15.6" x14ac:dyDescent="0.3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7" ht="31.2" x14ac:dyDescent="0.3">
      <c r="A17" s="29" t="s">
        <v>106</v>
      </c>
      <c r="B17" s="25">
        <f>-B8</f>
        <v>-3892000</v>
      </c>
      <c r="C17" s="25">
        <f t="shared" ref="C17:N17" si="8">B17+C14</f>
        <v>-3893673.611111111</v>
      </c>
      <c r="D17" s="25">
        <f t="shared" si="8"/>
        <v>-3738739.722222222</v>
      </c>
      <c r="E17" s="25">
        <f t="shared" si="8"/>
        <v>-3516688.333333333</v>
      </c>
      <c r="F17" s="25">
        <f t="shared" si="8"/>
        <v>-3294636.944444444</v>
      </c>
      <c r="G17" s="25">
        <f t="shared" si="8"/>
        <v>-3072585.555555555</v>
      </c>
      <c r="H17" s="25">
        <f t="shared" si="8"/>
        <v>-2850534.166666666</v>
      </c>
      <c r="I17" s="25">
        <f t="shared" si="8"/>
        <v>-2628482.7777777771</v>
      </c>
      <c r="J17" s="25">
        <f t="shared" si="8"/>
        <v>-2406431.3888888881</v>
      </c>
      <c r="K17" s="25">
        <f t="shared" si="8"/>
        <v>-2184379.9999999991</v>
      </c>
      <c r="L17" s="25">
        <f t="shared" si="8"/>
        <v>-1962328.6111111101</v>
      </c>
      <c r="M17" s="30">
        <f t="shared" si="8"/>
        <v>-1740277.2222222211</v>
      </c>
      <c r="N17" s="25">
        <f t="shared" si="8"/>
        <v>-1518225.8333333321</v>
      </c>
      <c r="O17" s="25">
        <f t="shared" ref="O17" si="9">N17+O14</f>
        <v>-1296174.4444444431</v>
      </c>
      <c r="P17" s="25">
        <f t="shared" ref="P17" si="10">O17+P14</f>
        <v>-1074123.0555555541</v>
      </c>
      <c r="Q17" s="25">
        <f t="shared" ref="Q17" si="11">P17+Q14</f>
        <v>-852071.66666666523</v>
      </c>
      <c r="R17" s="25">
        <f t="shared" ref="R17" si="12">Q17+R14</f>
        <v>-630020.27777777635</v>
      </c>
      <c r="S17" s="25">
        <f t="shared" ref="S17" si="13">R17+S14</f>
        <v>-407968.88888888748</v>
      </c>
      <c r="T17" s="25">
        <f t="shared" ref="T17" si="14">S17+T14</f>
        <v>-185917.4999999986</v>
      </c>
      <c r="U17" s="25">
        <f t="shared" ref="U17" si="15">T17+U14</f>
        <v>36133.888888890273</v>
      </c>
      <c r="V17" s="25">
        <f t="shared" ref="V17" si="16">U17+V14</f>
        <v>258185.27777777915</v>
      </c>
      <c r="W17" s="25">
        <f t="shared" ref="W17" si="17">V17+W14</f>
        <v>480236.66666666802</v>
      </c>
      <c r="X17" s="25">
        <f t="shared" ref="X17" si="18">W17+X14</f>
        <v>702288.0555555569</v>
      </c>
      <c r="Y17" s="25">
        <f t="shared" ref="Y17" si="19">X17+Y14</f>
        <v>924339.44444444578</v>
      </c>
      <c r="Z17" s="25">
        <f t="shared" ref="Z17" si="20">Y17+Z14</f>
        <v>1146390.8333333347</v>
      </c>
      <c r="AA17" s="3"/>
    </row>
    <row r="18" spans="1:27" ht="15.6" x14ac:dyDescent="0.3">
      <c r="A18" s="1"/>
      <c r="B18" s="1"/>
      <c r="C18" s="71" t="s">
        <v>64</v>
      </c>
      <c r="D18" s="72"/>
      <c r="E18" s="70"/>
      <c r="F18" s="69"/>
      <c r="G18" s="1"/>
      <c r="H18" s="1"/>
      <c r="I18" s="1"/>
      <c r="J18" s="1"/>
      <c r="K18" s="1"/>
      <c r="L18" s="1"/>
      <c r="N18" s="1"/>
      <c r="U18" s="1"/>
    </row>
    <row r="19" spans="1:27" s="5" customFormat="1" ht="31.2" x14ac:dyDescent="0.3">
      <c r="A19" s="29" t="s">
        <v>109</v>
      </c>
      <c r="B19" s="25"/>
      <c r="C19" s="26">
        <f>C5+C6-C9-SUM(C11:C13)+доходы_затраты!$C$27</f>
        <v>59437.499999999985</v>
      </c>
      <c r="D19" s="26">
        <f>D5+D6-D9-SUM(D11:D13)+доходы_затраты!$C$27</f>
        <v>216045</v>
      </c>
      <c r="E19" s="26">
        <f>E5+E6-E9-SUM(E11:E13)+доходы_затраты!$C$27</f>
        <v>283162.5</v>
      </c>
      <c r="F19" s="26">
        <f>F5+F6-F9-SUM(F11:F13)+доходы_затраты!$C$27</f>
        <v>283162.5</v>
      </c>
      <c r="G19" s="26">
        <f>G5+G6-G9-SUM(G11:G13)+доходы_затраты!$C$27</f>
        <v>283162.5</v>
      </c>
      <c r="H19" s="26">
        <f>H5+H6-H9-SUM(H11:H13)+доходы_затраты!$C$27</f>
        <v>283162.5</v>
      </c>
      <c r="I19" s="26">
        <f>I5+I6-I9-SUM(I11:I13)+доходы_затраты!$C$27</f>
        <v>283162.5</v>
      </c>
      <c r="J19" s="26">
        <f>J5+J6-J9-SUM(J11:J13)+доходы_затраты!$C$27</f>
        <v>283162.5</v>
      </c>
      <c r="K19" s="26">
        <f>K5+K6-K9-SUM(K11:K13)+доходы_затраты!$C$27</f>
        <v>283162.5</v>
      </c>
      <c r="L19" s="26">
        <f>L5+L6-L9-SUM(L11:L13)+доходы_затраты!$C$27</f>
        <v>283162.5</v>
      </c>
      <c r="M19" s="26">
        <f>M5+M6-M9-SUM(M11:M13)+доходы_затраты!$C$27</f>
        <v>283162.5</v>
      </c>
      <c r="N19" s="26">
        <f>N5+N6-N9-SUM(N11:N13)+доходы_затраты!$C$27</f>
        <v>283162.5</v>
      </c>
      <c r="O19" s="26">
        <f>O5+O6-O9-SUM(O11:O13)+доходы_затраты!$C$27</f>
        <v>283162.5</v>
      </c>
      <c r="P19" s="26">
        <f>P5+P6-P9-SUM(P11:P13)+доходы_затраты!$C$27</f>
        <v>283162.5</v>
      </c>
      <c r="Q19" s="26">
        <f>Q5+Q6-Q9-SUM(Q11:Q13)+доходы_затраты!$C$27</f>
        <v>283162.5</v>
      </c>
      <c r="R19" s="26">
        <f>R5+R6-R9-SUM(R11:R13)+доходы_затраты!$C$27</f>
        <v>283162.5</v>
      </c>
      <c r="S19" s="26">
        <f>S5+S6-S9-SUM(S11:S13)+доходы_затраты!$C$27</f>
        <v>283162.5</v>
      </c>
      <c r="T19" s="26">
        <f>T5+T6-T9-SUM(T11:T13)+доходы_затраты!$C$27</f>
        <v>283162.5</v>
      </c>
      <c r="U19" s="26">
        <f>U5+U6-U9-SUM(U11:U13)+доходы_затраты!$C$27</f>
        <v>283162.5</v>
      </c>
      <c r="V19" s="26">
        <f>V5+V6-V9-SUM(V11:V13)+доходы_затраты!$C$27</f>
        <v>283162.5</v>
      </c>
      <c r="W19" s="26">
        <f>W5+W6-W9-SUM(W11:W13)+доходы_затраты!$C$27</f>
        <v>283162.5</v>
      </c>
      <c r="X19" s="26">
        <f>X5+X6-X9-SUM(X11:X13)+доходы_затраты!$C$27</f>
        <v>283162.5</v>
      </c>
      <c r="Y19" s="26">
        <f>Y5+Y6-Y9-SUM(Y11:Y13)+доходы_затраты!$C$27</f>
        <v>283162.5</v>
      </c>
      <c r="Z19" s="26">
        <f>Z5+Z6-Z9-SUM(Z11:Z13)+доходы_затраты!$C$27</f>
        <v>283162.5</v>
      </c>
      <c r="AA19" s="3"/>
    </row>
    <row r="20" spans="1:27" s="5" customFormat="1" ht="15.6" x14ac:dyDescent="0.3">
      <c r="A20" s="4" t="s">
        <v>62</v>
      </c>
      <c r="B20" s="11"/>
      <c r="C20" s="28">
        <f>C19/(C5+C6)</f>
        <v>0.13758680555555552</v>
      </c>
      <c r="D20" s="28">
        <f t="shared" ref="D20:Z20" si="21">D19/(D5+D6)</f>
        <v>0.36197537069615482</v>
      </c>
      <c r="E20" s="28">
        <f t="shared" si="21"/>
        <v>0.42421348314606744</v>
      </c>
      <c r="F20" s="28">
        <f t="shared" si="21"/>
        <v>0.42421348314606744</v>
      </c>
      <c r="G20" s="28">
        <f t="shared" si="21"/>
        <v>0.42421348314606744</v>
      </c>
      <c r="H20" s="28">
        <f t="shared" si="21"/>
        <v>0.42421348314606744</v>
      </c>
      <c r="I20" s="28">
        <f t="shared" si="21"/>
        <v>0.42421348314606744</v>
      </c>
      <c r="J20" s="28">
        <f t="shared" si="21"/>
        <v>0.42421348314606744</v>
      </c>
      <c r="K20" s="28">
        <f t="shared" si="21"/>
        <v>0.42421348314606744</v>
      </c>
      <c r="L20" s="28">
        <f t="shared" si="21"/>
        <v>0.42421348314606744</v>
      </c>
      <c r="M20" s="28">
        <f t="shared" si="21"/>
        <v>0.42421348314606744</v>
      </c>
      <c r="N20" s="28">
        <f t="shared" si="21"/>
        <v>0.42421348314606744</v>
      </c>
      <c r="O20" s="28">
        <f t="shared" si="21"/>
        <v>0.42421348314606744</v>
      </c>
      <c r="P20" s="28">
        <f t="shared" si="21"/>
        <v>0.42421348314606744</v>
      </c>
      <c r="Q20" s="28">
        <f t="shared" si="21"/>
        <v>0.42421348314606744</v>
      </c>
      <c r="R20" s="28">
        <f t="shared" si="21"/>
        <v>0.42421348314606744</v>
      </c>
      <c r="S20" s="28">
        <f t="shared" si="21"/>
        <v>0.42421348314606744</v>
      </c>
      <c r="T20" s="28">
        <f t="shared" si="21"/>
        <v>0.42421348314606744</v>
      </c>
      <c r="U20" s="28">
        <f t="shared" si="21"/>
        <v>0.42421348314606744</v>
      </c>
      <c r="V20" s="28">
        <f t="shared" si="21"/>
        <v>0.42421348314606744</v>
      </c>
      <c r="W20" s="28">
        <f t="shared" si="21"/>
        <v>0.42421348314606744</v>
      </c>
      <c r="X20" s="28">
        <f t="shared" si="21"/>
        <v>0.42421348314606744</v>
      </c>
      <c r="Y20" s="28">
        <f t="shared" si="21"/>
        <v>0.42421348314606744</v>
      </c>
      <c r="Z20" s="28">
        <f t="shared" si="21"/>
        <v>0.42421348314606744</v>
      </c>
    </row>
    <row r="21" spans="1:27" s="5" customFormat="1" ht="46.8" x14ac:dyDescent="0.3">
      <c r="A21" s="29" t="s">
        <v>107</v>
      </c>
      <c r="B21" s="25">
        <f>B17</f>
        <v>-3892000</v>
      </c>
      <c r="C21" s="25">
        <f>B21+C14+доходы_затраты!$C$27</f>
        <v>-3832562.5</v>
      </c>
      <c r="D21" s="25">
        <f>C21+D14+доходы_затраты!$C$27</f>
        <v>-3616517.5</v>
      </c>
      <c r="E21" s="25">
        <f>D21+E14+доходы_затраты!$C$27</f>
        <v>-3333355</v>
      </c>
      <c r="F21" s="25">
        <f>E21+F14+доходы_затраты!$C$27</f>
        <v>-3050192.5</v>
      </c>
      <c r="G21" s="25">
        <f>F21+G14+доходы_затраты!$C$27</f>
        <v>-2767030</v>
      </c>
      <c r="H21" s="25">
        <f>G21+H14+доходы_затраты!$C$27</f>
        <v>-2483867.5</v>
      </c>
      <c r="I21" s="25">
        <f>H21+I14+доходы_затраты!$C$27</f>
        <v>-2200705</v>
      </c>
      <c r="J21" s="25">
        <f>I21+J14+доходы_затраты!$C$27</f>
        <v>-1917542.5</v>
      </c>
      <c r="K21" s="25">
        <f>J21+K14+доходы_затраты!$C$27</f>
        <v>-1634380</v>
      </c>
      <c r="L21" s="25">
        <f>K21+L14+доходы_затраты!$C$27</f>
        <v>-1351217.5</v>
      </c>
      <c r="M21" s="25">
        <f>L21+M14+доходы_затраты!$C$27</f>
        <v>-1068055</v>
      </c>
      <c r="N21" s="25">
        <f>M21+N14+доходы_затраты!$C$27</f>
        <v>-784892.5</v>
      </c>
      <c r="O21" s="25">
        <f>N21+O14+доходы_затраты!$C$27</f>
        <v>-501730</v>
      </c>
      <c r="P21" s="25">
        <f>O21+P14+доходы_затраты!$C$27</f>
        <v>-218567.5</v>
      </c>
      <c r="Q21" s="25">
        <f>P21+Q14+доходы_затраты!$C$27</f>
        <v>64594.999999999985</v>
      </c>
      <c r="R21" s="25">
        <f>Q21+R14+доходы_затраты!$C$27</f>
        <v>347757.5</v>
      </c>
      <c r="S21" s="25">
        <f>R21+S14+доходы_затраты!$C$27</f>
        <v>630920</v>
      </c>
      <c r="T21" s="25">
        <f>S21+T14+доходы_затраты!$C$27</f>
        <v>914082.5</v>
      </c>
      <c r="U21" s="25">
        <f>T21+U14+доходы_затраты!$C$27</f>
        <v>1197245</v>
      </c>
      <c r="V21" s="25">
        <f>U21+V14+доходы_затраты!$C$27</f>
        <v>1480407.5</v>
      </c>
      <c r="W21" s="25">
        <f>V21+W14+доходы_затраты!$C$27</f>
        <v>1763570</v>
      </c>
      <c r="X21" s="25">
        <f>W21+X14+доходы_затраты!$C$27</f>
        <v>2046732.5</v>
      </c>
      <c r="Y21" s="25">
        <f>X21+Y14+доходы_затраты!$C$27</f>
        <v>2329895</v>
      </c>
      <c r="Z21" s="25">
        <f>Y21+Z14+доходы_затраты!$C$27</f>
        <v>2613057.5</v>
      </c>
      <c r="AA21" s="3"/>
    </row>
    <row r="22" spans="1:27" ht="15" customHeight="1" x14ac:dyDescent="0.3">
      <c r="R22" s="85" t="s">
        <v>108</v>
      </c>
    </row>
  </sheetData>
  <mergeCells count="1">
    <mergeCell ref="A1:Q1"/>
  </mergeCells>
  <pageMargins left="0.7" right="0.7" top="0.75" bottom="0.75" header="0" footer="0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стартовые затраты</vt:lpstr>
      <vt:lpstr>доходы_затраты</vt:lpstr>
      <vt:lpstr>кэшфлоу   20 комп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2019-09-28T12:05:53Z</dcterms:modified>
</cp:coreProperties>
</file>