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90" yWindow="-90" windowWidth="23235" windowHeight="12555" activeTab="2"/>
  </bookViews>
  <sheets>
    <sheet name="Исходные данные" sheetId="6" r:id="rId1"/>
    <sheet name="Инвестиции" sheetId="9" state="hidden" r:id="rId2"/>
    <sheet name="Обобщенный расчет" sheetId="7" r:id="rId3"/>
    <sheet name="Детальный расчет" sheetId="4" r:id="rId4"/>
    <sheet name="Лист1" sheetId="10" r:id="rId5"/>
  </sheets>
  <externalReferences>
    <externalReference r:id="rId6"/>
    <externalReference r:id="rId7"/>
    <externalReference r:id="rId8"/>
  </externalReferences>
  <definedNames>
    <definedName name="About_AI" localSheetId="0">#REF!</definedName>
    <definedName name="About_AI" localSheetId="2">#REF!</definedName>
    <definedName name="About_AI">#REF!</definedName>
    <definedName name="About_AI_Summ" localSheetId="0">#REF!</definedName>
    <definedName name="About_AI_Summ" localSheetId="2">#REF!</definedName>
    <definedName name="About_AI_Summ">#REF!</definedName>
    <definedName name="AI_Version" localSheetId="4">[1]Опции!$B$5</definedName>
    <definedName name="AI_Version">[1]Опции!$B$5</definedName>
    <definedName name="CalcMethod" localSheetId="4">[1]Проект!$F$88</definedName>
    <definedName name="CalcMethod">[1]Проект!$F$88</definedName>
    <definedName name="CUR_Foreign" localSheetId="4">[1]Проект!$B$12</definedName>
    <definedName name="CUR_Foreign">[1]Проект!$B$12</definedName>
    <definedName name="CUR_I_Foreign" localSheetId="4">[1]Проект!$D$12</definedName>
    <definedName name="CUR_I_Foreign">[1]Проект!$D$12</definedName>
    <definedName name="CUR_I_Main" localSheetId="4">[1]Проект!$D$11</definedName>
    <definedName name="CUR_I_Main">[1]Проект!$D$11</definedName>
    <definedName name="CUR_I_Report" localSheetId="4">[1]Проект!$D$19</definedName>
    <definedName name="CUR_I_Report">[1]Проект!$D$19</definedName>
    <definedName name="CUR_Main" localSheetId="4">[1]Проект!$B$11</definedName>
    <definedName name="CUR_Main">[1]Проект!$B$11</definedName>
    <definedName name="CUR_Report" localSheetId="4">[1]Проект!$B$19</definedName>
    <definedName name="CUR_Report">[1]Проект!$B$19</definedName>
    <definedName name="EST_DATA" localSheetId="0">[1]Проект!#REF!</definedName>
    <definedName name="EST_DATA" localSheetId="4">[1]Проект!#REF!</definedName>
    <definedName name="EST_DATA" localSheetId="2">[1]Проект!#REF!</definedName>
    <definedName name="EST_DATA">[1]Проект!#REF!</definedName>
    <definedName name="EST_FROM" localSheetId="0">[1]Проект!#REF!</definedName>
    <definedName name="EST_FROM" localSheetId="4">[1]Проект!#REF!</definedName>
    <definedName name="EST_FROM" localSheetId="2">[1]Проект!#REF!</definedName>
    <definedName name="EST_FROM">[1]Проект!#REF!</definedName>
    <definedName name="EST_NumStages" localSheetId="0">[1]Проект!#REF!</definedName>
    <definedName name="EST_NumStages" localSheetId="4">[1]Проект!#REF!</definedName>
    <definedName name="EST_NumStages" localSheetId="2">[1]Проект!#REF!</definedName>
    <definedName name="EST_NumStages">[1]Проект!#REF!</definedName>
    <definedName name="EST_Obj_1" localSheetId="0">[1]Проект!#REF!</definedName>
    <definedName name="EST_Obj_1" localSheetId="4">[1]Проект!#REF!</definedName>
    <definedName name="EST_Obj_1" localSheetId="2">[1]Проект!#REF!</definedName>
    <definedName name="EST_Obj_1">[1]Проект!#REF!</definedName>
    <definedName name="EST_Obj_10" localSheetId="0">[1]Проект!#REF!</definedName>
    <definedName name="EST_Obj_10" localSheetId="4">[1]Проект!#REF!</definedName>
    <definedName name="EST_Obj_10" localSheetId="2">[1]Проект!#REF!</definedName>
    <definedName name="EST_Obj_10">[1]Проект!#REF!</definedName>
    <definedName name="EST_Obj_2" localSheetId="0">[1]Проект!#REF!</definedName>
    <definedName name="EST_Obj_2" localSheetId="4">[1]Проект!#REF!</definedName>
    <definedName name="EST_Obj_2" localSheetId="2">[1]Проект!#REF!</definedName>
    <definedName name="EST_Obj_2">[1]Проект!#REF!</definedName>
    <definedName name="EST_Obj_3" localSheetId="0">[1]Проект!#REF!</definedName>
    <definedName name="EST_Obj_3" localSheetId="4">[1]Проект!#REF!</definedName>
    <definedName name="EST_Obj_3" localSheetId="2">[1]Проект!#REF!</definedName>
    <definedName name="EST_Obj_3">[1]Проект!#REF!</definedName>
    <definedName name="EST_Obj_4" localSheetId="0">[1]Проект!#REF!</definedName>
    <definedName name="EST_Obj_4" localSheetId="4">[1]Проект!#REF!</definedName>
    <definedName name="EST_Obj_4" localSheetId="2">[1]Проект!#REF!</definedName>
    <definedName name="EST_Obj_4">[1]Проект!#REF!</definedName>
    <definedName name="EST_Obj_5" localSheetId="0">[1]Проект!#REF!</definedName>
    <definedName name="EST_Obj_5" localSheetId="4">[1]Проект!#REF!</definedName>
    <definedName name="EST_Obj_5" localSheetId="2">[1]Проект!#REF!</definedName>
    <definedName name="EST_Obj_5">[1]Проект!#REF!</definedName>
    <definedName name="EST_Obj_6" localSheetId="0">[1]Проект!#REF!</definedName>
    <definedName name="EST_Obj_6" localSheetId="4">[1]Проект!#REF!</definedName>
    <definedName name="EST_Obj_6" localSheetId="2">[1]Проект!#REF!</definedName>
    <definedName name="EST_Obj_6">[1]Проект!#REF!</definedName>
    <definedName name="EST_Obj_7" localSheetId="0">[1]Проект!#REF!</definedName>
    <definedName name="EST_Obj_7" localSheetId="4">[1]Проект!#REF!</definedName>
    <definedName name="EST_Obj_7" localSheetId="2">[1]Проект!#REF!</definedName>
    <definedName name="EST_Obj_7">[1]Проект!#REF!</definedName>
    <definedName name="EST_Obj_8" localSheetId="0">[1]Проект!#REF!</definedName>
    <definedName name="EST_Obj_8" localSheetId="4">[1]Проект!#REF!</definedName>
    <definedName name="EST_Obj_8" localSheetId="2">[1]Проект!#REF!</definedName>
    <definedName name="EST_Obj_8">[1]Проект!#REF!</definedName>
    <definedName name="EST_Obj_9" localSheetId="0">[1]Проект!#REF!</definedName>
    <definedName name="EST_Obj_9" localSheetId="4">[1]Проект!#REF!</definedName>
    <definedName name="EST_Obj_9" localSheetId="2">[1]Проект!#REF!</definedName>
    <definedName name="EST_Obj_9">[1]Проект!#REF!</definedName>
    <definedName name="EST_ProdNum" localSheetId="0">[1]Проект!#REF!</definedName>
    <definedName name="EST_ProdNum" localSheetId="4">[1]Проект!#REF!</definedName>
    <definedName name="EST_ProdNum" localSheetId="2">[1]Проект!#REF!</definedName>
    <definedName name="EST_ProdNum">[1]Проект!#REF!</definedName>
    <definedName name="IS_SUMM" localSheetId="4">[1]Опции!$B$10</definedName>
    <definedName name="IS_SUMM">[1]Опции!$B$10</definedName>
    <definedName name="LANGUAGE" localSheetId="4">[1]Проект!$D$17</definedName>
    <definedName name="LANGUAGE">[1]Проект!$D$17</definedName>
    <definedName name="NWC_T_Cr_AdvK" localSheetId="4">[1]Проект!$B$772</definedName>
    <definedName name="NWC_T_Cr_AdvK">[1]Проект!$B$772</definedName>
    <definedName name="NWC_T_Cr_AdvT" localSheetId="4">[1]Проект!$C$772</definedName>
    <definedName name="NWC_T_Cr_AdvT">[1]Проект!$C$772</definedName>
    <definedName name="NWC_T_Cr_CrdK" localSheetId="4">[1]Проект!$B$773</definedName>
    <definedName name="NWC_T_Cr_CrdK">[1]Проект!$B$773</definedName>
    <definedName name="NWC_T_Cr_CrdT" localSheetId="4">[1]Проект!$C$773</definedName>
    <definedName name="NWC_T_Cr_CrdT">[1]Проект!$C$773</definedName>
    <definedName name="NWC_T_Cycle" localSheetId="4">[1]Проект!$B$751</definedName>
    <definedName name="NWC_T_Cycle">[1]Проект!$B$751</definedName>
    <definedName name="NWC_T_Db_AdvK" localSheetId="4">[1]Проект!$B$760</definedName>
    <definedName name="NWC_T_Db_AdvK">[1]Проект!$B$760</definedName>
    <definedName name="NWC_T_Db_AdvT" localSheetId="4">[1]Проект!$C$760</definedName>
    <definedName name="NWC_T_Db_AdvT">[1]Проект!$C$760</definedName>
    <definedName name="NWC_T_Db_CrdK" localSheetId="4">[1]Проект!$B$761</definedName>
    <definedName name="NWC_T_Db_CrdK">[1]Проект!$B$761</definedName>
    <definedName name="NWC_T_Db_CrdT" localSheetId="4">[1]Проект!$C$761</definedName>
    <definedName name="NWC_T_Db_CrdT">[1]Проект!$C$761</definedName>
    <definedName name="NWC_T_Goods" localSheetId="4">[1]Проект!$B$755</definedName>
    <definedName name="NWC_T_Goods">[1]Проект!$B$755</definedName>
    <definedName name="NWC_T_Mat" localSheetId="4">[1]Проект!$B$749</definedName>
    <definedName name="NWC_T_Mat">[1]Проект!$B$749</definedName>
    <definedName name="PeriodTitle" localSheetId="4">[1]Проект!$F$86:$L$86</definedName>
    <definedName name="PeriodTitle">[1]Проект!$F$86:$L$86</definedName>
    <definedName name="PRJ_Len" localSheetId="4">[1]Проект!$D$8</definedName>
    <definedName name="PRJ_Len">[1]Проект!$D$8</definedName>
    <definedName name="PRJ_Protected" localSheetId="4">[1]Проект!$D$18</definedName>
    <definedName name="PRJ_Protected">[1]Проект!$D$18</definedName>
    <definedName name="PRJ_StartDate" localSheetId="4">[1]Проект!$D$7</definedName>
    <definedName name="PRJ_StartDate">[1]Проект!$D$7</definedName>
    <definedName name="PRJ_StartMon" localSheetId="4">[1]Проект!$F$26</definedName>
    <definedName name="PRJ_StartMon">[1]Проект!$F$26</definedName>
    <definedName name="PRJ_StartYear" localSheetId="4">[1]Проект!$F$25</definedName>
    <definedName name="PRJ_StartYear">[1]Проект!$F$25</definedName>
    <definedName name="PRJ_Step" localSheetId="4">[1]Проект!$D$10</definedName>
    <definedName name="PRJ_Step">[1]Проект!$D$10</definedName>
    <definedName name="PRJ_Step_SName" localSheetId="4">[1]Проект!$E$9</definedName>
    <definedName name="PRJ_Step_SName">[1]Проект!$E$9</definedName>
    <definedName name="PRJ_StepType" localSheetId="4">[1]Проект!$D$9</definedName>
    <definedName name="PRJ_StepType">[1]Проект!$D$9</definedName>
    <definedName name="ProfitTax" localSheetId="4">[1]Проект!$B$945</definedName>
    <definedName name="ProfitTax">[1]Проект!$B$945</definedName>
    <definedName name="ProfitTax_Period" localSheetId="4">[1]Проект!$B$946</definedName>
    <definedName name="ProfitTax_Period">[1]Проект!$B$946</definedName>
    <definedName name="season" localSheetId="0">'[2]1. Исходные данные'!#REF!</definedName>
    <definedName name="season" localSheetId="2">'[2]1. Исходные данные'!#REF!</definedName>
    <definedName name="season">'[2]1. Исходные данные'!#REF!</definedName>
    <definedName name="SENS_Parameter" localSheetId="4">[1]Анализ!$E$9</definedName>
    <definedName name="SENS_Parameter">[1]Анализ!$E$9</definedName>
    <definedName name="ShowRealDates" localSheetId="4">[1]Проект!$D$20</definedName>
    <definedName name="ShowRealDates">[1]Проект!$D$20</definedName>
    <definedName name="VAT" localSheetId="4">[1]Проект!$B$889</definedName>
    <definedName name="VAT">[1]Проект!$B$889</definedName>
    <definedName name="VAT_OnAssets" localSheetId="4">[1]Проект!$B$892</definedName>
    <definedName name="VAT_OnAssets">[1]Проект!$B$892</definedName>
    <definedName name="VAT_Period" localSheetId="4">[1]Проект!$B$890</definedName>
    <definedName name="VAT_Period">[1]Проект!$B$890</definedName>
    <definedName name="VAT_Repay" localSheetId="4">[1]Проект!$B$891</definedName>
    <definedName name="VAT_Repay">[1]Проект!$B$891</definedName>
    <definedName name="апи" localSheetId="0">[3]Отчет!#REF!</definedName>
    <definedName name="апи" localSheetId="4">[3]Отчет!#REF!</definedName>
    <definedName name="апи" localSheetId="2">[3]Отчет!#REF!</definedName>
    <definedName name="апи">[3]Отчет!#REF!</definedName>
    <definedName name="_xlnm.Print_Titles" localSheetId="3">'Детальный расчет'!$A:$B</definedName>
    <definedName name="_xlnm.Print_Titles" localSheetId="1">Инвестиции!$4:$4</definedName>
    <definedName name="и" localSheetId="0">[3]Отчет!#REF!</definedName>
    <definedName name="и" localSheetId="4">[3]Отчет!#REF!</definedName>
    <definedName name="и" localSheetId="2">[3]Отчет!#REF!</definedName>
    <definedName name="и">[3]Отчет!#REF!</definedName>
    <definedName name="_xlnm.Print_Area" localSheetId="3">'Детальный расчет'!$A$4:$AS$103</definedName>
    <definedName name="_xlnm.Print_Area" localSheetId="1">Инвестиции!$A$2:$E$93</definedName>
    <definedName name="_xlnm.Print_Area" localSheetId="0">'Исходные данные'!$A$2:$K$89</definedName>
    <definedName name="_xlnm.Print_Area" localSheetId="2">'Обобщенный расчет'!$A$1:$J$69</definedName>
    <definedName name="п" localSheetId="0">[3]Отчет!#REF!</definedName>
    <definedName name="п" localSheetId="4">[3]Отчет!#REF!</definedName>
    <definedName name="п" localSheetId="2">[3]Отчет!#REF!</definedName>
    <definedName name="п">[3]Отчет!#REF!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7"/>
  <c r="F7"/>
  <c r="D7"/>
  <c r="I16" i="6"/>
  <c r="I12"/>
  <c r="I10" i="10" l="1"/>
  <c r="I9"/>
  <c r="I8"/>
  <c r="I7"/>
  <c r="I6"/>
  <c r="L6" s="1"/>
  <c r="I5"/>
  <c r="L5" s="1"/>
  <c r="I4"/>
  <c r="L7"/>
  <c r="L8"/>
  <c r="L9"/>
  <c r="L10"/>
  <c r="L4"/>
  <c r="G11"/>
  <c r="K10"/>
  <c r="K9"/>
  <c r="K8"/>
  <c r="K7"/>
  <c r="K6"/>
  <c r="K5"/>
  <c r="K4"/>
  <c r="L3"/>
  <c r="F3"/>
  <c r="H67" i="6"/>
  <c r="K11" i="10" l="1"/>
  <c r="L11"/>
  <c r="I11"/>
  <c r="B63" i="4" l="1"/>
  <c r="B54"/>
  <c r="B48" i="7" l="1"/>
  <c r="B49"/>
  <c r="B50"/>
  <c r="A63" i="4" s="1"/>
  <c r="J50" i="7"/>
  <c r="J41"/>
  <c r="B41"/>
  <c r="A54" i="4" s="1"/>
  <c r="AQ42"/>
  <c r="AC42"/>
  <c r="B42"/>
  <c r="B32"/>
  <c r="B31"/>
  <c r="B30"/>
  <c r="B29"/>
  <c r="B28"/>
  <c r="B27"/>
  <c r="B22"/>
  <c r="A22"/>
  <c r="A32" s="1"/>
  <c r="B21"/>
  <c r="A21"/>
  <c r="A31" s="1"/>
  <c r="B20"/>
  <c r="A20"/>
  <c r="A30" s="1"/>
  <c r="B19"/>
  <c r="A19"/>
  <c r="A29" s="1"/>
  <c r="B18"/>
  <c r="A18"/>
  <c r="A28" s="1"/>
  <c r="B17"/>
  <c r="A17"/>
  <c r="A27" s="1"/>
  <c r="C6" i="7"/>
  <c r="A8"/>
  <c r="A9"/>
  <c r="A10"/>
  <c r="A11"/>
  <c r="A12"/>
  <c r="A13"/>
  <c r="A14"/>
  <c r="A7"/>
  <c r="D13"/>
  <c r="D12"/>
  <c r="D11"/>
  <c r="D10"/>
  <c r="D9"/>
  <c r="D8"/>
  <c r="A6"/>
  <c r="J6"/>
  <c r="H77" i="6"/>
  <c r="F62"/>
  <c r="B22" i="7"/>
  <c r="B23"/>
  <c r="A42" i="4" s="1"/>
  <c r="J23" i="7"/>
  <c r="H47" i="6"/>
  <c r="D22" i="7" s="1"/>
  <c r="E17" i="6"/>
  <c r="G11"/>
  <c r="G12"/>
  <c r="E9" i="7" s="1"/>
  <c r="G13" i="6"/>
  <c r="G14"/>
  <c r="G15"/>
  <c r="G16"/>
  <c r="E13" i="7" s="1"/>
  <c r="G10" i="6"/>
  <c r="J16" s="1"/>
  <c r="D16"/>
  <c r="C13" i="7" s="1"/>
  <c r="D15" i="6"/>
  <c r="C12" i="7" s="1"/>
  <c r="D14" i="6"/>
  <c r="C11" i="7" s="1"/>
  <c r="D13" i="6"/>
  <c r="C10" i="7" s="1"/>
  <c r="D12" i="6"/>
  <c r="C9" i="7" s="1"/>
  <c r="D11" i="6"/>
  <c r="C8" i="7" s="1"/>
  <c r="E12" l="1"/>
  <c r="I15" i="6"/>
  <c r="E11" i="7"/>
  <c r="I14" i="6"/>
  <c r="E10" i="7"/>
  <c r="I13" i="6"/>
  <c r="E8" i="7"/>
  <c r="I11" i="6"/>
  <c r="J12"/>
  <c r="J14"/>
  <c r="AP63" i="4"/>
  <c r="AL63"/>
  <c r="AH63"/>
  <c r="AA63"/>
  <c r="W63"/>
  <c r="S63"/>
  <c r="G63"/>
  <c r="K63"/>
  <c r="AN63"/>
  <c r="AF63"/>
  <c r="Y63"/>
  <c r="Q63"/>
  <c r="AO63"/>
  <c r="AK63"/>
  <c r="AG63"/>
  <c r="Z63"/>
  <c r="V63"/>
  <c r="R63"/>
  <c r="D63"/>
  <c r="H63"/>
  <c r="L63"/>
  <c r="AJ63"/>
  <c r="U63"/>
  <c r="X63"/>
  <c r="I63"/>
  <c r="C63"/>
  <c r="E63"/>
  <c r="AB63"/>
  <c r="F63"/>
  <c r="AM63"/>
  <c r="T63"/>
  <c r="J63"/>
  <c r="AI63"/>
  <c r="M63"/>
  <c r="AE63"/>
  <c r="N63"/>
  <c r="J11" i="6"/>
  <c r="J13"/>
  <c r="J15"/>
  <c r="G17"/>
  <c r="O63" i="4" l="1"/>
  <c r="P63" s="1"/>
  <c r="G50" i="7" s="1"/>
  <c r="D14"/>
  <c r="H84" i="6" l="1"/>
  <c r="H32" i="7"/>
  <c r="J32"/>
  <c r="H33"/>
  <c r="J33"/>
  <c r="H34"/>
  <c r="J34"/>
  <c r="H35"/>
  <c r="J35"/>
  <c r="H44" i="6"/>
  <c r="H45"/>
  <c r="H46"/>
  <c r="H48"/>
  <c r="D23" i="7" s="1"/>
  <c r="C42" i="4" s="1"/>
  <c r="O42" s="1"/>
  <c r="AS42" s="1"/>
  <c r="H49" i="6"/>
  <c r="H50"/>
  <c r="G30" i="7" l="1"/>
  <c r="G35"/>
  <c r="G34"/>
  <c r="G33"/>
  <c r="G32"/>
  <c r="G31"/>
  <c r="F30"/>
  <c r="E35"/>
  <c r="E34"/>
  <c r="E33"/>
  <c r="E32"/>
  <c r="E31"/>
  <c r="E30"/>
  <c r="D35"/>
  <c r="A35"/>
  <c r="D34"/>
  <c r="A34"/>
  <c r="E3"/>
  <c r="H87" i="6"/>
  <c r="G62"/>
  <c r="E62"/>
  <c r="G56"/>
  <c r="D62"/>
  <c r="G61"/>
  <c r="F35" i="7" s="1"/>
  <c r="G60" i="6"/>
  <c r="F34" i="7" s="1"/>
  <c r="D42" i="9"/>
  <c r="E42" s="1"/>
  <c r="AP68" i="4" l="1"/>
  <c r="AL68"/>
  <c r="AH68"/>
  <c r="AA68"/>
  <c r="W68"/>
  <c r="S68"/>
  <c r="E68"/>
  <c r="I68"/>
  <c r="M68"/>
  <c r="AN68"/>
  <c r="AJ68"/>
  <c r="AF68"/>
  <c r="Y68"/>
  <c r="Q68"/>
  <c r="AO68"/>
  <c r="AK68"/>
  <c r="AG68"/>
  <c r="Z68"/>
  <c r="V68"/>
  <c r="R68"/>
  <c r="F68"/>
  <c r="J68"/>
  <c r="N68"/>
  <c r="U68"/>
  <c r="AI68"/>
  <c r="K68"/>
  <c r="L68"/>
  <c r="AE68"/>
  <c r="AB68"/>
  <c r="D68"/>
  <c r="X68"/>
  <c r="G68"/>
  <c r="AM68"/>
  <c r="T68"/>
  <c r="H68"/>
  <c r="D40" i="9"/>
  <c r="E40" s="1"/>
  <c r="D39"/>
  <c r="E39" s="1"/>
  <c r="D38"/>
  <c r="E38" s="1"/>
  <c r="D37"/>
  <c r="E37" s="1"/>
  <c r="D36"/>
  <c r="E36" s="1"/>
  <c r="D23"/>
  <c r="E23" s="1"/>
  <c r="D22"/>
  <c r="E22" s="1"/>
  <c r="D21"/>
  <c r="E21" s="1"/>
  <c r="D20"/>
  <c r="E20" s="1"/>
  <c r="D19"/>
  <c r="E19" s="1"/>
  <c r="D88"/>
  <c r="E88" s="1"/>
  <c r="D87"/>
  <c r="E87" s="1"/>
  <c r="D86"/>
  <c r="E86" s="1"/>
  <c r="D85"/>
  <c r="E85" s="1"/>
  <c r="D84"/>
  <c r="E84" s="1"/>
  <c r="B18" i="7" l="1"/>
  <c r="B20"/>
  <c r="B21"/>
  <c r="D80" i="9"/>
  <c r="E80" s="1"/>
  <c r="D81"/>
  <c r="E81" s="1"/>
  <c r="D82"/>
  <c r="E82" s="1"/>
  <c r="D83"/>
  <c r="E83" s="1"/>
  <c r="D89"/>
  <c r="E89" s="1"/>
  <c r="D90"/>
  <c r="E90" s="1"/>
  <c r="D91"/>
  <c r="E91" s="1"/>
  <c r="D92"/>
  <c r="E92" s="1"/>
  <c r="D93"/>
  <c r="E93" s="1"/>
  <c r="D79"/>
  <c r="E79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48"/>
  <c r="E48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41"/>
  <c r="E41" s="1"/>
  <c r="D43"/>
  <c r="E43" s="1"/>
  <c r="D44"/>
  <c r="E44" s="1"/>
  <c r="D45"/>
  <c r="E45" s="1"/>
  <c r="D46"/>
  <c r="E46" s="1"/>
  <c r="D27"/>
  <c r="E27" s="1"/>
  <c r="D26" l="1"/>
  <c r="D78"/>
  <c r="D47"/>
  <c r="E78"/>
  <c r="E26"/>
  <c r="E47"/>
  <c r="D25"/>
  <c r="E25" s="1"/>
  <c r="D24"/>
  <c r="E24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D7"/>
  <c r="E7" s="1"/>
  <c r="D6"/>
  <c r="E6" s="1"/>
  <c r="E4"/>
  <c r="D5" l="1"/>
  <c r="E8"/>
  <c r="E5" s="1"/>
  <c r="J39" i="7"/>
  <c r="D52" i="6" l="1"/>
  <c r="H6" i="7"/>
  <c r="B33" i="4"/>
  <c r="B26"/>
  <c r="H66" i="6"/>
  <c r="H41"/>
  <c r="J9"/>
  <c r="D9"/>
  <c r="E7" i="7" l="1"/>
  <c r="E14" s="1"/>
  <c r="I10" i="6"/>
  <c r="D10"/>
  <c r="C7" i="7" s="1"/>
  <c r="J10" i="6" l="1"/>
  <c r="I17"/>
  <c r="J17" s="1"/>
  <c r="B48" i="4"/>
  <c r="AS25"/>
  <c r="B60" l="1"/>
  <c r="A60"/>
  <c r="J47" i="7"/>
  <c r="J31"/>
  <c r="H31"/>
  <c r="D32" l="1"/>
  <c r="D33"/>
  <c r="D31"/>
  <c r="A32"/>
  <c r="A33"/>
  <c r="A31"/>
  <c r="H74" i="6" l="1"/>
  <c r="AE60" i="4" l="1"/>
  <c r="Q60"/>
  <c r="D40" i="6"/>
  <c r="N6" i="4"/>
  <c r="M6"/>
  <c r="L6"/>
  <c r="K6"/>
  <c r="J6"/>
  <c r="I6"/>
  <c r="H6"/>
  <c r="G6"/>
  <c r="F6"/>
  <c r="E6"/>
  <c r="D6"/>
  <c r="C6"/>
  <c r="A66" l="1"/>
  <c r="J53" i="7"/>
  <c r="B66" i="4"/>
  <c r="F6" i="7" l="1"/>
  <c r="H86" i="6"/>
  <c r="A16" i="4" l="1"/>
  <c r="A26" s="1"/>
  <c r="A59"/>
  <c r="B43" i="7"/>
  <c r="B44"/>
  <c r="B42"/>
  <c r="H73" i="6" l="1"/>
  <c r="Q59" i="4" l="1"/>
  <c r="AE59"/>
  <c r="AQ60"/>
  <c r="AR60" s="1"/>
  <c r="O60"/>
  <c r="AC60"/>
  <c r="AD60" s="1"/>
  <c r="C59"/>
  <c r="AS60" l="1"/>
  <c r="P60"/>
  <c r="G47" i="7" s="1"/>
  <c r="AC59" i="4"/>
  <c r="AD59" s="1"/>
  <c r="AQ59"/>
  <c r="AR59" s="1"/>
  <c r="O59"/>
  <c r="AS59" l="1"/>
  <c r="P59"/>
  <c r="G46" i="7" s="1"/>
  <c r="H88" i="6"/>
  <c r="H70"/>
  <c r="H71"/>
  <c r="H72"/>
  <c r="H75"/>
  <c r="H76"/>
  <c r="H78"/>
  <c r="H69"/>
  <c r="H43"/>
  <c r="D18" i="7" s="1"/>
  <c r="D19"/>
  <c r="D21"/>
  <c r="D24"/>
  <c r="H51" i="6"/>
  <c r="D26" i="7" s="1"/>
  <c r="H42" i="6"/>
  <c r="G58"/>
  <c r="F32" i="7" s="1"/>
  <c r="G59" i="6"/>
  <c r="F33" i="7" s="1"/>
  <c r="G57" i="6"/>
  <c r="F31" i="7" s="1"/>
  <c r="D56" i="4" l="1"/>
  <c r="H56"/>
  <c r="L56"/>
  <c r="E56"/>
  <c r="I56"/>
  <c r="M56"/>
  <c r="J56"/>
  <c r="K56"/>
  <c r="F56"/>
  <c r="N56"/>
  <c r="G56"/>
  <c r="AP61"/>
  <c r="AL61"/>
  <c r="AH61"/>
  <c r="AA61"/>
  <c r="W61"/>
  <c r="S61"/>
  <c r="E61"/>
  <c r="I61"/>
  <c r="M61"/>
  <c r="AJ61"/>
  <c r="U61"/>
  <c r="G61"/>
  <c r="AO61"/>
  <c r="AK61"/>
  <c r="AG61"/>
  <c r="Z61"/>
  <c r="V61"/>
  <c r="R61"/>
  <c r="F61"/>
  <c r="J61"/>
  <c r="N61"/>
  <c r="AN61"/>
  <c r="AF61"/>
  <c r="Y61"/>
  <c r="Q61"/>
  <c r="K61"/>
  <c r="AM61"/>
  <c r="T61"/>
  <c r="AE61"/>
  <c r="H61"/>
  <c r="L61"/>
  <c r="AI61"/>
  <c r="D61"/>
  <c r="AB61"/>
  <c r="X61"/>
  <c r="C55"/>
  <c r="G55"/>
  <c r="K55"/>
  <c r="D55"/>
  <c r="H55"/>
  <c r="L55"/>
  <c r="E55"/>
  <c r="M55"/>
  <c r="F55"/>
  <c r="I55"/>
  <c r="J55"/>
  <c r="N55"/>
  <c r="AK58"/>
  <c r="Q58"/>
  <c r="W58"/>
  <c r="AE58"/>
  <c r="F62"/>
  <c r="J62"/>
  <c r="N62"/>
  <c r="G62"/>
  <c r="K62"/>
  <c r="D62"/>
  <c r="L62"/>
  <c r="E62"/>
  <c r="M62"/>
  <c r="H62"/>
  <c r="I62"/>
  <c r="AP69"/>
  <c r="AL69"/>
  <c r="AH69"/>
  <c r="AA69"/>
  <c r="W69"/>
  <c r="S69"/>
  <c r="F69"/>
  <c r="J69"/>
  <c r="N69"/>
  <c r="AJ69"/>
  <c r="AF69"/>
  <c r="Y69"/>
  <c r="Q69"/>
  <c r="AO69"/>
  <c r="AK69"/>
  <c r="AG69"/>
  <c r="Z69"/>
  <c r="V69"/>
  <c r="R69"/>
  <c r="G69"/>
  <c r="K69"/>
  <c r="AN69"/>
  <c r="U69"/>
  <c r="AM69"/>
  <c r="T69"/>
  <c r="H69"/>
  <c r="AB69"/>
  <c r="D69"/>
  <c r="X69"/>
  <c r="E69"/>
  <c r="AI69"/>
  <c r="I69"/>
  <c r="AE69"/>
  <c r="L69"/>
  <c r="M69"/>
  <c r="AP64"/>
  <c r="AL64"/>
  <c r="AH64"/>
  <c r="AA64"/>
  <c r="W64"/>
  <c r="S64"/>
  <c r="D64"/>
  <c r="H64"/>
  <c r="L64"/>
  <c r="AN64"/>
  <c r="U64"/>
  <c r="AO64"/>
  <c r="AK64"/>
  <c r="AG64"/>
  <c r="Z64"/>
  <c r="V64"/>
  <c r="R64"/>
  <c r="E64"/>
  <c r="I64"/>
  <c r="M64"/>
  <c r="AJ64"/>
  <c r="AF64"/>
  <c r="Y64"/>
  <c r="Q64"/>
  <c r="AE64"/>
  <c r="AB64"/>
  <c r="F64"/>
  <c r="N64"/>
  <c r="AM64"/>
  <c r="T64"/>
  <c r="J64"/>
  <c r="AI64"/>
  <c r="K64"/>
  <c r="X64"/>
  <c r="G64"/>
  <c r="AP57"/>
  <c r="AL57"/>
  <c r="AH57"/>
  <c r="AA57"/>
  <c r="W57"/>
  <c r="S57"/>
  <c r="E57"/>
  <c r="I57"/>
  <c r="M57"/>
  <c r="AJ57"/>
  <c r="U57"/>
  <c r="AO57"/>
  <c r="AK57"/>
  <c r="AG57"/>
  <c r="Z57"/>
  <c r="V57"/>
  <c r="R57"/>
  <c r="F57"/>
  <c r="J57"/>
  <c r="N57"/>
  <c r="AN57"/>
  <c r="AF57"/>
  <c r="Y57"/>
  <c r="Q57"/>
  <c r="AM57"/>
  <c r="X57"/>
  <c r="G57"/>
  <c r="D57"/>
  <c r="AI57"/>
  <c r="T57"/>
  <c r="H57"/>
  <c r="AE57"/>
  <c r="K57"/>
  <c r="AB57"/>
  <c r="L57"/>
  <c r="E66"/>
  <c r="J66"/>
  <c r="K66"/>
  <c r="D66"/>
  <c r="I66"/>
  <c r="N66"/>
  <c r="H66"/>
  <c r="M66"/>
  <c r="C66"/>
  <c r="L66"/>
  <c r="F66"/>
  <c r="G66"/>
  <c r="I58"/>
  <c r="C41"/>
  <c r="H52" i="6"/>
  <c r="D17" i="7"/>
  <c r="C36" i="4" s="1"/>
  <c r="C68"/>
  <c r="C61"/>
  <c r="C69"/>
  <c r="D25" i="7"/>
  <c r="C44" i="4" s="1"/>
  <c r="D20" i="7"/>
  <c r="C39" i="4" s="1"/>
  <c r="C64"/>
  <c r="C57"/>
  <c r="C62"/>
  <c r="C56"/>
  <c r="C58"/>
  <c r="C37"/>
  <c r="C45"/>
  <c r="C40"/>
  <c r="C43"/>
  <c r="C38"/>
  <c r="D41" i="6"/>
  <c r="G23"/>
  <c r="G24"/>
  <c r="G25"/>
  <c r="G26"/>
  <c r="G27"/>
  <c r="G28"/>
  <c r="G29"/>
  <c r="G30"/>
  <c r="G31"/>
  <c r="G32"/>
  <c r="G33"/>
  <c r="G22"/>
  <c r="D27" i="7" l="1"/>
  <c r="P3" i="6"/>
  <c r="H62" i="7" l="1"/>
  <c r="J45"/>
  <c r="J48"/>
  <c r="J52"/>
  <c r="J57"/>
  <c r="J17"/>
  <c r="J21"/>
  <c r="J26"/>
  <c r="J55"/>
  <c r="J24"/>
  <c r="B59" i="4"/>
  <c r="H64" i="7"/>
  <c r="J44"/>
  <c r="J25"/>
  <c r="H60"/>
  <c r="J42"/>
  <c r="J46"/>
  <c r="J49"/>
  <c r="J54"/>
  <c r="J40"/>
  <c r="J18"/>
  <c r="J22"/>
  <c r="J43"/>
  <c r="J51"/>
  <c r="J27"/>
  <c r="J19"/>
  <c r="J56"/>
  <c r="J20"/>
  <c r="A38" i="4"/>
  <c r="AQ37"/>
  <c r="AC37"/>
  <c r="AF10"/>
  <c r="AF56" s="1"/>
  <c r="AG10"/>
  <c r="AG56" s="1"/>
  <c r="AH10"/>
  <c r="AH56" s="1"/>
  <c r="AI10"/>
  <c r="AI56" s="1"/>
  <c r="AJ10"/>
  <c r="AJ56" s="1"/>
  <c r="AK10"/>
  <c r="AK56" s="1"/>
  <c r="AL10"/>
  <c r="AL56" s="1"/>
  <c r="AM10"/>
  <c r="AM56" s="1"/>
  <c r="AN10"/>
  <c r="AN56" s="1"/>
  <c r="AO10"/>
  <c r="AO56" s="1"/>
  <c r="AP10"/>
  <c r="AP56" s="1"/>
  <c r="AF11"/>
  <c r="AF62" s="1"/>
  <c r="AG11"/>
  <c r="AG62" s="1"/>
  <c r="AH11"/>
  <c r="AH62" s="1"/>
  <c r="AI11"/>
  <c r="AI62" s="1"/>
  <c r="AJ11"/>
  <c r="AJ62" s="1"/>
  <c r="AK11"/>
  <c r="AK62" s="1"/>
  <c r="AL11"/>
  <c r="AL62" s="1"/>
  <c r="AM11"/>
  <c r="AM62" s="1"/>
  <c r="AN11"/>
  <c r="AN62" s="1"/>
  <c r="AO11"/>
  <c r="AO62" s="1"/>
  <c r="AP11"/>
  <c r="AP62" s="1"/>
  <c r="AF12"/>
  <c r="AG12"/>
  <c r="AH12"/>
  <c r="AI12"/>
  <c r="AJ12"/>
  <c r="AK12"/>
  <c r="AL12"/>
  <c r="AM12"/>
  <c r="AN12"/>
  <c r="AO12"/>
  <c r="AP12"/>
  <c r="AE12"/>
  <c r="AE11"/>
  <c r="AE62" s="1"/>
  <c r="AE10"/>
  <c r="AE56" s="1"/>
  <c r="R10"/>
  <c r="R56" s="1"/>
  <c r="S10"/>
  <c r="S56" s="1"/>
  <c r="T10"/>
  <c r="T56" s="1"/>
  <c r="U10"/>
  <c r="U56" s="1"/>
  <c r="V10"/>
  <c r="V56" s="1"/>
  <c r="W10"/>
  <c r="W56" s="1"/>
  <c r="X10"/>
  <c r="X56" s="1"/>
  <c r="Y10"/>
  <c r="Y56" s="1"/>
  <c r="Z10"/>
  <c r="Z56" s="1"/>
  <c r="AA10"/>
  <c r="AA56" s="1"/>
  <c r="AB10"/>
  <c r="AB56" s="1"/>
  <c r="R11"/>
  <c r="R62" s="1"/>
  <c r="S11"/>
  <c r="S62" s="1"/>
  <c r="T11"/>
  <c r="T62" s="1"/>
  <c r="U11"/>
  <c r="U62" s="1"/>
  <c r="V11"/>
  <c r="V62" s="1"/>
  <c r="W11"/>
  <c r="W62" s="1"/>
  <c r="X11"/>
  <c r="X62" s="1"/>
  <c r="Y11"/>
  <c r="Y62" s="1"/>
  <c r="Z11"/>
  <c r="Z62" s="1"/>
  <c r="AA11"/>
  <c r="AA62" s="1"/>
  <c r="AB11"/>
  <c r="AB62" s="1"/>
  <c r="R12"/>
  <c r="S12"/>
  <c r="T12"/>
  <c r="U12"/>
  <c r="V12"/>
  <c r="W12"/>
  <c r="X12"/>
  <c r="Y12"/>
  <c r="Z12"/>
  <c r="AA12"/>
  <c r="AB12"/>
  <c r="Q12"/>
  <c r="Q11"/>
  <c r="Q62" s="1"/>
  <c r="Q10"/>
  <c r="Q56" s="1"/>
  <c r="AC63" l="1"/>
  <c r="AQ63"/>
  <c r="AR63" s="1"/>
  <c r="AS35"/>
  <c r="AR35"/>
  <c r="AQ35"/>
  <c r="AC35"/>
  <c r="AD35"/>
  <c r="P35"/>
  <c r="O35"/>
  <c r="P50"/>
  <c r="O50"/>
  <c r="P72"/>
  <c r="O72"/>
  <c r="P82"/>
  <c r="O82"/>
  <c r="AD63" l="1"/>
  <c r="AS63"/>
  <c r="D30" i="7"/>
  <c r="B51" l="1"/>
  <c r="L6"/>
  <c r="B93" i="4" l="1"/>
  <c r="AN93" s="1"/>
  <c r="I93" l="1"/>
  <c r="W93"/>
  <c r="AA93"/>
  <c r="M93"/>
  <c r="E93"/>
  <c r="AG93"/>
  <c r="S93"/>
  <c r="AK93"/>
  <c r="L93"/>
  <c r="H93"/>
  <c r="D93"/>
  <c r="T93"/>
  <c r="X93"/>
  <c r="AB93"/>
  <c r="AH93"/>
  <c r="AL93"/>
  <c r="AP93"/>
  <c r="C93"/>
  <c r="K93"/>
  <c r="G93"/>
  <c r="Q93"/>
  <c r="U93"/>
  <c r="Y93"/>
  <c r="AE93"/>
  <c r="AI93"/>
  <c r="AM93"/>
  <c r="AO93"/>
  <c r="N93"/>
  <c r="J93"/>
  <c r="F93"/>
  <c r="R93"/>
  <c r="V93"/>
  <c r="Z93"/>
  <c r="AF93"/>
  <c r="AJ93"/>
  <c r="AF6" l="1"/>
  <c r="AG6"/>
  <c r="AH6"/>
  <c r="AI6"/>
  <c r="AJ6"/>
  <c r="AK6"/>
  <c r="AL6"/>
  <c r="AM6"/>
  <c r="AN6"/>
  <c r="AO6"/>
  <c r="AP6"/>
  <c r="AF8"/>
  <c r="AG8"/>
  <c r="AH8"/>
  <c r="AI8"/>
  <c r="AJ8"/>
  <c r="AK8"/>
  <c r="AL8"/>
  <c r="AM8"/>
  <c r="AN8"/>
  <c r="AO8"/>
  <c r="AP8"/>
  <c r="AF9"/>
  <c r="AF55" s="1"/>
  <c r="AG9"/>
  <c r="AG55" s="1"/>
  <c r="AH9"/>
  <c r="AH55" s="1"/>
  <c r="AI9"/>
  <c r="AI55" s="1"/>
  <c r="AJ9"/>
  <c r="AJ55" s="1"/>
  <c r="AK9"/>
  <c r="AK55" s="1"/>
  <c r="AL9"/>
  <c r="AL55" s="1"/>
  <c r="AM9"/>
  <c r="AM55" s="1"/>
  <c r="AN9"/>
  <c r="AN55" s="1"/>
  <c r="AO9"/>
  <c r="AO55" s="1"/>
  <c r="AP9"/>
  <c r="AP55" s="1"/>
  <c r="AE9"/>
  <c r="AE55" s="1"/>
  <c r="AE8"/>
  <c r="AE6"/>
  <c r="R6"/>
  <c r="S6"/>
  <c r="T6"/>
  <c r="U6"/>
  <c r="V6"/>
  <c r="W6"/>
  <c r="X6"/>
  <c r="Y6"/>
  <c r="Z6"/>
  <c r="AA6"/>
  <c r="AB6"/>
  <c r="R8"/>
  <c r="S8"/>
  <c r="T8"/>
  <c r="U8"/>
  <c r="V8"/>
  <c r="W8"/>
  <c r="X8"/>
  <c r="Y8"/>
  <c r="Z8"/>
  <c r="AA8"/>
  <c r="AB8"/>
  <c r="R9"/>
  <c r="R55" s="1"/>
  <c r="S9"/>
  <c r="S55" s="1"/>
  <c r="T9"/>
  <c r="T55" s="1"/>
  <c r="U9"/>
  <c r="U55" s="1"/>
  <c r="V9"/>
  <c r="V55" s="1"/>
  <c r="W9"/>
  <c r="W55" s="1"/>
  <c r="X9"/>
  <c r="X55" s="1"/>
  <c r="Y9"/>
  <c r="Y55" s="1"/>
  <c r="Z9"/>
  <c r="Z55" s="1"/>
  <c r="AA9"/>
  <c r="AA55" s="1"/>
  <c r="AB9"/>
  <c r="AB55" s="1"/>
  <c r="Q9"/>
  <c r="Q55" s="1"/>
  <c r="Q8"/>
  <c r="Q6"/>
  <c r="R66" l="1"/>
  <c r="AN66"/>
  <c r="AJ66"/>
  <c r="Q66"/>
  <c r="Y66"/>
  <c r="U66"/>
  <c r="AE66"/>
  <c r="AM66"/>
  <c r="AI66"/>
  <c r="V66"/>
  <c r="AB66"/>
  <c r="X66"/>
  <c r="T66"/>
  <c r="AP66"/>
  <c r="AL66"/>
  <c r="AH66"/>
  <c r="Z66"/>
  <c r="AF66"/>
  <c r="AA66"/>
  <c r="W66"/>
  <c r="S66"/>
  <c r="AO66"/>
  <c r="AK66"/>
  <c r="AG66"/>
  <c r="A65"/>
  <c r="A53"/>
  <c r="O44"/>
  <c r="O43"/>
  <c r="O40"/>
  <c r="O39"/>
  <c r="A45"/>
  <c r="A44"/>
  <c r="A43"/>
  <c r="A41"/>
  <c r="A40"/>
  <c r="A39"/>
  <c r="A37"/>
  <c r="C2"/>
  <c r="A69"/>
  <c r="A68"/>
  <c r="A67"/>
  <c r="A64"/>
  <c r="A62"/>
  <c r="A61"/>
  <c r="A58"/>
  <c r="A57"/>
  <c r="A56"/>
  <c r="A55"/>
  <c r="AQ43"/>
  <c r="AQ40"/>
  <c r="AQ39"/>
  <c r="AC43"/>
  <c r="AC40"/>
  <c r="AC39"/>
  <c r="B17" i="7"/>
  <c r="A36" i="4" s="1"/>
  <c r="P5" i="6"/>
  <c r="P4"/>
  <c r="AQ38" i="4"/>
  <c r="AC38"/>
  <c r="AC36"/>
  <c r="AQ36"/>
  <c r="O88"/>
  <c r="AS88" s="1"/>
  <c r="AS50"/>
  <c r="AS72" s="1"/>
  <c r="AS82" s="1"/>
  <c r="AR50"/>
  <c r="AR72" s="1"/>
  <c r="AR82" s="1"/>
  <c r="AQ50"/>
  <c r="AQ72" s="1"/>
  <c r="AQ82" s="1"/>
  <c r="AD50"/>
  <c r="AD72" s="1"/>
  <c r="AD82" s="1"/>
  <c r="AC50"/>
  <c r="AC72" s="1"/>
  <c r="AC82" s="1"/>
  <c r="A80"/>
  <c r="A77"/>
  <c r="A76"/>
  <c r="A74"/>
  <c r="C1"/>
  <c r="AC44"/>
  <c r="AQ44"/>
  <c r="C7" l="1"/>
  <c r="B37"/>
  <c r="B57"/>
  <c r="O38"/>
  <c r="AS38" s="1"/>
  <c r="O37"/>
  <c r="AS37" s="1"/>
  <c r="B45"/>
  <c r="B86"/>
  <c r="C5"/>
  <c r="B73"/>
  <c r="B38"/>
  <c r="B77"/>
  <c r="B46"/>
  <c r="B84"/>
  <c r="A98"/>
  <c r="B89"/>
  <c r="A97"/>
  <c r="A96"/>
  <c r="A95"/>
  <c r="B23"/>
  <c r="B40"/>
  <c r="B58"/>
  <c r="B74"/>
  <c r="B78"/>
  <c r="B85"/>
  <c r="A100"/>
  <c r="B61"/>
  <c r="B62"/>
  <c r="B41"/>
  <c r="B55"/>
  <c r="B68"/>
  <c r="B75"/>
  <c r="B79"/>
  <c r="B87"/>
  <c r="B39"/>
  <c r="B67"/>
  <c r="B80"/>
  <c r="B69"/>
  <c r="B36"/>
  <c r="B44"/>
  <c r="B56"/>
  <c r="B70"/>
  <c r="B76"/>
  <c r="B83"/>
  <c r="B88"/>
  <c r="B64"/>
  <c r="B43"/>
  <c r="B16"/>
  <c r="B53"/>
  <c r="E2" i="7"/>
  <c r="AS44" i="4"/>
  <c r="AS40"/>
  <c r="AS39"/>
  <c r="AS43"/>
  <c r="B65"/>
  <c r="L7" i="7"/>
  <c r="D2" i="4"/>
  <c r="C19" l="1"/>
  <c r="C29" s="1"/>
  <c r="C21"/>
  <c r="C31" s="1"/>
  <c r="C17"/>
  <c r="C27" s="1"/>
  <c r="C16"/>
  <c r="C26" s="1"/>
  <c r="C20"/>
  <c r="C30" s="1"/>
  <c r="C18"/>
  <c r="C28" s="1"/>
  <c r="C22"/>
  <c r="C32" s="1"/>
  <c r="C91"/>
  <c r="C25"/>
  <c r="D7"/>
  <c r="C82"/>
  <c r="C50"/>
  <c r="C35"/>
  <c r="C72"/>
  <c r="C15"/>
  <c r="O61"/>
  <c r="P61" s="1"/>
  <c r="G48" i="7" s="1"/>
  <c r="O55" i="4"/>
  <c r="P55" s="1"/>
  <c r="G42" i="7" s="1"/>
  <c r="AQ55" i="4"/>
  <c r="AR55" s="1"/>
  <c r="AC55"/>
  <c r="AD55" s="1"/>
  <c r="O56"/>
  <c r="P56" s="1"/>
  <c r="G43" i="7" s="1"/>
  <c r="O57" i="4"/>
  <c r="P57" s="1"/>
  <c r="G44" i="7" s="1"/>
  <c r="E2" i="4"/>
  <c r="D5"/>
  <c r="D25" s="1"/>
  <c r="AQ58"/>
  <c r="AR58" s="1"/>
  <c r="AQ57"/>
  <c r="AR57" s="1"/>
  <c r="O64"/>
  <c r="P64" s="1"/>
  <c r="G51" i="7" s="1"/>
  <c r="O68" i="4"/>
  <c r="AQ62"/>
  <c r="AR62" s="1"/>
  <c r="AC56"/>
  <c r="AD56" s="1"/>
  <c r="AC61"/>
  <c r="AQ56"/>
  <c r="AR56" s="1"/>
  <c r="AQ64"/>
  <c r="AR64" s="1"/>
  <c r="AQ69"/>
  <c r="AR69" s="1"/>
  <c r="AC58"/>
  <c r="AD58" s="1"/>
  <c r="AQ61"/>
  <c r="AR61" s="1"/>
  <c r="O62"/>
  <c r="O36"/>
  <c r="AS36" s="1"/>
  <c r="C46"/>
  <c r="C87" s="1"/>
  <c r="O69"/>
  <c r="AC69"/>
  <c r="AD69" s="1"/>
  <c r="AQ68"/>
  <c r="AR68" s="1"/>
  <c r="AC68"/>
  <c r="AD68" s="1"/>
  <c r="AC62"/>
  <c r="AD62" s="1"/>
  <c r="O58"/>
  <c r="AC57"/>
  <c r="AD57" s="1"/>
  <c r="AC64"/>
  <c r="AD64" s="1"/>
  <c r="C33" l="1"/>
  <c r="C23"/>
  <c r="D19"/>
  <c r="D29" s="1"/>
  <c r="D17"/>
  <c r="D27" s="1"/>
  <c r="D20"/>
  <c r="D30" s="1"/>
  <c r="D16"/>
  <c r="D26" s="1"/>
  <c r="D21"/>
  <c r="D31" s="1"/>
  <c r="D18"/>
  <c r="D28" s="1"/>
  <c r="D22"/>
  <c r="D32" s="1"/>
  <c r="E7"/>
  <c r="AS55"/>
  <c r="AS64"/>
  <c r="D35"/>
  <c r="D15"/>
  <c r="D91"/>
  <c r="D72"/>
  <c r="D82"/>
  <c r="D50"/>
  <c r="F2"/>
  <c r="E5"/>
  <c r="E25" s="1"/>
  <c r="C86"/>
  <c r="C76"/>
  <c r="AD61"/>
  <c r="AS61"/>
  <c r="AS69"/>
  <c r="P69"/>
  <c r="G56" i="7" s="1"/>
  <c r="AS56" i="4"/>
  <c r="P58"/>
  <c r="G45" i="7" s="1"/>
  <c r="AS58" i="4"/>
  <c r="AS62"/>
  <c r="P62"/>
  <c r="G49" i="7" s="1"/>
  <c r="AS68" i="4"/>
  <c r="P68"/>
  <c r="G55" i="7" s="1"/>
  <c r="AS57" i="4"/>
  <c r="C67" l="1"/>
  <c r="C54"/>
  <c r="C53"/>
  <c r="C65"/>
  <c r="D33"/>
  <c r="D23"/>
  <c r="E21"/>
  <c r="E31" s="1"/>
  <c r="E18"/>
  <c r="E28" s="1"/>
  <c r="E17"/>
  <c r="E27" s="1"/>
  <c r="E22"/>
  <c r="E32" s="1"/>
  <c r="E16"/>
  <c r="E26" s="1"/>
  <c r="E19"/>
  <c r="E29" s="1"/>
  <c r="E20"/>
  <c r="E30" s="1"/>
  <c r="F7"/>
  <c r="F5"/>
  <c r="F25" s="1"/>
  <c r="G2"/>
  <c r="E82"/>
  <c r="E91"/>
  <c r="E50"/>
  <c r="E72"/>
  <c r="E15"/>
  <c r="E35"/>
  <c r="D67" l="1"/>
  <c r="D54"/>
  <c r="D53"/>
  <c r="D65"/>
  <c r="E33"/>
  <c r="E23"/>
  <c r="F18"/>
  <c r="F28" s="1"/>
  <c r="F21"/>
  <c r="F31" s="1"/>
  <c r="F16"/>
  <c r="F26" s="1"/>
  <c r="F17"/>
  <c r="F27" s="1"/>
  <c r="F22"/>
  <c r="F32" s="1"/>
  <c r="F19"/>
  <c r="F29" s="1"/>
  <c r="F20"/>
  <c r="F30" s="1"/>
  <c r="G7"/>
  <c r="H2"/>
  <c r="G5"/>
  <c r="G25" s="1"/>
  <c r="F91"/>
  <c r="F50"/>
  <c r="F72"/>
  <c r="F35"/>
  <c r="F15"/>
  <c r="F82"/>
  <c r="E67" l="1"/>
  <c r="E54"/>
  <c r="E65"/>
  <c r="E53"/>
  <c r="F33"/>
  <c r="F23"/>
  <c r="G19"/>
  <c r="G29" s="1"/>
  <c r="G22"/>
  <c r="G32" s="1"/>
  <c r="G17"/>
  <c r="G27" s="1"/>
  <c r="G18"/>
  <c r="G28" s="1"/>
  <c r="G16"/>
  <c r="G26" s="1"/>
  <c r="G20"/>
  <c r="G30" s="1"/>
  <c r="G21"/>
  <c r="G31" s="1"/>
  <c r="H7"/>
  <c r="G35"/>
  <c r="G91"/>
  <c r="G50"/>
  <c r="G15"/>
  <c r="G72"/>
  <c r="G82"/>
  <c r="I2"/>
  <c r="H5"/>
  <c r="H25" s="1"/>
  <c r="F67" l="1"/>
  <c r="F54"/>
  <c r="F53"/>
  <c r="F65"/>
  <c r="G33"/>
  <c r="H19"/>
  <c r="H29" s="1"/>
  <c r="H18"/>
  <c r="H28" s="1"/>
  <c r="H16"/>
  <c r="H26" s="1"/>
  <c r="H17"/>
  <c r="H27" s="1"/>
  <c r="H22"/>
  <c r="H32" s="1"/>
  <c r="H20"/>
  <c r="H30" s="1"/>
  <c r="H21"/>
  <c r="H31" s="1"/>
  <c r="G23"/>
  <c r="I7"/>
  <c r="H91"/>
  <c r="H35"/>
  <c r="H50"/>
  <c r="H15"/>
  <c r="H72"/>
  <c r="H82"/>
  <c r="J2"/>
  <c r="I5"/>
  <c r="I25" s="1"/>
  <c r="G67" l="1"/>
  <c r="G54"/>
  <c r="G65"/>
  <c r="G53"/>
  <c r="H33"/>
  <c r="I21"/>
  <c r="I31" s="1"/>
  <c r="I20"/>
  <c r="I30" s="1"/>
  <c r="I16"/>
  <c r="I26" s="1"/>
  <c r="I18"/>
  <c r="I28" s="1"/>
  <c r="I22"/>
  <c r="I32" s="1"/>
  <c r="I17"/>
  <c r="I27" s="1"/>
  <c r="I19"/>
  <c r="I29" s="1"/>
  <c r="H23"/>
  <c r="J7"/>
  <c r="I35"/>
  <c r="I91"/>
  <c r="I15"/>
  <c r="I82"/>
  <c r="I50"/>
  <c r="I72"/>
  <c r="J5"/>
  <c r="J25" s="1"/>
  <c r="K2"/>
  <c r="H67" l="1"/>
  <c r="H54"/>
  <c r="H53"/>
  <c r="H65"/>
  <c r="I33"/>
  <c r="J19"/>
  <c r="J29" s="1"/>
  <c r="J18"/>
  <c r="J28" s="1"/>
  <c r="J16"/>
  <c r="J26" s="1"/>
  <c r="J17"/>
  <c r="J27" s="1"/>
  <c r="J20"/>
  <c r="J30" s="1"/>
  <c r="J21"/>
  <c r="J31" s="1"/>
  <c r="J22"/>
  <c r="J32" s="1"/>
  <c r="I23"/>
  <c r="K7"/>
  <c r="K5"/>
  <c r="K25" s="1"/>
  <c r="L2"/>
  <c r="J82"/>
  <c r="J35"/>
  <c r="J15"/>
  <c r="J91"/>
  <c r="J50"/>
  <c r="J72"/>
  <c r="D46"/>
  <c r="D87" s="1"/>
  <c r="I67" l="1"/>
  <c r="I54"/>
  <c r="I65"/>
  <c r="I53"/>
  <c r="J33"/>
  <c r="J23"/>
  <c r="K16"/>
  <c r="K26" s="1"/>
  <c r="K21"/>
  <c r="K31" s="1"/>
  <c r="K18"/>
  <c r="K28" s="1"/>
  <c r="K19"/>
  <c r="K29" s="1"/>
  <c r="K20"/>
  <c r="K30" s="1"/>
  <c r="K22"/>
  <c r="K32" s="1"/>
  <c r="K17"/>
  <c r="K27" s="1"/>
  <c r="L7"/>
  <c r="M2"/>
  <c r="L5"/>
  <c r="L25" s="1"/>
  <c r="K91"/>
  <c r="K50"/>
  <c r="K15"/>
  <c r="K72"/>
  <c r="K82"/>
  <c r="K35"/>
  <c r="D86"/>
  <c r="D76"/>
  <c r="J67" l="1"/>
  <c r="J54"/>
  <c r="J53"/>
  <c r="J65"/>
  <c r="K33"/>
  <c r="L22"/>
  <c r="L32" s="1"/>
  <c r="L16"/>
  <c r="L26" s="1"/>
  <c r="L18"/>
  <c r="L28" s="1"/>
  <c r="L21"/>
  <c r="L31" s="1"/>
  <c r="L19"/>
  <c r="L29" s="1"/>
  <c r="L17"/>
  <c r="L27" s="1"/>
  <c r="L20"/>
  <c r="L30" s="1"/>
  <c r="K23"/>
  <c r="M7"/>
  <c r="F46"/>
  <c r="F87" s="1"/>
  <c r="L35"/>
  <c r="L50"/>
  <c r="L15"/>
  <c r="L91"/>
  <c r="L82"/>
  <c r="L72"/>
  <c r="N2"/>
  <c r="M5"/>
  <c r="M25" s="1"/>
  <c r="K67" l="1"/>
  <c r="K54"/>
  <c r="K65"/>
  <c r="K53"/>
  <c r="L33"/>
  <c r="M17"/>
  <c r="M27" s="1"/>
  <c r="M18"/>
  <c r="M28" s="1"/>
  <c r="M16"/>
  <c r="M26" s="1"/>
  <c r="M20"/>
  <c r="M30" s="1"/>
  <c r="M22"/>
  <c r="M32" s="1"/>
  <c r="M21"/>
  <c r="M31" s="1"/>
  <c r="M19"/>
  <c r="M29" s="1"/>
  <c r="L23"/>
  <c r="N7"/>
  <c r="F86"/>
  <c r="F76"/>
  <c r="N5"/>
  <c r="N25" s="1"/>
  <c r="Q2"/>
  <c r="M72"/>
  <c r="M35"/>
  <c r="M82"/>
  <c r="M91"/>
  <c r="M15"/>
  <c r="M50"/>
  <c r="G46"/>
  <c r="G87" s="1"/>
  <c r="H46"/>
  <c r="H87" s="1"/>
  <c r="L67" l="1"/>
  <c r="L54"/>
  <c r="L53"/>
  <c r="L65"/>
  <c r="M33"/>
  <c r="N21"/>
  <c r="N31" s="1"/>
  <c r="O31" s="1"/>
  <c r="N22"/>
  <c r="N32" s="1"/>
  <c r="O32" s="1"/>
  <c r="N20"/>
  <c r="N17"/>
  <c r="N27" s="1"/>
  <c r="O27" s="1"/>
  <c r="N19"/>
  <c r="N29" s="1"/>
  <c r="O29" s="1"/>
  <c r="N18"/>
  <c r="N28" s="1"/>
  <c r="O28" s="1"/>
  <c r="N16"/>
  <c r="N26" s="1"/>
  <c r="M23"/>
  <c r="Q7"/>
  <c r="R2"/>
  <c r="Q5"/>
  <c r="Q25" s="1"/>
  <c r="N82"/>
  <c r="N50"/>
  <c r="N35"/>
  <c r="N15"/>
  <c r="N91"/>
  <c r="N72"/>
  <c r="H86"/>
  <c r="H76"/>
  <c r="G76"/>
  <c r="G86"/>
  <c r="I46"/>
  <c r="I87" s="1"/>
  <c r="M67" l="1"/>
  <c r="M54"/>
  <c r="O19"/>
  <c r="O21"/>
  <c r="P21" s="1"/>
  <c r="F12" i="7" s="1"/>
  <c r="O18" i="4"/>
  <c r="M65"/>
  <c r="M53"/>
  <c r="O22"/>
  <c r="P22" s="1"/>
  <c r="F13" i="7" s="1"/>
  <c r="O20" i="4"/>
  <c r="N30"/>
  <c r="O30" s="1"/>
  <c r="P30" s="1"/>
  <c r="H11" i="7" s="1"/>
  <c r="O17" i="4"/>
  <c r="P17" s="1"/>
  <c r="F8" i="7" s="1"/>
  <c r="P31" i="4"/>
  <c r="H12" i="7" s="1"/>
  <c r="P29" i="4"/>
  <c r="H10" i="7" s="1"/>
  <c r="P32" i="4"/>
  <c r="H13" i="7" s="1"/>
  <c r="Q18" i="4"/>
  <c r="Q28" s="1"/>
  <c r="Q19"/>
  <c r="Q29" s="1"/>
  <c r="Q20"/>
  <c r="Q30" s="1"/>
  <c r="Q16"/>
  <c r="Q22"/>
  <c r="Q32" s="1"/>
  <c r="Q21"/>
  <c r="Q31" s="1"/>
  <c r="Q17"/>
  <c r="Q27" s="1"/>
  <c r="P28"/>
  <c r="H9" i="7" s="1"/>
  <c r="N23" i="4"/>
  <c r="P27"/>
  <c r="H8" i="7" s="1"/>
  <c r="P20" i="4"/>
  <c r="F11" i="7" s="1"/>
  <c r="P18" i="4"/>
  <c r="F9" i="7" s="1"/>
  <c r="P19" i="4"/>
  <c r="F10" i="7" s="1"/>
  <c r="R7" i="4"/>
  <c r="Q50"/>
  <c r="Q82"/>
  <c r="Q15"/>
  <c r="Q91"/>
  <c r="Q72"/>
  <c r="Q35"/>
  <c r="S2"/>
  <c r="R5"/>
  <c r="R25" s="1"/>
  <c r="I86"/>
  <c r="I76"/>
  <c r="J46"/>
  <c r="J87" s="1"/>
  <c r="N67" l="1"/>
  <c r="N54"/>
  <c r="J10" i="7"/>
  <c r="J12"/>
  <c r="N53" i="4"/>
  <c r="O54"/>
  <c r="N65"/>
  <c r="J8" i="7"/>
  <c r="J13"/>
  <c r="N33" i="4"/>
  <c r="Q23"/>
  <c r="Q26"/>
  <c r="Q33" s="1"/>
  <c r="J9" i="7"/>
  <c r="J11"/>
  <c r="R19" i="4"/>
  <c r="R29" s="1"/>
  <c r="R16"/>
  <c r="R26" s="1"/>
  <c r="R21"/>
  <c r="R31" s="1"/>
  <c r="R17"/>
  <c r="R27" s="1"/>
  <c r="R18"/>
  <c r="R28" s="1"/>
  <c r="R22"/>
  <c r="R32" s="1"/>
  <c r="R20"/>
  <c r="R30" s="1"/>
  <c r="S7"/>
  <c r="T2"/>
  <c r="S5"/>
  <c r="S25" s="1"/>
  <c r="R35"/>
  <c r="R72"/>
  <c r="R82"/>
  <c r="R50"/>
  <c r="R15"/>
  <c r="R91"/>
  <c r="K46"/>
  <c r="K87" s="1"/>
  <c r="J86"/>
  <c r="J76"/>
  <c r="Q67" l="1"/>
  <c r="Q54"/>
  <c r="P54"/>
  <c r="G41" i="7" s="1"/>
  <c r="Q65" i="4"/>
  <c r="Q53"/>
  <c r="R33"/>
  <c r="R74" s="1"/>
  <c r="R23"/>
  <c r="S22"/>
  <c r="S32" s="1"/>
  <c r="S18"/>
  <c r="S28" s="1"/>
  <c r="S21"/>
  <c r="S31" s="1"/>
  <c r="S17"/>
  <c r="S27" s="1"/>
  <c r="S19"/>
  <c r="S29" s="1"/>
  <c r="S20"/>
  <c r="S30" s="1"/>
  <c r="S16"/>
  <c r="S26" s="1"/>
  <c r="Q74"/>
  <c r="T7"/>
  <c r="O45"/>
  <c r="S35"/>
  <c r="S72"/>
  <c r="S91"/>
  <c r="S50"/>
  <c r="S15"/>
  <c r="S82"/>
  <c r="U2"/>
  <c r="T5"/>
  <c r="T25" s="1"/>
  <c r="L46"/>
  <c r="L87" s="1"/>
  <c r="K76"/>
  <c r="K86"/>
  <c r="R67" l="1"/>
  <c r="R54"/>
  <c r="R65"/>
  <c r="R53"/>
  <c r="S33"/>
  <c r="T19"/>
  <c r="T29" s="1"/>
  <c r="T16"/>
  <c r="T26" s="1"/>
  <c r="T22"/>
  <c r="T32" s="1"/>
  <c r="T18"/>
  <c r="T28" s="1"/>
  <c r="T20"/>
  <c r="T30" s="1"/>
  <c r="T21"/>
  <c r="T31" s="1"/>
  <c r="T17"/>
  <c r="T27" s="1"/>
  <c r="S23"/>
  <c r="U7"/>
  <c r="U5"/>
  <c r="U25" s="1"/>
  <c r="V2"/>
  <c r="T72"/>
  <c r="T15"/>
  <c r="T91"/>
  <c r="T35"/>
  <c r="T82"/>
  <c r="T50"/>
  <c r="M46"/>
  <c r="M87" s="1"/>
  <c r="L86"/>
  <c r="L76"/>
  <c r="S67" l="1"/>
  <c r="S54"/>
  <c r="S65"/>
  <c r="S53"/>
  <c r="T33"/>
  <c r="T74" s="1"/>
  <c r="U17"/>
  <c r="U27" s="1"/>
  <c r="U20"/>
  <c r="U30" s="1"/>
  <c r="U19"/>
  <c r="U29" s="1"/>
  <c r="U22"/>
  <c r="U32" s="1"/>
  <c r="U16"/>
  <c r="U26" s="1"/>
  <c r="U21"/>
  <c r="U31" s="1"/>
  <c r="U18"/>
  <c r="U28" s="1"/>
  <c r="T23"/>
  <c r="S74"/>
  <c r="V7"/>
  <c r="W2"/>
  <c r="V5"/>
  <c r="V25" s="1"/>
  <c r="U35"/>
  <c r="U72"/>
  <c r="U50"/>
  <c r="U15"/>
  <c r="U91"/>
  <c r="U82"/>
  <c r="M76"/>
  <c r="M86"/>
  <c r="T67" l="1"/>
  <c r="T54"/>
  <c r="T65"/>
  <c r="T53"/>
  <c r="U33"/>
  <c r="U23"/>
  <c r="V17"/>
  <c r="V27" s="1"/>
  <c r="V18"/>
  <c r="V28" s="1"/>
  <c r="V21"/>
  <c r="V31" s="1"/>
  <c r="V16"/>
  <c r="V26" s="1"/>
  <c r="V19"/>
  <c r="V29" s="1"/>
  <c r="V22"/>
  <c r="V32" s="1"/>
  <c r="V20"/>
  <c r="V30" s="1"/>
  <c r="W7"/>
  <c r="V72"/>
  <c r="V15"/>
  <c r="V91"/>
  <c r="V50"/>
  <c r="V35"/>
  <c r="V82"/>
  <c r="X2"/>
  <c r="W5"/>
  <c r="W25" s="1"/>
  <c r="N46"/>
  <c r="N87" s="1"/>
  <c r="O41"/>
  <c r="U67" l="1"/>
  <c r="U54"/>
  <c r="U65"/>
  <c r="U53"/>
  <c r="V33"/>
  <c r="V74" s="1"/>
  <c r="W21"/>
  <c r="W31" s="1"/>
  <c r="W17"/>
  <c r="W27" s="1"/>
  <c r="W22"/>
  <c r="W32" s="1"/>
  <c r="W20"/>
  <c r="W30" s="1"/>
  <c r="W16"/>
  <c r="W26" s="1"/>
  <c r="W19"/>
  <c r="W29" s="1"/>
  <c r="W18"/>
  <c r="W28" s="1"/>
  <c r="V23"/>
  <c r="U74"/>
  <c r="X7"/>
  <c r="Y2"/>
  <c r="X5"/>
  <c r="X25" s="1"/>
  <c r="W50"/>
  <c r="W15"/>
  <c r="W35"/>
  <c r="W72"/>
  <c r="W91"/>
  <c r="W82"/>
  <c r="Q46"/>
  <c r="Q87" s="1"/>
  <c r="R46"/>
  <c r="R87" s="1"/>
  <c r="N86"/>
  <c r="N76"/>
  <c r="O46"/>
  <c r="V67" l="1"/>
  <c r="V54"/>
  <c r="V65"/>
  <c r="V53"/>
  <c r="W33"/>
  <c r="W23"/>
  <c r="X21"/>
  <c r="X31" s="1"/>
  <c r="X17"/>
  <c r="X27" s="1"/>
  <c r="X18"/>
  <c r="X28" s="1"/>
  <c r="X20"/>
  <c r="X30" s="1"/>
  <c r="X16"/>
  <c r="X26" s="1"/>
  <c r="X22"/>
  <c r="X32" s="1"/>
  <c r="X19"/>
  <c r="X29" s="1"/>
  <c r="Y7"/>
  <c r="X35"/>
  <c r="X91"/>
  <c r="X50"/>
  <c r="X82"/>
  <c r="X72"/>
  <c r="X15"/>
  <c r="Y5"/>
  <c r="Y25" s="1"/>
  <c r="Z2"/>
  <c r="Q76"/>
  <c r="Q86"/>
  <c r="R76"/>
  <c r="R86"/>
  <c r="W67" l="1"/>
  <c r="W54"/>
  <c r="W65"/>
  <c r="W53"/>
  <c r="X33"/>
  <c r="X74" s="1"/>
  <c r="Y20"/>
  <c r="Y30" s="1"/>
  <c r="Y21"/>
  <c r="Y31" s="1"/>
  <c r="Y22"/>
  <c r="Y32" s="1"/>
  <c r="Y18"/>
  <c r="Y28" s="1"/>
  <c r="Y17"/>
  <c r="Y27" s="1"/>
  <c r="Y19"/>
  <c r="Y29" s="1"/>
  <c r="Y16"/>
  <c r="Y26" s="1"/>
  <c r="X23"/>
  <c r="W74"/>
  <c r="Z7"/>
  <c r="Y15"/>
  <c r="Y91"/>
  <c r="Y72"/>
  <c r="Y82"/>
  <c r="Y50"/>
  <c r="Y35"/>
  <c r="AA2"/>
  <c r="Z5"/>
  <c r="Z25" s="1"/>
  <c r="S46"/>
  <c r="S87" s="1"/>
  <c r="T46"/>
  <c r="T87" s="1"/>
  <c r="X67" l="1"/>
  <c r="X54"/>
  <c r="X65"/>
  <c r="X53"/>
  <c r="Y33"/>
  <c r="Z20"/>
  <c r="Z30" s="1"/>
  <c r="Z17"/>
  <c r="Z27" s="1"/>
  <c r="Z16"/>
  <c r="Z26" s="1"/>
  <c r="Z22"/>
  <c r="Z32" s="1"/>
  <c r="Z19"/>
  <c r="Z29" s="1"/>
  <c r="Z21"/>
  <c r="Z31" s="1"/>
  <c r="Z18"/>
  <c r="Z28" s="1"/>
  <c r="Y23"/>
  <c r="AA7"/>
  <c r="AB2"/>
  <c r="AA5"/>
  <c r="AA25" s="1"/>
  <c r="Z82"/>
  <c r="Z72"/>
  <c r="Z50"/>
  <c r="Z35"/>
  <c r="Z91"/>
  <c r="Z15"/>
  <c r="T76"/>
  <c r="T86"/>
  <c r="S86"/>
  <c r="S76"/>
  <c r="Y67" l="1"/>
  <c r="Y54"/>
  <c r="Y65"/>
  <c r="Y53"/>
  <c r="Z33"/>
  <c r="Z74" s="1"/>
  <c r="Z23"/>
  <c r="AA20"/>
  <c r="AA30" s="1"/>
  <c r="AA16"/>
  <c r="AA26" s="1"/>
  <c r="AA17"/>
  <c r="AA27" s="1"/>
  <c r="AA19"/>
  <c r="AA29" s="1"/>
  <c r="AA21"/>
  <c r="AA31" s="1"/>
  <c r="AA22"/>
  <c r="AA32" s="1"/>
  <c r="AA18"/>
  <c r="AA28" s="1"/>
  <c r="Y74"/>
  <c r="AB7"/>
  <c r="AA72"/>
  <c r="AA35"/>
  <c r="AA91"/>
  <c r="AA50"/>
  <c r="AA82"/>
  <c r="AA15"/>
  <c r="AE2"/>
  <c r="AB5"/>
  <c r="AB25" s="1"/>
  <c r="U46"/>
  <c r="U87" s="1"/>
  <c r="V46"/>
  <c r="V87" s="1"/>
  <c r="Z67" l="1"/>
  <c r="Z54"/>
  <c r="Z65"/>
  <c r="Z53"/>
  <c r="AA33"/>
  <c r="AA74" s="1"/>
  <c r="AA23"/>
  <c r="AB21"/>
  <c r="AB31" s="1"/>
  <c r="AC31" s="1"/>
  <c r="AB17"/>
  <c r="AB22"/>
  <c r="AB32" s="1"/>
  <c r="AC32" s="1"/>
  <c r="AB20"/>
  <c r="AB16"/>
  <c r="AB26" s="1"/>
  <c r="AB18"/>
  <c r="AB28" s="1"/>
  <c r="AC28" s="1"/>
  <c r="AB19"/>
  <c r="AB29" s="1"/>
  <c r="AC29" s="1"/>
  <c r="AE7"/>
  <c r="AE5"/>
  <c r="AE25" s="1"/>
  <c r="AF2"/>
  <c r="AB72"/>
  <c r="AB82"/>
  <c r="AB15"/>
  <c r="AB35"/>
  <c r="AB50"/>
  <c r="AB91"/>
  <c r="U86"/>
  <c r="U76"/>
  <c r="V76"/>
  <c r="V86"/>
  <c r="W46"/>
  <c r="W87" s="1"/>
  <c r="AA67" l="1"/>
  <c r="AA54"/>
  <c r="AA65"/>
  <c r="AA53"/>
  <c r="AC18"/>
  <c r="AD18" s="1"/>
  <c r="AC21"/>
  <c r="AD21" s="1"/>
  <c r="AC19"/>
  <c r="AC22"/>
  <c r="AD22" s="1"/>
  <c r="AC20"/>
  <c r="AD20" s="1"/>
  <c r="AB30"/>
  <c r="AC30" s="1"/>
  <c r="AD30" s="1"/>
  <c r="AC17"/>
  <c r="AD17" s="1"/>
  <c r="AB27"/>
  <c r="AC27" s="1"/>
  <c r="AD27" s="1"/>
  <c r="AD28"/>
  <c r="AE20"/>
  <c r="AE30" s="1"/>
  <c r="AE16"/>
  <c r="AE17"/>
  <c r="AE27" s="1"/>
  <c r="AE19"/>
  <c r="AE29" s="1"/>
  <c r="AE22"/>
  <c r="AE32" s="1"/>
  <c r="AE18"/>
  <c r="AE28" s="1"/>
  <c r="AE21"/>
  <c r="AE31" s="1"/>
  <c r="AD29"/>
  <c r="AD31"/>
  <c r="AD32"/>
  <c r="AB23"/>
  <c r="AD19"/>
  <c r="AF7"/>
  <c r="AF5"/>
  <c r="AF25" s="1"/>
  <c r="AG2"/>
  <c r="AE82"/>
  <c r="AE91"/>
  <c r="AE50"/>
  <c r="AE35"/>
  <c r="AE15"/>
  <c r="AE72"/>
  <c r="W86"/>
  <c r="W76"/>
  <c r="X46"/>
  <c r="X87" s="1"/>
  <c r="AB67" l="1"/>
  <c r="AB54"/>
  <c r="AC54" s="1"/>
  <c r="AB65"/>
  <c r="AB53"/>
  <c r="AE23"/>
  <c r="AE26"/>
  <c r="AE33" s="1"/>
  <c r="AB33"/>
  <c r="AB74" s="1"/>
  <c r="AF22"/>
  <c r="AF32" s="1"/>
  <c r="AF18"/>
  <c r="AF28" s="1"/>
  <c r="AF21"/>
  <c r="AF31" s="1"/>
  <c r="AF17"/>
  <c r="AF27" s="1"/>
  <c r="AF20"/>
  <c r="AF30" s="1"/>
  <c r="AF16"/>
  <c r="AF19"/>
  <c r="AF29" s="1"/>
  <c r="AC26"/>
  <c r="AC33" s="1"/>
  <c r="AG7"/>
  <c r="AH2"/>
  <c r="AG5"/>
  <c r="AG25" s="1"/>
  <c r="AF91"/>
  <c r="AF35"/>
  <c r="AF50"/>
  <c r="AF15"/>
  <c r="AF72"/>
  <c r="AF82"/>
  <c r="X76"/>
  <c r="X86"/>
  <c r="Y46"/>
  <c r="Y87" s="1"/>
  <c r="AE67" l="1"/>
  <c r="AE54"/>
  <c r="AE65"/>
  <c r="AE53"/>
  <c r="AD54"/>
  <c r="AF23"/>
  <c r="AF26"/>
  <c r="AF33" s="1"/>
  <c r="AF74" s="1"/>
  <c r="AG19"/>
  <c r="AG29" s="1"/>
  <c r="AG22"/>
  <c r="AG32" s="1"/>
  <c r="AG21"/>
  <c r="AG31" s="1"/>
  <c r="AG17"/>
  <c r="AG27" s="1"/>
  <c r="AG18"/>
  <c r="AG28" s="1"/>
  <c r="AG16"/>
  <c r="AG26" s="1"/>
  <c r="AG20"/>
  <c r="AG30" s="1"/>
  <c r="AD26"/>
  <c r="AD33" s="1"/>
  <c r="AE74"/>
  <c r="AH7"/>
  <c r="AC45"/>
  <c r="AG72"/>
  <c r="AG82"/>
  <c r="AG15"/>
  <c r="AG50"/>
  <c r="AG35"/>
  <c r="AG91"/>
  <c r="AI2"/>
  <c r="AH5"/>
  <c r="AH25" s="1"/>
  <c r="Y76"/>
  <c r="Y86"/>
  <c r="Z46"/>
  <c r="Z87" s="1"/>
  <c r="AF67" l="1"/>
  <c r="AF54"/>
  <c r="AF65"/>
  <c r="AF53"/>
  <c r="AG33"/>
  <c r="AG74" s="1"/>
  <c r="AG23"/>
  <c r="AH16"/>
  <c r="AH26" s="1"/>
  <c r="AH18"/>
  <c r="AH28" s="1"/>
  <c r="AH22"/>
  <c r="AH32" s="1"/>
  <c r="AH19"/>
  <c r="AH29" s="1"/>
  <c r="AH20"/>
  <c r="AH30" s="1"/>
  <c r="AH21"/>
  <c r="AH31" s="1"/>
  <c r="AH17"/>
  <c r="AH27" s="1"/>
  <c r="AI7"/>
  <c r="AI5"/>
  <c r="AI25" s="1"/>
  <c r="AJ2"/>
  <c r="AH91"/>
  <c r="AH50"/>
  <c r="AH72"/>
  <c r="AH15"/>
  <c r="AH82"/>
  <c r="AH35"/>
  <c r="Z76"/>
  <c r="Z86"/>
  <c r="AA46"/>
  <c r="AA87" s="1"/>
  <c r="AG67" l="1"/>
  <c r="AG54"/>
  <c r="AG65"/>
  <c r="AG53"/>
  <c r="AH33"/>
  <c r="AH74" s="1"/>
  <c r="AI22"/>
  <c r="AI32" s="1"/>
  <c r="AI18"/>
  <c r="AI28" s="1"/>
  <c r="AI21"/>
  <c r="AI31" s="1"/>
  <c r="AI17"/>
  <c r="AI27" s="1"/>
  <c r="AI19"/>
  <c r="AI29" s="1"/>
  <c r="AI20"/>
  <c r="AI30" s="1"/>
  <c r="AI16"/>
  <c r="AI26" s="1"/>
  <c r="AH23"/>
  <c r="AJ7"/>
  <c r="AK2"/>
  <c r="AJ5"/>
  <c r="AJ25" s="1"/>
  <c r="AI82"/>
  <c r="AI91"/>
  <c r="AI15"/>
  <c r="AI50"/>
  <c r="AI72"/>
  <c r="AI35"/>
  <c r="AA86"/>
  <c r="AA76"/>
  <c r="AH67" l="1"/>
  <c r="AH54"/>
  <c r="AI33"/>
  <c r="AH65"/>
  <c r="AH53"/>
  <c r="AJ21"/>
  <c r="AJ31" s="1"/>
  <c r="AJ17"/>
  <c r="AJ27" s="1"/>
  <c r="AJ22"/>
  <c r="AJ32" s="1"/>
  <c r="AJ20"/>
  <c r="AJ30" s="1"/>
  <c r="AJ16"/>
  <c r="AJ26" s="1"/>
  <c r="AJ19"/>
  <c r="AJ29" s="1"/>
  <c r="AJ18"/>
  <c r="AJ28" s="1"/>
  <c r="AI23"/>
  <c r="AK7"/>
  <c r="AJ82"/>
  <c r="AJ72"/>
  <c r="AJ35"/>
  <c r="AJ91"/>
  <c r="AJ50"/>
  <c r="AJ15"/>
  <c r="AL2"/>
  <c r="AK5"/>
  <c r="AK25" s="1"/>
  <c r="AB46"/>
  <c r="AB87" s="1"/>
  <c r="AC41"/>
  <c r="AI67" l="1"/>
  <c r="AI54"/>
  <c r="AI65"/>
  <c r="AI53"/>
  <c r="AJ33"/>
  <c r="AJ74" s="1"/>
  <c r="AJ23"/>
  <c r="AK18"/>
  <c r="AK28" s="1"/>
  <c r="AK21"/>
  <c r="AK31" s="1"/>
  <c r="AK16"/>
  <c r="AK17"/>
  <c r="AK27" s="1"/>
  <c r="AK20"/>
  <c r="AK30" s="1"/>
  <c r="AK22"/>
  <c r="AK32" s="1"/>
  <c r="AK19"/>
  <c r="AK29" s="1"/>
  <c r="AI74"/>
  <c r="AL7"/>
  <c r="AM2"/>
  <c r="AL5"/>
  <c r="AL25" s="1"/>
  <c r="AK91"/>
  <c r="AK72"/>
  <c r="AK35"/>
  <c r="AK50"/>
  <c r="AK15"/>
  <c r="AK82"/>
  <c r="AF46"/>
  <c r="AF87" s="1"/>
  <c r="AE46"/>
  <c r="AE87" s="1"/>
  <c r="AB76"/>
  <c r="AB86"/>
  <c r="AC46"/>
  <c r="AJ67" l="1"/>
  <c r="AJ54"/>
  <c r="AJ65"/>
  <c r="AJ53"/>
  <c r="AK23"/>
  <c r="AK26"/>
  <c r="AK33" s="1"/>
  <c r="AL19"/>
  <c r="AL29" s="1"/>
  <c r="AL22"/>
  <c r="AL32" s="1"/>
  <c r="AL21"/>
  <c r="AL31" s="1"/>
  <c r="AL17"/>
  <c r="AL27" s="1"/>
  <c r="AL18"/>
  <c r="AL28" s="1"/>
  <c r="AL16"/>
  <c r="AL26" s="1"/>
  <c r="AL20"/>
  <c r="AL30" s="1"/>
  <c r="AM7"/>
  <c r="AL35"/>
  <c r="AL50"/>
  <c r="AL91"/>
  <c r="AL15"/>
  <c r="AL82"/>
  <c r="AL72"/>
  <c r="AM5"/>
  <c r="AM25" s="1"/>
  <c r="AN2"/>
  <c r="AG46"/>
  <c r="AG87" s="1"/>
  <c r="AF86"/>
  <c r="AF76"/>
  <c r="AE76"/>
  <c r="AE86"/>
  <c r="AC76"/>
  <c r="AC87"/>
  <c r="AC86"/>
  <c r="AK67" l="1"/>
  <c r="AK54"/>
  <c r="AL33"/>
  <c r="AL74" s="1"/>
  <c r="AK65"/>
  <c r="AK53"/>
  <c r="AL23"/>
  <c r="AM21"/>
  <c r="AM31" s="1"/>
  <c r="AM17"/>
  <c r="AM27" s="1"/>
  <c r="AM22"/>
  <c r="AM32" s="1"/>
  <c r="AM20"/>
  <c r="AM30" s="1"/>
  <c r="AM16"/>
  <c r="AM18"/>
  <c r="AM28" s="1"/>
  <c r="AM19"/>
  <c r="AM29" s="1"/>
  <c r="AK74"/>
  <c r="AN7"/>
  <c r="AM72"/>
  <c r="AM82"/>
  <c r="AM91"/>
  <c r="AM15"/>
  <c r="AM35"/>
  <c r="AM50"/>
  <c r="AO2"/>
  <c r="AN5"/>
  <c r="AN25" s="1"/>
  <c r="AG86"/>
  <c r="AG76"/>
  <c r="AH46"/>
  <c r="AH87" s="1"/>
  <c r="AL67" l="1"/>
  <c r="AL54"/>
  <c r="AL65"/>
  <c r="AL53"/>
  <c r="AM23"/>
  <c r="AM26"/>
  <c r="AM33" s="1"/>
  <c r="AN20"/>
  <c r="AN30" s="1"/>
  <c r="AN16"/>
  <c r="AN26" s="1"/>
  <c r="AN21"/>
  <c r="AN31" s="1"/>
  <c r="AN19"/>
  <c r="AN29" s="1"/>
  <c r="AN22"/>
  <c r="AN32" s="1"/>
  <c r="AN18"/>
  <c r="AN28" s="1"/>
  <c r="AN17"/>
  <c r="AN27" s="1"/>
  <c r="AM74"/>
  <c r="AO7"/>
  <c r="AN91"/>
  <c r="AN35"/>
  <c r="AN72"/>
  <c r="AN15"/>
  <c r="AN50"/>
  <c r="AN82"/>
  <c r="AP2"/>
  <c r="AO5"/>
  <c r="AO25" s="1"/>
  <c r="AI46"/>
  <c r="AI87" s="1"/>
  <c r="AH86"/>
  <c r="AH76"/>
  <c r="AM67" l="1"/>
  <c r="AM54"/>
  <c r="AM65"/>
  <c r="AM53"/>
  <c r="AN33"/>
  <c r="AN74" s="1"/>
  <c r="AN23"/>
  <c r="AO18"/>
  <c r="AO28" s="1"/>
  <c r="AO17"/>
  <c r="AO27" s="1"/>
  <c r="AO21"/>
  <c r="AO31" s="1"/>
  <c r="AO20"/>
  <c r="AO30" s="1"/>
  <c r="AO19"/>
  <c r="AO29" s="1"/>
  <c r="AO16"/>
  <c r="AO26" s="1"/>
  <c r="AO22"/>
  <c r="AO32" s="1"/>
  <c r="AP7"/>
  <c r="AP5"/>
  <c r="AP25" s="1"/>
  <c r="AO72"/>
  <c r="AO50"/>
  <c r="AO91"/>
  <c r="AO35"/>
  <c r="AO15"/>
  <c r="AO82"/>
  <c r="AI86"/>
  <c r="AI76"/>
  <c r="AJ46"/>
  <c r="AJ87" s="1"/>
  <c r="AN67" l="1"/>
  <c r="AN54"/>
  <c r="AN65"/>
  <c r="AN53"/>
  <c r="AO33"/>
  <c r="AO74" s="1"/>
  <c r="AP20"/>
  <c r="AP30" s="1"/>
  <c r="AQ30" s="1"/>
  <c r="AP21"/>
  <c r="AP31" s="1"/>
  <c r="AQ31" s="1"/>
  <c r="AP22"/>
  <c r="AP18"/>
  <c r="AP28" s="1"/>
  <c r="AQ28" s="1"/>
  <c r="AP17"/>
  <c r="AP27" s="1"/>
  <c r="AQ27" s="1"/>
  <c r="AP16"/>
  <c r="AP19"/>
  <c r="AP29" s="1"/>
  <c r="AQ29" s="1"/>
  <c r="AO23"/>
  <c r="AQ20"/>
  <c r="AP15"/>
  <c r="AP50"/>
  <c r="AP72"/>
  <c r="AP82"/>
  <c r="AP91"/>
  <c r="AP35"/>
  <c r="AJ86"/>
  <c r="AJ76"/>
  <c r="AK46"/>
  <c r="AK87" s="1"/>
  <c r="AO67" l="1"/>
  <c r="AO54"/>
  <c r="AQ19"/>
  <c r="AQ18"/>
  <c r="AR18" s="1"/>
  <c r="AO65"/>
  <c r="AO53"/>
  <c r="AQ17"/>
  <c r="AR17" s="1"/>
  <c r="AQ21"/>
  <c r="AS21" s="1"/>
  <c r="AP23"/>
  <c r="AP26"/>
  <c r="AQ22"/>
  <c r="AR22" s="1"/>
  <c r="AP32"/>
  <c r="AQ32" s="1"/>
  <c r="AR32" s="1"/>
  <c r="AR31"/>
  <c r="AS31"/>
  <c r="AR27"/>
  <c r="AS27"/>
  <c r="AR28"/>
  <c r="AS28"/>
  <c r="AR29"/>
  <c r="AS29"/>
  <c r="AR30"/>
  <c r="AS30"/>
  <c r="AS17"/>
  <c r="AR21"/>
  <c r="AR20"/>
  <c r="AS20"/>
  <c r="AR19"/>
  <c r="AS19"/>
  <c r="AS18"/>
  <c r="AL46"/>
  <c r="AL87" s="1"/>
  <c r="AK86"/>
  <c r="AK76"/>
  <c r="AP67" l="1"/>
  <c r="AP54"/>
  <c r="AP33"/>
  <c r="AP74" s="1"/>
  <c r="AS22"/>
  <c r="AP65"/>
  <c r="AQ54"/>
  <c r="AP53"/>
  <c r="AS32"/>
  <c r="AQ26"/>
  <c r="AL86"/>
  <c r="AL76"/>
  <c r="AM46"/>
  <c r="AM87" s="1"/>
  <c r="AR54" l="1"/>
  <c r="AS54"/>
  <c r="AR26"/>
  <c r="AR33" s="1"/>
  <c r="AQ33"/>
  <c r="AQ45"/>
  <c r="AS45" s="1"/>
  <c r="AN46"/>
  <c r="AN87" s="1"/>
  <c r="AM86"/>
  <c r="AM76"/>
  <c r="AN86" l="1"/>
  <c r="AN76"/>
  <c r="AO46"/>
  <c r="AO87" s="1"/>
  <c r="AO86" l="1"/>
  <c r="AO76"/>
  <c r="AP46" l="1"/>
  <c r="AP87" s="1"/>
  <c r="AQ41"/>
  <c r="AQ46" l="1"/>
  <c r="AS46" s="1"/>
  <c r="AS41"/>
  <c r="AP86"/>
  <c r="AP76"/>
  <c r="AQ87" l="1"/>
  <c r="AQ86"/>
  <c r="AQ76"/>
  <c r="E46" l="1"/>
  <c r="E86" s="1"/>
  <c r="O86" s="1"/>
  <c r="AS86" s="1"/>
  <c r="E76" l="1"/>
  <c r="O76" s="1"/>
  <c r="AS76" s="1"/>
  <c r="E87"/>
  <c r="O87" s="1"/>
  <c r="AS87" s="1"/>
  <c r="W73" l="1"/>
  <c r="W83" s="1"/>
  <c r="D73"/>
  <c r="N73"/>
  <c r="AC16"/>
  <c r="AC23" s="1"/>
  <c r="AN73"/>
  <c r="L73"/>
  <c r="AG73"/>
  <c r="AK73"/>
  <c r="AQ16"/>
  <c r="AQ23" s="1"/>
  <c r="O16"/>
  <c r="O23" s="1"/>
  <c r="AK51" l="1"/>
  <c r="AI73"/>
  <c r="AI75" s="1"/>
  <c r="AN51"/>
  <c r="W51"/>
  <c r="AG51"/>
  <c r="D51"/>
  <c r="U73"/>
  <c r="U75" s="1"/>
  <c r="M73"/>
  <c r="M83" s="1"/>
  <c r="T73"/>
  <c r="T75" s="1"/>
  <c r="L51"/>
  <c r="N51"/>
  <c r="AP73"/>
  <c r="AP75" s="1"/>
  <c r="I73"/>
  <c r="I83" s="1"/>
  <c r="K73"/>
  <c r="K83" s="1"/>
  <c r="F74"/>
  <c r="D74"/>
  <c r="D75" s="1"/>
  <c r="N74"/>
  <c r="N75" s="1"/>
  <c r="M74"/>
  <c r="L74"/>
  <c r="L75" s="1"/>
  <c r="I74"/>
  <c r="G73"/>
  <c r="G83" s="1"/>
  <c r="X73"/>
  <c r="X75" s="1"/>
  <c r="AA73"/>
  <c r="AA75" s="1"/>
  <c r="V73"/>
  <c r="V75" s="1"/>
  <c r="AE73"/>
  <c r="AE83" s="1"/>
  <c r="AM73"/>
  <c r="AM83" s="1"/>
  <c r="Y73"/>
  <c r="Y83" s="1"/>
  <c r="S73"/>
  <c r="S83" s="1"/>
  <c r="AO73"/>
  <c r="AO83" s="1"/>
  <c r="W75"/>
  <c r="H73"/>
  <c r="H83" s="1"/>
  <c r="AL73"/>
  <c r="AL75" s="1"/>
  <c r="E73"/>
  <c r="E83" s="1"/>
  <c r="J73"/>
  <c r="AB73"/>
  <c r="AB75" s="1"/>
  <c r="R73"/>
  <c r="R83" s="1"/>
  <c r="F73"/>
  <c r="F83" s="1"/>
  <c r="AH73"/>
  <c r="AS16"/>
  <c r="AS23" s="1"/>
  <c r="P16"/>
  <c r="AK83"/>
  <c r="AK75"/>
  <c r="AR16"/>
  <c r="AR23" s="1"/>
  <c r="AJ73"/>
  <c r="AG83"/>
  <c r="AG75"/>
  <c r="AD16"/>
  <c r="AD23" s="1"/>
  <c r="C48"/>
  <c r="C73"/>
  <c r="L83"/>
  <c r="AN83"/>
  <c r="AN75"/>
  <c r="Q73"/>
  <c r="D83"/>
  <c r="AF73"/>
  <c r="Z73"/>
  <c r="N83"/>
  <c r="P23" l="1"/>
  <c r="D50" i="7" s="1"/>
  <c r="U51" i="4"/>
  <c r="Q51"/>
  <c r="AI83"/>
  <c r="R51"/>
  <c r="M75"/>
  <c r="X83"/>
  <c r="T83"/>
  <c r="U83"/>
  <c r="AE75"/>
  <c r="I75"/>
  <c r="AL51"/>
  <c r="AP51"/>
  <c r="X51"/>
  <c r="I51"/>
  <c r="V51"/>
  <c r="AM51"/>
  <c r="F51"/>
  <c r="AL83"/>
  <c r="AA83"/>
  <c r="H51"/>
  <c r="E51"/>
  <c r="M51"/>
  <c r="AB51"/>
  <c r="S51"/>
  <c r="Y51"/>
  <c r="AH51"/>
  <c r="Z51"/>
  <c r="AF51"/>
  <c r="T51"/>
  <c r="AJ51"/>
  <c r="AA51"/>
  <c r="AI51"/>
  <c r="AE51"/>
  <c r="J51"/>
  <c r="K51"/>
  <c r="AO51"/>
  <c r="AP83"/>
  <c r="V83"/>
  <c r="K74"/>
  <c r="K75" s="1"/>
  <c r="E74"/>
  <c r="E75" s="1"/>
  <c r="J74"/>
  <c r="J75" s="1"/>
  <c r="H74"/>
  <c r="H75" s="1"/>
  <c r="S75"/>
  <c r="AO75"/>
  <c r="AM75"/>
  <c r="R75"/>
  <c r="Y75"/>
  <c r="F75"/>
  <c r="O65"/>
  <c r="P65" s="1"/>
  <c r="G52" i="7" s="1"/>
  <c r="J83" i="4"/>
  <c r="AB83"/>
  <c r="AQ65"/>
  <c r="AR65" s="1"/>
  <c r="AH75"/>
  <c r="AH83"/>
  <c r="AC73"/>
  <c r="AD73" s="1"/>
  <c r="Q83"/>
  <c r="AF83"/>
  <c r="AQ73"/>
  <c r="AR73" s="1"/>
  <c r="AC65"/>
  <c r="AD65" s="1"/>
  <c r="O73"/>
  <c r="C83"/>
  <c r="AJ83"/>
  <c r="AJ75"/>
  <c r="Z75"/>
  <c r="Z83"/>
  <c r="AQ74"/>
  <c r="AR74" s="1"/>
  <c r="AC74"/>
  <c r="AD74" s="1"/>
  <c r="D48"/>
  <c r="O26"/>
  <c r="O33" s="1"/>
  <c r="AQ67" l="1"/>
  <c r="AR67" s="1"/>
  <c r="AC67"/>
  <c r="AD67" s="1"/>
  <c r="C70"/>
  <c r="C77" s="1"/>
  <c r="C51"/>
  <c r="G51"/>
  <c r="P26"/>
  <c r="D47" i="7"/>
  <c r="G74" i="4"/>
  <c r="G75" s="1"/>
  <c r="C74"/>
  <c r="D44" i="7"/>
  <c r="D48"/>
  <c r="D45"/>
  <c r="D49"/>
  <c r="D55"/>
  <c r="D52"/>
  <c r="D43"/>
  <c r="D56"/>
  <c r="D42"/>
  <c r="D46"/>
  <c r="AS65" i="4"/>
  <c r="D51" i="7"/>
  <c r="O83" i="4"/>
  <c r="AF75"/>
  <c r="Q75"/>
  <c r="P73"/>
  <c r="AS73"/>
  <c r="AQ83"/>
  <c r="AR83" s="1"/>
  <c r="AC83"/>
  <c r="AD83" s="1"/>
  <c r="AS26"/>
  <c r="AS33" s="1"/>
  <c r="E48"/>
  <c r="P33" l="1"/>
  <c r="G39" i="7" s="1"/>
  <c r="H7"/>
  <c r="O67" i="4"/>
  <c r="O74"/>
  <c r="AS74" s="1"/>
  <c r="C75"/>
  <c r="O75" s="1"/>
  <c r="C84"/>
  <c r="D70"/>
  <c r="F48"/>
  <c r="AC75"/>
  <c r="AD75" s="1"/>
  <c r="AQ75"/>
  <c r="AR75" s="1"/>
  <c r="AS83"/>
  <c r="P83"/>
  <c r="H14" i="7" l="1"/>
  <c r="F14"/>
  <c r="P67" i="4"/>
  <c r="AS67"/>
  <c r="C79"/>
  <c r="C95" s="1"/>
  <c r="P74"/>
  <c r="D77"/>
  <c r="D84"/>
  <c r="D85" s="1"/>
  <c r="P75"/>
  <c r="AS75"/>
  <c r="E70"/>
  <c r="G48"/>
  <c r="C85"/>
  <c r="C78"/>
  <c r="G54" i="7" l="1"/>
  <c r="D54" s="1"/>
  <c r="J7"/>
  <c r="J14" s="1"/>
  <c r="C106" i="4"/>
  <c r="E77"/>
  <c r="E84"/>
  <c r="C80"/>
  <c r="C105" s="1"/>
  <c r="H48"/>
  <c r="C96"/>
  <c r="C97"/>
  <c r="C98" s="1"/>
  <c r="D78"/>
  <c r="D79"/>
  <c r="C89"/>
  <c r="D88" s="1"/>
  <c r="D89" s="1"/>
  <c r="E88" s="1"/>
  <c r="F70"/>
  <c r="F77" l="1"/>
  <c r="F84"/>
  <c r="F85" s="1"/>
  <c r="E79"/>
  <c r="E78"/>
  <c r="D106"/>
  <c r="D95"/>
  <c r="D97" s="1"/>
  <c r="D98" s="1"/>
  <c r="I48"/>
  <c r="E85"/>
  <c r="D80"/>
  <c r="D105" s="1"/>
  <c r="G70"/>
  <c r="G77" l="1"/>
  <c r="G84"/>
  <c r="D96"/>
  <c r="F79"/>
  <c r="F78"/>
  <c r="H70"/>
  <c r="E106"/>
  <c r="E95"/>
  <c r="E97" s="1"/>
  <c r="E98" s="1"/>
  <c r="E89"/>
  <c r="F88" s="1"/>
  <c r="F89" s="1"/>
  <c r="G88" s="1"/>
  <c r="J48"/>
  <c r="E80"/>
  <c r="E105" s="1"/>
  <c r="H77" l="1"/>
  <c r="H84"/>
  <c r="H85" s="1"/>
  <c r="G78"/>
  <c r="G79"/>
  <c r="K48"/>
  <c r="F80"/>
  <c r="F105" s="1"/>
  <c r="E96"/>
  <c r="G85"/>
  <c r="I70"/>
  <c r="F106"/>
  <c r="F95"/>
  <c r="F97" s="1"/>
  <c r="F98" s="1"/>
  <c r="I77" l="1"/>
  <c r="I84"/>
  <c r="F96"/>
  <c r="G89"/>
  <c r="H88" s="1"/>
  <c r="H89" s="1"/>
  <c r="I88" s="1"/>
  <c r="H79"/>
  <c r="H78"/>
  <c r="G106"/>
  <c r="G95"/>
  <c r="G97" s="1"/>
  <c r="G98" s="1"/>
  <c r="L48"/>
  <c r="J70"/>
  <c r="G80"/>
  <c r="G105" s="1"/>
  <c r="J77" l="1"/>
  <c r="J84"/>
  <c r="J85" s="1"/>
  <c r="M48"/>
  <c r="H80"/>
  <c r="H105" s="1"/>
  <c r="G96"/>
  <c r="I85"/>
  <c r="I79"/>
  <c r="I78"/>
  <c r="K70"/>
  <c r="H95"/>
  <c r="H97" s="1"/>
  <c r="H98" s="1"/>
  <c r="H106"/>
  <c r="K77" l="1"/>
  <c r="K84"/>
  <c r="I106"/>
  <c r="I95"/>
  <c r="I97" s="1"/>
  <c r="I98" s="1"/>
  <c r="H96"/>
  <c r="I89"/>
  <c r="J88" s="1"/>
  <c r="J89" s="1"/>
  <c r="K88" s="1"/>
  <c r="N48"/>
  <c r="J79"/>
  <c r="J78"/>
  <c r="L70"/>
  <c r="I80"/>
  <c r="I105" s="1"/>
  <c r="L77" l="1"/>
  <c r="L84"/>
  <c r="L85" s="1"/>
  <c r="K85"/>
  <c r="J80"/>
  <c r="J105" s="1"/>
  <c r="O66"/>
  <c r="Q48"/>
  <c r="M70"/>
  <c r="K79"/>
  <c r="K78"/>
  <c r="J95"/>
  <c r="J97" s="1"/>
  <c r="J98" s="1"/>
  <c r="J106"/>
  <c r="I96"/>
  <c r="M77" l="1"/>
  <c r="M84"/>
  <c r="M85" s="1"/>
  <c r="J96"/>
  <c r="N70"/>
  <c r="O53"/>
  <c r="K89"/>
  <c r="L88" s="1"/>
  <c r="L89" s="1"/>
  <c r="M88" s="1"/>
  <c r="P66"/>
  <c r="G53" i="7" s="1"/>
  <c r="L78" i="4"/>
  <c r="L79"/>
  <c r="K106"/>
  <c r="K95"/>
  <c r="K97" s="1"/>
  <c r="K98" s="1"/>
  <c r="K80"/>
  <c r="K105" s="1"/>
  <c r="R48"/>
  <c r="D53" i="7" l="1"/>
  <c r="N77" i="4"/>
  <c r="N84"/>
  <c r="M89"/>
  <c r="N88" s="1"/>
  <c r="K96"/>
  <c r="S48"/>
  <c r="O70"/>
  <c r="P53"/>
  <c r="D41" i="7" s="1"/>
  <c r="M78" i="4"/>
  <c r="M79"/>
  <c r="Q70"/>
  <c r="L106"/>
  <c r="L95"/>
  <c r="L97" s="1"/>
  <c r="L98" s="1"/>
  <c r="L80"/>
  <c r="L105" s="1"/>
  <c r="Q77" l="1"/>
  <c r="Q84"/>
  <c r="M80"/>
  <c r="M105" s="1"/>
  <c r="L96"/>
  <c r="N85"/>
  <c r="O84"/>
  <c r="P70"/>
  <c r="G40" i="7"/>
  <c r="G57" s="1"/>
  <c r="N78" i="4"/>
  <c r="N79"/>
  <c r="O77"/>
  <c r="T48"/>
  <c r="R70"/>
  <c r="M95"/>
  <c r="M97" s="1"/>
  <c r="M98" s="1"/>
  <c r="M106"/>
  <c r="R77" l="1"/>
  <c r="R84"/>
  <c r="R85" s="1"/>
  <c r="Q85"/>
  <c r="N106"/>
  <c r="N95"/>
  <c r="N97" s="1"/>
  <c r="N98" s="1"/>
  <c r="O79"/>
  <c r="P79" s="1"/>
  <c r="N80"/>
  <c r="O78"/>
  <c r="S70"/>
  <c r="M96"/>
  <c r="N89"/>
  <c r="O85"/>
  <c r="U48"/>
  <c r="P84"/>
  <c r="Q78"/>
  <c r="Q79"/>
  <c r="P77"/>
  <c r="D40" i="7"/>
  <c r="D57" s="1"/>
  <c r="S77" i="4" l="1"/>
  <c r="S84"/>
  <c r="S85" s="1"/>
  <c r="N96"/>
  <c r="O89"/>
  <c r="Q88"/>
  <c r="AC88" s="1"/>
  <c r="P78"/>
  <c r="Q106"/>
  <c r="Q95"/>
  <c r="Q97" s="1"/>
  <c r="Q98" s="1"/>
  <c r="D60" i="7"/>
  <c r="I60"/>
  <c r="M1" s="1"/>
  <c r="R79" i="4"/>
  <c r="R78"/>
  <c r="V48"/>
  <c r="T70"/>
  <c r="O80"/>
  <c r="N105"/>
  <c r="Q80"/>
  <c r="Q105" s="1"/>
  <c r="P85"/>
  <c r="L1" i="7" l="1"/>
  <c r="T77" i="4"/>
  <c r="T84"/>
  <c r="T85" s="1"/>
  <c r="Q89"/>
  <c r="R88" s="1"/>
  <c r="R89" s="1"/>
  <c r="S88" s="1"/>
  <c r="S89" s="1"/>
  <c r="T88" s="1"/>
  <c r="W48"/>
  <c r="R106"/>
  <c r="R95"/>
  <c r="R97" s="1"/>
  <c r="R98" s="1"/>
  <c r="R80"/>
  <c r="R105" s="1"/>
  <c r="S79"/>
  <c r="S78"/>
  <c r="U70"/>
  <c r="Q96"/>
  <c r="U77" l="1"/>
  <c r="U84"/>
  <c r="S80"/>
  <c r="S105" s="1"/>
  <c r="T89"/>
  <c r="U88" s="1"/>
  <c r="X48"/>
  <c r="T78"/>
  <c r="T79"/>
  <c r="S106"/>
  <c r="S95"/>
  <c r="S97" s="1"/>
  <c r="S98" s="1"/>
  <c r="R96"/>
  <c r="V70"/>
  <c r="V77" l="1"/>
  <c r="V84"/>
  <c r="V85" s="1"/>
  <c r="S96"/>
  <c r="T80"/>
  <c r="T105" s="1"/>
  <c r="W70"/>
  <c r="T95"/>
  <c r="T97" s="1"/>
  <c r="T98" s="1"/>
  <c r="T106"/>
  <c r="U85"/>
  <c r="U79"/>
  <c r="U78"/>
  <c r="Y48"/>
  <c r="W77" l="1"/>
  <c r="W84"/>
  <c r="W85" s="1"/>
  <c r="U80"/>
  <c r="U105" s="1"/>
  <c r="T96"/>
  <c r="X70"/>
  <c r="U95"/>
  <c r="U97" s="1"/>
  <c r="U98" s="1"/>
  <c r="U106"/>
  <c r="U89"/>
  <c r="V88" s="1"/>
  <c r="V89" s="1"/>
  <c r="W88" s="1"/>
  <c r="Z48"/>
  <c r="V79"/>
  <c r="V78"/>
  <c r="X77" l="1"/>
  <c r="X84"/>
  <c r="X85" s="1"/>
  <c r="V106"/>
  <c r="V95"/>
  <c r="V97" s="1"/>
  <c r="V98" s="1"/>
  <c r="W79"/>
  <c r="W78"/>
  <c r="W89"/>
  <c r="X88" s="1"/>
  <c r="AA48"/>
  <c r="V80"/>
  <c r="V105" s="1"/>
  <c r="Y70"/>
  <c r="U96"/>
  <c r="Y77" l="1"/>
  <c r="Y84"/>
  <c r="Y85" s="1"/>
  <c r="V96"/>
  <c r="W106"/>
  <c r="W95"/>
  <c r="W97" s="1"/>
  <c r="W98" s="1"/>
  <c r="AB48"/>
  <c r="X79"/>
  <c r="X78"/>
  <c r="X89"/>
  <c r="Y88" s="1"/>
  <c r="Z70"/>
  <c r="W80"/>
  <c r="W105" s="1"/>
  <c r="Z77" l="1"/>
  <c r="Z84"/>
  <c r="Z85" s="1"/>
  <c r="W96"/>
  <c r="Y89"/>
  <c r="Z88" s="1"/>
  <c r="X106"/>
  <c r="X95"/>
  <c r="X97" s="1"/>
  <c r="X98" s="1"/>
  <c r="AC66"/>
  <c r="AE48"/>
  <c r="Y79"/>
  <c r="Y78"/>
  <c r="X80"/>
  <c r="X105" s="1"/>
  <c r="AA70"/>
  <c r="AA77" l="1"/>
  <c r="AA84"/>
  <c r="AA85" s="1"/>
  <c r="Z89"/>
  <c r="AA88" s="1"/>
  <c r="X96"/>
  <c r="AD66"/>
  <c r="Z79"/>
  <c r="Z78"/>
  <c r="AB70"/>
  <c r="AC53"/>
  <c r="Y80"/>
  <c r="Y105" s="1"/>
  <c r="Y106"/>
  <c r="Y95"/>
  <c r="Y97" s="1"/>
  <c r="Y98" s="1"/>
  <c r="AF48"/>
  <c r="AB77" l="1"/>
  <c r="AB84"/>
  <c r="AA89"/>
  <c r="AB88" s="1"/>
  <c r="AC70"/>
  <c r="AD53"/>
  <c r="AD70" s="1"/>
  <c r="Z95"/>
  <c r="Z97" s="1"/>
  <c r="Z98" s="1"/>
  <c r="Z106"/>
  <c r="AE70"/>
  <c r="AA78"/>
  <c r="AA79"/>
  <c r="AG48"/>
  <c r="Y96"/>
  <c r="Z80"/>
  <c r="Z105" s="1"/>
  <c r="AE77" l="1"/>
  <c r="AE84"/>
  <c r="Z96"/>
  <c r="AF70"/>
  <c r="AA80"/>
  <c r="AA105" s="1"/>
  <c r="AA95"/>
  <c r="AA97" s="1"/>
  <c r="AA98" s="1"/>
  <c r="AA106"/>
  <c r="AB78"/>
  <c r="AB79"/>
  <c r="AC77"/>
  <c r="AH48"/>
  <c r="AB85"/>
  <c r="AC84"/>
  <c r="AF77" l="1"/>
  <c r="AF84"/>
  <c r="AF85" s="1"/>
  <c r="AA96"/>
  <c r="AD84"/>
  <c r="AG70"/>
  <c r="AB80"/>
  <c r="AC78"/>
  <c r="AB89"/>
  <c r="AC85"/>
  <c r="AD77"/>
  <c r="AE85"/>
  <c r="AI48"/>
  <c r="AB106"/>
  <c r="AB95"/>
  <c r="AB97" s="1"/>
  <c r="AB98" s="1"/>
  <c r="AC79"/>
  <c r="AD79" s="1"/>
  <c r="AE79"/>
  <c r="AE78"/>
  <c r="AG77" l="1"/>
  <c r="AG84"/>
  <c r="AJ48"/>
  <c r="AD78"/>
  <c r="D62" i="7"/>
  <c r="L2" s="1"/>
  <c r="I62"/>
  <c r="M2" s="1"/>
  <c r="AF79" i="4"/>
  <c r="AF78"/>
  <c r="AE80"/>
  <c r="AE105" s="1"/>
  <c r="AC89"/>
  <c r="AE88"/>
  <c r="AQ88" s="1"/>
  <c r="AH70"/>
  <c r="AB105"/>
  <c r="AC80"/>
  <c r="AE106"/>
  <c r="AE95"/>
  <c r="AE97" s="1"/>
  <c r="AE98" s="1"/>
  <c r="AD85"/>
  <c r="AB96"/>
  <c r="AH77" l="1"/>
  <c r="AH84"/>
  <c r="AH85" s="1"/>
  <c r="AE89"/>
  <c r="AF88" s="1"/>
  <c r="AF89" s="1"/>
  <c r="AG88" s="1"/>
  <c r="AE96"/>
  <c r="AI70"/>
  <c r="AF80"/>
  <c r="AF105" s="1"/>
  <c r="AG79"/>
  <c r="AG78"/>
  <c r="AK48"/>
  <c r="AG85"/>
  <c r="AF95"/>
  <c r="AF97" s="1"/>
  <c r="AF98" s="1"/>
  <c r="AF106"/>
  <c r="AI77" l="1"/>
  <c r="AI84"/>
  <c r="AJ70"/>
  <c r="AG80"/>
  <c r="AG105" s="1"/>
  <c r="AG89"/>
  <c r="AH88" s="1"/>
  <c r="AH89" s="1"/>
  <c r="AI88" s="1"/>
  <c r="AF96"/>
  <c r="AH79"/>
  <c r="AH78"/>
  <c r="AG106"/>
  <c r="AG95"/>
  <c r="AG97" s="1"/>
  <c r="AG98" s="1"/>
  <c r="AL48"/>
  <c r="AJ77" l="1"/>
  <c r="AJ84"/>
  <c r="AJ85" s="1"/>
  <c r="AH95"/>
  <c r="AH97" s="1"/>
  <c r="AH98" s="1"/>
  <c r="AH106"/>
  <c r="AI78"/>
  <c r="AI79"/>
  <c r="AM48"/>
  <c r="AG96"/>
  <c r="AK70"/>
  <c r="AH80"/>
  <c r="AH105" s="1"/>
  <c r="AI85"/>
  <c r="AK77" l="1"/>
  <c r="AK84"/>
  <c r="AI80"/>
  <c r="AI105" s="1"/>
  <c r="AL70"/>
  <c r="AN48"/>
  <c r="AI89"/>
  <c r="AJ88" s="1"/>
  <c r="AJ89" s="1"/>
  <c r="AK88" s="1"/>
  <c r="AJ78"/>
  <c r="AJ79"/>
  <c r="AH96"/>
  <c r="AI106"/>
  <c r="AI95"/>
  <c r="AI97" s="1"/>
  <c r="AI98" s="1"/>
  <c r="AL77" l="1"/>
  <c r="AL84"/>
  <c r="AL85" s="1"/>
  <c r="AJ80"/>
  <c r="AJ105" s="1"/>
  <c r="AI96"/>
  <c r="AK85"/>
  <c r="AJ106"/>
  <c r="AJ95"/>
  <c r="AJ97" s="1"/>
  <c r="AJ98" s="1"/>
  <c r="AM70"/>
  <c r="AO48"/>
  <c r="AK78"/>
  <c r="AK79"/>
  <c r="AM77" l="1"/>
  <c r="AM84"/>
  <c r="AM85" s="1"/>
  <c r="AK106"/>
  <c r="AK95"/>
  <c r="AK97" s="1"/>
  <c r="AK98" s="1"/>
  <c r="AL78"/>
  <c r="AL79"/>
  <c r="AK80"/>
  <c r="AK105" s="1"/>
  <c r="AJ96"/>
  <c r="AN70"/>
  <c r="AK89"/>
  <c r="AL88" s="1"/>
  <c r="AL89" s="1"/>
  <c r="AM88" s="1"/>
  <c r="AP48"/>
  <c r="AK96" l="1"/>
  <c r="AN77"/>
  <c r="AN84"/>
  <c r="AN85" s="1"/>
  <c r="AL80"/>
  <c r="AL105" s="1"/>
  <c r="AO70"/>
  <c r="AM89"/>
  <c r="AN88" s="1"/>
  <c r="AL106"/>
  <c r="AL95"/>
  <c r="AL97" s="1"/>
  <c r="AL98" s="1"/>
  <c r="AQ66"/>
  <c r="AM79"/>
  <c r="AM78"/>
  <c r="AO77" l="1"/>
  <c r="AO84"/>
  <c r="AO85" s="1"/>
  <c r="AM80"/>
  <c r="AM105" s="1"/>
  <c r="AN89"/>
  <c r="AO88" s="1"/>
  <c r="AL96"/>
  <c r="AN79"/>
  <c r="AN78"/>
  <c r="AR66"/>
  <c r="AS66"/>
  <c r="AM106"/>
  <c r="AM95"/>
  <c r="AM97" s="1"/>
  <c r="AM98" s="1"/>
  <c r="AP70"/>
  <c r="AQ53"/>
  <c r="AP77" l="1"/>
  <c r="AP84"/>
  <c r="AM96"/>
  <c r="AN80"/>
  <c r="AN105" s="1"/>
  <c r="AO89"/>
  <c r="AP88" s="1"/>
  <c r="AR53"/>
  <c r="AR70" s="1"/>
  <c r="AQ70"/>
  <c r="AS53"/>
  <c r="AS70" s="1"/>
  <c r="AO79"/>
  <c r="AO78"/>
  <c r="AN106"/>
  <c r="AN95"/>
  <c r="AN97" s="1"/>
  <c r="AN98" s="1"/>
  <c r="AO80" l="1"/>
  <c r="AO105" s="1"/>
  <c r="AN96"/>
  <c r="AP78"/>
  <c r="AP79"/>
  <c r="AQ77"/>
  <c r="AO106"/>
  <c r="AO95"/>
  <c r="AO97" s="1"/>
  <c r="AO98" s="1"/>
  <c r="AP85"/>
  <c r="AQ84"/>
  <c r="AP80" l="1"/>
  <c r="AQ78"/>
  <c r="AO96"/>
  <c r="AP89"/>
  <c r="AQ89" s="1"/>
  <c r="AS89" s="1"/>
  <c r="AQ85"/>
  <c r="AP95"/>
  <c r="AP97" s="1"/>
  <c r="AP98" s="1"/>
  <c r="AP106"/>
  <c r="AS106" s="1"/>
  <c r="AQ79"/>
  <c r="AR79" s="1"/>
  <c r="AR84"/>
  <c r="AS84"/>
  <c r="AR77"/>
  <c r="AS77"/>
  <c r="AS108" l="1"/>
  <c r="AP96"/>
  <c r="B101"/>
  <c r="B100"/>
  <c r="AR78"/>
  <c r="AS78"/>
  <c r="AR85"/>
  <c r="AS85"/>
  <c r="AP105"/>
  <c r="AS105" s="1"/>
  <c r="AQ80"/>
  <c r="I64" i="7"/>
  <c r="M3" s="1"/>
  <c r="D64"/>
  <c r="L3" s="1"/>
  <c r="AS107" i="4" l="1"/>
  <c r="B102" s="1"/>
  <c r="D1" s="1"/>
  <c r="B103"/>
  <c r="D66" i="7" s="1"/>
  <c r="L4" s="1"/>
  <c r="D68" l="1"/>
  <c r="L5" s="1"/>
</calcChain>
</file>

<file path=xl/comments1.xml><?xml version="1.0" encoding="utf-8"?>
<comments xmlns="http://schemas.openxmlformats.org/spreadsheetml/2006/main">
  <authors>
    <author>Яна Мирская</author>
  </authors>
  <commentList>
    <comment ref="A78" authorId="0">
      <text>
        <r>
          <rPr>
            <b/>
            <sz val="9"/>
            <color indexed="81"/>
            <rFont val="Tahoma"/>
            <family val="2"/>
            <charset val="204"/>
          </rPr>
          <t>Выручка - себестоимость - текущие затраты  - инвестиции , т.е. чистая прибыль - инвестиции</t>
        </r>
      </text>
    </comment>
    <comment ref="A79" authorId="0">
      <text>
        <r>
          <rPr>
            <b/>
            <sz val="9"/>
            <color indexed="81"/>
            <rFont val="Tahoma"/>
            <family val="2"/>
            <charset val="204"/>
          </rPr>
          <t>Выручка - себестоимость - текущие затраты = чистая прибыль</t>
        </r>
      </text>
    </comment>
    <comment ref="A80" authorId="0">
      <text>
        <r>
          <rPr>
            <b/>
            <sz val="9"/>
            <color indexed="81"/>
            <rFont val="Tahoma"/>
            <family val="2"/>
            <charset val="204"/>
          </rPr>
          <t>Чистая прибыль суммарно за каждый месяц - инвестиции.
Показывает с какого месяца проект окупился.</t>
        </r>
      </text>
    </comment>
    <comment ref="A83" authorId="0">
      <text>
        <r>
          <rPr>
            <b/>
            <sz val="9"/>
            <color indexed="81"/>
            <rFont val="Tahoma"/>
            <family val="2"/>
            <charset val="204"/>
          </rPr>
          <t>Выручка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04"/>
          </rPr>
          <t>Себестоимость + текущие затраты</t>
        </r>
      </text>
    </comment>
    <comment ref="A85" authorId="0">
      <text>
        <r>
          <rPr>
            <b/>
            <sz val="9"/>
            <color indexed="81"/>
            <rFont val="Tahoma"/>
            <family val="2"/>
            <charset val="204"/>
          </rPr>
          <t>чистая прибыль</t>
        </r>
      </text>
    </comment>
    <comment ref="A86" authorId="0">
      <text>
        <r>
          <rPr>
            <b/>
            <sz val="9"/>
            <color indexed="81"/>
            <rFont val="Tahoma"/>
            <family val="2"/>
            <charset val="204"/>
          </rPr>
          <t>инвестиции</t>
        </r>
      </text>
    </comment>
    <comment ref="A87" authorId="0">
      <text>
        <r>
          <rPr>
            <b/>
            <sz val="9"/>
            <color indexed="81"/>
            <rFont val="Tahoma"/>
            <family val="2"/>
            <charset val="204"/>
          </rPr>
          <t>привлечение средств для осуществления инвестиций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204"/>
          </rPr>
          <t>Деньги на начало месяца (накопленная чистая прибыль за прошлые месяцы)</t>
        </r>
      </text>
    </comment>
    <comment ref="A89" authorId="0">
      <text>
        <r>
          <rPr>
            <b/>
            <sz val="9"/>
            <color indexed="81"/>
            <rFont val="Tahoma"/>
            <family val="2"/>
            <charset val="204"/>
          </rPr>
          <t>Деньги на конец месяца (накопленная чистая прибыль за прошлые месяцы с учетом текущего месяца)</t>
        </r>
      </text>
    </comment>
    <comment ref="A93" authorId="0">
      <text>
        <r>
          <rPr>
            <b/>
            <sz val="9"/>
            <color indexed="81"/>
            <rFont val="Tahoma"/>
            <family val="2"/>
            <charset val="204"/>
          </rPr>
          <t>коэффициент обесценивания денег</t>
        </r>
      </text>
    </comment>
    <comment ref="A95" authorId="0">
      <text>
        <r>
          <rPr>
            <b/>
            <sz val="9"/>
            <color indexed="81"/>
            <rFont val="Tahoma"/>
            <family val="2"/>
            <charset val="204"/>
          </rPr>
          <t>чистая прибыль помесячно</t>
        </r>
      </text>
    </comment>
    <comment ref="A96" authorId="0">
      <text>
        <r>
          <rPr>
            <b/>
            <sz val="9"/>
            <color indexed="81"/>
            <rFont val="Tahoma"/>
            <family val="2"/>
            <charset val="204"/>
          </rPr>
          <t>чистая прибыль суммарно за каждый месяц</t>
        </r>
      </text>
    </comment>
    <comment ref="A97" authorId="0">
      <text>
        <r>
          <rPr>
            <b/>
            <sz val="9"/>
            <color indexed="81"/>
            <rFont val="Tahoma"/>
            <family val="2"/>
            <charset val="204"/>
          </rPr>
          <t>чистая прибыль помесячно с учетом применения дисконтрования (обесценивания денег)</t>
        </r>
      </text>
    </comment>
    <comment ref="A98" authorId="0">
      <text>
        <r>
          <rPr>
            <b/>
            <sz val="9"/>
            <color indexed="81"/>
            <rFont val="Tahoma"/>
            <family val="2"/>
            <charset val="204"/>
          </rPr>
          <t>чистая прибыль суммарно за каждый месяц  с учетом применения дисконтрования (обесценивания денег)</t>
        </r>
      </text>
    </comment>
    <comment ref="A100" authorId="0">
      <text>
        <r>
          <rPr>
            <b/>
            <sz val="9"/>
            <color indexed="81"/>
            <rFont val="Tahoma"/>
            <family val="2"/>
            <charset val="204"/>
          </rPr>
          <t>Дисконтированная чистая прибыль суммарно за 3 года - инвестиции</t>
        </r>
      </text>
    </comment>
    <comment ref="A101" authorId="0">
      <text>
        <r>
          <rPr>
            <b/>
            <sz val="9"/>
            <color indexed="81"/>
            <rFont val="Tahoma"/>
            <family val="2"/>
            <charset val="204"/>
          </rPr>
          <t>Во сколько раз дисконтированная чистая прибыль суммарно за 3 года превышает инвестиции. Должен быль больше 1</t>
        </r>
      </text>
    </comment>
    <comment ref="A10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месяцев, за которые накопленная (суммарная) чистая прибыль превысит размер инвестиций </t>
        </r>
      </text>
    </comment>
    <comment ref="A103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месяцев, за которые появится чистая прибыль, т.е выручка - текущие затраты &gt;0</t>
        </r>
      </text>
    </comment>
  </commentList>
</comments>
</file>

<file path=xl/sharedStrings.xml><?xml version="1.0" encoding="utf-8"?>
<sst xmlns="http://schemas.openxmlformats.org/spreadsheetml/2006/main" count="246" uniqueCount="184">
  <si>
    <t>Итого:</t>
  </si>
  <si>
    <t>Текущие затраты</t>
  </si>
  <si>
    <t>Прочее</t>
  </si>
  <si>
    <t>Итого</t>
  </si>
  <si>
    <t>мес.</t>
  </si>
  <si>
    <t>Изменения можно вносить только в ячейки, окрашенные в серый цвет</t>
  </si>
  <si>
    <t>ЗАГРУЗКА</t>
  </si>
  <si>
    <t>ДИНАМИКА ПРОДАЖ</t>
  </si>
  <si>
    <t>ТЕКУЩИЕ ЗАТРАТЫ</t>
  </si>
  <si>
    <t>ИТОГО</t>
  </si>
  <si>
    <t>ОТЧЕТ О ПРИБЫЛЯХ И УБЫТКАХ</t>
  </si>
  <si>
    <t>Выручка</t>
  </si>
  <si>
    <t>Валовая прибыль</t>
  </si>
  <si>
    <t>ДВИЖЕНИЕ ДЕНЕЖНЫХ СРЕДСТВ (КЭШ-ФЛО)</t>
  </si>
  <si>
    <t>Поступления от основной деятельности</t>
  </si>
  <si>
    <t>Кэш-фло от оперативной деятельности</t>
  </si>
  <si>
    <t>Кэш-фло от инвестиционной деятельности</t>
  </si>
  <si>
    <t>Кэш-фло от финансовой деятельности</t>
  </si>
  <si>
    <t>Баланс наличности на начало периода</t>
  </si>
  <si>
    <t>Баланс наличности на конец периода</t>
  </si>
  <si>
    <t>ОКУПАЕМОСТЬ ПРОЕКТА</t>
  </si>
  <si>
    <t>Индекс прибыльности проекта (PI)</t>
  </si>
  <si>
    <t>Паушальный взнос</t>
  </si>
  <si>
    <t>Месяц, с которого начинается работа</t>
  </si>
  <si>
    <t>январь</t>
  </si>
  <si>
    <t>февраль</t>
  </si>
  <si>
    <t>июль</t>
  </si>
  <si>
    <t>август</t>
  </si>
  <si>
    <t>сентябрь</t>
  </si>
  <si>
    <t>октябрь</t>
  </si>
  <si>
    <t>ноябрь</t>
  </si>
  <si>
    <t>декабрь</t>
  </si>
  <si>
    <t>1-й год работы</t>
  </si>
  <si>
    <t>2-й год работы</t>
  </si>
  <si>
    <t>прибыль</t>
  </si>
  <si>
    <t>3-й год работы</t>
  </si>
  <si>
    <t>Итого за 1-й год</t>
  </si>
  <si>
    <t>Среднемесячно за 1-й год</t>
  </si>
  <si>
    <t>Среднемесячно за 2-й год</t>
  </si>
  <si>
    <t>Итого за 2-й год</t>
  </si>
  <si>
    <t>Итого за 3-й год</t>
  </si>
  <si>
    <t>Среднемесячно за 3-й год</t>
  </si>
  <si>
    <t>Итого за три года</t>
  </si>
  <si>
    <t>Ремонт помещения</t>
  </si>
  <si>
    <t>Зарплата персонала</t>
  </si>
  <si>
    <t>самоокупаемость</t>
  </si>
  <si>
    <t>Срок выхода на самоокупаемость проекта, мес.:</t>
  </si>
  <si>
    <t>Выход на самоокупаемость с</t>
  </si>
  <si>
    <t>Валюта, в которой производится расчет</t>
  </si>
  <si>
    <t>Финансовые параметры</t>
  </si>
  <si>
    <t>март</t>
  </si>
  <si>
    <t>апрель</t>
  </si>
  <si>
    <t>май</t>
  </si>
  <si>
    <t>Сигнализация (охранная и пожарная)</t>
  </si>
  <si>
    <t>Инвестиции в открытие</t>
  </si>
  <si>
    <t>Видеонаблюдение</t>
  </si>
  <si>
    <t>Аренда</t>
  </si>
  <si>
    <t>Коммунальные платежи</t>
  </si>
  <si>
    <t>USD</t>
  </si>
  <si>
    <t>EUR</t>
  </si>
  <si>
    <t>RUB</t>
  </si>
  <si>
    <t>Рекламная кампания</t>
  </si>
  <si>
    <t>Персонал</t>
  </si>
  <si>
    <t>Должностные единицы</t>
  </si>
  <si>
    <t>Услуги связи и интернет</t>
  </si>
  <si>
    <t>Окупаемость инвестиций</t>
  </si>
  <si>
    <r>
      <rPr>
        <b/>
        <sz val="8"/>
        <rFont val="Arial Cyr"/>
        <charset val="204"/>
      </rPr>
      <t xml:space="preserve">Чистая прибыль </t>
    </r>
    <r>
      <rPr>
        <b/>
        <sz val="8"/>
        <color rgb="FFFF0000"/>
        <rFont val="Arial Cyr"/>
        <family val="2"/>
        <charset val="204"/>
      </rPr>
      <t>(убыток)</t>
    </r>
    <r>
      <rPr>
        <b/>
        <sz val="8"/>
        <rFont val="Arial Cyr"/>
        <charset val="204"/>
      </rPr>
      <t xml:space="preserve"> без учета инвестиций</t>
    </r>
  </si>
  <si>
    <t>Охрана</t>
  </si>
  <si>
    <t>общая выручка</t>
  </si>
  <si>
    <t>Удельный вес в объеме выручки за 1-й год работы</t>
  </si>
  <si>
    <t>Налоги</t>
  </si>
  <si>
    <t>июнь</t>
  </si>
  <si>
    <t>Выход продаж на плановые показатели и дальнейший рост объемов*</t>
  </si>
  <si>
    <t>Рост арендной платы*</t>
  </si>
  <si>
    <t>Рост заработной платы (фиксированного оклада)*</t>
  </si>
  <si>
    <t xml:space="preserve"> * - по сравнения с данными, указанными на странице "Исходные данные".</t>
  </si>
  <si>
    <t>Среднемесячная сумма затрат за 1-й год работы</t>
  </si>
  <si>
    <t>ИНВЕСТИЦИИ</t>
  </si>
  <si>
    <t>Базовый размер бонуса, % от базы начисления*</t>
  </si>
  <si>
    <t xml:space="preserve"> * - База начисления бонуса</t>
  </si>
  <si>
    <t>Среднемесячная сумма затрат</t>
  </si>
  <si>
    <t>Банковское обслуживание</t>
  </si>
  <si>
    <t>Процент выхода продаж на плановые показатели*, %</t>
  </si>
  <si>
    <t>Рост заработной платы (фиксированного оклада)**, %</t>
  </si>
  <si>
    <t>Рост арендной платы**, %</t>
  </si>
  <si>
    <t>Порядковый месяц от начала работы</t>
  </si>
  <si>
    <t>Коэффициент дисконтирования, % годовых</t>
  </si>
  <si>
    <t>Ведение бухгалтерского учета</t>
  </si>
  <si>
    <t>Рентабельность (чистая прибыль/выручка), %</t>
  </si>
  <si>
    <r>
      <rPr>
        <b/>
        <sz val="8"/>
        <rFont val="Arial Cyr"/>
        <charset val="204"/>
      </rPr>
      <t xml:space="preserve">Чистая прибыль </t>
    </r>
    <r>
      <rPr>
        <b/>
        <sz val="8"/>
        <color rgb="FFFF0000"/>
        <rFont val="Arial Cyr"/>
        <family val="2"/>
        <charset val="204"/>
      </rPr>
      <t xml:space="preserve">(убыток) </t>
    </r>
    <r>
      <rPr>
        <b/>
        <sz val="8"/>
        <rFont val="Arial Cyr"/>
        <charset val="204"/>
      </rPr>
      <t>с учетом инвестиций</t>
    </r>
    <r>
      <rPr>
        <b/>
        <sz val="8"/>
        <color rgb="FFFF0000"/>
        <rFont val="Arial Cyr"/>
        <charset val="204"/>
      </rPr>
      <t xml:space="preserve"> </t>
    </r>
  </si>
  <si>
    <t>размер банковской комиссии</t>
  </si>
  <si>
    <t>Срок окупаемости проекта с учетом инвестиций, мес.:</t>
  </si>
  <si>
    <t>Среднемесячная чистая прибыль 
за 1-й год работы</t>
  </si>
  <si>
    <t>Среднемесячная чистая прибыль 
за 2-й год работы</t>
  </si>
  <si>
    <t>Среднемесячная чистая прибыль 
за 3-й год работы</t>
  </si>
  <si>
    <t>Процент роста выручки*, %</t>
  </si>
  <si>
    <t>Рост коммунальных платежей**, %</t>
  </si>
  <si>
    <t>Рост затрат на услуги связи и интернет**, %</t>
  </si>
  <si>
    <t>Рост затрат на налоги**, %</t>
  </si>
  <si>
    <t>Рост коммунальных платежей*</t>
  </si>
  <si>
    <t>Рост затрат на услуги связи и интернет*</t>
  </si>
  <si>
    <t>Рост затрат на налоги*</t>
  </si>
  <si>
    <t>Мебель</t>
  </si>
  <si>
    <t>Параметры сезонности и выхода продаж на плановые показатели и дальнейший рост объемов продаж</t>
  </si>
  <si>
    <t>Процент влияния сезона на плановые показатели по выручке*, %</t>
  </si>
  <si>
    <t>Название месяца</t>
  </si>
  <si>
    <t>Процент влияния сезонности на плановые показатели по выручке*</t>
  </si>
  <si>
    <r>
      <t>Налоги</t>
    </r>
    <r>
      <rPr>
        <b/>
        <sz val="16"/>
        <color rgb="FFFF0000"/>
        <rFont val="Calibri"/>
        <family val="2"/>
        <charset val="204"/>
        <scheme val="minor"/>
      </rPr>
      <t>**</t>
    </r>
    <r>
      <rPr>
        <b/>
        <sz val="16"/>
        <color theme="6" tint="-0.499984740745262"/>
        <rFont val="Calibri"/>
        <family val="2"/>
        <charset val="204"/>
        <scheme val="minor"/>
      </rPr>
      <t>, % от общей выручки</t>
    </r>
  </si>
  <si>
    <r>
      <t>Налоги</t>
    </r>
    <r>
      <rPr>
        <b/>
        <sz val="16"/>
        <color rgb="FFFF0000"/>
        <rFont val="Calibri"/>
        <family val="2"/>
        <charset val="204"/>
        <scheme val="minor"/>
      </rPr>
      <t>**</t>
    </r>
    <r>
      <rPr>
        <b/>
        <sz val="16"/>
        <color theme="6" tint="-0.499984740745262"/>
        <rFont val="Calibri"/>
        <family val="2"/>
        <charset val="204"/>
        <scheme val="minor"/>
      </rPr>
      <t>, фиксированная сумма</t>
    </r>
  </si>
  <si>
    <t>Униформа персонала</t>
  </si>
  <si>
    <t>Униформа персонала*</t>
  </si>
  <si>
    <t>Курс валют (1 единица валюты = указанному количеству рублей)</t>
  </si>
  <si>
    <t>KZT</t>
  </si>
  <si>
    <t>RUB/мес.* или %</t>
  </si>
  <si>
    <t>Налоги на зарплату, % от суммы окладов</t>
  </si>
  <si>
    <t>% от суммы окладов</t>
  </si>
  <si>
    <t>% от общей выручки</t>
  </si>
  <si>
    <r>
      <t>Налоги</t>
    </r>
    <r>
      <rPr>
        <b/>
        <sz val="16"/>
        <color rgb="FFFF0000"/>
        <rFont val="Calibri"/>
        <family val="2"/>
        <charset val="204"/>
        <scheme val="minor"/>
      </rPr>
      <t>**</t>
    </r>
    <r>
      <rPr>
        <b/>
        <sz val="16"/>
        <color theme="6" tint="-0.499984740745262"/>
        <rFont val="Calibri"/>
        <family val="2"/>
        <charset val="204"/>
        <scheme val="minor"/>
      </rPr>
      <t>, % от общей выручки - расходы</t>
    </r>
  </si>
  <si>
    <t>% от общей выручки - расходы</t>
  </si>
  <si>
    <t>фиксированная сумма</t>
  </si>
  <si>
    <t>Вид налогообложения</t>
  </si>
  <si>
    <t>RUB/мес.</t>
  </si>
  <si>
    <t>ИТОГО:</t>
  </si>
  <si>
    <t>Офисные расходы</t>
  </si>
  <si>
    <t>Налоги на зарплату</t>
  </si>
  <si>
    <t>прибыль до налога</t>
  </si>
  <si>
    <t>Плановая среднемесячная выручка*</t>
  </si>
  <si>
    <t xml:space="preserve"> * - без учета динамики выхода продаж на плановые показатели, которые указываются на странице "Исходные данные" в разделе "Параметры сезонности и выхода продаж на плановые показатели и дальнейший рост объемов продаж".</t>
  </si>
  <si>
    <t>Оборудование</t>
  </si>
  <si>
    <t>Хозяйственные нужды</t>
  </si>
  <si>
    <t>Сервисное обслуживание техники и оборудования*</t>
  </si>
  <si>
    <t>Сервисное обслуживание техники и оборудования</t>
  </si>
  <si>
    <t>Общая стоимость, RUB</t>
  </si>
  <si>
    <t>Наименование</t>
  </si>
  <si>
    <t>выручка больше</t>
  </si>
  <si>
    <t>Первоначальная закупка товара</t>
  </si>
  <si>
    <t xml:space="preserve"> * - с учетом динамики выхода продаж на плановые показатели, которые указываются на странице "Исходные данные" в разделе "Параметры сезонности и выхода продаж на плановые показатели и дальнейший рост объемов продаж".
 ** - без учета динамики выхода продаж на плановые показатели, которые указываются на странице "Исходные данные" в разделе "Параметры сезонности и выхода продаж на плановые показатели и дальнейший рост объемов продаж".</t>
  </si>
  <si>
    <t>ДИНАМИКА СЕБЕСТОИМОСТИ</t>
  </si>
  <si>
    <t>Себестоимость</t>
  </si>
  <si>
    <t>Инструмент</t>
  </si>
  <si>
    <t>Стоимость единицы, RUB</t>
  </si>
  <si>
    <t>Товар</t>
  </si>
  <si>
    <t>Рекламная продукция</t>
  </si>
  <si>
    <t>Реклама</t>
  </si>
  <si>
    <t>Инструмент, материалы и оборудование</t>
  </si>
  <si>
    <t>Группы товаров</t>
  </si>
  <si>
    <t>Инветиции для запуска франчайзинговой точки "Долина цветов"</t>
  </si>
  <si>
    <t>Количество сотрудников на смене, чел.</t>
  </si>
  <si>
    <t>Фиксированный оклад в день</t>
  </si>
  <si>
    <t>RUB/день</t>
  </si>
  <si>
    <t>Общее количество сотрудников на каждой должности, чел.</t>
  </si>
  <si>
    <t>Количество, шт.</t>
  </si>
  <si>
    <t>Инструмент и оборудование</t>
  </si>
  <si>
    <r>
      <t>Налоги</t>
    </r>
    <r>
      <rPr>
        <b/>
        <sz val="16"/>
        <color rgb="FFFF0000"/>
        <rFont val="Calibri"/>
        <family val="2"/>
        <charset val="204"/>
        <scheme val="minor"/>
      </rPr>
      <t>**</t>
    </r>
    <r>
      <rPr>
        <b/>
        <sz val="16"/>
        <color theme="6" tint="-0.499984740745262"/>
        <rFont val="Calibri"/>
        <family val="2"/>
        <charset val="204"/>
        <scheme val="minor"/>
      </rPr>
      <t>, ЕНВД за 1 кв.м.</t>
    </r>
  </si>
  <si>
    <t>площадь помещения, кв.м.</t>
  </si>
  <si>
    <t>Исходные данные для финансовой модели франшизы "Братец-кролик"</t>
  </si>
  <si>
    <t>Финансовая модель франшизы "Братец-кролик"</t>
  </si>
  <si>
    <t>Бургеры</t>
  </si>
  <si>
    <t>Пицца</t>
  </si>
  <si>
    <t>Обеды и ужины</t>
  </si>
  <si>
    <t>Суши и роллы</t>
  </si>
  <si>
    <t>Супы</t>
  </si>
  <si>
    <t>Закуски и салаты</t>
  </si>
  <si>
    <t>Десерты</t>
  </si>
  <si>
    <t>Средняя стоимость за единицу</t>
  </si>
  <si>
    <t>Среднее количество реализации каждой группы товаров в день, шт./день</t>
  </si>
  <si>
    <t>Среднемесячное количество реализации каждой группы товаров в месяц, шт./мес.</t>
  </si>
  <si>
    <t>Количество рабочих дней в месяц, дней/мес.</t>
  </si>
  <si>
    <t>Наценка, %</t>
  </si>
  <si>
    <t xml:space="preserve"> * - процент по отношению к данным о среднемесячной выручке, указанной в блоке "Финансовые параметры" на странице "Исходные данные".
 ** - по сравнения с данными, указанными в блоке "Персонал" и "Текущие затраты" на странице "Исходные данные".</t>
  </si>
  <si>
    <t>Авансовый платеж по аренде</t>
  </si>
  <si>
    <t>Менеджер</t>
  </si>
  <si>
    <t>Повар</t>
  </si>
  <si>
    <t>Количество смен в месяц у каждого сотрудника, шт./мес.</t>
  </si>
  <si>
    <t>Роялти</t>
  </si>
  <si>
    <t>Транспортные расходы</t>
  </si>
  <si>
    <t>% от выручки, который проходит по безналичному расчету</t>
  </si>
  <si>
    <t>ЕНВД</t>
  </si>
  <si>
    <r>
      <t xml:space="preserve"> </t>
    </r>
    <r>
      <rPr>
        <sz val="14"/>
        <rFont val="Calibri"/>
        <family val="2"/>
        <charset val="204"/>
        <scheme val="minor"/>
      </rPr>
      <t>* - затраты на "Офисные расходы" осуществляются раз в 6 месяцев, а на "Сервисное обслуживание техники и оборудования" и "Униформу персонала" - раз в год.</t>
    </r>
    <r>
      <rPr>
        <b/>
        <sz val="14"/>
        <color rgb="FFFF0000"/>
        <rFont val="Calibri"/>
        <family val="2"/>
        <charset val="204"/>
        <scheme val="minor"/>
      </rPr>
      <t xml:space="preserve">
 **</t>
    </r>
    <r>
      <rPr>
        <sz val="14"/>
        <rFont val="Calibri"/>
        <family val="2"/>
        <charset val="204"/>
        <scheme val="minor"/>
      </rPr>
      <t xml:space="preserve"> - налог, который применяется в расчете, выбирается на странице "Обобщенный расчет". </t>
    </r>
  </si>
  <si>
    <t>Среднее количество реализации каждой группы товаров в день**, шт./день</t>
  </si>
  <si>
    <t>Среднемесячное количество реализации каждой группы товаров в месяц**, шт./мес.</t>
  </si>
  <si>
    <t>Офисные расходы*</t>
  </si>
  <si>
    <t>Водитель-курьер</t>
  </si>
  <si>
    <t>Оператор\сборщик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</si>
</sst>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"/>
    <numFmt numFmtId="165" formatCode="#,##0.0000"/>
    <numFmt numFmtId="166" formatCode="0.0%"/>
    <numFmt numFmtId="167" formatCode="#,##0_ ;[Red]\-#,##0\ "/>
    <numFmt numFmtId="168" formatCode="[$-419]0%"/>
    <numFmt numFmtId="169" formatCode="[$-419]#,##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8"/>
      <color theme="6" tint="-0.499984740745262"/>
      <name val="Calibri"/>
      <family val="2"/>
      <charset val="204"/>
      <scheme val="minor"/>
    </font>
    <font>
      <b/>
      <sz val="48"/>
      <color theme="6" tint="-0.499984740745262"/>
      <name val="Calibri"/>
      <family val="2"/>
      <charset val="204"/>
      <scheme val="minor"/>
    </font>
    <font>
      <b/>
      <sz val="20"/>
      <color theme="6" tint="-0.499984740745262"/>
      <name val="Calibri"/>
      <family val="2"/>
      <charset val="204"/>
      <scheme val="minor"/>
    </font>
    <font>
      <b/>
      <sz val="16"/>
      <color theme="6" tint="-0.499984740745262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sz val="8"/>
      <color indexed="9"/>
      <name val="Arial Cyr"/>
      <family val="2"/>
      <charset val="204"/>
    </font>
    <font>
      <i/>
      <sz val="8"/>
      <color indexed="9"/>
      <name val="Arial Cyr"/>
      <family val="2"/>
      <charset val="204"/>
    </font>
    <font>
      <b/>
      <i/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rgb="FFFF0000"/>
      <name val="Arial Cyr"/>
      <family val="2"/>
      <charset val="204"/>
    </font>
    <font>
      <sz val="11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9"/>
      <name val="Arial Cyr"/>
      <charset val="204"/>
    </font>
    <font>
      <b/>
      <sz val="8"/>
      <color rgb="FFFF0000"/>
      <name val="Arial Cyr"/>
      <charset val="204"/>
    </font>
    <font>
      <sz val="8"/>
      <name val="Arial Cyr"/>
      <charset val="204"/>
    </font>
    <font>
      <b/>
      <sz val="46"/>
      <color theme="6" tint="-0.499984740745262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6" tint="-0.499984740745262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6" tint="-0.499984740745262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0"/>
      <color rgb="FF0070C0"/>
      <name val="Arial Cyr"/>
      <family val="2"/>
      <charset val="204"/>
    </font>
    <font>
      <b/>
      <sz val="10"/>
      <name val="Arial Cyr"/>
      <charset val="204"/>
    </font>
    <font>
      <sz val="11"/>
      <color rgb="FF0070C0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color rgb="FF0070C0"/>
      <name val="Arial Cyr"/>
      <family val="2"/>
      <charset val="204"/>
    </font>
    <font>
      <b/>
      <sz val="8"/>
      <color indexed="9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8"/>
      <color theme="3"/>
      <name val="Arial Cyr"/>
      <family val="2"/>
      <charset val="204"/>
    </font>
    <font>
      <b/>
      <sz val="8"/>
      <color theme="3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8"/>
      <color rgb="FF0070C0"/>
      <name val="Arial Cyr"/>
      <charset val="204"/>
    </font>
    <font>
      <sz val="8"/>
      <color rgb="FF0070C0"/>
      <name val="Arial Cyr"/>
      <charset val="204"/>
    </font>
    <font>
      <b/>
      <i/>
      <sz val="8"/>
      <color rgb="FF0070C0"/>
      <name val="Arial Cyr"/>
      <charset val="204"/>
    </font>
    <font>
      <b/>
      <sz val="14"/>
      <name val="Calibri"/>
      <family val="2"/>
      <charset val="204"/>
      <scheme val="minor"/>
    </font>
    <font>
      <b/>
      <sz val="16"/>
      <color theme="1" tint="0.34998626667073579"/>
      <name val="Calibri"/>
      <family val="2"/>
      <charset val="204"/>
      <scheme val="minor"/>
    </font>
    <font>
      <b/>
      <sz val="20"/>
      <color theme="1" tint="0.34998626667073579"/>
      <name val="Calibri"/>
      <family val="2"/>
      <charset val="204"/>
      <scheme val="minor"/>
    </font>
    <font>
      <sz val="8"/>
      <color rgb="FF0070C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70C0"/>
      <name val="Arial Cyr"/>
      <family val="2"/>
      <charset val="204"/>
    </font>
    <font>
      <b/>
      <sz val="8"/>
      <color rgb="FF0070C0"/>
      <name val="Arial Cyr"/>
      <family val="2"/>
      <charset val="204"/>
    </font>
    <font>
      <sz val="11"/>
      <color rgb="FF0070C0"/>
      <name val="Arial Cyr"/>
      <family val="2"/>
      <charset val="204"/>
    </font>
    <font>
      <b/>
      <sz val="11"/>
      <color rgb="FF0070C0"/>
      <name val="Arial Cyr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color indexed="9"/>
      <name val="Arial Cyr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4F6228"/>
      <name val="Calibri"/>
      <family val="2"/>
      <charset val="204"/>
    </font>
    <font>
      <sz val="16"/>
      <color rgb="FF0070C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B613D"/>
      </patternFill>
    </fill>
    <fill>
      <patternFill patternType="solid">
        <fgColor rgb="FFD9D9D9"/>
        <bgColor rgb="FFD9D9D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3" fillId="0" borderId="0"/>
    <xf numFmtId="168" fontId="67" fillId="0" borderId="0"/>
  </cellStyleXfs>
  <cellXfs count="354">
    <xf numFmtId="0" fontId="0" fillId="0" borderId="0" xfId="0"/>
    <xf numFmtId="0" fontId="28" fillId="6" borderId="0" xfId="0" applyFont="1" applyFill="1" applyProtection="1">
      <protection locked="0"/>
    </xf>
    <xf numFmtId="165" fontId="8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4" fillId="6" borderId="0" xfId="3" applyFont="1" applyFill="1" applyAlignment="1">
      <alignment horizontal="left" vertical="center"/>
    </xf>
    <xf numFmtId="0" fontId="14" fillId="6" borderId="0" xfId="3" applyFont="1" applyFill="1" applyAlignment="1">
      <alignment horizontal="center" vertical="center"/>
    </xf>
    <xf numFmtId="9" fontId="14" fillId="6" borderId="0" xfId="3" applyNumberFormat="1" applyFont="1" applyFill="1" applyAlignment="1">
      <alignment horizontal="center" vertical="center"/>
    </xf>
    <xf numFmtId="9" fontId="20" fillId="6" borderId="0" xfId="3" applyNumberFormat="1" applyFont="1" applyFill="1" applyAlignment="1">
      <alignment horizontal="center" vertical="center"/>
    </xf>
    <xf numFmtId="0" fontId="14" fillId="6" borderId="0" xfId="3" applyFont="1" applyFill="1"/>
    <xf numFmtId="0" fontId="14" fillId="0" borderId="0" xfId="3" applyFont="1"/>
    <xf numFmtId="0" fontId="11" fillId="6" borderId="0" xfId="3" applyFill="1"/>
    <xf numFmtId="10" fontId="8" fillId="2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3" fontId="52" fillId="0" borderId="0" xfId="0" applyNumberFormat="1" applyFont="1"/>
    <xf numFmtId="9" fontId="52" fillId="0" borderId="0" xfId="0" applyNumberFormat="1" applyFont="1"/>
    <xf numFmtId="0" fontId="36" fillId="0" borderId="0" xfId="0" applyFont="1"/>
    <xf numFmtId="0" fontId="28" fillId="0" borderId="0" xfId="0" applyFont="1"/>
    <xf numFmtId="0" fontId="29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6" borderId="0" xfId="0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52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1" fillId="6" borderId="0" xfId="0" applyFont="1" applyFill="1" applyAlignment="1">
      <alignment vertical="center"/>
    </xf>
    <xf numFmtId="0" fontId="0" fillId="0" borderId="0" xfId="0" applyAlignment="1">
      <alignment horizontal="left" indent="1"/>
    </xf>
    <xf numFmtId="0" fontId="0" fillId="6" borderId="0" xfId="0" applyFill="1"/>
    <xf numFmtId="0" fontId="4" fillId="0" borderId="0" xfId="0" applyFont="1" applyAlignment="1">
      <alignment vertical="center" wrapText="1"/>
    </xf>
    <xf numFmtId="3" fontId="9" fillId="6" borderId="0" xfId="1" applyNumberFormat="1" applyFont="1" applyFill="1" applyAlignment="1">
      <alignment vertical="center"/>
    </xf>
    <xf numFmtId="0" fontId="33" fillId="0" borderId="0" xfId="0" applyFont="1"/>
    <xf numFmtId="0" fontId="2" fillId="6" borderId="0" xfId="0" applyFont="1" applyFill="1"/>
    <xf numFmtId="3" fontId="0" fillId="0" borderId="0" xfId="0" applyNumberFormat="1"/>
    <xf numFmtId="0" fontId="43" fillId="6" borderId="0" xfId="0" applyFont="1" applyFill="1" applyAlignment="1">
      <alignment horizontal="left" wrapText="1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10" fillId="6" borderId="0" xfId="1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9" fontId="10" fillId="0" borderId="0" xfId="2" applyFont="1" applyAlignment="1">
      <alignment horizontal="left" vertical="center" wrapText="1"/>
    </xf>
    <xf numFmtId="3" fontId="8" fillId="6" borderId="0" xfId="1" applyNumberFormat="1" applyFont="1" applyFill="1" applyAlignment="1">
      <alignment horizontal="center" vertical="center"/>
    </xf>
    <xf numFmtId="9" fontId="9" fillId="6" borderId="0" xfId="2" applyFont="1" applyFill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10" fillId="0" borderId="0" xfId="1" applyNumberFormat="1" applyFont="1" applyAlignment="1">
      <alignment vertical="center"/>
    </xf>
    <xf numFmtId="9" fontId="10" fillId="0" borderId="0" xfId="2" applyFont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left" indent="1"/>
    </xf>
    <xf numFmtId="0" fontId="11" fillId="0" borderId="0" xfId="3"/>
    <xf numFmtId="0" fontId="12" fillId="3" borderId="0" xfId="3" applyFont="1" applyFill="1" applyAlignment="1">
      <alignment vertical="center"/>
    </xf>
    <xf numFmtId="0" fontId="12" fillId="3" borderId="0" xfId="3" applyFont="1" applyFill="1" applyAlignment="1">
      <alignment vertical="center" wrapText="1"/>
    </xf>
    <xf numFmtId="0" fontId="12" fillId="3" borderId="0" xfId="3" applyFont="1" applyFill="1" applyAlignment="1">
      <alignment horizontal="right" vertical="center"/>
    </xf>
    <xf numFmtId="1" fontId="24" fillId="3" borderId="0" xfId="3" applyNumberFormat="1" applyFont="1" applyFill="1" applyAlignment="1">
      <alignment horizontal="left" vertical="center"/>
    </xf>
    <xf numFmtId="0" fontId="13" fillId="3" borderId="0" xfId="3" applyFont="1" applyFill="1" applyAlignment="1">
      <alignment vertical="center" wrapText="1"/>
    </xf>
    <xf numFmtId="0" fontId="11" fillId="3" borderId="0" xfId="3" applyFill="1"/>
    <xf numFmtId="0" fontId="37" fillId="3" borderId="0" xfId="3" applyFont="1" applyFill="1"/>
    <xf numFmtId="0" fontId="24" fillId="3" borderId="0" xfId="3" applyFont="1" applyFill="1" applyAlignment="1">
      <alignment horizontal="left" vertical="center"/>
    </xf>
    <xf numFmtId="0" fontId="34" fillId="0" borderId="0" xfId="3" applyFont="1"/>
    <xf numFmtId="0" fontId="38" fillId="0" borderId="0" xfId="3" applyFont="1"/>
    <xf numFmtId="0" fontId="37" fillId="6" borderId="0" xfId="3" applyFont="1" applyFill="1"/>
    <xf numFmtId="0" fontId="11" fillId="0" borderId="0" xfId="3" applyAlignment="1">
      <alignment horizontal="left" vertical="center" wrapText="1"/>
    </xf>
    <xf numFmtId="0" fontId="15" fillId="4" borderId="6" xfId="3" applyFont="1" applyFill="1" applyBorder="1" applyAlignment="1">
      <alignment vertical="center"/>
    </xf>
    <xf numFmtId="0" fontId="15" fillId="4" borderId="9" xfId="3" applyFont="1" applyFill="1" applyBorder="1" applyAlignment="1">
      <alignment horizontal="center" vertical="center"/>
    </xf>
    <xf numFmtId="0" fontId="39" fillId="4" borderId="9" xfId="3" applyFont="1" applyFill="1" applyBorder="1" applyAlignment="1">
      <alignment horizontal="center" vertical="center" wrapText="1"/>
    </xf>
    <xf numFmtId="164" fontId="16" fillId="4" borderId="6" xfId="3" applyNumberFormat="1" applyFont="1" applyFill="1" applyBorder="1" applyAlignment="1">
      <alignment horizontal="center" vertical="center"/>
    </xf>
    <xf numFmtId="0" fontId="20" fillId="0" borderId="0" xfId="3" applyFont="1"/>
    <xf numFmtId="0" fontId="15" fillId="4" borderId="6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 applyAlignment="1">
      <alignment horizontal="center" vertical="center"/>
    </xf>
    <xf numFmtId="3" fontId="14" fillId="5" borderId="0" xfId="0" applyNumberFormat="1" applyFont="1" applyFill="1" applyAlignment="1">
      <alignment vertical="center"/>
    </xf>
    <xf numFmtId="3" fontId="20" fillId="5" borderId="0" xfId="0" applyNumberFormat="1" applyFont="1" applyFill="1" applyAlignment="1">
      <alignment vertical="center"/>
    </xf>
    <xf numFmtId="3" fontId="17" fillId="6" borderId="0" xfId="0" applyNumberFormat="1" applyFont="1" applyFill="1" applyAlignment="1">
      <alignment vertical="center"/>
    </xf>
    <xf numFmtId="3" fontId="14" fillId="0" borderId="0" xfId="4" applyNumberFormat="1" applyFont="1"/>
    <xf numFmtId="3" fontId="14" fillId="0" borderId="0" xfId="0" applyNumberFormat="1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9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vertical="center"/>
    </xf>
    <xf numFmtId="9" fontId="14" fillId="0" borderId="0" xfId="4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20" fillId="0" borderId="0" xfId="0" applyFont="1"/>
    <xf numFmtId="0" fontId="15" fillId="4" borderId="6" xfId="3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 horizontal="left" vertical="center"/>
    </xf>
    <xf numFmtId="9" fontId="14" fillId="5" borderId="0" xfId="0" applyNumberFormat="1" applyFont="1" applyFill="1" applyAlignment="1">
      <alignment horizontal="left" vertical="center"/>
    </xf>
    <xf numFmtId="3" fontId="19" fillId="6" borderId="7" xfId="0" applyNumberFormat="1" applyFont="1" applyFill="1" applyBorder="1" applyAlignment="1">
      <alignment vertical="center"/>
    </xf>
    <xf numFmtId="0" fontId="45" fillId="6" borderId="0" xfId="3" applyFont="1" applyFill="1" applyAlignment="1">
      <alignment horizontal="left" vertical="center"/>
    </xf>
    <xf numFmtId="0" fontId="46" fillId="6" borderId="0" xfId="3" applyFont="1" applyFill="1" applyAlignment="1">
      <alignment horizontal="center" vertical="center"/>
    </xf>
    <xf numFmtId="4" fontId="45" fillId="6" borderId="0" xfId="3" applyNumberFormat="1" applyFont="1" applyFill="1" applyAlignment="1">
      <alignment vertical="center"/>
    </xf>
    <xf numFmtId="4" fontId="47" fillId="6" borderId="0" xfId="0" applyNumberFormat="1" applyFont="1" applyFill="1" applyAlignment="1">
      <alignment vertical="center"/>
    </xf>
    <xf numFmtId="0" fontId="46" fillId="6" borderId="0" xfId="3" applyFont="1" applyFill="1"/>
    <xf numFmtId="0" fontId="46" fillId="0" borderId="0" xfId="3" applyFont="1" applyAlignment="1">
      <alignment vertical="center"/>
    </xf>
    <xf numFmtId="0" fontId="46" fillId="0" borderId="0" xfId="3" applyFont="1" applyAlignment="1">
      <alignment horizontal="center" vertical="center"/>
    </xf>
    <xf numFmtId="3" fontId="46" fillId="0" borderId="0" xfId="3" applyNumberFormat="1" applyFont="1" applyAlignment="1">
      <alignment vertical="center"/>
    </xf>
    <xf numFmtId="0" fontId="46" fillId="0" borderId="0" xfId="3" applyFont="1"/>
    <xf numFmtId="0" fontId="20" fillId="6" borderId="7" xfId="3" applyFont="1" applyFill="1" applyBorder="1" applyAlignment="1">
      <alignment horizontal="left" vertical="center"/>
    </xf>
    <xf numFmtId="0" fontId="14" fillId="6" borderId="7" xfId="3" applyFont="1" applyFill="1" applyBorder="1" applyAlignment="1">
      <alignment horizontal="center" vertical="center"/>
    </xf>
    <xf numFmtId="3" fontId="20" fillId="6" borderId="7" xfId="3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20" fillId="0" borderId="0" xfId="3" applyFont="1" applyAlignment="1">
      <alignment vertical="center"/>
    </xf>
    <xf numFmtId="0" fontId="20" fillId="0" borderId="0" xfId="0" applyFont="1" applyAlignment="1">
      <alignment horizontal="left" vertical="center"/>
    </xf>
    <xf numFmtId="167" fontId="14" fillId="0" borderId="0" xfId="0" applyNumberFormat="1" applyFont="1" applyAlignment="1">
      <alignment vertical="center"/>
    </xf>
    <xf numFmtId="167" fontId="20" fillId="0" borderId="0" xfId="0" applyNumberFormat="1" applyFont="1" applyAlignment="1">
      <alignment vertical="center"/>
    </xf>
    <xf numFmtId="167" fontId="17" fillId="6" borderId="0" xfId="3" applyNumberFormat="1" applyFont="1" applyFill="1" applyAlignment="1">
      <alignment vertical="center"/>
    </xf>
    <xf numFmtId="0" fontId="26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167" fontId="14" fillId="6" borderId="0" xfId="0" applyNumberFormat="1" applyFont="1" applyFill="1" applyAlignment="1">
      <alignment vertical="center"/>
    </xf>
    <xf numFmtId="0" fontId="14" fillId="6" borderId="0" xfId="0" applyFont="1" applyFill="1"/>
    <xf numFmtId="0" fontId="25" fillId="6" borderId="0" xfId="0" applyFont="1" applyFill="1" applyAlignment="1">
      <alignment horizontal="left" vertical="center" wrapText="1"/>
    </xf>
    <xf numFmtId="0" fontId="25" fillId="6" borderId="0" xfId="0" applyFont="1" applyFill="1" applyAlignment="1">
      <alignment horizontal="left" vertical="center"/>
    </xf>
    <xf numFmtId="167" fontId="17" fillId="0" borderId="0" xfId="3" applyNumberFormat="1" applyFont="1" applyAlignment="1">
      <alignment vertical="center"/>
    </xf>
    <xf numFmtId="0" fontId="14" fillId="6" borderId="0" xfId="0" applyFont="1" applyFill="1" applyAlignment="1">
      <alignment horizontal="left" vertical="center"/>
    </xf>
    <xf numFmtId="3" fontId="14" fillId="6" borderId="0" xfId="0" applyNumberFormat="1" applyFont="1" applyFill="1" applyAlignment="1">
      <alignment horizontal="left" vertical="center"/>
    </xf>
    <xf numFmtId="3" fontId="17" fillId="0" borderId="0" xfId="3" applyNumberFormat="1" applyFont="1" applyAlignment="1">
      <alignment vertical="center"/>
    </xf>
    <xf numFmtId="3" fontId="14" fillId="6" borderId="0" xfId="0" applyNumberFormat="1" applyFont="1" applyFill="1" applyAlignment="1">
      <alignment vertical="center"/>
    </xf>
    <xf numFmtId="3" fontId="17" fillId="6" borderId="0" xfId="3" applyNumberFormat="1" applyFont="1" applyFill="1" applyAlignment="1">
      <alignment vertical="center"/>
    </xf>
    <xf numFmtId="3" fontId="14" fillId="6" borderId="0" xfId="0" applyNumberFormat="1" applyFont="1" applyFill="1"/>
    <xf numFmtId="0" fontId="39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0" fontId="17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left" vertical="center"/>
    </xf>
    <xf numFmtId="9" fontId="14" fillId="6" borderId="0" xfId="2" applyFont="1" applyFill="1" applyAlignment="1">
      <alignment horizontal="center" vertical="center"/>
    </xf>
    <xf numFmtId="9" fontId="14" fillId="6" borderId="0" xfId="2" applyFont="1" applyFill="1" applyAlignment="1">
      <alignment vertical="center"/>
    </xf>
    <xf numFmtId="165" fontId="20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165" fontId="14" fillId="0" borderId="0" xfId="0" applyNumberFormat="1" applyFont="1"/>
    <xf numFmtId="165" fontId="14" fillId="6" borderId="0" xfId="0" applyNumberFormat="1" applyFont="1" applyFill="1" applyAlignment="1">
      <alignment horizontal="left" vertical="center"/>
    </xf>
    <xf numFmtId="167" fontId="51" fillId="6" borderId="0" xfId="0" applyNumberFormat="1" applyFont="1" applyFill="1"/>
    <xf numFmtId="165" fontId="20" fillId="6" borderId="0" xfId="0" applyNumberFormat="1" applyFont="1" applyFill="1" applyAlignment="1">
      <alignment vertical="center"/>
    </xf>
    <xf numFmtId="165" fontId="17" fillId="6" borderId="0" xfId="0" applyNumberFormat="1" applyFont="1" applyFill="1" applyAlignment="1">
      <alignment vertical="center"/>
    </xf>
    <xf numFmtId="165" fontId="14" fillId="6" borderId="0" xfId="0" applyNumberFormat="1" applyFont="1" applyFill="1"/>
    <xf numFmtId="4" fontId="20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20" fillId="6" borderId="0" xfId="0" applyFont="1" applyFill="1" applyAlignment="1">
      <alignment horizontal="right"/>
    </xf>
    <xf numFmtId="4" fontId="20" fillId="0" borderId="1" xfId="0" applyNumberFormat="1" applyFont="1" applyBorder="1" applyAlignment="1">
      <alignment vertical="center"/>
    </xf>
    <xf numFmtId="1" fontId="20" fillId="0" borderId="1" xfId="0" applyNumberFormat="1" applyFont="1" applyBorder="1"/>
    <xf numFmtId="4" fontId="14" fillId="0" borderId="0" xfId="3" applyNumberFormat="1" applyFont="1" applyAlignment="1">
      <alignment vertical="center"/>
    </xf>
    <xf numFmtId="4" fontId="14" fillId="0" borderId="0" xfId="0" applyNumberFormat="1" applyFont="1"/>
    <xf numFmtId="4" fontId="19" fillId="0" borderId="0" xfId="0" applyNumberFormat="1" applyFont="1"/>
    <xf numFmtId="0" fontId="41" fillId="0" borderId="0" xfId="0" applyFont="1"/>
    <xf numFmtId="0" fontId="42" fillId="0" borderId="0" xfId="0" applyFont="1"/>
    <xf numFmtId="0" fontId="23" fillId="0" borderId="0" xfId="0" applyFont="1"/>
    <xf numFmtId="0" fontId="22" fillId="0" borderId="0" xfId="0" applyFont="1"/>
    <xf numFmtId="0" fontId="40" fillId="0" borderId="0" xfId="0" applyFont="1"/>
    <xf numFmtId="0" fontId="55" fillId="0" borderId="0" xfId="0" applyFont="1"/>
    <xf numFmtId="3" fontId="55" fillId="0" borderId="0" xfId="0" applyNumberFormat="1" applyFont="1" applyAlignment="1">
      <alignment vertical="center"/>
    </xf>
    <xf numFmtId="167" fontId="56" fillId="0" borderId="0" xfId="0" applyNumberFormat="1" applyFont="1" applyAlignment="1">
      <alignment vertical="center"/>
    </xf>
    <xf numFmtId="0" fontId="57" fillId="0" borderId="0" xfId="0" applyFont="1"/>
    <xf numFmtId="0" fontId="58" fillId="0" borderId="0" xfId="0" applyFont="1"/>
    <xf numFmtId="0" fontId="37" fillId="0" borderId="0" xfId="3" applyFont="1"/>
    <xf numFmtId="0" fontId="29" fillId="0" borderId="0" xfId="0" applyFont="1" applyAlignment="1">
      <alignment vertical="center"/>
    </xf>
    <xf numFmtId="0" fontId="36" fillId="6" borderId="0" xfId="0" applyFont="1" applyFill="1"/>
    <xf numFmtId="0" fontId="3" fillId="6" borderId="0" xfId="0" applyFont="1" applyFill="1"/>
    <xf numFmtId="0" fontId="2" fillId="0" borderId="0" xfId="0" applyFont="1" applyAlignment="1">
      <alignment horizontal="center" vertical="center"/>
    </xf>
    <xf numFmtId="9" fontId="10" fillId="6" borderId="0" xfId="2" applyFont="1" applyFill="1" applyAlignment="1">
      <alignment horizontal="left" vertical="center" indent="1"/>
    </xf>
    <xf numFmtId="10" fontId="28" fillId="0" borderId="0" xfId="2" applyNumberFormat="1" applyFont="1"/>
    <xf numFmtId="14" fontId="0" fillId="0" borderId="0" xfId="0" applyNumberFormat="1"/>
    <xf numFmtId="0" fontId="43" fillId="6" borderId="1" xfId="0" applyFont="1" applyFill="1" applyBorder="1" applyAlignment="1">
      <alignment vertical="center" wrapText="1"/>
    </xf>
    <xf numFmtId="9" fontId="33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9" fontId="33" fillId="6" borderId="0" xfId="0" applyNumberFormat="1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28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10" fontId="28" fillId="0" borderId="0" xfId="2" applyNumberFormat="1" applyFont="1" applyProtection="1"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164" fontId="62" fillId="4" borderId="6" xfId="3" applyNumberFormat="1" applyFont="1" applyFill="1" applyBorder="1" applyAlignment="1">
      <alignment horizontal="center" vertical="center" wrapText="1"/>
    </xf>
    <xf numFmtId="164" fontId="62" fillId="4" borderId="6" xfId="0" applyNumberFormat="1" applyFont="1" applyFill="1" applyBorder="1" applyAlignment="1">
      <alignment horizontal="center" vertical="center" wrapText="1"/>
    </xf>
    <xf numFmtId="3" fontId="19" fillId="6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5" fillId="6" borderId="0" xfId="0" applyNumberFormat="1" applyFont="1" applyFill="1" applyAlignment="1">
      <alignment vertical="center"/>
    </xf>
    <xf numFmtId="9" fontId="46" fillId="0" borderId="0" xfId="4" applyFont="1"/>
    <xf numFmtId="0" fontId="46" fillId="0" borderId="0" xfId="0" applyFont="1"/>
    <xf numFmtId="3" fontId="46" fillId="0" borderId="0" xfId="0" applyNumberFormat="1" applyFont="1" applyAlignment="1">
      <alignment horizontal="center" vertical="center"/>
    </xf>
    <xf numFmtId="0" fontId="10" fillId="6" borderId="0" xfId="2" applyNumberFormat="1" applyFont="1" applyFill="1" applyAlignment="1">
      <alignment horizontal="left" vertical="center" indent="1"/>
    </xf>
    <xf numFmtId="3" fontId="8" fillId="2" borderId="1" xfId="2" applyNumberFormat="1" applyFont="1" applyFill="1" applyBorder="1" applyAlignment="1" applyProtection="1">
      <alignment horizontal="center" vertical="center"/>
      <protection locked="0"/>
    </xf>
    <xf numFmtId="3" fontId="8" fillId="6" borderId="1" xfId="2" applyNumberFormat="1" applyFont="1" applyFill="1" applyBorder="1" applyAlignment="1">
      <alignment horizontal="center" vertical="center"/>
    </xf>
    <xf numFmtId="10" fontId="19" fillId="0" borderId="0" xfId="2" applyNumberFormat="1" applyFont="1" applyAlignment="1">
      <alignment vertical="center"/>
    </xf>
    <xf numFmtId="164" fontId="9" fillId="2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6" borderId="0" xfId="0" applyFont="1" applyFill="1" applyAlignment="1">
      <alignment vertical="center" wrapText="1"/>
    </xf>
    <xf numFmtId="9" fontId="0" fillId="6" borderId="0" xfId="2" applyFont="1" applyFill="1" applyAlignment="1">
      <alignment vertical="center"/>
    </xf>
    <xf numFmtId="0" fontId="36" fillId="6" borderId="0" xfId="0" applyFont="1" applyFill="1" applyAlignment="1">
      <alignment vertical="center"/>
    </xf>
    <xf numFmtId="0" fontId="65" fillId="7" borderId="24" xfId="6" applyFont="1" applyFill="1" applyBorder="1" applyAlignment="1">
      <alignment wrapText="1"/>
    </xf>
    <xf numFmtId="3" fontId="9" fillId="2" borderId="1" xfId="2" applyNumberFormat="1" applyFont="1" applyFill="1" applyBorder="1" applyAlignment="1" applyProtection="1">
      <alignment horizontal="center" vertical="center"/>
      <protection locked="0"/>
    </xf>
    <xf numFmtId="3" fontId="9" fillId="6" borderId="1" xfId="2" applyNumberFormat="1" applyFont="1" applyFill="1" applyBorder="1" applyAlignment="1" applyProtection="1">
      <alignment horizontal="center" vertical="center"/>
      <protection locked="0"/>
    </xf>
    <xf numFmtId="3" fontId="8" fillId="6" borderId="1" xfId="2" applyNumberFormat="1" applyFont="1" applyFill="1" applyBorder="1" applyAlignment="1" applyProtection="1">
      <alignment horizontal="center" vertical="center"/>
      <protection locked="0"/>
    </xf>
    <xf numFmtId="164" fontId="68" fillId="9" borderId="25" xfId="7" applyNumberFormat="1" applyFont="1" applyFill="1" applyBorder="1" applyAlignment="1" applyProtection="1">
      <alignment vertical="center" wrapText="1"/>
      <protection locked="0"/>
    </xf>
    <xf numFmtId="169" fontId="68" fillId="9" borderId="25" xfId="7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/>
    <xf numFmtId="0" fontId="43" fillId="6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3" fontId="50" fillId="2" borderId="1" xfId="1" applyNumberFormat="1" applyFont="1" applyFill="1" applyBorder="1" applyAlignment="1" applyProtection="1">
      <alignment horizontal="center" vertical="center"/>
      <protection locked="0"/>
    </xf>
    <xf numFmtId="3" fontId="50" fillId="6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8" fillId="6" borderId="1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8" fillId="6" borderId="2" xfId="2" applyNumberFormat="1" applyFont="1" applyFill="1" applyBorder="1" applyAlignment="1">
      <alignment horizontal="center" vertical="center"/>
    </xf>
    <xf numFmtId="10" fontId="8" fillId="2" borderId="2" xfId="2" applyNumberFormat="1" applyFont="1" applyFill="1" applyBorder="1" applyAlignment="1" applyProtection="1">
      <alignment horizontal="center" vertical="center"/>
      <protection locked="0"/>
    </xf>
    <xf numFmtId="3" fontId="8" fillId="2" borderId="18" xfId="2" applyNumberFormat="1" applyFont="1" applyFill="1" applyBorder="1" applyAlignment="1" applyProtection="1">
      <alignment horizontal="center" vertical="center"/>
      <protection locked="0"/>
    </xf>
    <xf numFmtId="3" fontId="8" fillId="6" borderId="18" xfId="2" applyNumberFormat="1" applyFont="1" applyFill="1" applyBorder="1" applyAlignment="1">
      <alignment horizontal="center" vertical="center"/>
    </xf>
    <xf numFmtId="3" fontId="8" fillId="6" borderId="18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9" fontId="8" fillId="6" borderId="1" xfId="2" applyFont="1" applyFill="1" applyBorder="1" applyAlignment="1" applyProtection="1">
      <alignment horizontal="center" vertical="center"/>
      <protection locked="0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" fillId="0" borderId="0" xfId="0" applyFont="1"/>
    <xf numFmtId="10" fontId="8" fillId="2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3" fontId="8" fillId="6" borderId="1" xfId="2" applyNumberFormat="1" applyFont="1" applyFill="1" applyBorder="1" applyAlignment="1">
      <alignment horizontal="center" vertical="center"/>
    </xf>
    <xf numFmtId="3" fontId="8" fillId="2" borderId="18" xfId="2" applyNumberFormat="1" applyFont="1" applyFill="1" applyBorder="1" applyAlignment="1" applyProtection="1">
      <alignment horizontal="center" vertical="center"/>
      <protection locked="0"/>
    </xf>
    <xf numFmtId="3" fontId="8" fillId="6" borderId="18" xfId="2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 applyProtection="1">
      <alignment horizontal="center" vertical="center"/>
      <protection locked="0"/>
    </xf>
    <xf numFmtId="10" fontId="50" fillId="2" borderId="1" xfId="2" applyNumberFormat="1" applyFont="1" applyFill="1" applyBorder="1" applyAlignment="1" applyProtection="1">
      <alignment horizontal="center" vertical="center"/>
      <protection locked="0"/>
    </xf>
    <xf numFmtId="0" fontId="48" fillId="0" borderId="1" xfId="0" applyFont="1" applyBorder="1" applyAlignment="1">
      <alignment horizontal="center" vertical="center" wrapText="1"/>
    </xf>
    <xf numFmtId="3" fontId="8" fillId="6" borderId="1" xfId="1" applyNumberFormat="1" applyFont="1" applyFill="1" applyBorder="1" applyAlignment="1">
      <alignment horizontal="center" vertical="center"/>
    </xf>
    <xf numFmtId="9" fontId="49" fillId="2" borderId="1" xfId="2" applyFont="1" applyFill="1" applyBorder="1" applyAlignment="1" applyProtection="1">
      <alignment vertical="center" wrapText="1"/>
      <protection locked="0"/>
    </xf>
    <xf numFmtId="9" fontId="9" fillId="0" borderId="0" xfId="2" applyFont="1" applyAlignment="1">
      <alignment horizontal="left" vertical="center" wrapText="1"/>
    </xf>
    <xf numFmtId="3" fontId="30" fillId="6" borderId="1" xfId="1" applyNumberFormat="1" applyFont="1" applyFill="1" applyBorder="1" applyAlignment="1">
      <alignment horizontal="center" vertical="center"/>
    </xf>
    <xf numFmtId="10" fontId="8" fillId="2" borderId="2" xfId="2" applyNumberFormat="1" applyFont="1" applyFill="1" applyBorder="1" applyAlignment="1" applyProtection="1">
      <alignment horizontal="center" vertical="center"/>
      <protection locked="0"/>
    </xf>
    <xf numFmtId="10" fontId="8" fillId="2" borderId="3" xfId="2" applyNumberFormat="1" applyFont="1" applyFill="1" applyBorder="1" applyAlignment="1" applyProtection="1">
      <alignment horizontal="center" vertical="center"/>
      <protection locked="0"/>
    </xf>
    <xf numFmtId="10" fontId="8" fillId="2" borderId="23" xfId="2" applyNumberFormat="1" applyFont="1" applyFill="1" applyBorder="1" applyAlignment="1" applyProtection="1">
      <alignment horizontal="center" vertical="center"/>
      <protection locked="0"/>
    </xf>
    <xf numFmtId="0" fontId="43" fillId="6" borderId="5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10" fontId="8" fillId="2" borderId="1" xfId="2" applyNumberFormat="1" applyFont="1" applyFill="1" applyBorder="1" applyAlignment="1" applyProtection="1">
      <alignment horizontal="center" vertical="center"/>
      <protection locked="0"/>
    </xf>
    <xf numFmtId="0" fontId="9" fillId="6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0" fontId="8" fillId="2" borderId="20" xfId="2" applyNumberFormat="1" applyFont="1" applyFill="1" applyBorder="1" applyAlignment="1" applyProtection="1">
      <alignment horizontal="center" vertical="center"/>
      <protection locked="0"/>
    </xf>
    <xf numFmtId="10" fontId="8" fillId="2" borderId="21" xfId="2" applyNumberFormat="1" applyFont="1" applyFill="1" applyBorder="1" applyAlignment="1" applyProtection="1">
      <alignment horizontal="center" vertical="center"/>
      <protection locked="0"/>
    </xf>
    <xf numFmtId="10" fontId="8" fillId="2" borderId="22" xfId="2" applyNumberFormat="1" applyFont="1" applyFill="1" applyBorder="1" applyAlignment="1" applyProtection="1">
      <alignment horizontal="center" vertical="center"/>
      <protection locked="0"/>
    </xf>
    <xf numFmtId="0" fontId="32" fillId="6" borderId="13" xfId="2" applyNumberFormat="1" applyFont="1" applyFill="1" applyBorder="1" applyAlignment="1">
      <alignment horizontal="center" vertical="center" wrapText="1"/>
    </xf>
    <xf numFmtId="0" fontId="32" fillId="6" borderId="1" xfId="2" applyNumberFormat="1" applyFont="1" applyFill="1" applyBorder="1" applyAlignment="1">
      <alignment horizontal="center" vertical="center" wrapText="1"/>
    </xf>
    <xf numFmtId="10" fontId="8" fillId="2" borderId="14" xfId="2" applyNumberFormat="1" applyFont="1" applyFill="1" applyBorder="1" applyAlignment="1" applyProtection="1">
      <alignment horizontal="center" vertical="center"/>
      <protection locked="0"/>
    </xf>
    <xf numFmtId="0" fontId="32" fillId="6" borderId="15" xfId="2" applyNumberFormat="1" applyFont="1" applyFill="1" applyBorder="1" applyAlignment="1">
      <alignment horizontal="center" vertical="center" wrapText="1"/>
    </xf>
    <xf numFmtId="0" fontId="32" fillId="6" borderId="16" xfId="2" applyNumberFormat="1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left" vertical="center" wrapText="1"/>
    </xf>
    <xf numFmtId="0" fontId="43" fillId="6" borderId="1" xfId="0" applyFont="1" applyFill="1" applyBorder="1" applyAlignment="1">
      <alignment horizontal="center" vertical="center" wrapText="1"/>
    </xf>
    <xf numFmtId="9" fontId="9" fillId="0" borderId="26" xfId="2" applyFont="1" applyBorder="1" applyAlignment="1">
      <alignment horizontal="left" vertical="center" wrapText="1"/>
    </xf>
    <xf numFmtId="9" fontId="9" fillId="0" borderId="27" xfId="2" applyFont="1" applyBorder="1" applyAlignment="1">
      <alignment horizontal="left" vertical="center" wrapText="1"/>
    </xf>
    <xf numFmtId="9" fontId="9" fillId="0" borderId="28" xfId="2" applyFont="1" applyBorder="1" applyAlignment="1">
      <alignment horizontal="left" vertical="center" wrapText="1"/>
    </xf>
    <xf numFmtId="9" fontId="9" fillId="0" borderId="29" xfId="2" applyFont="1" applyBorder="1" applyAlignment="1">
      <alignment horizontal="left" vertical="center" wrapText="1"/>
    </xf>
    <xf numFmtId="9" fontId="9" fillId="0" borderId="1" xfId="2" applyFont="1" applyBorder="1" applyAlignment="1">
      <alignment horizontal="left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9" fontId="9" fillId="6" borderId="1" xfId="2" applyFont="1" applyFill="1" applyBorder="1" applyAlignment="1">
      <alignment horizontal="left" vertical="center" wrapText="1"/>
    </xf>
    <xf numFmtId="9" fontId="9" fillId="0" borderId="30" xfId="2" applyFont="1" applyBorder="1" applyAlignment="1">
      <alignment horizontal="left" vertical="center" wrapText="1"/>
    </xf>
    <xf numFmtId="9" fontId="9" fillId="0" borderId="8" xfId="2" applyFont="1" applyBorder="1" applyAlignment="1">
      <alignment horizontal="left" vertical="center" wrapText="1"/>
    </xf>
    <xf numFmtId="9" fontId="8" fillId="2" borderId="1" xfId="2" applyFont="1" applyFill="1" applyBorder="1" applyAlignment="1" applyProtection="1">
      <alignment horizontal="center" vertical="center"/>
      <protection locked="0"/>
    </xf>
    <xf numFmtId="166" fontId="8" fillId="2" borderId="1" xfId="2" applyNumberFormat="1" applyFont="1" applyFill="1" applyBorder="1" applyAlignment="1" applyProtection="1">
      <alignment horizontal="center" vertical="center"/>
      <protection locked="0"/>
    </xf>
    <xf numFmtId="9" fontId="49" fillId="6" borderId="1" xfId="2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9" fontId="9" fillId="6" borderId="0" xfId="2" applyFont="1" applyFill="1" applyAlignment="1">
      <alignment horizontal="left" vertical="center" wrapText="1"/>
    </xf>
    <xf numFmtId="10" fontId="50" fillId="6" borderId="1" xfId="2" applyNumberFormat="1" applyFont="1" applyFill="1" applyBorder="1" applyAlignment="1">
      <alignment horizontal="center" vertical="center"/>
    </xf>
    <xf numFmtId="10" fontId="8" fillId="2" borderId="16" xfId="2" applyNumberFormat="1" applyFont="1" applyFill="1" applyBorder="1" applyAlignment="1" applyProtection="1">
      <alignment horizontal="center" vertical="center"/>
      <protection locked="0"/>
    </xf>
    <xf numFmtId="10" fontId="8" fillId="2" borderId="17" xfId="2" applyNumberFormat="1" applyFont="1" applyFill="1" applyBorder="1" applyAlignment="1" applyProtection="1">
      <alignment horizontal="center" vertical="center"/>
      <protection locked="0"/>
    </xf>
    <xf numFmtId="0" fontId="43" fillId="6" borderId="3" xfId="0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8" fillId="2" borderId="18" xfId="2" applyNumberFormat="1" applyFont="1" applyFill="1" applyBorder="1" applyAlignment="1" applyProtection="1">
      <alignment horizontal="center" vertical="center"/>
      <protection locked="0"/>
    </xf>
    <xf numFmtId="3" fontId="8" fillId="2" borderId="31" xfId="2" applyNumberFormat="1" applyFont="1" applyFill="1" applyBorder="1" applyAlignment="1" applyProtection="1">
      <alignment horizontal="center" vertical="center"/>
      <protection locked="0"/>
    </xf>
    <xf numFmtId="3" fontId="8" fillId="6" borderId="1" xfId="2" applyNumberFormat="1" applyFont="1" applyFill="1" applyBorder="1" applyAlignment="1">
      <alignment horizontal="center" vertical="center"/>
    </xf>
    <xf numFmtId="164" fontId="9" fillId="2" borderId="1" xfId="2" applyNumberFormat="1" applyFont="1" applyFill="1" applyBorder="1" applyAlignment="1" applyProtection="1">
      <alignment vertical="center" wrapText="1"/>
      <protection locked="0"/>
    </xf>
    <xf numFmtId="164" fontId="9" fillId="2" borderId="18" xfId="2" applyNumberFormat="1" applyFont="1" applyFill="1" applyBorder="1" applyAlignment="1" applyProtection="1">
      <alignment vertical="center" wrapText="1"/>
      <protection locked="0"/>
    </xf>
    <xf numFmtId="3" fontId="8" fillId="6" borderId="18" xfId="2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 applyProtection="1">
      <alignment vertical="center" wrapText="1"/>
      <protection locked="0"/>
    </xf>
    <xf numFmtId="0" fontId="44" fillId="2" borderId="0" xfId="0" applyFont="1" applyFill="1" applyAlignment="1">
      <alignment horizontal="center" vertical="center"/>
    </xf>
    <xf numFmtId="9" fontId="9" fillId="0" borderId="1" xfId="2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9" fillId="6" borderId="5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6" fillId="8" borderId="0" xfId="6" applyFont="1" applyFill="1" applyAlignment="1">
      <alignment horizontal="center" wrapText="1"/>
    </xf>
    <xf numFmtId="0" fontId="64" fillId="8" borderId="0" xfId="6" applyFont="1" applyFill="1" applyAlignment="1">
      <alignment horizontal="center" wrapText="1"/>
    </xf>
    <xf numFmtId="9" fontId="9" fillId="0" borderId="0" xfId="2" applyFont="1" applyAlignment="1">
      <alignment vertical="center" wrapText="1"/>
    </xf>
    <xf numFmtId="9" fontId="9" fillId="0" borderId="8" xfId="2" applyFont="1" applyBorder="1" applyAlignment="1">
      <alignment vertical="center" wrapText="1"/>
    </xf>
    <xf numFmtId="166" fontId="8" fillId="6" borderId="1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0" fillId="6" borderId="0" xfId="1" applyNumberFormat="1" applyFont="1" applyFill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43" fillId="6" borderId="5" xfId="0" applyFont="1" applyFill="1" applyBorder="1" applyAlignment="1">
      <alignment horizontal="left" wrapText="1"/>
    </xf>
    <xf numFmtId="49" fontId="49" fillId="6" borderId="1" xfId="2" applyNumberFormat="1" applyFont="1" applyFill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/>
    </xf>
    <xf numFmtId="10" fontId="50" fillId="6" borderId="2" xfId="2" applyNumberFormat="1" applyFont="1" applyFill="1" applyBorder="1" applyAlignment="1">
      <alignment horizontal="center" vertical="center"/>
    </xf>
    <xf numFmtId="10" fontId="50" fillId="6" borderId="4" xfId="2" applyNumberFormat="1" applyFont="1" applyFill="1" applyBorder="1" applyAlignment="1">
      <alignment horizontal="center" vertical="center"/>
    </xf>
    <xf numFmtId="3" fontId="32" fillId="6" borderId="2" xfId="2" applyNumberFormat="1" applyFont="1" applyFill="1" applyBorder="1" applyAlignment="1">
      <alignment horizontal="center" vertical="center"/>
    </xf>
    <xf numFmtId="3" fontId="32" fillId="6" borderId="4" xfId="2" applyNumberFormat="1" applyFont="1" applyFill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7" fillId="6" borderId="1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0" fillId="6" borderId="3" xfId="0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8" fillId="0" borderId="0" xfId="2" applyFont="1" applyAlignment="1">
      <alignment horizontal="center" vertical="center" wrapText="1"/>
    </xf>
    <xf numFmtId="166" fontId="30" fillId="6" borderId="0" xfId="2" applyNumberFormat="1" applyFont="1" applyFill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0" fontId="39" fillId="4" borderId="0" xfId="0" applyFont="1" applyFill="1" applyAlignment="1">
      <alignment horizontal="center" vertical="center" wrapText="1"/>
    </xf>
    <xf numFmtId="0" fontId="39" fillId="4" borderId="9" xfId="0" applyFont="1" applyFill="1" applyBorder="1" applyAlignment="1">
      <alignment horizontal="center" vertical="center" wrapText="1"/>
    </xf>
    <xf numFmtId="0" fontId="35" fillId="6" borderId="2" xfId="3" applyFont="1" applyFill="1" applyBorder="1" applyAlignment="1">
      <alignment horizontal="center" vertical="center" wrapText="1"/>
    </xf>
    <xf numFmtId="0" fontId="35" fillId="6" borderId="3" xfId="3" applyFont="1" applyFill="1" applyBorder="1" applyAlignment="1">
      <alignment horizontal="center" vertical="center" wrapText="1"/>
    </xf>
    <xf numFmtId="0" fontId="35" fillId="6" borderId="4" xfId="3" applyFont="1" applyFill="1" applyBorder="1" applyAlignment="1">
      <alignment horizontal="center" vertical="center" wrapText="1"/>
    </xf>
    <xf numFmtId="0" fontId="35" fillId="0" borderId="2" xfId="3" applyFont="1" applyBorder="1" applyAlignment="1">
      <alignment horizontal="center" vertical="center" wrapText="1"/>
    </xf>
    <xf numFmtId="0" fontId="35" fillId="0" borderId="3" xfId="3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</cellXfs>
  <cellStyles count="8">
    <cellStyle name="Excel Built-in Percent" xfId="7"/>
    <cellStyle name="Обычный" xfId="0" builtinId="0"/>
    <cellStyle name="Обычный 2" xfId="6"/>
    <cellStyle name="Обычный_7.1. ТЭО (RH)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22" fmlaLink="$O$2" fmlaRange="$P$2:$P$5" sel="1" val="0"/>
</file>

<file path=xl/ctrlProps/ctrlProp2.xml><?xml version="1.0" encoding="utf-8"?>
<formControlPr xmlns="http://schemas.microsoft.com/office/spreadsheetml/2009/9/main" objectType="Drop" dropLines="12" dropStyle="combo" dx="22" fmlaLink="Q$2" fmlaRange="$R$2:$R$13" sel="1" val="0"/>
</file>

<file path=xl/ctrlProps/ctrlProp3.xml><?xml version="1.0" encoding="utf-8"?>
<formControlPr xmlns="http://schemas.microsoft.com/office/spreadsheetml/2009/9/main" objectType="Drop" dropLines="4" dropStyle="combo" dx="22" fmlaLink="$N$1" fmlaRange="$O$1:$O$4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22.png"/><Relationship Id="rId3" Type="http://schemas.openxmlformats.org/officeDocument/2006/relationships/image" Target="../media/image2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8.png"/><Relationship Id="rId2" Type="http://schemas.openxmlformats.org/officeDocument/2006/relationships/image" Target="../media/image19.png"/><Relationship Id="rId16" Type="http://schemas.openxmlformats.org/officeDocument/2006/relationships/image" Target="../media/image17.png"/><Relationship Id="rId20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86</xdr:row>
      <xdr:rowOff>26175</xdr:rowOff>
    </xdr:from>
    <xdr:to>
      <xdr:col>0</xdr:col>
      <xdr:colOff>542100</xdr:colOff>
      <xdr:row>86</xdr:row>
      <xdr:rowOff>530175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657950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49875</xdr:colOff>
      <xdr:row>87</xdr:row>
      <xdr:rowOff>21300</xdr:rowOff>
    </xdr:from>
    <xdr:to>
      <xdr:col>0</xdr:col>
      <xdr:colOff>553875</xdr:colOff>
      <xdr:row>87</xdr:row>
      <xdr:rowOff>525300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75" y="26186475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67</xdr:row>
      <xdr:rowOff>9525</xdr:rowOff>
    </xdr:from>
    <xdr:to>
      <xdr:col>0</xdr:col>
      <xdr:colOff>551625</xdr:colOff>
      <xdr:row>67</xdr:row>
      <xdr:rowOff>513525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535400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42867</xdr:colOff>
      <xdr:row>51</xdr:row>
      <xdr:rowOff>28578</xdr:rowOff>
    </xdr:from>
    <xdr:to>
      <xdr:col>0</xdr:col>
      <xdr:colOff>546867</xdr:colOff>
      <xdr:row>51</xdr:row>
      <xdr:rowOff>532578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7" y="13158791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47622</xdr:colOff>
      <xdr:row>49</xdr:row>
      <xdr:rowOff>12814</xdr:rowOff>
    </xdr:from>
    <xdr:to>
      <xdr:col>0</xdr:col>
      <xdr:colOff>551622</xdr:colOff>
      <xdr:row>49</xdr:row>
      <xdr:rowOff>516815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2" y="12133377"/>
          <a:ext cx="504000" cy="504001"/>
        </a:xfrm>
        <a:prstGeom prst="rect">
          <a:avLst/>
        </a:prstGeom>
      </xdr:spPr>
    </xdr:pic>
    <xdr:clientData/>
  </xdr:twoCellAnchor>
  <xdr:twoCellAnchor editAs="oneCell">
    <xdr:from>
      <xdr:col>0</xdr:col>
      <xdr:colOff>50426</xdr:colOff>
      <xdr:row>50</xdr:row>
      <xdr:rowOff>23815</xdr:rowOff>
    </xdr:from>
    <xdr:to>
      <xdr:col>0</xdr:col>
      <xdr:colOff>554426</xdr:colOff>
      <xdr:row>50</xdr:row>
      <xdr:rowOff>523331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" y="12649203"/>
          <a:ext cx="504000" cy="49951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41</xdr:row>
      <xdr:rowOff>0</xdr:rowOff>
    </xdr:from>
    <xdr:to>
      <xdr:col>0</xdr:col>
      <xdr:colOff>551624</xdr:colOff>
      <xdr:row>41</xdr:row>
      <xdr:rowOff>504000</xdr:rowOff>
    </xdr:to>
    <xdr:pic>
      <xdr:nvPicPr>
        <xdr:cNvPr id="43" name="Рисунок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353425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47623</xdr:colOff>
      <xdr:row>48</xdr:row>
      <xdr:rowOff>90</xdr:rowOff>
    </xdr:from>
    <xdr:to>
      <xdr:col>0</xdr:col>
      <xdr:colOff>551623</xdr:colOff>
      <xdr:row>48</xdr:row>
      <xdr:rowOff>504091</xdr:rowOff>
    </xdr:to>
    <xdr:pic>
      <xdr:nvPicPr>
        <xdr:cNvPr id="44" name="Рисунок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11615828"/>
          <a:ext cx="504000" cy="50400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75</xdr:row>
      <xdr:rowOff>19050</xdr:rowOff>
    </xdr:from>
    <xdr:to>
      <xdr:col>0</xdr:col>
      <xdr:colOff>551625</xdr:colOff>
      <xdr:row>75</xdr:row>
      <xdr:rowOff>523050</xdr:rowOff>
    </xdr:to>
    <xdr:pic>
      <xdr:nvPicPr>
        <xdr:cNvPr id="50" name="Рисунок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983825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70</xdr:row>
      <xdr:rowOff>22412</xdr:rowOff>
    </xdr:from>
    <xdr:to>
      <xdr:col>0</xdr:col>
      <xdr:colOff>548824</xdr:colOff>
      <xdr:row>70</xdr:row>
      <xdr:rowOff>526412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824" y="26176941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44</xdr:row>
      <xdr:rowOff>501742</xdr:rowOff>
    </xdr:from>
    <xdr:to>
      <xdr:col>1</xdr:col>
      <xdr:colOff>4405</xdr:colOff>
      <xdr:row>45</xdr:row>
      <xdr:rowOff>472903</xdr:rowOff>
    </xdr:to>
    <xdr:pic>
      <xdr:nvPicPr>
        <xdr:cNvPr id="29" name="Рисунок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6030" y="11107830"/>
          <a:ext cx="504000" cy="504561"/>
        </a:xfrm>
        <a:prstGeom prst="rect">
          <a:avLst/>
        </a:prstGeom>
      </xdr:spPr>
    </xdr:pic>
    <xdr:clientData/>
  </xdr:twoCellAnchor>
  <xdr:twoCellAnchor editAs="oneCell">
    <xdr:from>
      <xdr:col>0</xdr:col>
      <xdr:colOff>47630</xdr:colOff>
      <xdr:row>69</xdr:row>
      <xdr:rowOff>0</xdr:rowOff>
    </xdr:from>
    <xdr:to>
      <xdr:col>0</xdr:col>
      <xdr:colOff>551630</xdr:colOff>
      <xdr:row>69</xdr:row>
      <xdr:rowOff>506721</xdr:rowOff>
    </xdr:to>
    <xdr:pic>
      <xdr:nvPicPr>
        <xdr:cNvPr id="28" name="Рисунок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0" y="18030825"/>
          <a:ext cx="504000" cy="506721"/>
        </a:xfrm>
        <a:prstGeom prst="rect">
          <a:avLst/>
        </a:prstGeom>
      </xdr:spPr>
    </xdr:pic>
    <xdr:clientData/>
  </xdr:twoCellAnchor>
  <xdr:twoCellAnchor editAs="oneCell">
    <xdr:from>
      <xdr:col>0</xdr:col>
      <xdr:colOff>47630</xdr:colOff>
      <xdr:row>68</xdr:row>
      <xdr:rowOff>4763</xdr:rowOff>
    </xdr:from>
    <xdr:to>
      <xdr:col>0</xdr:col>
      <xdr:colOff>551630</xdr:colOff>
      <xdr:row>68</xdr:row>
      <xdr:rowOff>511485</xdr:rowOff>
    </xdr:to>
    <xdr:pic>
      <xdr:nvPicPr>
        <xdr:cNvPr id="37" name="Рисунок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7630" y="25241251"/>
          <a:ext cx="504000" cy="506722"/>
        </a:xfrm>
        <a:prstGeom prst="rect">
          <a:avLst/>
        </a:prstGeom>
      </xdr:spPr>
    </xdr:pic>
    <xdr:clientData/>
  </xdr:twoCellAnchor>
  <xdr:twoCellAnchor editAs="oneCell">
    <xdr:from>
      <xdr:col>0</xdr:col>
      <xdr:colOff>52393</xdr:colOff>
      <xdr:row>74</xdr:row>
      <xdr:rowOff>0</xdr:rowOff>
    </xdr:from>
    <xdr:to>
      <xdr:col>1</xdr:col>
      <xdr:colOff>768</xdr:colOff>
      <xdr:row>74</xdr:row>
      <xdr:rowOff>504561</xdr:rowOff>
    </xdr:to>
    <xdr:pic>
      <xdr:nvPicPr>
        <xdr:cNvPr id="41" name="Рисунок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2393" y="21383625"/>
          <a:ext cx="504000" cy="504561"/>
        </a:xfrm>
        <a:prstGeom prst="rect">
          <a:avLst/>
        </a:prstGeom>
      </xdr:spPr>
    </xdr:pic>
    <xdr:clientData/>
  </xdr:twoCellAnchor>
  <xdr:oneCellAnchor>
    <xdr:from>
      <xdr:col>0</xdr:col>
      <xdr:colOff>52393</xdr:colOff>
      <xdr:row>42</xdr:row>
      <xdr:rowOff>21775</xdr:rowOff>
    </xdr:from>
    <xdr:ext cx="504000" cy="504000"/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2393" y="25331061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38104</xdr:colOff>
      <xdr:row>44</xdr:row>
      <xdr:rowOff>0</xdr:rowOff>
    </xdr:from>
    <xdr:ext cx="517622" cy="506721"/>
    <xdr:pic>
      <xdr:nvPicPr>
        <xdr:cNvPr id="39" name="Рисунок 2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4" y="12906374"/>
          <a:ext cx="517622" cy="506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38101</xdr:colOff>
      <xdr:row>77</xdr:row>
      <xdr:rowOff>0</xdr:rowOff>
    </xdr:from>
    <xdr:to>
      <xdr:col>0</xdr:col>
      <xdr:colOff>542101</xdr:colOff>
      <xdr:row>77</xdr:row>
      <xdr:rowOff>504000</xdr:rowOff>
    </xdr:to>
    <xdr:pic>
      <xdr:nvPicPr>
        <xdr:cNvPr id="62" name="Рисунок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2777914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32658</xdr:colOff>
      <xdr:row>45</xdr:row>
      <xdr:rowOff>527957</xdr:rowOff>
    </xdr:from>
    <xdr:to>
      <xdr:col>0</xdr:col>
      <xdr:colOff>536658</xdr:colOff>
      <xdr:row>46</xdr:row>
      <xdr:rowOff>494073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8" y="18625457"/>
          <a:ext cx="504000" cy="499516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43</xdr:row>
      <xdr:rowOff>0</xdr:rowOff>
    </xdr:from>
    <xdr:to>
      <xdr:col>0</xdr:col>
      <xdr:colOff>535750</xdr:colOff>
      <xdr:row>43</xdr:row>
      <xdr:rowOff>499516</xdr:rowOff>
    </xdr:to>
    <xdr:pic>
      <xdr:nvPicPr>
        <xdr:cNvPr id="46" name="Рисунок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0327600"/>
          <a:ext cx="504000" cy="49951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71</xdr:row>
      <xdr:rowOff>0</xdr:rowOff>
    </xdr:from>
    <xdr:to>
      <xdr:col>1</xdr:col>
      <xdr:colOff>5525</xdr:colOff>
      <xdr:row>71</xdr:row>
      <xdr:rowOff>504000</xdr:rowOff>
    </xdr:to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7150" y="43427650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72</xdr:row>
      <xdr:rowOff>6350</xdr:rowOff>
    </xdr:from>
    <xdr:to>
      <xdr:col>1</xdr:col>
      <xdr:colOff>6535</xdr:colOff>
      <xdr:row>72</xdr:row>
      <xdr:rowOff>510350</xdr:rowOff>
    </xdr:to>
    <xdr:pic>
      <xdr:nvPicPr>
        <xdr:cNvPr id="53" name="Рисунок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7150" y="43980100"/>
          <a:ext cx="50501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52274</xdr:colOff>
      <xdr:row>81</xdr:row>
      <xdr:rowOff>23700</xdr:rowOff>
    </xdr:from>
    <xdr:to>
      <xdr:col>1</xdr:col>
      <xdr:colOff>8074</xdr:colOff>
      <xdr:row>81</xdr:row>
      <xdr:rowOff>515580</xdr:rowOff>
    </xdr:to>
    <xdr:pic>
      <xdr:nvPicPr>
        <xdr:cNvPr id="47" name="Рисунок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40741170"/>
          <a:ext cx="540000" cy="491880"/>
        </a:xfrm>
        <a:prstGeom prst="rect">
          <a:avLst/>
        </a:prstGeom>
      </xdr:spPr>
    </xdr:pic>
    <xdr:clientData/>
  </xdr:twoCellAnchor>
  <xdr:oneCellAnchor>
    <xdr:from>
      <xdr:col>0</xdr:col>
      <xdr:colOff>52274</xdr:colOff>
      <xdr:row>85</xdr:row>
      <xdr:rowOff>23700</xdr:rowOff>
    </xdr:from>
    <xdr:ext cx="540000" cy="491880"/>
    <xdr:pic>
      <xdr:nvPicPr>
        <xdr:cNvPr id="48" name="Рисунок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41830830"/>
          <a:ext cx="540000" cy="491880"/>
        </a:xfrm>
        <a:prstGeom prst="rect">
          <a:avLst/>
        </a:prstGeom>
      </xdr:spPr>
    </xdr:pic>
    <xdr:clientData/>
  </xdr:oneCellAnchor>
  <xdr:oneCellAnchor>
    <xdr:from>
      <xdr:col>0</xdr:col>
      <xdr:colOff>52274</xdr:colOff>
      <xdr:row>80</xdr:row>
      <xdr:rowOff>23700</xdr:rowOff>
    </xdr:from>
    <xdr:ext cx="540000" cy="491880"/>
    <xdr:pic>
      <xdr:nvPicPr>
        <xdr:cNvPr id="49" name="Рисунок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40196340"/>
          <a:ext cx="540000" cy="491880"/>
        </a:xfrm>
        <a:prstGeom prst="rect">
          <a:avLst/>
        </a:prstGeom>
      </xdr:spPr>
    </xdr:pic>
    <xdr:clientData/>
  </xdr:oneCellAnchor>
  <xdr:oneCellAnchor>
    <xdr:from>
      <xdr:col>0</xdr:col>
      <xdr:colOff>52274</xdr:colOff>
      <xdr:row>82</xdr:row>
      <xdr:rowOff>23700</xdr:rowOff>
    </xdr:from>
    <xdr:ext cx="540000" cy="491880"/>
    <xdr:pic>
      <xdr:nvPicPr>
        <xdr:cNvPr id="51" name="Рисунок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41286000"/>
          <a:ext cx="540000" cy="49188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73</xdr:row>
      <xdr:rowOff>0</xdr:rowOff>
    </xdr:from>
    <xdr:ext cx="504000" cy="504000"/>
    <xdr:pic>
      <xdr:nvPicPr>
        <xdr:cNvPr id="40" name="Рисунок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0800" y="3702685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44451</xdr:colOff>
      <xdr:row>78</xdr:row>
      <xdr:rowOff>330200</xdr:rowOff>
    </xdr:from>
    <xdr:ext cx="504000" cy="504000"/>
    <xdr:pic>
      <xdr:nvPicPr>
        <xdr:cNvPr id="36" name="Рисунок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1" y="3955415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52274</xdr:colOff>
      <xdr:row>83</xdr:row>
      <xdr:rowOff>296750</xdr:rowOff>
    </xdr:from>
    <xdr:ext cx="540000" cy="491880"/>
    <xdr:pic>
      <xdr:nvPicPr>
        <xdr:cNvPr id="42" name="Рисунок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40409700"/>
          <a:ext cx="540000" cy="491880"/>
        </a:xfrm>
        <a:prstGeom prst="rect">
          <a:avLst/>
        </a:prstGeom>
      </xdr:spPr>
    </xdr:pic>
    <xdr:clientData/>
  </xdr:oneCellAnchor>
  <xdr:twoCellAnchor editAs="oneCell">
    <xdr:from>
      <xdr:col>0</xdr:col>
      <xdr:colOff>50800</xdr:colOff>
      <xdr:row>46</xdr:row>
      <xdr:rowOff>520700</xdr:rowOff>
    </xdr:from>
    <xdr:to>
      <xdr:col>0</xdr:col>
      <xdr:colOff>554800</xdr:colOff>
      <xdr:row>47</xdr:row>
      <xdr:rowOff>486816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2967950"/>
          <a:ext cx="504000" cy="499516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66</xdr:row>
      <xdr:rowOff>9525</xdr:rowOff>
    </xdr:from>
    <xdr:ext cx="504000" cy="504000"/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3150175"/>
          <a:ext cx="504000" cy="504000"/>
        </a:xfrm>
        <a:prstGeom prst="rect">
          <a:avLst/>
        </a:prstGeom>
      </xdr:spPr>
    </xdr:pic>
    <xdr:clientData/>
  </xdr:oneCellAnchor>
  <xdr:twoCellAnchor editAs="oneCell">
    <xdr:from>
      <xdr:col>0</xdr:col>
      <xdr:colOff>50800</xdr:colOff>
      <xdr:row>76</xdr:row>
      <xdr:rowOff>12700</xdr:rowOff>
    </xdr:from>
    <xdr:to>
      <xdr:col>0</xdr:col>
      <xdr:colOff>554800</xdr:colOff>
      <xdr:row>76</xdr:row>
      <xdr:rowOff>516700</xdr:rowOff>
    </xdr:to>
    <xdr:pic>
      <xdr:nvPicPr>
        <xdr:cNvPr id="52" name="Рисунок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0800" y="38144450"/>
          <a:ext cx="504000" cy="5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54</xdr:row>
      <xdr:rowOff>26175</xdr:rowOff>
    </xdr:from>
    <xdr:ext cx="504000" cy="504000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7399775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52274</xdr:colOff>
      <xdr:row>53</xdr:row>
      <xdr:rowOff>23700</xdr:rowOff>
    </xdr:from>
    <xdr:ext cx="540000" cy="491880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17214420"/>
          <a:ext cx="540000" cy="491880"/>
        </a:xfrm>
        <a:prstGeom prst="rect">
          <a:avLst/>
        </a:prstGeom>
      </xdr:spPr>
    </xdr:pic>
    <xdr:clientData/>
  </xdr:oneCellAnchor>
  <xdr:oneCellAnchor>
    <xdr:from>
      <xdr:col>0</xdr:col>
      <xdr:colOff>49875</xdr:colOff>
      <xdr:row>55</xdr:row>
      <xdr:rowOff>21300</xdr:rowOff>
    </xdr:from>
    <xdr:ext cx="504000" cy="504000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75" y="1757778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42867</xdr:colOff>
      <xdr:row>26</xdr:row>
      <xdr:rowOff>28578</xdr:rowOff>
    </xdr:from>
    <xdr:ext cx="504000" cy="504000"/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7" y="12098658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47622</xdr:colOff>
      <xdr:row>24</xdr:row>
      <xdr:rowOff>12814</xdr:rowOff>
    </xdr:from>
    <xdr:ext cx="504000" cy="504001"/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2" y="11534254"/>
          <a:ext cx="504000" cy="504001"/>
        </a:xfrm>
        <a:prstGeom prst="rect">
          <a:avLst/>
        </a:prstGeom>
      </xdr:spPr>
    </xdr:pic>
    <xdr:clientData/>
  </xdr:oneCellAnchor>
  <xdr:oneCellAnchor>
    <xdr:from>
      <xdr:col>0</xdr:col>
      <xdr:colOff>50426</xdr:colOff>
      <xdr:row>25</xdr:row>
      <xdr:rowOff>23815</xdr:rowOff>
    </xdr:from>
    <xdr:ext cx="504000" cy="499516"/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" y="11728135"/>
          <a:ext cx="504000" cy="499516"/>
        </a:xfrm>
        <a:prstGeom prst="rect">
          <a:avLst/>
        </a:prstGeom>
      </xdr:spPr>
    </xdr:pic>
    <xdr:clientData/>
  </xdr:oneCellAnchor>
  <xdr:oneCellAnchor>
    <xdr:from>
      <xdr:col>0</xdr:col>
      <xdr:colOff>47624</xdr:colOff>
      <xdr:row>16</xdr:row>
      <xdr:rowOff>0</xdr:rowOff>
    </xdr:from>
    <xdr:ext cx="504000" cy="504000"/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005840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47623</xdr:colOff>
      <xdr:row>23</xdr:row>
      <xdr:rowOff>90</xdr:rowOff>
    </xdr:from>
    <xdr:ext cx="504000" cy="504001"/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11338650"/>
          <a:ext cx="504000" cy="504001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48</xdr:row>
      <xdr:rowOff>19050</xdr:rowOff>
    </xdr:from>
    <xdr:ext cx="504000" cy="504000"/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84401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44824</xdr:colOff>
      <xdr:row>43</xdr:row>
      <xdr:rowOff>22412</xdr:rowOff>
    </xdr:from>
    <xdr:ext cx="504000" cy="504000"/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824" y="16115852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56030</xdr:colOff>
      <xdr:row>19</xdr:row>
      <xdr:rowOff>501742</xdr:rowOff>
    </xdr:from>
    <xdr:ext cx="504000" cy="504561"/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6030" y="11154502"/>
          <a:ext cx="504000" cy="504561"/>
        </a:xfrm>
        <a:prstGeom prst="rect">
          <a:avLst/>
        </a:prstGeom>
      </xdr:spPr>
    </xdr:pic>
    <xdr:clientData/>
  </xdr:oneCellAnchor>
  <xdr:oneCellAnchor>
    <xdr:from>
      <xdr:col>0</xdr:col>
      <xdr:colOff>47630</xdr:colOff>
      <xdr:row>42</xdr:row>
      <xdr:rowOff>0</xdr:rowOff>
    </xdr:from>
    <xdr:ext cx="504000" cy="506721"/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0" y="15910560"/>
          <a:ext cx="504000" cy="506721"/>
        </a:xfrm>
        <a:prstGeom prst="rect">
          <a:avLst/>
        </a:prstGeom>
      </xdr:spPr>
    </xdr:pic>
    <xdr:clientData/>
  </xdr:oneCellAnchor>
  <xdr:oneCellAnchor>
    <xdr:from>
      <xdr:col>0</xdr:col>
      <xdr:colOff>47630</xdr:colOff>
      <xdr:row>41</xdr:row>
      <xdr:rowOff>4763</xdr:rowOff>
    </xdr:from>
    <xdr:ext cx="504000" cy="506722"/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7630" y="15732443"/>
          <a:ext cx="504000" cy="506722"/>
        </a:xfrm>
        <a:prstGeom prst="rect">
          <a:avLst/>
        </a:prstGeom>
      </xdr:spPr>
    </xdr:pic>
    <xdr:clientData/>
  </xdr:oneCellAnchor>
  <xdr:oneCellAnchor>
    <xdr:from>
      <xdr:col>0</xdr:col>
      <xdr:colOff>52393</xdr:colOff>
      <xdr:row>47</xdr:row>
      <xdr:rowOff>0</xdr:rowOff>
    </xdr:from>
    <xdr:ext cx="504000" cy="504561"/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2393" y="16642080"/>
          <a:ext cx="504000" cy="504561"/>
        </a:xfrm>
        <a:prstGeom prst="rect">
          <a:avLst/>
        </a:prstGeom>
      </xdr:spPr>
    </xdr:pic>
    <xdr:clientData/>
  </xdr:oneCellAnchor>
  <xdr:oneCellAnchor>
    <xdr:from>
      <xdr:col>0</xdr:col>
      <xdr:colOff>38104</xdr:colOff>
      <xdr:row>19</xdr:row>
      <xdr:rowOff>0</xdr:rowOff>
    </xdr:from>
    <xdr:ext cx="517622" cy="506721"/>
    <xdr:pic>
      <xdr:nvPicPr>
        <xdr:cNvPr id="31" name="Рисунок 2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4" y="10972799"/>
          <a:ext cx="517622" cy="506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57836</xdr:colOff>
      <xdr:row>17</xdr:row>
      <xdr:rowOff>4768</xdr:rowOff>
    </xdr:from>
    <xdr:ext cx="504000" cy="504000"/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7836" y="13998354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32658</xdr:colOff>
      <xdr:row>50</xdr:row>
      <xdr:rowOff>0</xdr:rowOff>
    </xdr:from>
    <xdr:ext cx="504000" cy="504000"/>
    <xdr:pic>
      <xdr:nvPicPr>
        <xdr:cNvPr id="42" name="Рисунок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8" y="3524250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32658</xdr:colOff>
      <xdr:row>20</xdr:row>
      <xdr:rowOff>527957</xdr:rowOff>
    </xdr:from>
    <xdr:ext cx="504000" cy="499516"/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8" y="12812486"/>
          <a:ext cx="504000" cy="499516"/>
        </a:xfrm>
        <a:prstGeom prst="rect">
          <a:avLst/>
        </a:prstGeom>
      </xdr:spPr>
    </xdr:pic>
    <xdr:clientData/>
  </xdr:oneCellAnchor>
  <xdr:oneCellAnchor>
    <xdr:from>
      <xdr:col>0</xdr:col>
      <xdr:colOff>32658</xdr:colOff>
      <xdr:row>51</xdr:row>
      <xdr:rowOff>0</xdr:rowOff>
    </xdr:from>
    <xdr:ext cx="504000" cy="504000"/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8" y="27638829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54430</xdr:colOff>
      <xdr:row>18</xdr:row>
      <xdr:rowOff>0</xdr:rowOff>
    </xdr:from>
    <xdr:ext cx="504000" cy="499516"/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0" y="9780814"/>
          <a:ext cx="504000" cy="499516"/>
        </a:xfrm>
        <a:prstGeom prst="rect">
          <a:avLst/>
        </a:prstGeom>
      </xdr:spPr>
    </xdr:pic>
    <xdr:clientData/>
  </xdr:oneCellAnchor>
  <xdr:twoCellAnchor editAs="oneCell">
    <xdr:from>
      <xdr:col>0</xdr:col>
      <xdr:colOff>32658</xdr:colOff>
      <xdr:row>44</xdr:row>
      <xdr:rowOff>10886</xdr:rowOff>
    </xdr:from>
    <xdr:to>
      <xdr:col>0</xdr:col>
      <xdr:colOff>536658</xdr:colOff>
      <xdr:row>44</xdr:row>
      <xdr:rowOff>514886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2658" y="26071286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39008</xdr:colOff>
      <xdr:row>45</xdr:row>
      <xdr:rowOff>5443</xdr:rowOff>
    </xdr:from>
    <xdr:to>
      <xdr:col>0</xdr:col>
      <xdr:colOff>544018</xdr:colOff>
      <xdr:row>45</xdr:row>
      <xdr:rowOff>509443</xdr:rowOff>
    </xdr:to>
    <xdr:pic>
      <xdr:nvPicPr>
        <xdr:cNvPr id="43" name="Рисунок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9008" y="26599243"/>
          <a:ext cx="505010" cy="504000"/>
        </a:xfrm>
        <a:prstGeom prst="rect">
          <a:avLst/>
        </a:prstGeom>
      </xdr:spPr>
    </xdr:pic>
    <xdr:clientData/>
  </xdr:twoCellAnchor>
  <xdr:oneCellAnchor>
    <xdr:from>
      <xdr:col>0</xdr:col>
      <xdr:colOff>59873</xdr:colOff>
      <xdr:row>39</xdr:row>
      <xdr:rowOff>0</xdr:rowOff>
    </xdr:from>
    <xdr:ext cx="479937" cy="504000"/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3" y="15963900"/>
          <a:ext cx="479937" cy="504000"/>
        </a:xfrm>
        <a:prstGeom prst="rect">
          <a:avLst/>
        </a:prstGeom>
      </xdr:spPr>
    </xdr:pic>
    <xdr:clientData/>
  </xdr:oneCellAnchor>
  <xdr:oneCellAnchor>
    <xdr:from>
      <xdr:col>0</xdr:col>
      <xdr:colOff>52274</xdr:colOff>
      <xdr:row>52</xdr:row>
      <xdr:rowOff>23700</xdr:rowOff>
    </xdr:from>
    <xdr:ext cx="540000" cy="491880"/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4" y="22921800"/>
          <a:ext cx="540000" cy="491880"/>
        </a:xfrm>
        <a:prstGeom prst="rect">
          <a:avLst/>
        </a:prstGeom>
      </xdr:spPr>
    </xdr:pic>
    <xdr:clientData/>
  </xdr:oneCellAnchor>
  <xdr:oneCellAnchor>
    <xdr:from>
      <xdr:col>0</xdr:col>
      <xdr:colOff>32658</xdr:colOff>
      <xdr:row>46</xdr:row>
      <xdr:rowOff>0</xdr:rowOff>
    </xdr:from>
    <xdr:ext cx="504000" cy="504000"/>
    <xdr:pic>
      <xdr:nvPicPr>
        <xdr:cNvPr id="40" name="Рисунок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2658" y="18783300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43544</xdr:colOff>
      <xdr:row>38</xdr:row>
      <xdr:rowOff>0</xdr:rowOff>
    </xdr:from>
    <xdr:ext cx="504000" cy="504000"/>
    <xdr:pic>
      <xdr:nvPicPr>
        <xdr:cNvPr id="36" name="Рисунок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4" y="16780329"/>
          <a:ext cx="504000" cy="504000"/>
        </a:xfrm>
        <a:prstGeom prst="rect">
          <a:avLst/>
        </a:prstGeom>
      </xdr:spPr>
    </xdr:pic>
    <xdr:clientData/>
  </xdr:oneCellAnchor>
  <xdr:oneCellAnchor>
    <xdr:from>
      <xdr:col>0</xdr:col>
      <xdr:colOff>32658</xdr:colOff>
      <xdr:row>21</xdr:row>
      <xdr:rowOff>527957</xdr:rowOff>
    </xdr:from>
    <xdr:ext cx="504000" cy="499516"/>
    <xdr:pic>
      <xdr:nvPicPr>
        <xdr:cNvPr id="37" name="Рисунок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8" y="7418614"/>
          <a:ext cx="504000" cy="499516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40</xdr:row>
      <xdr:rowOff>9525</xdr:rowOff>
    </xdr:from>
    <xdr:ext cx="504000" cy="504000"/>
    <xdr:pic>
      <xdr:nvPicPr>
        <xdr:cNvPr id="41" name="Рисунок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532725"/>
          <a:ext cx="504000" cy="504000"/>
        </a:xfrm>
        <a:prstGeom prst="rect">
          <a:avLst/>
        </a:prstGeom>
      </xdr:spPr>
    </xdr:pic>
    <xdr:clientData/>
  </xdr:oneCellAnchor>
  <xdr:twoCellAnchor editAs="oneCell">
    <xdr:from>
      <xdr:col>0</xdr:col>
      <xdr:colOff>50800</xdr:colOff>
      <xdr:row>49</xdr:row>
      <xdr:rowOff>12700</xdr:rowOff>
    </xdr:from>
    <xdr:to>
      <xdr:col>0</xdr:col>
      <xdr:colOff>554800</xdr:colOff>
      <xdr:row>49</xdr:row>
      <xdr:rowOff>516700</xdr:rowOff>
    </xdr:to>
    <xdr:pic>
      <xdr:nvPicPr>
        <xdr:cNvPr id="45" name="Рисунок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0800" y="25336500"/>
          <a:ext cx="504000" cy="5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nager/AppData/Local/Temp/Rar$DI00.349/DOCUME~1/ZaziOne/LOCALS~1/Temp/bat/&#1056;&#1072;&#1089;&#1095;&#1077;&#1090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ZIPC\Exchange\_&#1071;&#1085;&#1072;\&#1056;&#1052;C%20&#1040;&#1074;&#1090;&#1086;\&#1060;&#1080;&#1085;&#1072;&#1085;&#1089;&#1086;&#1074;&#1072;&#1103;%20&#1084;&#1086;&#1076;&#1077;&#1083;&#1100;%20&#1092;&#1088;&#1072;&#1085;&#1096;&#1080;&#1079;&#1099;%20RMSAut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nager/AppData/Local/Temp/Rar$DI00.349/Documents%20and%20Settings/&#1052;&#1072;&#1088;&#1075;&#1086;/&#1056;&#1072;&#1073;&#1086;&#1095;&#1080;&#1081;%20&#1089;&#1090;&#1086;&#1083;/5.%20&#1058;&#1069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>
        <row r="7">
          <cell r="D7">
            <v>39083</v>
          </cell>
        </row>
        <row r="8">
          <cell r="D8">
            <v>6</v>
          </cell>
        </row>
        <row r="9">
          <cell r="D9">
            <v>3</v>
          </cell>
          <cell r="E9" t="str">
            <v>пг.</v>
          </cell>
        </row>
        <row r="10">
          <cell r="D10">
            <v>180</v>
          </cell>
        </row>
        <row r="11">
          <cell r="B11" t="str">
            <v>грн.</v>
          </cell>
          <cell r="D11">
            <v>4</v>
          </cell>
        </row>
        <row r="12">
          <cell r="B12" t="str">
            <v>тыс. $</v>
          </cell>
          <cell r="D12">
            <v>6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грн.</v>
          </cell>
          <cell r="D19">
            <v>1</v>
          </cell>
        </row>
        <row r="20">
          <cell r="D20" t="b">
            <v>1</v>
          </cell>
        </row>
        <row r="25">
          <cell r="F25">
            <v>2007</v>
          </cell>
        </row>
        <row r="26">
          <cell r="F26">
            <v>1</v>
          </cell>
        </row>
        <row r="86">
          <cell r="F86" t="str">
            <v>"0"</v>
          </cell>
          <cell r="G86" t="str">
            <v>1/ 2007</v>
          </cell>
          <cell r="H86" t="str">
            <v>2/ 2007</v>
          </cell>
          <cell r="I86" t="str">
            <v>1/ 2008</v>
          </cell>
          <cell r="J86" t="str">
            <v>2/ 2008</v>
          </cell>
          <cell r="K86" t="str">
            <v>1/ 2009</v>
          </cell>
          <cell r="L86" t="str">
            <v>2/ 2009</v>
          </cell>
        </row>
        <row r="88">
          <cell r="F88">
            <v>2</v>
          </cell>
        </row>
        <row r="749">
          <cell r="B749">
            <v>0</v>
          </cell>
        </row>
        <row r="751">
          <cell r="B751">
            <v>0</v>
          </cell>
        </row>
        <row r="755">
          <cell r="B755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10</v>
          </cell>
        </row>
        <row r="889">
          <cell r="B889">
            <v>0.2</v>
          </cell>
        </row>
        <row r="890">
          <cell r="B890">
            <v>30</v>
          </cell>
        </row>
        <row r="891">
          <cell r="B891">
            <v>2</v>
          </cell>
        </row>
        <row r="892">
          <cell r="B892">
            <v>1</v>
          </cell>
        </row>
        <row r="945">
          <cell r="B945">
            <v>0.25</v>
          </cell>
        </row>
        <row r="946">
          <cell r="B946">
            <v>60</v>
          </cell>
        </row>
      </sheetData>
      <sheetData sheetId="2" refreshError="1"/>
      <sheetData sheetId="3" refreshError="1">
        <row r="9">
          <cell r="E9">
            <v>4</v>
          </cell>
        </row>
      </sheetData>
      <sheetData sheetId="4" refreshError="1"/>
      <sheetData sheetId="5" refreshError="1">
        <row r="5">
          <cell r="B5" t="str">
            <v>5.05</v>
          </cell>
        </row>
        <row r="10">
          <cell r="B10" t="b">
            <v>1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Исходные данные"/>
      <sheetName val="2. Резюме проекта"/>
      <sheetName val="3. Детальный расчет"/>
    </sheetNames>
    <sheetDataSet>
      <sheetData sheetId="0">
        <row r="1">
          <cell r="I1">
            <v>4</v>
          </cell>
        </row>
      </sheetData>
      <sheetData sheetId="1"/>
      <sheetData sheetId="2">
        <row r="12">
          <cell r="D1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showGridLines="0" topLeftCell="A4" zoomScale="60" zoomScaleNormal="60" workbookViewId="0">
      <selection activeCell="D83" sqref="D83:G83"/>
    </sheetView>
  </sheetViews>
  <sheetFormatPr defaultRowHeight="34.15" customHeight="1"/>
  <cols>
    <col min="1" max="1" width="8.42578125" customWidth="1"/>
    <col min="2" max="2" width="28" customWidth="1"/>
    <col min="3" max="3" width="19.5703125" customWidth="1"/>
    <col min="4" max="4" width="21.140625" customWidth="1"/>
    <col min="5" max="5" width="23.42578125" customWidth="1"/>
    <col min="6" max="6" width="21.140625" customWidth="1"/>
    <col min="7" max="7" width="23.42578125" customWidth="1"/>
    <col min="8" max="8" width="21.140625" customWidth="1"/>
    <col min="9" max="9" width="23.42578125" customWidth="1"/>
    <col min="10" max="10" width="21.140625" customWidth="1"/>
    <col min="11" max="11" width="23.42578125" customWidth="1"/>
    <col min="12" max="12" width="11.85546875" customWidth="1"/>
    <col min="13" max="14" width="9.140625" customWidth="1"/>
    <col min="15" max="15" width="1.7109375" hidden="1" customWidth="1"/>
    <col min="16" max="16" width="4.28515625" hidden="1" customWidth="1"/>
    <col min="17" max="17" width="1.7109375" hidden="1" customWidth="1"/>
    <col min="18" max="18" width="8.140625" hidden="1" customWidth="1"/>
    <col min="19" max="24" width="8.85546875" customWidth="1"/>
  </cols>
  <sheetData>
    <row r="1" spans="1:25" ht="34.15" customHeight="1">
      <c r="A1" s="288" t="s">
        <v>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34"/>
    </row>
    <row r="2" spans="1:25" ht="72.599999999999994" customHeight="1">
      <c r="A2" s="290" t="s">
        <v>155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2"/>
      <c r="O2" s="1">
        <v>1</v>
      </c>
      <c r="P2" s="175" t="s">
        <v>60</v>
      </c>
      <c r="Q2" s="176">
        <v>1</v>
      </c>
      <c r="R2" s="176" t="s">
        <v>24</v>
      </c>
      <c r="T2" s="15"/>
      <c r="U2" s="15"/>
    </row>
    <row r="3" spans="1:25" ht="34.15" customHeight="1">
      <c r="A3" s="163" t="s">
        <v>48</v>
      </c>
      <c r="B3" s="20"/>
      <c r="K3" s="18"/>
      <c r="L3" s="164"/>
      <c r="M3" s="165"/>
      <c r="O3" s="175"/>
      <c r="P3" s="175" t="str">
        <f>E5</f>
        <v>USD</v>
      </c>
      <c r="Q3" s="176"/>
      <c r="R3" s="176" t="s">
        <v>25</v>
      </c>
      <c r="T3" s="15"/>
      <c r="U3" s="15"/>
    </row>
    <row r="4" spans="1:25" ht="34.15" customHeight="1">
      <c r="A4" s="19" t="s">
        <v>23</v>
      </c>
      <c r="B4" s="20"/>
      <c r="I4" s="21"/>
      <c r="K4" s="18"/>
      <c r="L4" s="18"/>
      <c r="M4" s="165"/>
      <c r="O4" s="175"/>
      <c r="P4" s="175" t="str">
        <f>G5</f>
        <v>EUR</v>
      </c>
      <c r="Q4" s="176"/>
      <c r="R4" s="176" t="s">
        <v>50</v>
      </c>
    </row>
    <row r="5" spans="1:25" ht="46.5" customHeight="1">
      <c r="A5" s="292" t="s">
        <v>111</v>
      </c>
      <c r="B5" s="292"/>
      <c r="C5" s="292"/>
      <c r="D5" s="293"/>
      <c r="E5" s="183" t="s">
        <v>58</v>
      </c>
      <c r="F5" s="2">
        <v>66</v>
      </c>
      <c r="G5" s="305" t="s">
        <v>59</v>
      </c>
      <c r="H5" s="306"/>
      <c r="I5" s="2">
        <v>75</v>
      </c>
      <c r="J5" s="183" t="s">
        <v>112</v>
      </c>
      <c r="K5" s="2">
        <v>0.17599999999999999</v>
      </c>
      <c r="L5" s="18"/>
      <c r="M5" s="165"/>
      <c r="O5" s="175"/>
      <c r="P5" s="175" t="str">
        <f>J5</f>
        <v>KZT</v>
      </c>
      <c r="Q5" s="176"/>
      <c r="R5" s="176" t="s">
        <v>51</v>
      </c>
    </row>
    <row r="6" spans="1:25" ht="17.649999999999999" customHeight="1">
      <c r="A6" s="22"/>
      <c r="O6" s="177"/>
      <c r="P6" s="175"/>
      <c r="Q6" s="176"/>
      <c r="R6" s="176" t="s">
        <v>52</v>
      </c>
    </row>
    <row r="7" spans="1:25" ht="34.15" customHeight="1">
      <c r="A7" s="22" t="s">
        <v>49</v>
      </c>
      <c r="O7" s="177"/>
      <c r="P7" s="175"/>
      <c r="Q7" s="176"/>
      <c r="R7" s="176" t="s">
        <v>71</v>
      </c>
    </row>
    <row r="8" spans="1:25" s="24" customFormat="1" ht="45.95" customHeight="1">
      <c r="A8" s="294" t="s">
        <v>145</v>
      </c>
      <c r="B8" s="294"/>
      <c r="C8" s="249" t="s">
        <v>164</v>
      </c>
      <c r="D8" s="249"/>
      <c r="E8" s="279" t="s">
        <v>165</v>
      </c>
      <c r="F8" s="279" t="s">
        <v>167</v>
      </c>
      <c r="G8" s="279" t="s">
        <v>166</v>
      </c>
      <c r="H8" s="279" t="s">
        <v>168</v>
      </c>
      <c r="I8" s="309" t="s">
        <v>126</v>
      </c>
      <c r="J8" s="310"/>
      <c r="K8" s="311"/>
      <c r="L8" s="166"/>
      <c r="O8" s="178"/>
      <c r="P8" s="179"/>
      <c r="Q8" s="180"/>
      <c r="R8" s="176" t="s">
        <v>26</v>
      </c>
      <c r="S8" s="27"/>
    </row>
    <row r="9" spans="1:25" s="24" customFormat="1" ht="80.099999999999994" customHeight="1">
      <c r="A9" s="294"/>
      <c r="B9" s="294"/>
      <c r="C9" s="3" t="s">
        <v>60</v>
      </c>
      <c r="D9" s="3" t="str">
        <f>"В валюте, в которой производится расчет, "&amp;CHOOSE($O$2,$P$2,$P$3,$P$4,$P$5)&amp;""</f>
        <v>В валюте, в которой производится расчет, RUB</v>
      </c>
      <c r="E9" s="280"/>
      <c r="F9" s="280"/>
      <c r="G9" s="280"/>
      <c r="H9" s="280"/>
      <c r="I9" s="217" t="s">
        <v>121</v>
      </c>
      <c r="J9" s="249" t="str">
        <f>"В валюте, в которой производится расчет, "&amp;CHOOSE($O$2,$P$2,$P$3,$P$4,$P$5)&amp;"/мес."</f>
        <v>В валюте, в которой производится расчет, RUB/мес.</v>
      </c>
      <c r="K9" s="249"/>
      <c r="L9" s="166"/>
      <c r="O9" s="178"/>
      <c r="P9" s="179"/>
      <c r="Q9" s="180"/>
      <c r="R9" s="176" t="s">
        <v>27</v>
      </c>
      <c r="S9" s="203"/>
      <c r="T9" s="172"/>
      <c r="U9" s="204"/>
      <c r="V9" s="172"/>
    </row>
    <row r="10" spans="1:25" ht="34.15" customHeight="1">
      <c r="A10" s="284" t="s">
        <v>157</v>
      </c>
      <c r="B10" s="284"/>
      <c r="C10" s="197">
        <v>238</v>
      </c>
      <c r="D10" s="198">
        <f t="shared" ref="D10:D16" si="0">C10/CHOOSE($O$2,1,$F$5,$I$5,$K$5)</f>
        <v>238</v>
      </c>
      <c r="E10" s="197">
        <v>33</v>
      </c>
      <c r="F10" s="281">
        <v>30</v>
      </c>
      <c r="G10" s="209">
        <f>E10*$F$10</f>
        <v>990</v>
      </c>
      <c r="H10" s="221">
        <v>0.66</v>
      </c>
      <c r="I10" s="218">
        <f t="shared" ref="I10" si="1">C10*$G$10</f>
        <v>235620</v>
      </c>
      <c r="J10" s="283">
        <f t="shared" ref="J10:J17" si="2">I10/CHOOSE($O$2,1,$F$5,$I$5,$K$5)</f>
        <v>235620</v>
      </c>
      <c r="K10" s="283"/>
      <c r="L10" s="167"/>
      <c r="M10" s="35"/>
      <c r="O10" s="176"/>
      <c r="P10" s="176"/>
      <c r="Q10" s="182"/>
      <c r="R10" s="181" t="s">
        <v>28</v>
      </c>
      <c r="S10" s="203"/>
      <c r="T10" s="172"/>
      <c r="U10" s="204"/>
      <c r="V10" s="205"/>
      <c r="W10" s="26"/>
      <c r="X10" s="26"/>
      <c r="Y10" s="24"/>
    </row>
    <row r="11" spans="1:25" ht="34.15" customHeight="1">
      <c r="A11" s="284" t="s">
        <v>158</v>
      </c>
      <c r="B11" s="284"/>
      <c r="C11" s="197">
        <v>298</v>
      </c>
      <c r="D11" s="218">
        <f t="shared" si="0"/>
        <v>298</v>
      </c>
      <c r="E11" s="197">
        <v>32</v>
      </c>
      <c r="F11" s="282"/>
      <c r="G11" s="209">
        <f t="shared" ref="G11:G16" si="3">E11*$F$10</f>
        <v>960</v>
      </c>
      <c r="H11" s="230">
        <v>0.66</v>
      </c>
      <c r="I11" s="232">
        <f>C11*$G$11</f>
        <v>286080</v>
      </c>
      <c r="J11" s="283">
        <f t="shared" si="2"/>
        <v>286080</v>
      </c>
      <c r="K11" s="283"/>
      <c r="L11" s="167"/>
      <c r="M11" s="35"/>
      <c r="O11" s="176"/>
      <c r="P11" s="176"/>
      <c r="Q11" s="182"/>
      <c r="R11" s="176" t="s">
        <v>29</v>
      </c>
      <c r="S11" s="203"/>
      <c r="T11" s="172"/>
      <c r="U11" s="204"/>
      <c r="V11" s="205"/>
      <c r="W11" s="26"/>
      <c r="X11" s="26"/>
      <c r="Y11" s="24"/>
    </row>
    <row r="12" spans="1:25" ht="34.15" customHeight="1">
      <c r="A12" s="284" t="s">
        <v>159</v>
      </c>
      <c r="B12" s="284"/>
      <c r="C12" s="197">
        <v>308</v>
      </c>
      <c r="D12" s="218">
        <f t="shared" si="0"/>
        <v>308</v>
      </c>
      <c r="E12" s="197">
        <v>110</v>
      </c>
      <c r="F12" s="282"/>
      <c r="G12" s="209">
        <f t="shared" si="3"/>
        <v>3300</v>
      </c>
      <c r="H12" s="230">
        <v>0.66</v>
      </c>
      <c r="I12" s="232">
        <f>C12*$G$12</f>
        <v>1016400</v>
      </c>
      <c r="J12" s="283">
        <f t="shared" si="2"/>
        <v>1016400</v>
      </c>
      <c r="K12" s="283"/>
      <c r="L12" s="167"/>
      <c r="M12" s="35"/>
      <c r="O12" s="176"/>
      <c r="P12" s="176"/>
      <c r="Q12" s="182"/>
      <c r="R12" s="176" t="s">
        <v>30</v>
      </c>
      <c r="S12" s="203"/>
      <c r="T12" s="172"/>
      <c r="U12" s="204"/>
      <c r="V12" s="205"/>
      <c r="W12" s="26"/>
      <c r="X12" s="26"/>
      <c r="Y12" s="24"/>
    </row>
    <row r="13" spans="1:25" ht="34.15" customHeight="1">
      <c r="A13" s="284" t="s">
        <v>160</v>
      </c>
      <c r="B13" s="284"/>
      <c r="C13" s="197">
        <v>193</v>
      </c>
      <c r="D13" s="218">
        <f t="shared" si="0"/>
        <v>193</v>
      </c>
      <c r="E13" s="197">
        <v>65</v>
      </c>
      <c r="F13" s="282"/>
      <c r="G13" s="209">
        <f t="shared" si="3"/>
        <v>1950</v>
      </c>
      <c r="H13" s="230">
        <v>0.66</v>
      </c>
      <c r="I13" s="232">
        <f>C13*$G$13</f>
        <v>376350</v>
      </c>
      <c r="J13" s="283">
        <f t="shared" si="2"/>
        <v>376350</v>
      </c>
      <c r="K13" s="283"/>
      <c r="L13" s="167"/>
      <c r="M13" s="35"/>
      <c r="O13" s="176"/>
      <c r="P13" s="176"/>
      <c r="Q13" s="182"/>
      <c r="R13" s="176" t="s">
        <v>31</v>
      </c>
      <c r="S13" s="203"/>
      <c r="T13" s="172"/>
      <c r="U13" s="204"/>
      <c r="V13" s="205"/>
      <c r="W13" s="26"/>
      <c r="X13" s="26"/>
      <c r="Y13" s="24"/>
    </row>
    <row r="14" spans="1:25" ht="34.15" customHeight="1">
      <c r="A14" s="284" t="s">
        <v>161</v>
      </c>
      <c r="B14" s="284"/>
      <c r="C14" s="197">
        <v>130</v>
      </c>
      <c r="D14" s="218">
        <f t="shared" si="0"/>
        <v>130</v>
      </c>
      <c r="E14" s="197">
        <v>40</v>
      </c>
      <c r="F14" s="282"/>
      <c r="G14" s="209">
        <f t="shared" si="3"/>
        <v>1200</v>
      </c>
      <c r="H14" s="230">
        <v>0.66</v>
      </c>
      <c r="I14" s="232">
        <f>C14*$G$14</f>
        <v>156000</v>
      </c>
      <c r="J14" s="283">
        <f t="shared" si="2"/>
        <v>156000</v>
      </c>
      <c r="K14" s="283"/>
      <c r="L14" s="167"/>
      <c r="M14" s="35"/>
      <c r="O14" s="176"/>
      <c r="P14" s="176"/>
      <c r="Q14" s="182"/>
      <c r="R14" s="181"/>
      <c r="S14" s="203"/>
      <c r="T14" s="172"/>
      <c r="U14" s="204"/>
      <c r="V14" s="205"/>
      <c r="W14" s="26"/>
      <c r="X14" s="26"/>
      <c r="Y14" s="24"/>
    </row>
    <row r="15" spans="1:25" ht="34.15" customHeight="1">
      <c r="A15" s="284" t="s">
        <v>162</v>
      </c>
      <c r="B15" s="284"/>
      <c r="C15" s="197">
        <v>126</v>
      </c>
      <c r="D15" s="218">
        <f t="shared" si="0"/>
        <v>126</v>
      </c>
      <c r="E15" s="197">
        <v>36</v>
      </c>
      <c r="F15" s="282"/>
      <c r="G15" s="209">
        <f t="shared" si="3"/>
        <v>1080</v>
      </c>
      <c r="H15" s="230">
        <v>0.66</v>
      </c>
      <c r="I15" s="232">
        <f>C15*$G$15</f>
        <v>136080</v>
      </c>
      <c r="J15" s="283">
        <f t="shared" si="2"/>
        <v>136080</v>
      </c>
      <c r="K15" s="283"/>
      <c r="L15" s="167"/>
      <c r="M15" s="35"/>
      <c r="O15" s="176"/>
      <c r="P15" s="176"/>
      <c r="Q15" s="182"/>
      <c r="R15" s="181"/>
      <c r="S15" s="203"/>
      <c r="T15" s="172"/>
      <c r="U15" s="204"/>
      <c r="V15" s="205"/>
      <c r="W15" s="26"/>
      <c r="X15" s="26"/>
      <c r="Y15" s="24"/>
    </row>
    <row r="16" spans="1:25" ht="34.15" customHeight="1">
      <c r="A16" s="285" t="s">
        <v>163</v>
      </c>
      <c r="B16" s="285"/>
      <c r="C16" s="222">
        <v>195</v>
      </c>
      <c r="D16" s="223">
        <f t="shared" si="0"/>
        <v>195</v>
      </c>
      <c r="E16" s="222">
        <v>15</v>
      </c>
      <c r="F16" s="282"/>
      <c r="G16" s="224">
        <f t="shared" si="3"/>
        <v>450</v>
      </c>
      <c r="H16" s="230">
        <v>0.66</v>
      </c>
      <c r="I16" s="232">
        <f>C16*$G$16</f>
        <v>87750</v>
      </c>
      <c r="J16" s="286">
        <f t="shared" si="2"/>
        <v>87750</v>
      </c>
      <c r="K16" s="286"/>
      <c r="L16" s="167"/>
      <c r="M16" s="35"/>
      <c r="O16" s="176"/>
      <c r="P16" s="176"/>
      <c r="Q16" s="182"/>
      <c r="R16" s="181"/>
      <c r="S16" s="203"/>
      <c r="T16" s="172"/>
      <c r="U16" s="204"/>
      <c r="V16" s="205"/>
      <c r="W16" s="26"/>
      <c r="X16" s="26"/>
      <c r="Y16" s="24"/>
    </row>
    <row r="17" spans="1:25" ht="34.15" customHeight="1">
      <c r="A17" s="287" t="s">
        <v>122</v>
      </c>
      <c r="B17" s="287"/>
      <c r="C17" s="209"/>
      <c r="D17" s="218"/>
      <c r="E17" s="209">
        <f>SUM(E10:E16)</f>
        <v>331</v>
      </c>
      <c r="F17" s="225"/>
      <c r="G17" s="209">
        <f>SUM(G10:G16)</f>
        <v>9930</v>
      </c>
      <c r="H17" s="226"/>
      <c r="I17" s="218">
        <f>SUM(I10:I16)</f>
        <v>2294280</v>
      </c>
      <c r="J17" s="283">
        <f t="shared" si="2"/>
        <v>2294280</v>
      </c>
      <c r="K17" s="283"/>
      <c r="L17" s="167"/>
      <c r="M17" s="35"/>
      <c r="O17" s="176"/>
      <c r="P17" s="176"/>
      <c r="Q17" s="182"/>
      <c r="R17" s="181"/>
      <c r="S17" s="203"/>
      <c r="T17" s="172"/>
      <c r="U17" s="204"/>
      <c r="V17" s="205"/>
      <c r="W17" s="26"/>
      <c r="X17" s="26"/>
      <c r="Y17" s="24"/>
    </row>
    <row r="18" spans="1:25" ht="23.1" customHeight="1">
      <c r="A18" s="308" t="s">
        <v>127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P18" s="16"/>
      <c r="Q18" s="15"/>
      <c r="S18" s="203"/>
      <c r="T18" s="172"/>
      <c r="U18" s="204"/>
      <c r="V18" s="30"/>
    </row>
    <row r="19" spans="1:25" ht="47.1" customHeight="1" thickBot="1">
      <c r="A19" s="22" t="s">
        <v>103</v>
      </c>
      <c r="P19" s="16"/>
      <c r="Q19" s="15"/>
      <c r="S19" s="203"/>
      <c r="T19" s="172"/>
      <c r="U19" s="204"/>
      <c r="V19" s="30"/>
    </row>
    <row r="20" spans="1:25" s="24" customFormat="1" ht="30.6" customHeight="1">
      <c r="A20" s="301" t="s">
        <v>85</v>
      </c>
      <c r="B20" s="302"/>
      <c r="C20" s="295" t="s">
        <v>82</v>
      </c>
      <c r="D20" s="295"/>
      <c r="E20" s="295"/>
      <c r="F20" s="296"/>
      <c r="G20" s="299" t="s">
        <v>105</v>
      </c>
      <c r="H20" s="295" t="s">
        <v>104</v>
      </c>
      <c r="I20" s="295"/>
      <c r="J20" s="295"/>
      <c r="K20" s="296"/>
      <c r="L20" s="166"/>
      <c r="O20" s="166"/>
      <c r="P20" s="25"/>
      <c r="Q20" s="26"/>
      <c r="S20" s="203"/>
      <c r="T20" s="172"/>
      <c r="U20" s="204"/>
      <c r="V20" s="172"/>
    </row>
    <row r="21" spans="1:25" s="24" customFormat="1" ht="32.65" customHeight="1">
      <c r="A21" s="303"/>
      <c r="B21" s="249"/>
      <c r="C21" s="297"/>
      <c r="D21" s="297"/>
      <c r="E21" s="297"/>
      <c r="F21" s="298"/>
      <c r="G21" s="300"/>
      <c r="H21" s="297"/>
      <c r="I21" s="297"/>
      <c r="J21" s="297"/>
      <c r="K21" s="298"/>
      <c r="L21" s="166"/>
      <c r="O21" s="166"/>
      <c r="P21" s="25"/>
      <c r="Q21" s="26"/>
      <c r="R21"/>
      <c r="S21" s="203"/>
      <c r="T21" s="172"/>
      <c r="U21" s="204"/>
      <c r="V21" s="172"/>
    </row>
    <row r="22" spans="1:25" s="24" customFormat="1" ht="35.1" customHeight="1">
      <c r="A22" s="253">
        <v>1</v>
      </c>
      <c r="B22" s="254"/>
      <c r="C22" s="247">
        <v>0.6</v>
      </c>
      <c r="D22" s="247"/>
      <c r="E22" s="247"/>
      <c r="F22" s="255"/>
      <c r="G22" s="227" t="str">
        <f t="shared" ref="G22:G33" si="4">R2</f>
        <v>январь</v>
      </c>
      <c r="H22" s="242">
        <v>1</v>
      </c>
      <c r="I22" s="243"/>
      <c r="J22" s="243"/>
      <c r="K22" s="244"/>
      <c r="L22" s="32"/>
      <c r="O22" s="166"/>
      <c r="P22" s="25"/>
      <c r="Q22" s="26"/>
      <c r="S22" s="203"/>
      <c r="T22" s="172"/>
      <c r="U22" s="204"/>
      <c r="V22" s="172"/>
    </row>
    <row r="23" spans="1:25" ht="35.1" customHeight="1">
      <c r="A23" s="253">
        <v>2</v>
      </c>
      <c r="B23" s="254"/>
      <c r="C23" s="247">
        <v>0.7</v>
      </c>
      <c r="D23" s="247"/>
      <c r="E23" s="247"/>
      <c r="F23" s="255"/>
      <c r="G23" s="227" t="str">
        <f t="shared" si="4"/>
        <v>февраль</v>
      </c>
      <c r="H23" s="242">
        <v>1</v>
      </c>
      <c r="I23" s="243"/>
      <c r="J23" s="243"/>
      <c r="K23" s="244"/>
      <c r="L23" s="167"/>
      <c r="O23" s="15"/>
      <c r="P23" s="15"/>
      <c r="Q23" s="168"/>
      <c r="S23" s="168"/>
    </row>
    <row r="24" spans="1:25" ht="35.1" customHeight="1">
      <c r="A24" s="253">
        <v>3</v>
      </c>
      <c r="B24" s="254"/>
      <c r="C24" s="247">
        <v>0.8</v>
      </c>
      <c r="D24" s="247"/>
      <c r="E24" s="247"/>
      <c r="F24" s="255"/>
      <c r="G24" s="227" t="str">
        <f t="shared" si="4"/>
        <v>март</v>
      </c>
      <c r="H24" s="242">
        <v>1</v>
      </c>
      <c r="I24" s="243"/>
      <c r="J24" s="243"/>
      <c r="K24" s="244"/>
      <c r="M24" s="169"/>
    </row>
    <row r="25" spans="1:25" s="24" customFormat="1" ht="35.1" customHeight="1">
      <c r="A25" s="253">
        <v>4</v>
      </c>
      <c r="B25" s="254"/>
      <c r="C25" s="247">
        <v>0.9</v>
      </c>
      <c r="D25" s="247"/>
      <c r="E25" s="247"/>
      <c r="F25" s="255"/>
      <c r="G25" s="227" t="str">
        <f t="shared" si="4"/>
        <v>апрель</v>
      </c>
      <c r="H25" s="242">
        <v>1</v>
      </c>
      <c r="I25" s="243"/>
      <c r="J25" s="243"/>
      <c r="K25" s="244"/>
      <c r="L25" s="166"/>
      <c r="O25" s="166"/>
      <c r="P25" s="25"/>
      <c r="Q25" s="26"/>
      <c r="S25" s="27"/>
    </row>
    <row r="26" spans="1:25" ht="35.1" customHeight="1">
      <c r="A26" s="253">
        <v>5</v>
      </c>
      <c r="B26" s="254"/>
      <c r="C26" s="247">
        <v>1</v>
      </c>
      <c r="D26" s="247"/>
      <c r="E26" s="247"/>
      <c r="F26" s="255"/>
      <c r="G26" s="227" t="str">
        <f t="shared" si="4"/>
        <v>май</v>
      </c>
      <c r="H26" s="242">
        <v>1</v>
      </c>
      <c r="I26" s="243"/>
      <c r="J26" s="243"/>
      <c r="K26" s="244"/>
      <c r="L26" s="167"/>
      <c r="O26" s="15"/>
      <c r="P26" s="15"/>
      <c r="Q26" s="168"/>
      <c r="S26" s="168"/>
    </row>
    <row r="27" spans="1:25" ht="35.1" customHeight="1">
      <c r="A27" s="253">
        <v>6</v>
      </c>
      <c r="B27" s="254"/>
      <c r="C27" s="247">
        <v>1</v>
      </c>
      <c r="D27" s="247"/>
      <c r="E27" s="247"/>
      <c r="F27" s="255"/>
      <c r="G27" s="227" t="str">
        <f t="shared" si="4"/>
        <v>июнь</v>
      </c>
      <c r="H27" s="242">
        <v>1</v>
      </c>
      <c r="I27" s="243"/>
      <c r="J27" s="243"/>
      <c r="K27" s="244"/>
      <c r="M27" s="169"/>
    </row>
    <row r="28" spans="1:25" s="24" customFormat="1" ht="35.1" customHeight="1">
      <c r="A28" s="253">
        <v>7</v>
      </c>
      <c r="B28" s="254"/>
      <c r="C28" s="247">
        <v>1</v>
      </c>
      <c r="D28" s="247"/>
      <c r="E28" s="247"/>
      <c r="F28" s="255"/>
      <c r="G28" s="227" t="str">
        <f t="shared" si="4"/>
        <v>июль</v>
      </c>
      <c r="H28" s="242">
        <v>1</v>
      </c>
      <c r="I28" s="243"/>
      <c r="J28" s="243"/>
      <c r="K28" s="244"/>
      <c r="L28" s="166"/>
      <c r="O28" s="166"/>
      <c r="P28" s="25"/>
      <c r="Q28" s="26"/>
      <c r="S28" s="27"/>
    </row>
    <row r="29" spans="1:25" ht="35.1" customHeight="1">
      <c r="A29" s="253">
        <v>8</v>
      </c>
      <c r="B29" s="254"/>
      <c r="C29" s="247">
        <v>1</v>
      </c>
      <c r="D29" s="247"/>
      <c r="E29" s="247"/>
      <c r="F29" s="255"/>
      <c r="G29" s="227" t="str">
        <f t="shared" si="4"/>
        <v>август</v>
      </c>
      <c r="H29" s="242">
        <v>1</v>
      </c>
      <c r="I29" s="243"/>
      <c r="J29" s="243"/>
      <c r="K29" s="244"/>
      <c r="L29" s="196"/>
      <c r="O29" s="15"/>
      <c r="P29" s="15"/>
      <c r="Q29" s="168"/>
      <c r="S29" s="168"/>
    </row>
    <row r="30" spans="1:25" ht="35.1" customHeight="1">
      <c r="A30" s="253">
        <v>9</v>
      </c>
      <c r="B30" s="254"/>
      <c r="C30" s="247">
        <v>1</v>
      </c>
      <c r="D30" s="247"/>
      <c r="E30" s="247"/>
      <c r="F30" s="255"/>
      <c r="G30" s="227" t="str">
        <f t="shared" si="4"/>
        <v>сентябрь</v>
      </c>
      <c r="H30" s="242">
        <v>1</v>
      </c>
      <c r="I30" s="243"/>
      <c r="J30" s="243"/>
      <c r="K30" s="244"/>
      <c r="M30" s="169"/>
    </row>
    <row r="31" spans="1:25" s="24" customFormat="1" ht="35.1" customHeight="1">
      <c r="A31" s="253">
        <v>10</v>
      </c>
      <c r="B31" s="254"/>
      <c r="C31" s="247">
        <v>1</v>
      </c>
      <c r="D31" s="247"/>
      <c r="E31" s="247"/>
      <c r="F31" s="255"/>
      <c r="G31" s="227" t="str">
        <f t="shared" si="4"/>
        <v>октябрь</v>
      </c>
      <c r="H31" s="242">
        <v>1</v>
      </c>
      <c r="I31" s="243"/>
      <c r="J31" s="243"/>
      <c r="K31" s="244"/>
      <c r="L31" s="166"/>
      <c r="N31"/>
      <c r="O31" s="166"/>
      <c r="P31" s="25"/>
      <c r="Q31" s="26"/>
      <c r="S31" s="27"/>
    </row>
    <row r="32" spans="1:25" ht="35.1" customHeight="1">
      <c r="A32" s="253">
        <v>11</v>
      </c>
      <c r="B32" s="254"/>
      <c r="C32" s="247">
        <v>1</v>
      </c>
      <c r="D32" s="247"/>
      <c r="E32" s="247"/>
      <c r="F32" s="255"/>
      <c r="G32" s="227" t="str">
        <f t="shared" si="4"/>
        <v>ноябрь</v>
      </c>
      <c r="H32" s="242">
        <v>1</v>
      </c>
      <c r="I32" s="243"/>
      <c r="J32" s="243"/>
      <c r="K32" s="244"/>
      <c r="L32" s="166"/>
      <c r="O32" s="15"/>
      <c r="P32" s="15"/>
      <c r="Q32" s="168"/>
      <c r="S32" s="168"/>
    </row>
    <row r="33" spans="1:28" ht="35.1" customHeight="1" thickBot="1">
      <c r="A33" s="256">
        <v>12</v>
      </c>
      <c r="B33" s="257"/>
      <c r="C33" s="275">
        <v>1</v>
      </c>
      <c r="D33" s="275"/>
      <c r="E33" s="275"/>
      <c r="F33" s="276"/>
      <c r="G33" s="228" t="str">
        <f t="shared" si="4"/>
        <v>декабрь</v>
      </c>
      <c r="H33" s="250">
        <v>1</v>
      </c>
      <c r="I33" s="251"/>
      <c r="J33" s="251"/>
      <c r="K33" s="252"/>
      <c r="M33" s="169"/>
    </row>
    <row r="34" spans="1:28" ht="32.450000000000003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P34" s="16"/>
      <c r="Q34" s="15"/>
    </row>
    <row r="35" spans="1:28" ht="54.4" customHeight="1">
      <c r="A35" s="259"/>
      <c r="B35" s="259"/>
      <c r="C35" s="3" t="s">
        <v>95</v>
      </c>
      <c r="D35" s="249" t="s">
        <v>83</v>
      </c>
      <c r="E35" s="249"/>
      <c r="F35" s="3" t="s">
        <v>84</v>
      </c>
      <c r="G35" s="3" t="s">
        <v>96</v>
      </c>
      <c r="H35" s="3" t="s">
        <v>97</v>
      </c>
      <c r="I35" s="3" t="s">
        <v>98</v>
      </c>
      <c r="J35" s="249" t="s">
        <v>86</v>
      </c>
      <c r="K35" s="249"/>
      <c r="P35" s="16"/>
      <c r="Q35" s="15"/>
    </row>
    <row r="36" spans="1:28" ht="43.9" customHeight="1">
      <c r="A36" s="248" t="s">
        <v>33</v>
      </c>
      <c r="B36" s="248"/>
      <c r="C36" s="11">
        <v>1.2</v>
      </c>
      <c r="D36" s="247">
        <v>1</v>
      </c>
      <c r="E36" s="247"/>
      <c r="F36" s="11">
        <v>1</v>
      </c>
      <c r="G36" s="11">
        <v>1</v>
      </c>
      <c r="H36" s="11">
        <v>1</v>
      </c>
      <c r="I36" s="11">
        <v>1</v>
      </c>
      <c r="J36" s="247">
        <v>0.1</v>
      </c>
      <c r="K36" s="247"/>
      <c r="M36" s="169"/>
    </row>
    <row r="37" spans="1:28" ht="43.9" customHeight="1">
      <c r="A37" s="248" t="s">
        <v>35</v>
      </c>
      <c r="B37" s="248"/>
      <c r="C37" s="11">
        <v>1.4</v>
      </c>
      <c r="D37" s="247">
        <v>1</v>
      </c>
      <c r="E37" s="247"/>
      <c r="F37" s="11">
        <v>1</v>
      </c>
      <c r="G37" s="11">
        <v>1</v>
      </c>
      <c r="H37" s="11">
        <v>1</v>
      </c>
      <c r="I37" s="11">
        <v>1</v>
      </c>
      <c r="J37" s="247"/>
      <c r="K37" s="247"/>
      <c r="M37" s="169"/>
    </row>
    <row r="38" spans="1:28" ht="56.1" customHeight="1">
      <c r="A38" s="245" t="s">
        <v>169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P38" s="16"/>
      <c r="Q38" s="15"/>
    </row>
    <row r="39" spans="1:28" ht="34.15" customHeight="1">
      <c r="A39" s="28" t="s">
        <v>54</v>
      </c>
      <c r="H39" s="29"/>
      <c r="I39" s="29"/>
      <c r="J39" s="29"/>
    </row>
    <row r="40" spans="1:28" ht="34.15" customHeight="1">
      <c r="A40" s="28"/>
      <c r="D40" s="246" t="str">
        <f>A39</f>
        <v>Инвестиции в открытие</v>
      </c>
      <c r="E40" s="246"/>
      <c r="F40" s="246"/>
      <c r="G40" s="246"/>
      <c r="H40" s="246"/>
      <c r="I40" s="246"/>
      <c r="J40" s="246"/>
      <c r="K40" s="246"/>
    </row>
    <row r="41" spans="1:28" ht="35.1" customHeight="1">
      <c r="D41" s="249" t="str">
        <f>C9</f>
        <v>RUB</v>
      </c>
      <c r="E41" s="249"/>
      <c r="F41" s="249"/>
      <c r="G41" s="249"/>
      <c r="H41" s="249" t="str">
        <f>"В валюте, в которой производится расчет, "&amp;CHOOSE($O$2,$P$2,$P$3,$P$4,$P$5)&amp;""</f>
        <v>В валюте, в которой производится расчет, RUB</v>
      </c>
      <c r="I41" s="249"/>
      <c r="J41" s="249"/>
      <c r="K41" s="249"/>
      <c r="L41" s="30"/>
      <c r="M41" s="30"/>
      <c r="P41" s="33"/>
      <c r="Q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42" customHeight="1">
      <c r="A42" s="30"/>
      <c r="B42" s="240" t="s">
        <v>43</v>
      </c>
      <c r="C42" s="240"/>
      <c r="D42" s="235"/>
      <c r="E42" s="235"/>
      <c r="F42" s="235"/>
      <c r="G42" s="235"/>
      <c r="H42" s="238">
        <f t="shared" ref="H42:H51" si="5">D42/CHOOSE($O$2,1,$F$5,$I$5,$K$5)</f>
        <v>0</v>
      </c>
      <c r="I42" s="238"/>
      <c r="J42" s="238"/>
      <c r="K42" s="238"/>
      <c r="L42" s="32"/>
      <c r="O42" s="33"/>
      <c r="P42" s="33"/>
      <c r="Q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8" ht="42" customHeight="1">
      <c r="A43" s="30"/>
      <c r="B43" s="273" t="s">
        <v>102</v>
      </c>
      <c r="C43" s="273"/>
      <c r="D43" s="235"/>
      <c r="E43" s="235"/>
      <c r="F43" s="235"/>
      <c r="G43" s="235"/>
      <c r="H43" s="238">
        <f t="shared" si="5"/>
        <v>0</v>
      </c>
      <c r="I43" s="238"/>
      <c r="J43" s="238"/>
      <c r="K43" s="238"/>
      <c r="L43" s="32"/>
      <c r="O43" s="33"/>
      <c r="P43" s="33"/>
      <c r="Q43" s="33"/>
      <c r="S43" s="33"/>
      <c r="T43" s="212"/>
      <c r="U43" s="33"/>
      <c r="V43" s="33"/>
      <c r="W43" s="33"/>
      <c r="X43" s="33"/>
      <c r="Y43" s="33"/>
      <c r="Z43" s="33"/>
      <c r="AA43" s="33"/>
    </row>
    <row r="44" spans="1:28" ht="42" customHeight="1">
      <c r="A44" s="30"/>
      <c r="B44" s="273" t="s">
        <v>152</v>
      </c>
      <c r="C44" s="273"/>
      <c r="D44" s="235">
        <v>200000</v>
      </c>
      <c r="E44" s="235"/>
      <c r="F44" s="235"/>
      <c r="G44" s="235"/>
      <c r="H44" s="238">
        <f t="shared" ref="H44:H50" si="6">D44/CHOOSE($O$2,1,$F$5,$I$5,$K$5)</f>
        <v>200000</v>
      </c>
      <c r="I44" s="238"/>
      <c r="J44" s="238"/>
      <c r="K44" s="238"/>
      <c r="L44" s="32"/>
      <c r="O44" s="33"/>
      <c r="P44" s="33"/>
      <c r="Q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8" ht="42" customHeight="1">
      <c r="A45" s="34"/>
      <c r="B45" s="240" t="s">
        <v>55</v>
      </c>
      <c r="C45" s="240"/>
      <c r="D45" s="235"/>
      <c r="E45" s="235"/>
      <c r="F45" s="235"/>
      <c r="G45" s="235"/>
      <c r="H45" s="238">
        <f t="shared" si="6"/>
        <v>0</v>
      </c>
      <c r="I45" s="238"/>
      <c r="J45" s="238"/>
      <c r="K45" s="238"/>
      <c r="L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8" ht="42" customHeight="1">
      <c r="A46" s="34"/>
      <c r="B46" s="240" t="s">
        <v>53</v>
      </c>
      <c r="C46" s="240"/>
      <c r="D46" s="235"/>
      <c r="E46" s="235"/>
      <c r="F46" s="235"/>
      <c r="G46" s="235"/>
      <c r="H46" s="238">
        <f t="shared" si="6"/>
        <v>0</v>
      </c>
      <c r="I46" s="238"/>
      <c r="J46" s="238"/>
      <c r="K46" s="238"/>
      <c r="L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8" ht="42" customHeight="1">
      <c r="A47" s="34"/>
      <c r="B47" s="240" t="s">
        <v>135</v>
      </c>
      <c r="C47" s="240"/>
      <c r="D47" s="235"/>
      <c r="E47" s="235"/>
      <c r="F47" s="235"/>
      <c r="G47" s="235"/>
      <c r="H47" s="238">
        <f t="shared" ref="H47" si="7">D47/CHOOSE($O$2,1,$F$5,$I$5,$K$5)</f>
        <v>0</v>
      </c>
      <c r="I47" s="238"/>
      <c r="J47" s="238"/>
      <c r="K47" s="238"/>
      <c r="L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8" ht="42" customHeight="1">
      <c r="A48" s="34"/>
      <c r="B48" s="240" t="s">
        <v>170</v>
      </c>
      <c r="C48" s="240"/>
      <c r="D48" s="235"/>
      <c r="E48" s="235"/>
      <c r="F48" s="235"/>
      <c r="G48" s="235"/>
      <c r="H48" s="238">
        <f t="shared" si="6"/>
        <v>0</v>
      </c>
      <c r="I48" s="238"/>
      <c r="J48" s="238"/>
      <c r="K48" s="238"/>
      <c r="L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42" customHeight="1">
      <c r="A49" s="30"/>
      <c r="B49" s="240" t="s">
        <v>61</v>
      </c>
      <c r="C49" s="240"/>
      <c r="D49" s="235">
        <v>50000</v>
      </c>
      <c r="E49" s="235"/>
      <c r="F49" s="235"/>
      <c r="G49" s="235"/>
      <c r="H49" s="238">
        <f t="shared" si="6"/>
        <v>50000</v>
      </c>
      <c r="I49" s="238"/>
      <c r="J49" s="238"/>
      <c r="K49" s="238"/>
      <c r="L49" s="32"/>
      <c r="O49" s="33"/>
      <c r="P49" s="33"/>
      <c r="Q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42" customHeight="1">
      <c r="A50" s="30"/>
      <c r="B50" s="240" t="s">
        <v>22</v>
      </c>
      <c r="C50" s="240"/>
      <c r="D50" s="235">
        <v>500000</v>
      </c>
      <c r="E50" s="235"/>
      <c r="F50" s="235"/>
      <c r="G50" s="235"/>
      <c r="H50" s="238">
        <f t="shared" si="6"/>
        <v>500000</v>
      </c>
      <c r="I50" s="238"/>
      <c r="J50" s="238"/>
      <c r="K50" s="238"/>
      <c r="L50" s="3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42" customHeight="1">
      <c r="A51" s="30"/>
      <c r="B51" s="240" t="s">
        <v>2</v>
      </c>
      <c r="C51" s="240"/>
      <c r="D51" s="235"/>
      <c r="E51" s="235"/>
      <c r="F51" s="235"/>
      <c r="G51" s="235"/>
      <c r="H51" s="238">
        <f t="shared" si="5"/>
        <v>0</v>
      </c>
      <c r="I51" s="238"/>
      <c r="J51" s="238"/>
      <c r="K51" s="238"/>
      <c r="L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42" customHeight="1">
      <c r="A52" s="30"/>
      <c r="B52" s="291" t="s">
        <v>0</v>
      </c>
      <c r="C52" s="291"/>
      <c r="D52" s="241">
        <f>SUM(D42:G51)</f>
        <v>750000</v>
      </c>
      <c r="E52" s="241"/>
      <c r="F52" s="241"/>
      <c r="G52" s="241"/>
      <c r="H52" s="241">
        <f>SUM(H42:K51)</f>
        <v>750000</v>
      </c>
      <c r="I52" s="241"/>
      <c r="J52" s="241"/>
      <c r="K52" s="241"/>
      <c r="L52" s="32"/>
      <c r="M52" s="35"/>
      <c r="O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34.15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32"/>
      <c r="O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34.15" customHeight="1">
      <c r="A54" s="28" t="s">
        <v>62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2"/>
      <c r="O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34.15" customHeight="1">
      <c r="A55" s="237" t="s">
        <v>63</v>
      </c>
      <c r="B55" s="237"/>
      <c r="C55" s="237"/>
      <c r="D55" s="278" t="s">
        <v>150</v>
      </c>
      <c r="E55" s="278" t="s">
        <v>147</v>
      </c>
      <c r="F55" s="278" t="s">
        <v>148</v>
      </c>
      <c r="G55" s="278"/>
      <c r="H55" s="237" t="s">
        <v>173</v>
      </c>
      <c r="I55" s="237" t="s">
        <v>78</v>
      </c>
      <c r="J55" s="237"/>
      <c r="K55" s="237" t="s">
        <v>79</v>
      </c>
      <c r="L55" s="32"/>
      <c r="O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63.95" customHeight="1">
      <c r="A56" s="237"/>
      <c r="B56" s="237"/>
      <c r="C56" s="237"/>
      <c r="D56" s="278"/>
      <c r="E56" s="278"/>
      <c r="F56" s="214" t="s">
        <v>149</v>
      </c>
      <c r="G56" s="214" t="str">
        <f>"В валюте, в которой производится расчет, "&amp;CHOOSE($O$2,$P$2,$P$3,$P$4,$P$5)&amp;"/день"</f>
        <v>В валюте, в которой производится расчет, RUB/день</v>
      </c>
      <c r="H56" s="237"/>
      <c r="I56" s="237"/>
      <c r="J56" s="237"/>
      <c r="K56" s="237"/>
      <c r="L56" s="32"/>
      <c r="O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s="24" customFormat="1" ht="39.950000000000003" customHeight="1">
      <c r="A57" s="239" t="s">
        <v>171</v>
      </c>
      <c r="B57" s="239"/>
      <c r="C57" s="239"/>
      <c r="D57" s="215">
        <v>1</v>
      </c>
      <c r="E57" s="215">
        <v>1</v>
      </c>
      <c r="F57" s="215">
        <v>1100</v>
      </c>
      <c r="G57" s="216">
        <f t="shared" ref="G57:G62" si="8">F57/CHOOSE($O$2,1,$F$5,$I$5,$K$5)</f>
        <v>1100</v>
      </c>
      <c r="H57" s="215">
        <v>24</v>
      </c>
      <c r="I57" s="236">
        <v>0</v>
      </c>
      <c r="J57" s="236"/>
      <c r="K57" s="170" t="s">
        <v>68</v>
      </c>
      <c r="L57" s="32"/>
      <c r="N57" s="171"/>
      <c r="O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24" customFormat="1" ht="39.950000000000003" customHeight="1">
      <c r="A58" s="239" t="s">
        <v>172</v>
      </c>
      <c r="B58" s="239"/>
      <c r="C58" s="239"/>
      <c r="D58" s="215">
        <v>8</v>
      </c>
      <c r="E58" s="215">
        <v>4</v>
      </c>
      <c r="F58" s="215">
        <v>1200</v>
      </c>
      <c r="G58" s="216">
        <f t="shared" si="8"/>
        <v>1200</v>
      </c>
      <c r="H58" s="215">
        <v>15</v>
      </c>
      <c r="I58" s="236">
        <v>0</v>
      </c>
      <c r="J58" s="236"/>
      <c r="K58" s="170" t="s">
        <v>68</v>
      </c>
      <c r="L58" s="32"/>
      <c r="M58" s="172"/>
      <c r="N58" s="171"/>
      <c r="O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24" customFormat="1" ht="39.950000000000003" customHeight="1">
      <c r="A59" s="239" t="s">
        <v>182</v>
      </c>
      <c r="B59" s="239"/>
      <c r="C59" s="239"/>
      <c r="D59" s="215">
        <v>6</v>
      </c>
      <c r="E59" s="215">
        <v>4</v>
      </c>
      <c r="F59" s="215">
        <v>1100</v>
      </c>
      <c r="G59" s="216">
        <f t="shared" si="8"/>
        <v>1100</v>
      </c>
      <c r="H59" s="215">
        <v>22</v>
      </c>
      <c r="I59" s="236">
        <v>0</v>
      </c>
      <c r="J59" s="236"/>
      <c r="K59" s="170" t="s">
        <v>68</v>
      </c>
      <c r="L59" s="32"/>
      <c r="M59" s="172"/>
      <c r="N59" s="171"/>
      <c r="O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24" customFormat="1" ht="39.950000000000003" customHeight="1">
      <c r="A60" s="239" t="s">
        <v>183</v>
      </c>
      <c r="B60" s="239"/>
      <c r="C60" s="239"/>
      <c r="D60" s="215">
        <v>2</v>
      </c>
      <c r="E60" s="215">
        <v>1</v>
      </c>
      <c r="F60" s="215">
        <v>1000</v>
      </c>
      <c r="G60" s="216">
        <f t="shared" si="8"/>
        <v>1000</v>
      </c>
      <c r="H60" s="215">
        <v>15</v>
      </c>
      <c r="I60" s="236">
        <v>0</v>
      </c>
      <c r="J60" s="236"/>
      <c r="K60" s="170" t="s">
        <v>68</v>
      </c>
      <c r="L60" s="32"/>
      <c r="M60" s="172"/>
      <c r="N60" s="171"/>
      <c r="O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24" customFormat="1" ht="39.950000000000003" customHeight="1">
      <c r="A61" s="239"/>
      <c r="B61" s="239"/>
      <c r="C61" s="239"/>
      <c r="D61" s="215"/>
      <c r="E61" s="215"/>
      <c r="F61" s="215"/>
      <c r="G61" s="216">
        <f t="shared" si="8"/>
        <v>0</v>
      </c>
      <c r="H61" s="215"/>
      <c r="I61" s="236">
        <v>0</v>
      </c>
      <c r="J61" s="236"/>
      <c r="K61" s="170" t="s">
        <v>68</v>
      </c>
      <c r="L61" s="32"/>
      <c r="M61" s="172"/>
      <c r="N61" s="171"/>
      <c r="O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172" customFormat="1" ht="39.950000000000003" customHeight="1">
      <c r="A62" s="271" t="s">
        <v>122</v>
      </c>
      <c r="B62" s="271"/>
      <c r="C62" s="271"/>
      <c r="D62" s="216">
        <f>SUM(D57:D61)</f>
        <v>17</v>
      </c>
      <c r="E62" s="216">
        <f>SUM(E57:E61)</f>
        <v>10</v>
      </c>
      <c r="F62" s="216">
        <f>E57*F57*H57+E58*F58*H58+E59*F59*H59+E60*F60*H60+E61*F61*H61</f>
        <v>210200</v>
      </c>
      <c r="G62" s="216">
        <f t="shared" si="8"/>
        <v>210200</v>
      </c>
      <c r="H62" s="216"/>
      <c r="I62" s="274"/>
      <c r="J62" s="274"/>
      <c r="K62" s="170"/>
      <c r="L62" s="32"/>
      <c r="N62" s="173"/>
      <c r="O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</row>
    <row r="63" spans="1:27" ht="25.9" customHeight="1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42" customHeight="1">
      <c r="A64" s="22" t="s">
        <v>1</v>
      </c>
      <c r="D64" s="38"/>
      <c r="E64" s="38"/>
      <c r="H64" s="307"/>
      <c r="I64" s="307"/>
      <c r="J64" s="307"/>
      <c r="K64" s="307"/>
    </row>
    <row r="65" spans="1:28" ht="42" customHeight="1">
      <c r="D65" s="272" t="s">
        <v>80</v>
      </c>
      <c r="E65" s="272"/>
      <c r="F65" s="272"/>
      <c r="G65" s="272"/>
      <c r="H65" s="272"/>
      <c r="I65" s="272"/>
      <c r="J65" s="272"/>
      <c r="K65" s="272"/>
    </row>
    <row r="66" spans="1:28" ht="37.15" customHeight="1">
      <c r="A66" s="22"/>
      <c r="D66" s="265" t="s">
        <v>113</v>
      </c>
      <c r="E66" s="265"/>
      <c r="F66" s="265"/>
      <c r="G66" s="265"/>
      <c r="H66" s="265" t="str">
        <f>"В валюте, в которой производится расчет, "&amp;CHOOSE($O$2,$P$2,$P$3,$P$4,$P$5)&amp;"/мес.*"</f>
        <v>В валюте, в которой производится расчет, RUB/мес.*</v>
      </c>
      <c r="I66" s="265"/>
      <c r="J66" s="265"/>
      <c r="K66" s="265"/>
    </row>
    <row r="67" spans="1:28" ht="42.95" customHeight="1">
      <c r="A67" s="40"/>
      <c r="B67" s="266" t="s">
        <v>174</v>
      </c>
      <c r="C67" s="266"/>
      <c r="D67" s="235"/>
      <c r="E67" s="235"/>
      <c r="F67" s="235"/>
      <c r="G67" s="235"/>
      <c r="H67" s="238">
        <f t="shared" ref="H67" si="9">D67/CHOOSE($O$2,1,$F$5,$I$5,$K$5)</f>
        <v>0</v>
      </c>
      <c r="I67" s="238"/>
      <c r="J67" s="238"/>
      <c r="K67" s="238"/>
    </row>
    <row r="68" spans="1:28" ht="42.95" customHeight="1">
      <c r="A68" s="40"/>
      <c r="B68" s="266" t="s">
        <v>174</v>
      </c>
      <c r="C68" s="266"/>
      <c r="D68" s="270">
        <v>0.05</v>
      </c>
      <c r="E68" s="270"/>
      <c r="F68" s="270"/>
      <c r="G68" s="270"/>
      <c r="H68" s="265" t="s">
        <v>116</v>
      </c>
      <c r="I68" s="265"/>
      <c r="J68" s="265"/>
      <c r="K68" s="265"/>
    </row>
    <row r="69" spans="1:28" ht="42.95" customHeight="1">
      <c r="A69" s="30"/>
      <c r="B69" s="289" t="s">
        <v>56</v>
      </c>
      <c r="C69" s="289"/>
      <c r="D69" s="235"/>
      <c r="E69" s="235"/>
      <c r="F69" s="235"/>
      <c r="G69" s="235"/>
      <c r="H69" s="238">
        <f t="shared" ref="H69:H78" si="10">D69/CHOOSE($O$2,1,$F$5,$I$5,$K$5)</f>
        <v>0</v>
      </c>
      <c r="I69" s="238"/>
      <c r="J69" s="238"/>
      <c r="K69" s="238"/>
      <c r="L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8" ht="42.95" customHeight="1">
      <c r="A70" s="30"/>
      <c r="B70" s="289" t="s">
        <v>57</v>
      </c>
      <c r="C70" s="289"/>
      <c r="D70" s="235"/>
      <c r="E70" s="235"/>
      <c r="F70" s="235"/>
      <c r="G70" s="235"/>
      <c r="H70" s="238">
        <f t="shared" si="10"/>
        <v>0</v>
      </c>
      <c r="I70" s="238"/>
      <c r="J70" s="238"/>
      <c r="K70" s="238"/>
      <c r="M70" s="24"/>
    </row>
    <row r="71" spans="1:28" ht="42.95" customHeight="1">
      <c r="B71" s="264" t="s">
        <v>129</v>
      </c>
      <c r="C71" s="264"/>
      <c r="D71" s="235"/>
      <c r="E71" s="235"/>
      <c r="F71" s="235"/>
      <c r="G71" s="235"/>
      <c r="H71" s="238">
        <f t="shared" si="10"/>
        <v>0</v>
      </c>
      <c r="I71" s="238"/>
      <c r="J71" s="238"/>
      <c r="K71" s="238"/>
      <c r="M71" s="24"/>
    </row>
    <row r="72" spans="1:28" ht="42.95" customHeight="1">
      <c r="A72" s="30"/>
      <c r="B72" s="266" t="s">
        <v>181</v>
      </c>
      <c r="C72" s="266"/>
      <c r="D72" s="235"/>
      <c r="E72" s="235"/>
      <c r="F72" s="235"/>
      <c r="G72" s="235"/>
      <c r="H72" s="238">
        <f t="shared" si="10"/>
        <v>0</v>
      </c>
      <c r="I72" s="238"/>
      <c r="J72" s="238"/>
      <c r="K72" s="238"/>
      <c r="M72" s="24"/>
    </row>
    <row r="73" spans="1:28" ht="42.95" customHeight="1">
      <c r="A73" s="30"/>
      <c r="B73" s="264" t="s">
        <v>110</v>
      </c>
      <c r="C73" s="264"/>
      <c r="D73" s="235"/>
      <c r="E73" s="235"/>
      <c r="F73" s="235"/>
      <c r="G73" s="235"/>
      <c r="H73" s="238">
        <f t="shared" si="10"/>
        <v>0</v>
      </c>
      <c r="I73" s="238"/>
      <c r="J73" s="238"/>
      <c r="K73" s="238"/>
      <c r="M73" s="24"/>
    </row>
    <row r="74" spans="1:28" ht="42.95" customHeight="1">
      <c r="A74" s="30"/>
      <c r="B74" s="264" t="s">
        <v>130</v>
      </c>
      <c r="C74" s="264"/>
      <c r="D74" s="235"/>
      <c r="E74" s="235"/>
      <c r="F74" s="235"/>
      <c r="G74" s="235"/>
      <c r="H74" s="238">
        <f t="shared" si="10"/>
        <v>0</v>
      </c>
      <c r="I74" s="238"/>
      <c r="J74" s="238"/>
      <c r="K74" s="238"/>
      <c r="M74" s="24"/>
    </row>
    <row r="75" spans="1:28" ht="42.95" customHeight="1">
      <c r="B75" s="264" t="s">
        <v>67</v>
      </c>
      <c r="C75" s="264"/>
      <c r="D75" s="235"/>
      <c r="E75" s="235"/>
      <c r="F75" s="235"/>
      <c r="G75" s="235"/>
      <c r="H75" s="238">
        <f t="shared" si="10"/>
        <v>0</v>
      </c>
      <c r="I75" s="238"/>
      <c r="J75" s="238"/>
      <c r="K75" s="238"/>
    </row>
    <row r="76" spans="1:28" ht="42.95" customHeight="1">
      <c r="B76" s="264" t="s">
        <v>64</v>
      </c>
      <c r="C76" s="264"/>
      <c r="D76" s="235"/>
      <c r="E76" s="235"/>
      <c r="F76" s="235"/>
      <c r="G76" s="235"/>
      <c r="H76" s="238">
        <f t="shared" si="10"/>
        <v>0</v>
      </c>
      <c r="I76" s="238"/>
      <c r="J76" s="238"/>
      <c r="K76" s="238"/>
      <c r="L76" s="43"/>
      <c r="M76" s="30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42.95" customHeight="1">
      <c r="B77" s="264" t="s">
        <v>175</v>
      </c>
      <c r="C77" s="264"/>
      <c r="D77" s="235">
        <v>70000</v>
      </c>
      <c r="E77" s="235"/>
      <c r="F77" s="235"/>
      <c r="G77" s="235"/>
      <c r="H77" s="238">
        <f t="shared" ref="H77" si="11">D77/CHOOSE($O$2,1,$F$5,$I$5,$K$5)</f>
        <v>70000</v>
      </c>
      <c r="I77" s="238"/>
      <c r="J77" s="238"/>
      <c r="K77" s="238"/>
      <c r="L77" s="43"/>
      <c r="M77" s="30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42.95" customHeight="1">
      <c r="B78" s="264" t="s">
        <v>87</v>
      </c>
      <c r="C78" s="264"/>
      <c r="D78" s="235"/>
      <c r="E78" s="235"/>
      <c r="F78" s="235"/>
      <c r="G78" s="235"/>
      <c r="H78" s="238">
        <f t="shared" si="10"/>
        <v>0</v>
      </c>
      <c r="I78" s="238"/>
      <c r="J78" s="238"/>
      <c r="K78" s="238"/>
      <c r="L78" s="43"/>
      <c r="M78" s="30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49.5" customHeight="1">
      <c r="B79" s="260" t="s">
        <v>81</v>
      </c>
      <c r="C79" s="261"/>
      <c r="D79" s="269"/>
      <c r="E79" s="269"/>
      <c r="F79" s="269"/>
      <c r="G79" s="269"/>
      <c r="H79" s="265" t="s">
        <v>176</v>
      </c>
      <c r="I79" s="265"/>
      <c r="J79" s="265"/>
      <c r="K79" s="265"/>
    </row>
    <row r="80" spans="1:28" ht="42" customHeight="1">
      <c r="B80" s="267"/>
      <c r="C80" s="268"/>
      <c r="D80" s="270"/>
      <c r="E80" s="270"/>
      <c r="F80" s="270"/>
      <c r="G80" s="270"/>
      <c r="H80" s="265" t="s">
        <v>90</v>
      </c>
      <c r="I80" s="265"/>
      <c r="J80" s="265"/>
      <c r="K80" s="265"/>
      <c r="L80" s="43"/>
      <c r="M80" s="30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16" ht="42.95" customHeight="1">
      <c r="B81" s="264" t="s">
        <v>114</v>
      </c>
      <c r="C81" s="264"/>
      <c r="D81" s="270">
        <v>0.216</v>
      </c>
      <c r="E81" s="270"/>
      <c r="F81" s="270"/>
      <c r="G81" s="270"/>
      <c r="H81" s="265" t="s">
        <v>115</v>
      </c>
      <c r="I81" s="265"/>
      <c r="J81" s="265"/>
      <c r="K81" s="265"/>
      <c r="M81" s="30"/>
      <c r="P81" s="33"/>
    </row>
    <row r="82" spans="1:16" ht="42.95" customHeight="1">
      <c r="B82" s="264" t="s">
        <v>107</v>
      </c>
      <c r="C82" s="264"/>
      <c r="D82" s="270">
        <v>0.06</v>
      </c>
      <c r="E82" s="270"/>
      <c r="F82" s="270"/>
      <c r="G82" s="270"/>
      <c r="H82" s="265" t="s">
        <v>116</v>
      </c>
      <c r="I82" s="265"/>
      <c r="J82" s="265"/>
      <c r="K82" s="265"/>
      <c r="L82" s="43"/>
      <c r="M82" s="30"/>
      <c r="P82" s="33"/>
    </row>
    <row r="83" spans="1:16" ht="42.95" customHeight="1">
      <c r="B83" s="264" t="s">
        <v>117</v>
      </c>
      <c r="C83" s="264"/>
      <c r="D83" s="270">
        <v>0</v>
      </c>
      <c r="E83" s="270"/>
      <c r="F83" s="270"/>
      <c r="G83" s="270"/>
      <c r="H83" s="265" t="s">
        <v>118</v>
      </c>
      <c r="I83" s="265"/>
      <c r="J83" s="265"/>
      <c r="K83" s="265"/>
      <c r="L83" s="43"/>
      <c r="M83" s="30"/>
      <c r="P83" s="33"/>
    </row>
    <row r="84" spans="1:16" ht="42.95" customHeight="1">
      <c r="B84" s="260" t="s">
        <v>153</v>
      </c>
      <c r="C84" s="261"/>
      <c r="D84" s="235">
        <v>0</v>
      </c>
      <c r="E84" s="235"/>
      <c r="F84" s="235"/>
      <c r="G84" s="235"/>
      <c r="H84" s="238">
        <f>D84/CHOOSE($O$2,1,$F$5,$I$5,$K$5)</f>
        <v>0</v>
      </c>
      <c r="I84" s="238"/>
      <c r="J84" s="238"/>
      <c r="K84" s="238"/>
      <c r="L84" s="43"/>
      <c r="M84" s="30"/>
      <c r="P84" s="33"/>
    </row>
    <row r="85" spans="1:16" ht="42.95" customHeight="1">
      <c r="B85" s="262"/>
      <c r="C85" s="263"/>
      <c r="D85" s="235">
        <v>0</v>
      </c>
      <c r="E85" s="235"/>
      <c r="F85" s="235"/>
      <c r="G85" s="235"/>
      <c r="H85" s="265" t="s">
        <v>154</v>
      </c>
      <c r="I85" s="265"/>
      <c r="J85" s="265"/>
      <c r="K85" s="265"/>
      <c r="L85" s="43"/>
      <c r="M85" s="30"/>
      <c r="P85" s="33"/>
    </row>
    <row r="86" spans="1:16" ht="42.95" customHeight="1">
      <c r="B86" s="264" t="s">
        <v>108</v>
      </c>
      <c r="C86" s="264"/>
      <c r="D86" s="235">
        <v>0</v>
      </c>
      <c r="E86" s="235"/>
      <c r="F86" s="235"/>
      <c r="G86" s="235"/>
      <c r="H86" s="238">
        <f>D86/CHOOSE($O$2,1,$F$5,$I$5,$K$5)</f>
        <v>0</v>
      </c>
      <c r="I86" s="238"/>
      <c r="J86" s="238"/>
      <c r="K86" s="238"/>
      <c r="L86" s="43"/>
      <c r="M86" s="30"/>
      <c r="P86" s="33"/>
    </row>
    <row r="87" spans="1:16" ht="42.95" customHeight="1">
      <c r="B87" s="264" t="s">
        <v>143</v>
      </c>
      <c r="C87" s="264"/>
      <c r="D87" s="235">
        <v>50000</v>
      </c>
      <c r="E87" s="235"/>
      <c r="F87" s="235"/>
      <c r="G87" s="235"/>
      <c r="H87" s="238">
        <f>D87/CHOOSE($O$2,1,$F$5,$I$5,$K$5)</f>
        <v>50000</v>
      </c>
      <c r="I87" s="238"/>
      <c r="J87" s="238"/>
      <c r="K87" s="238"/>
    </row>
    <row r="88" spans="1:16" ht="42.95" customHeight="1">
      <c r="B88" s="264" t="s">
        <v>2</v>
      </c>
      <c r="C88" s="264"/>
      <c r="D88" s="235"/>
      <c r="E88" s="235"/>
      <c r="F88" s="235"/>
      <c r="G88" s="235"/>
      <c r="H88" s="238">
        <f>D88/CHOOSE($O$2,1,$F$5,$I$5,$K$5)</f>
        <v>0</v>
      </c>
      <c r="I88" s="238"/>
      <c r="J88" s="238"/>
      <c r="K88" s="238"/>
    </row>
    <row r="89" spans="1:16" ht="51.95" customHeight="1">
      <c r="A89" s="304" t="s">
        <v>178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</sheetData>
  <sheetProtection formatCells="0" formatColumns="0" formatRows="0" insertColumns="0" insertRows="0" insertHyperlinks="0" deleteColumns="0" deleteRows="0" sort="0" autoFilter="0" pivotTables="0"/>
  <mergeCells count="206">
    <mergeCell ref="H22:K22"/>
    <mergeCell ref="A24:B24"/>
    <mergeCell ref="A25:B25"/>
    <mergeCell ref="A26:B26"/>
    <mergeCell ref="G5:H5"/>
    <mergeCell ref="A23:B23"/>
    <mergeCell ref="H64:K64"/>
    <mergeCell ref="J9:K9"/>
    <mergeCell ref="H31:K31"/>
    <mergeCell ref="C23:F23"/>
    <mergeCell ref="H23:K23"/>
    <mergeCell ref="A10:B10"/>
    <mergeCell ref="A18:K18"/>
    <mergeCell ref="C8:D8"/>
    <mergeCell ref="E8:E9"/>
    <mergeCell ref="A11:B11"/>
    <mergeCell ref="J11:K11"/>
    <mergeCell ref="A12:B12"/>
    <mergeCell ref="J12:K12"/>
    <mergeCell ref="A13:B13"/>
    <mergeCell ref="J13:K13"/>
    <mergeCell ref="A14:B14"/>
    <mergeCell ref="I8:K8"/>
    <mergeCell ref="H8:H9"/>
    <mergeCell ref="A89:K89"/>
    <mergeCell ref="B78:C78"/>
    <mergeCell ref="B48:C48"/>
    <mergeCell ref="B88:C88"/>
    <mergeCell ref="B42:C42"/>
    <mergeCell ref="D82:G82"/>
    <mergeCell ref="D83:G83"/>
    <mergeCell ref="D86:G86"/>
    <mergeCell ref="D87:G87"/>
    <mergeCell ref="D88:G88"/>
    <mergeCell ref="B73:C73"/>
    <mergeCell ref="H69:K69"/>
    <mergeCell ref="H70:K70"/>
    <mergeCell ref="H71:K71"/>
    <mergeCell ref="B86:C86"/>
    <mergeCell ref="B81:C81"/>
    <mergeCell ref="B82:C82"/>
    <mergeCell ref="B83:C83"/>
    <mergeCell ref="B68:C68"/>
    <mergeCell ref="H87:K87"/>
    <mergeCell ref="H88:K88"/>
    <mergeCell ref="H73:K73"/>
    <mergeCell ref="H75:K75"/>
    <mergeCell ref="H76:K76"/>
    <mergeCell ref="A1:K1"/>
    <mergeCell ref="A53:K53"/>
    <mergeCell ref="B87:C87"/>
    <mergeCell ref="B76:C76"/>
    <mergeCell ref="B69:C69"/>
    <mergeCell ref="B71:C71"/>
    <mergeCell ref="A2:K2"/>
    <mergeCell ref="B75:C75"/>
    <mergeCell ref="B43:C43"/>
    <mergeCell ref="B72:C72"/>
    <mergeCell ref="B70:C70"/>
    <mergeCell ref="B45:C45"/>
    <mergeCell ref="B52:C52"/>
    <mergeCell ref="B50:C50"/>
    <mergeCell ref="A5:D5"/>
    <mergeCell ref="B49:C49"/>
    <mergeCell ref="B46:C46"/>
    <mergeCell ref="A8:B9"/>
    <mergeCell ref="J10:K10"/>
    <mergeCell ref="C20:F21"/>
    <mergeCell ref="G20:G21"/>
    <mergeCell ref="H20:K21"/>
    <mergeCell ref="G8:G9"/>
    <mergeCell ref="A20:B21"/>
    <mergeCell ref="F8:F9"/>
    <mergeCell ref="F10:F16"/>
    <mergeCell ref="J14:K14"/>
    <mergeCell ref="A15:B15"/>
    <mergeCell ref="J15:K15"/>
    <mergeCell ref="A16:B16"/>
    <mergeCell ref="J16:K16"/>
    <mergeCell ref="A17:B17"/>
    <mergeCell ref="J17:K17"/>
    <mergeCell ref="A32:B32"/>
    <mergeCell ref="D65:K65"/>
    <mergeCell ref="D70:G70"/>
    <mergeCell ref="B44:C44"/>
    <mergeCell ref="I62:J62"/>
    <mergeCell ref="A59:C59"/>
    <mergeCell ref="D52:G52"/>
    <mergeCell ref="H41:K41"/>
    <mergeCell ref="H42:K42"/>
    <mergeCell ref="C33:F33"/>
    <mergeCell ref="D49:G49"/>
    <mergeCell ref="D50:G50"/>
    <mergeCell ref="D66:G66"/>
    <mergeCell ref="A63:K63"/>
    <mergeCell ref="K55:K56"/>
    <mergeCell ref="H68:K68"/>
    <mergeCell ref="D68:G68"/>
    <mergeCell ref="D69:G69"/>
    <mergeCell ref="D55:D56"/>
    <mergeCell ref="E55:E56"/>
    <mergeCell ref="F55:G55"/>
    <mergeCell ref="B47:C47"/>
    <mergeCell ref="D47:G47"/>
    <mergeCell ref="H47:K47"/>
    <mergeCell ref="B67:C67"/>
    <mergeCell ref="D67:G67"/>
    <mergeCell ref="H67:K67"/>
    <mergeCell ref="B79:C80"/>
    <mergeCell ref="D79:G79"/>
    <mergeCell ref="D80:G80"/>
    <mergeCell ref="D81:G81"/>
    <mergeCell ref="A61:C61"/>
    <mergeCell ref="H78:K78"/>
    <mergeCell ref="H79:K79"/>
    <mergeCell ref="H80:K80"/>
    <mergeCell ref="H81:K81"/>
    <mergeCell ref="H74:K74"/>
    <mergeCell ref="H77:K77"/>
    <mergeCell ref="D74:G74"/>
    <mergeCell ref="D71:G71"/>
    <mergeCell ref="D72:G72"/>
    <mergeCell ref="I61:J61"/>
    <mergeCell ref="A62:C62"/>
    <mergeCell ref="H66:K66"/>
    <mergeCell ref="H86:K86"/>
    <mergeCell ref="D78:G78"/>
    <mergeCell ref="H72:K72"/>
    <mergeCell ref="D84:G84"/>
    <mergeCell ref="B84:C85"/>
    <mergeCell ref="D85:G85"/>
    <mergeCell ref="B77:C77"/>
    <mergeCell ref="D77:G77"/>
    <mergeCell ref="H82:K82"/>
    <mergeCell ref="H83:K83"/>
    <mergeCell ref="H84:K84"/>
    <mergeCell ref="H85:K85"/>
    <mergeCell ref="D73:G73"/>
    <mergeCell ref="D75:G75"/>
    <mergeCell ref="D76:G76"/>
    <mergeCell ref="B74:C74"/>
    <mergeCell ref="A22:B22"/>
    <mergeCell ref="J35:K35"/>
    <mergeCell ref="H27:K27"/>
    <mergeCell ref="H28:K28"/>
    <mergeCell ref="C30:F30"/>
    <mergeCell ref="C31:F31"/>
    <mergeCell ref="C32:F32"/>
    <mergeCell ref="H29:K29"/>
    <mergeCell ref="H30:K30"/>
    <mergeCell ref="C22:F22"/>
    <mergeCell ref="C24:F24"/>
    <mergeCell ref="C25:F25"/>
    <mergeCell ref="C26:F26"/>
    <mergeCell ref="C27:F27"/>
    <mergeCell ref="C28:F28"/>
    <mergeCell ref="A27:B27"/>
    <mergeCell ref="A28:B28"/>
    <mergeCell ref="A29:B29"/>
    <mergeCell ref="A30:B30"/>
    <mergeCell ref="A33:B33"/>
    <mergeCell ref="C29:F29"/>
    <mergeCell ref="A34:K34"/>
    <mergeCell ref="A35:B35"/>
    <mergeCell ref="D35:E35"/>
    <mergeCell ref="H43:K43"/>
    <mergeCell ref="H44:K44"/>
    <mergeCell ref="H45:K45"/>
    <mergeCell ref="H46:K46"/>
    <mergeCell ref="H48:K48"/>
    <mergeCell ref="H49:K49"/>
    <mergeCell ref="H24:K24"/>
    <mergeCell ref="H25:K25"/>
    <mergeCell ref="H26:K26"/>
    <mergeCell ref="A38:K38"/>
    <mergeCell ref="D40:K40"/>
    <mergeCell ref="D36:E36"/>
    <mergeCell ref="D37:E37"/>
    <mergeCell ref="J36:K37"/>
    <mergeCell ref="A36:B36"/>
    <mergeCell ref="A37:B37"/>
    <mergeCell ref="D41:G41"/>
    <mergeCell ref="D42:G42"/>
    <mergeCell ref="D43:G43"/>
    <mergeCell ref="D44:G44"/>
    <mergeCell ref="D45:G45"/>
    <mergeCell ref="H32:K32"/>
    <mergeCell ref="H33:K33"/>
    <mergeCell ref="A31:B31"/>
    <mergeCell ref="D46:G46"/>
    <mergeCell ref="D48:G48"/>
    <mergeCell ref="I58:J58"/>
    <mergeCell ref="I59:J59"/>
    <mergeCell ref="A55:C56"/>
    <mergeCell ref="D51:G51"/>
    <mergeCell ref="I55:J56"/>
    <mergeCell ref="H50:K50"/>
    <mergeCell ref="A60:C60"/>
    <mergeCell ref="I57:J57"/>
    <mergeCell ref="H55:H56"/>
    <mergeCell ref="B51:C51"/>
    <mergeCell ref="H51:K51"/>
    <mergeCell ref="H52:K52"/>
    <mergeCell ref="I60:J60"/>
    <mergeCell ref="A57:C57"/>
    <mergeCell ref="A58:C5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r:id="rId1"/>
  <rowBreaks count="1" manualBreakCount="1">
    <brk id="53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="70" zoomScaleNormal="70" workbookViewId="0">
      <pane ySplit="4" topLeftCell="A23" activePane="bottomLeft" state="frozen"/>
      <selection pane="bottomLeft" activeCell="B5" sqref="B5"/>
    </sheetView>
  </sheetViews>
  <sheetFormatPr defaultRowHeight="15"/>
  <cols>
    <col min="1" max="1" width="96.7109375" customWidth="1"/>
    <col min="2" max="2" width="17.140625" customWidth="1"/>
    <col min="3" max="3" width="20.28515625" customWidth="1"/>
    <col min="4" max="5" width="30" customWidth="1"/>
  </cols>
  <sheetData>
    <row r="1" spans="1:5" ht="15.75">
      <c r="A1" s="288" t="s">
        <v>5</v>
      </c>
      <c r="B1" s="288"/>
      <c r="C1" s="288"/>
      <c r="D1" s="288"/>
      <c r="E1" s="288"/>
    </row>
    <row r="2" spans="1:5" ht="26.25">
      <c r="A2" s="312" t="s">
        <v>146</v>
      </c>
      <c r="B2" s="312"/>
      <c r="C2" s="312"/>
      <c r="D2" s="312"/>
      <c r="E2" s="312"/>
    </row>
    <row r="3" spans="1:5" ht="15.75">
      <c r="A3" s="313"/>
      <c r="B3" s="314"/>
      <c r="C3" s="314"/>
      <c r="D3" s="314"/>
      <c r="E3" s="314"/>
    </row>
    <row r="4" spans="1:5" ht="63">
      <c r="A4" s="201" t="s">
        <v>133</v>
      </c>
      <c r="B4" s="201" t="s">
        <v>151</v>
      </c>
      <c r="C4" s="201" t="s">
        <v>140</v>
      </c>
      <c r="D4" s="201" t="s">
        <v>132</v>
      </c>
      <c r="E4" s="201" t="str">
        <f>"Общая стоимость, "&amp;CHOOSE('Исходные данные'!$O$2,'Исходные данные'!$P$2,'Исходные данные'!$P$3,'Исходные данные'!$P$4,'Исходные данные'!$P$5)&amp;""</f>
        <v>Общая стоимость, RUB</v>
      </c>
    </row>
    <row r="5" spans="1:5" ht="26.25">
      <c r="A5" s="202" t="s">
        <v>139</v>
      </c>
      <c r="B5" s="206"/>
      <c r="C5" s="206"/>
      <c r="D5" s="209">
        <f>SUM(D6:D25)</f>
        <v>0</v>
      </c>
      <c r="E5" s="209">
        <f>SUM(E6:E25)</f>
        <v>0</v>
      </c>
    </row>
    <row r="6" spans="1:5" ht="21">
      <c r="A6" s="210"/>
      <c r="B6" s="211"/>
      <c r="C6" s="211"/>
      <c r="D6" s="208">
        <f>B6*C6</f>
        <v>0</v>
      </c>
      <c r="E6" s="208">
        <f>D6/CHOOSE('Исходные данные'!$O$2,1,'Исходные данные'!$F$5,'Исходные данные'!$I$5,'Исходные данные'!$K$5)</f>
        <v>0</v>
      </c>
    </row>
    <row r="7" spans="1:5" ht="21">
      <c r="A7" s="210"/>
      <c r="B7" s="211"/>
      <c r="C7" s="211"/>
      <c r="D7" s="208">
        <f t="shared" ref="D7:D25" si="0">B7*C7</f>
        <v>0</v>
      </c>
      <c r="E7" s="208">
        <f>D7/CHOOSE('Исходные данные'!$O$2,1,'Исходные данные'!$F$5,'Исходные данные'!$I$5,'Исходные данные'!$K$5)</f>
        <v>0</v>
      </c>
    </row>
    <row r="8" spans="1:5" ht="21">
      <c r="A8" s="210"/>
      <c r="B8" s="211"/>
      <c r="C8" s="211"/>
      <c r="D8" s="208">
        <f t="shared" si="0"/>
        <v>0</v>
      </c>
      <c r="E8" s="208">
        <f>D8/CHOOSE('Исходные данные'!$O$2,1,'Исходные данные'!$F$5,'Исходные данные'!$I$5,'Исходные данные'!$K$5)</f>
        <v>0</v>
      </c>
    </row>
    <row r="9" spans="1:5" ht="21">
      <c r="A9" s="210"/>
      <c r="B9" s="211"/>
      <c r="C9" s="211"/>
      <c r="D9" s="208">
        <f t="shared" si="0"/>
        <v>0</v>
      </c>
      <c r="E9" s="208">
        <f>D9/CHOOSE('Исходные данные'!$O$2,1,'Исходные данные'!$F$5,'Исходные данные'!$I$5,'Исходные данные'!$K$5)</f>
        <v>0</v>
      </c>
    </row>
    <row r="10" spans="1:5" ht="21">
      <c r="A10" s="210"/>
      <c r="B10" s="211"/>
      <c r="C10" s="211"/>
      <c r="D10" s="208">
        <f t="shared" si="0"/>
        <v>0</v>
      </c>
      <c r="E10" s="208">
        <f>D10/CHOOSE('Исходные данные'!$O$2,1,'Исходные данные'!$F$5,'Исходные данные'!$I$5,'Исходные данные'!$K$5)</f>
        <v>0</v>
      </c>
    </row>
    <row r="11" spans="1:5" ht="21">
      <c r="A11" s="210"/>
      <c r="B11" s="211"/>
      <c r="C11" s="211"/>
      <c r="D11" s="208">
        <f t="shared" si="0"/>
        <v>0</v>
      </c>
      <c r="E11" s="208">
        <f>D11/CHOOSE('Исходные данные'!$O$2,1,'Исходные данные'!$F$5,'Исходные данные'!$I$5,'Исходные данные'!$K$5)</f>
        <v>0</v>
      </c>
    </row>
    <row r="12" spans="1:5" ht="21">
      <c r="A12" s="210"/>
      <c r="B12" s="211"/>
      <c r="C12" s="211"/>
      <c r="D12" s="208">
        <f t="shared" si="0"/>
        <v>0</v>
      </c>
      <c r="E12" s="208">
        <f>D12/CHOOSE('Исходные данные'!$O$2,1,'Исходные данные'!$F$5,'Исходные данные'!$I$5,'Исходные данные'!$K$5)</f>
        <v>0</v>
      </c>
    </row>
    <row r="13" spans="1:5" ht="21">
      <c r="A13" s="210"/>
      <c r="B13" s="211"/>
      <c r="C13" s="211"/>
      <c r="D13" s="208">
        <f t="shared" si="0"/>
        <v>0</v>
      </c>
      <c r="E13" s="208">
        <f>D13/CHOOSE('Исходные данные'!$O$2,1,'Исходные данные'!$F$5,'Исходные данные'!$I$5,'Исходные данные'!$K$5)</f>
        <v>0</v>
      </c>
    </row>
    <row r="14" spans="1:5" ht="21">
      <c r="A14" s="210"/>
      <c r="B14" s="211"/>
      <c r="C14" s="211"/>
      <c r="D14" s="208">
        <f t="shared" si="0"/>
        <v>0</v>
      </c>
      <c r="E14" s="208">
        <f>D14/CHOOSE('Исходные данные'!$O$2,1,'Исходные данные'!$F$5,'Исходные данные'!$I$5,'Исходные данные'!$K$5)</f>
        <v>0</v>
      </c>
    </row>
    <row r="15" spans="1:5" ht="21">
      <c r="A15" s="210"/>
      <c r="B15" s="211"/>
      <c r="C15" s="211"/>
      <c r="D15" s="208">
        <f t="shared" si="0"/>
        <v>0</v>
      </c>
      <c r="E15" s="208">
        <f>D15/CHOOSE('Исходные данные'!$O$2,1,'Исходные данные'!$F$5,'Исходные данные'!$I$5,'Исходные данные'!$K$5)</f>
        <v>0</v>
      </c>
    </row>
    <row r="16" spans="1:5" ht="21">
      <c r="A16" s="210"/>
      <c r="B16" s="211"/>
      <c r="C16" s="211"/>
      <c r="D16" s="208">
        <f t="shared" si="0"/>
        <v>0</v>
      </c>
      <c r="E16" s="208">
        <f>D16/CHOOSE('Исходные данные'!$O$2,1,'Исходные данные'!$F$5,'Исходные данные'!$I$5,'Исходные данные'!$K$5)</f>
        <v>0</v>
      </c>
    </row>
    <row r="17" spans="1:5" ht="21">
      <c r="A17" s="210"/>
      <c r="B17" s="211"/>
      <c r="C17" s="211"/>
      <c r="D17" s="208">
        <f t="shared" si="0"/>
        <v>0</v>
      </c>
      <c r="E17" s="208">
        <f>D17/CHOOSE('Исходные данные'!$O$2,1,'Исходные данные'!$F$5,'Исходные данные'!$I$5,'Исходные данные'!$K$5)</f>
        <v>0</v>
      </c>
    </row>
    <row r="18" spans="1:5" ht="21">
      <c r="A18" s="210"/>
      <c r="B18" s="211"/>
      <c r="C18" s="211"/>
      <c r="D18" s="208">
        <f t="shared" si="0"/>
        <v>0</v>
      </c>
      <c r="E18" s="208">
        <f>D18/CHOOSE('Исходные данные'!$O$2,1,'Исходные данные'!$F$5,'Исходные данные'!$I$5,'Исходные данные'!$K$5)</f>
        <v>0</v>
      </c>
    </row>
    <row r="19" spans="1:5" ht="21">
      <c r="A19" s="210"/>
      <c r="B19" s="211"/>
      <c r="C19" s="211"/>
      <c r="D19" s="208">
        <f t="shared" ref="D19:D23" si="1">B19*C19</f>
        <v>0</v>
      </c>
      <c r="E19" s="208">
        <f>D19/CHOOSE('Исходные данные'!$O$2,1,'Исходные данные'!$F$5,'Исходные данные'!$I$5,'Исходные данные'!$K$5)</f>
        <v>0</v>
      </c>
    </row>
    <row r="20" spans="1:5" ht="21">
      <c r="A20" s="210"/>
      <c r="B20" s="211"/>
      <c r="C20" s="211"/>
      <c r="D20" s="208">
        <f t="shared" si="1"/>
        <v>0</v>
      </c>
      <c r="E20" s="208">
        <f>D20/CHOOSE('Исходные данные'!$O$2,1,'Исходные данные'!$F$5,'Исходные данные'!$I$5,'Исходные данные'!$K$5)</f>
        <v>0</v>
      </c>
    </row>
    <row r="21" spans="1:5" ht="21">
      <c r="A21" s="210"/>
      <c r="B21" s="211"/>
      <c r="C21" s="211"/>
      <c r="D21" s="208">
        <f t="shared" si="1"/>
        <v>0</v>
      </c>
      <c r="E21" s="208">
        <f>D21/CHOOSE('Исходные данные'!$O$2,1,'Исходные данные'!$F$5,'Исходные данные'!$I$5,'Исходные данные'!$K$5)</f>
        <v>0</v>
      </c>
    </row>
    <row r="22" spans="1:5" ht="21">
      <c r="A22" s="210"/>
      <c r="B22" s="211"/>
      <c r="C22" s="211"/>
      <c r="D22" s="208">
        <f t="shared" si="1"/>
        <v>0</v>
      </c>
      <c r="E22" s="208">
        <f>D22/CHOOSE('Исходные данные'!$O$2,1,'Исходные данные'!$F$5,'Исходные данные'!$I$5,'Исходные данные'!$K$5)</f>
        <v>0</v>
      </c>
    </row>
    <row r="23" spans="1:5" ht="21">
      <c r="A23" s="210"/>
      <c r="B23" s="211"/>
      <c r="C23" s="211"/>
      <c r="D23" s="208">
        <f t="shared" si="1"/>
        <v>0</v>
      </c>
      <c r="E23" s="208">
        <f>D23/CHOOSE('Исходные данные'!$O$2,1,'Исходные данные'!$F$5,'Исходные данные'!$I$5,'Исходные данные'!$K$5)</f>
        <v>0</v>
      </c>
    </row>
    <row r="24" spans="1:5" ht="21">
      <c r="A24" s="210"/>
      <c r="B24" s="211"/>
      <c r="C24" s="211"/>
      <c r="D24" s="208">
        <f t="shared" si="0"/>
        <v>0</v>
      </c>
      <c r="E24" s="208">
        <f>D24/CHOOSE('Исходные данные'!$O$2,1,'Исходные данные'!$F$5,'Исходные данные'!$I$5,'Исходные данные'!$K$5)</f>
        <v>0</v>
      </c>
    </row>
    <row r="25" spans="1:5" ht="21">
      <c r="A25" s="210"/>
      <c r="B25" s="211"/>
      <c r="C25" s="211"/>
      <c r="D25" s="208">
        <f t="shared" si="0"/>
        <v>0</v>
      </c>
      <c r="E25" s="208">
        <f>D25/CHOOSE('Исходные данные'!$O$2,1,'Исходные данные'!$F$5,'Исходные данные'!$I$5,'Исходные данные'!$K$5)</f>
        <v>0</v>
      </c>
    </row>
    <row r="26" spans="1:5" ht="26.25">
      <c r="A26" s="202" t="s">
        <v>128</v>
      </c>
      <c r="B26" s="206"/>
      <c r="C26" s="206"/>
      <c r="D26" s="209">
        <f>SUM(D27:D46)</f>
        <v>0</v>
      </c>
      <c r="E26" s="209">
        <f>SUM(E27:E46)</f>
        <v>0</v>
      </c>
    </row>
    <row r="27" spans="1:5" ht="21">
      <c r="A27" s="200"/>
      <c r="B27" s="207"/>
      <c r="C27" s="207"/>
      <c r="D27" s="208">
        <f t="shared" ref="D27" si="2">B27*C27</f>
        <v>0</v>
      </c>
      <c r="E27" s="208">
        <f>D27/CHOOSE('Исходные данные'!$O$2,1,'Исходные данные'!$F$5,'Исходные данные'!$I$5,'Исходные данные'!$K$5)</f>
        <v>0</v>
      </c>
    </row>
    <row r="28" spans="1:5" ht="21">
      <c r="A28" s="200"/>
      <c r="B28" s="207"/>
      <c r="C28" s="207"/>
      <c r="D28" s="208">
        <f t="shared" ref="D28:D46" si="3">B28*C28</f>
        <v>0</v>
      </c>
      <c r="E28" s="208">
        <f>D28/CHOOSE('Исходные данные'!$O$2,1,'Исходные данные'!$F$5,'Исходные данные'!$I$5,'Исходные данные'!$K$5)</f>
        <v>0</v>
      </c>
    </row>
    <row r="29" spans="1:5" ht="21">
      <c r="A29" s="200"/>
      <c r="B29" s="207"/>
      <c r="C29" s="207"/>
      <c r="D29" s="208">
        <f t="shared" si="3"/>
        <v>0</v>
      </c>
      <c r="E29" s="208">
        <f>D29/CHOOSE('Исходные данные'!$O$2,1,'Исходные данные'!$F$5,'Исходные данные'!$I$5,'Исходные данные'!$K$5)</f>
        <v>0</v>
      </c>
    </row>
    <row r="30" spans="1:5" ht="21">
      <c r="A30" s="200"/>
      <c r="B30" s="207"/>
      <c r="C30" s="207"/>
      <c r="D30" s="208">
        <f t="shared" si="3"/>
        <v>0</v>
      </c>
      <c r="E30" s="208">
        <f>D30/CHOOSE('Исходные данные'!$O$2,1,'Исходные данные'!$F$5,'Исходные данные'!$I$5,'Исходные данные'!$K$5)</f>
        <v>0</v>
      </c>
    </row>
    <row r="31" spans="1:5" ht="21">
      <c r="A31" s="200"/>
      <c r="B31" s="207"/>
      <c r="C31" s="207"/>
      <c r="D31" s="208">
        <f t="shared" si="3"/>
        <v>0</v>
      </c>
      <c r="E31" s="208">
        <f>D31/CHOOSE('Исходные данные'!$O$2,1,'Исходные данные'!$F$5,'Исходные данные'!$I$5,'Исходные данные'!$K$5)</f>
        <v>0</v>
      </c>
    </row>
    <row r="32" spans="1:5" ht="21">
      <c r="A32" s="200"/>
      <c r="B32" s="207"/>
      <c r="C32" s="207"/>
      <c r="D32" s="208">
        <f t="shared" si="3"/>
        <v>0</v>
      </c>
      <c r="E32" s="208">
        <f>D32/CHOOSE('Исходные данные'!$O$2,1,'Исходные данные'!$F$5,'Исходные данные'!$I$5,'Исходные данные'!$K$5)</f>
        <v>0</v>
      </c>
    </row>
    <row r="33" spans="1:5" ht="21">
      <c r="A33" s="200"/>
      <c r="B33" s="207"/>
      <c r="C33" s="207"/>
      <c r="D33" s="208">
        <f t="shared" si="3"/>
        <v>0</v>
      </c>
      <c r="E33" s="208">
        <f>D33/CHOOSE('Исходные данные'!$O$2,1,'Исходные данные'!$F$5,'Исходные данные'!$I$5,'Исходные данные'!$K$5)</f>
        <v>0</v>
      </c>
    </row>
    <row r="34" spans="1:5" ht="21">
      <c r="A34" s="200"/>
      <c r="B34" s="207"/>
      <c r="C34" s="207"/>
      <c r="D34" s="208">
        <f t="shared" si="3"/>
        <v>0</v>
      </c>
      <c r="E34" s="208">
        <f>D34/CHOOSE('Исходные данные'!$O$2,1,'Исходные данные'!$F$5,'Исходные данные'!$I$5,'Исходные данные'!$K$5)</f>
        <v>0</v>
      </c>
    </row>
    <row r="35" spans="1:5" ht="21">
      <c r="A35" s="200"/>
      <c r="B35" s="207"/>
      <c r="C35" s="207"/>
      <c r="D35" s="208">
        <f t="shared" si="3"/>
        <v>0</v>
      </c>
      <c r="E35" s="208">
        <f>D35/CHOOSE('Исходные данные'!$O$2,1,'Исходные данные'!$F$5,'Исходные данные'!$I$5,'Исходные данные'!$K$5)</f>
        <v>0</v>
      </c>
    </row>
    <row r="36" spans="1:5" ht="21">
      <c r="A36" s="200"/>
      <c r="B36" s="207"/>
      <c r="C36" s="207"/>
      <c r="D36" s="208">
        <f t="shared" ref="D36:D40" si="4">B36*C36</f>
        <v>0</v>
      </c>
      <c r="E36" s="208">
        <f>D36/CHOOSE('Исходные данные'!$O$2,1,'Исходные данные'!$F$5,'Исходные данные'!$I$5,'Исходные данные'!$K$5)</f>
        <v>0</v>
      </c>
    </row>
    <row r="37" spans="1:5" ht="21">
      <c r="A37" s="200"/>
      <c r="B37" s="207"/>
      <c r="C37" s="207"/>
      <c r="D37" s="208">
        <f t="shared" si="4"/>
        <v>0</v>
      </c>
      <c r="E37" s="208">
        <f>D37/CHOOSE('Исходные данные'!$O$2,1,'Исходные данные'!$F$5,'Исходные данные'!$I$5,'Исходные данные'!$K$5)</f>
        <v>0</v>
      </c>
    </row>
    <row r="38" spans="1:5" ht="21">
      <c r="A38" s="200"/>
      <c r="B38" s="207"/>
      <c r="C38" s="207"/>
      <c r="D38" s="208">
        <f t="shared" si="4"/>
        <v>0</v>
      </c>
      <c r="E38" s="208">
        <f>D38/CHOOSE('Исходные данные'!$O$2,1,'Исходные данные'!$F$5,'Исходные данные'!$I$5,'Исходные данные'!$K$5)</f>
        <v>0</v>
      </c>
    </row>
    <row r="39" spans="1:5" ht="21">
      <c r="A39" s="200"/>
      <c r="B39" s="207"/>
      <c r="C39" s="207"/>
      <c r="D39" s="208">
        <f t="shared" si="4"/>
        <v>0</v>
      </c>
      <c r="E39" s="208">
        <f>D39/CHOOSE('Исходные данные'!$O$2,1,'Исходные данные'!$F$5,'Исходные данные'!$I$5,'Исходные данные'!$K$5)</f>
        <v>0</v>
      </c>
    </row>
    <row r="40" spans="1:5" ht="21">
      <c r="A40" s="200"/>
      <c r="B40" s="207"/>
      <c r="C40" s="207"/>
      <c r="D40" s="208">
        <f t="shared" si="4"/>
        <v>0</v>
      </c>
      <c r="E40" s="208">
        <f>D40/CHOOSE('Исходные данные'!$O$2,1,'Исходные данные'!$F$5,'Исходные данные'!$I$5,'Исходные данные'!$K$5)</f>
        <v>0</v>
      </c>
    </row>
    <row r="41" spans="1:5" ht="21">
      <c r="A41" s="200"/>
      <c r="B41" s="207"/>
      <c r="C41" s="207"/>
      <c r="D41" s="208">
        <f t="shared" si="3"/>
        <v>0</v>
      </c>
      <c r="E41" s="208">
        <f>D41/CHOOSE('Исходные данные'!$O$2,1,'Исходные данные'!$F$5,'Исходные данные'!$I$5,'Исходные данные'!$K$5)</f>
        <v>0</v>
      </c>
    </row>
    <row r="42" spans="1:5" ht="21">
      <c r="A42" s="200"/>
      <c r="B42" s="207"/>
      <c r="C42" s="207"/>
      <c r="D42" s="208">
        <f t="shared" ref="D42" si="5">B42*C42</f>
        <v>0</v>
      </c>
      <c r="E42" s="208">
        <f>D42/CHOOSE('Исходные данные'!$O$2,1,'Исходные данные'!$F$5,'Исходные данные'!$I$5,'Исходные данные'!$K$5)</f>
        <v>0</v>
      </c>
    </row>
    <row r="43" spans="1:5" ht="21">
      <c r="A43" s="200"/>
      <c r="B43" s="207"/>
      <c r="C43" s="207"/>
      <c r="D43" s="208">
        <f t="shared" si="3"/>
        <v>0</v>
      </c>
      <c r="E43" s="208">
        <f>D43/CHOOSE('Исходные данные'!$O$2,1,'Исходные данные'!$F$5,'Исходные данные'!$I$5,'Исходные данные'!$K$5)</f>
        <v>0</v>
      </c>
    </row>
    <row r="44" spans="1:5" ht="21">
      <c r="A44" s="200"/>
      <c r="B44" s="207"/>
      <c r="C44" s="207"/>
      <c r="D44" s="208">
        <f t="shared" si="3"/>
        <v>0</v>
      </c>
      <c r="E44" s="208">
        <f>D44/CHOOSE('Исходные данные'!$O$2,1,'Исходные данные'!$F$5,'Исходные данные'!$I$5,'Исходные данные'!$K$5)</f>
        <v>0</v>
      </c>
    </row>
    <row r="45" spans="1:5" ht="21">
      <c r="A45" s="200"/>
      <c r="B45" s="207"/>
      <c r="C45" s="207"/>
      <c r="D45" s="208">
        <f t="shared" si="3"/>
        <v>0</v>
      </c>
      <c r="E45" s="208">
        <f>D45/CHOOSE('Исходные данные'!$O$2,1,'Исходные данные'!$F$5,'Исходные данные'!$I$5,'Исходные данные'!$K$5)</f>
        <v>0</v>
      </c>
    </row>
    <row r="46" spans="1:5" ht="21">
      <c r="A46" s="200"/>
      <c r="B46" s="207"/>
      <c r="C46" s="207"/>
      <c r="D46" s="208">
        <f t="shared" si="3"/>
        <v>0</v>
      </c>
      <c r="E46" s="208">
        <f>D46/CHOOSE('Исходные данные'!$O$2,1,'Исходные данные'!$F$5,'Исходные данные'!$I$5,'Исходные данные'!$K$5)</f>
        <v>0</v>
      </c>
    </row>
    <row r="47" spans="1:5" ht="26.25">
      <c r="A47" s="202" t="s">
        <v>141</v>
      </c>
      <c r="B47" s="206"/>
      <c r="C47" s="206"/>
      <c r="D47" s="209">
        <f>SUM(D48:D77)</f>
        <v>0</v>
      </c>
      <c r="E47" s="209">
        <f>SUM(E48:E77)</f>
        <v>0</v>
      </c>
    </row>
    <row r="48" spans="1:5" ht="21">
      <c r="A48" s="210"/>
      <c r="B48" s="211"/>
      <c r="C48" s="211"/>
      <c r="D48" s="208">
        <f t="shared" ref="D48" si="6">B48*C48</f>
        <v>0</v>
      </c>
      <c r="E48" s="208">
        <f>D48/CHOOSE('Исходные данные'!$O$2,1,'Исходные данные'!$F$5,'Исходные данные'!$I$5,'Исходные данные'!$K$5)</f>
        <v>0</v>
      </c>
    </row>
    <row r="49" spans="1:5" ht="21">
      <c r="A49" s="210"/>
      <c r="B49" s="211"/>
      <c r="C49" s="211"/>
      <c r="D49" s="208">
        <f t="shared" ref="D49:D77" si="7">B49*C49</f>
        <v>0</v>
      </c>
      <c r="E49" s="208">
        <f>D49/CHOOSE('Исходные данные'!$O$2,1,'Исходные данные'!$F$5,'Исходные данные'!$I$5,'Исходные данные'!$K$5)</f>
        <v>0</v>
      </c>
    </row>
    <row r="50" spans="1:5" ht="21">
      <c r="A50" s="210"/>
      <c r="B50" s="211"/>
      <c r="C50" s="211"/>
      <c r="D50" s="208">
        <f t="shared" si="7"/>
        <v>0</v>
      </c>
      <c r="E50" s="208">
        <f>D50/CHOOSE('Исходные данные'!$O$2,1,'Исходные данные'!$F$5,'Исходные данные'!$I$5,'Исходные данные'!$K$5)</f>
        <v>0</v>
      </c>
    </row>
    <row r="51" spans="1:5" ht="21">
      <c r="A51" s="210"/>
      <c r="B51" s="211"/>
      <c r="C51" s="211"/>
      <c r="D51" s="208">
        <f t="shared" si="7"/>
        <v>0</v>
      </c>
      <c r="E51" s="208">
        <f>D51/CHOOSE('Исходные данные'!$O$2,1,'Исходные данные'!$F$5,'Исходные данные'!$I$5,'Исходные данные'!$K$5)</f>
        <v>0</v>
      </c>
    </row>
    <row r="52" spans="1:5" ht="21">
      <c r="A52" s="210"/>
      <c r="B52" s="211"/>
      <c r="C52" s="211"/>
      <c r="D52" s="208">
        <f t="shared" si="7"/>
        <v>0</v>
      </c>
      <c r="E52" s="208">
        <f>D52/CHOOSE('Исходные данные'!$O$2,1,'Исходные данные'!$F$5,'Исходные данные'!$I$5,'Исходные данные'!$K$5)</f>
        <v>0</v>
      </c>
    </row>
    <row r="53" spans="1:5" ht="21">
      <c r="A53" s="210"/>
      <c r="B53" s="211"/>
      <c r="C53" s="211"/>
      <c r="D53" s="208">
        <f t="shared" si="7"/>
        <v>0</v>
      </c>
      <c r="E53" s="208">
        <f>D53/CHOOSE('Исходные данные'!$O$2,1,'Исходные данные'!$F$5,'Исходные данные'!$I$5,'Исходные данные'!$K$5)</f>
        <v>0</v>
      </c>
    </row>
    <row r="54" spans="1:5" ht="21">
      <c r="A54" s="210"/>
      <c r="B54" s="211"/>
      <c r="C54" s="211"/>
      <c r="D54" s="208">
        <f t="shared" si="7"/>
        <v>0</v>
      </c>
      <c r="E54" s="208">
        <f>D54/CHOOSE('Исходные данные'!$O$2,1,'Исходные данные'!$F$5,'Исходные данные'!$I$5,'Исходные данные'!$K$5)</f>
        <v>0</v>
      </c>
    </row>
    <row r="55" spans="1:5" ht="21">
      <c r="A55" s="210"/>
      <c r="B55" s="211"/>
      <c r="C55" s="211"/>
      <c r="D55" s="208">
        <f t="shared" si="7"/>
        <v>0</v>
      </c>
      <c r="E55" s="208">
        <f>D55/CHOOSE('Исходные данные'!$O$2,1,'Исходные данные'!$F$5,'Исходные данные'!$I$5,'Исходные данные'!$K$5)</f>
        <v>0</v>
      </c>
    </row>
    <row r="56" spans="1:5" ht="21">
      <c r="A56" s="210"/>
      <c r="B56" s="211"/>
      <c r="C56" s="211"/>
      <c r="D56" s="208">
        <f t="shared" si="7"/>
        <v>0</v>
      </c>
      <c r="E56" s="208">
        <f>D56/CHOOSE('Исходные данные'!$O$2,1,'Исходные данные'!$F$5,'Исходные данные'!$I$5,'Исходные данные'!$K$5)</f>
        <v>0</v>
      </c>
    </row>
    <row r="57" spans="1:5" ht="21">
      <c r="A57" s="210"/>
      <c r="B57" s="211"/>
      <c r="C57" s="211"/>
      <c r="D57" s="208">
        <f t="shared" si="7"/>
        <v>0</v>
      </c>
      <c r="E57" s="208">
        <f>D57/CHOOSE('Исходные данные'!$O$2,1,'Исходные данные'!$F$5,'Исходные данные'!$I$5,'Исходные данные'!$K$5)</f>
        <v>0</v>
      </c>
    </row>
    <row r="58" spans="1:5" ht="21">
      <c r="A58" s="210"/>
      <c r="B58" s="211"/>
      <c r="C58" s="211"/>
      <c r="D58" s="208">
        <f t="shared" si="7"/>
        <v>0</v>
      </c>
      <c r="E58" s="208">
        <f>D58/CHOOSE('Исходные данные'!$O$2,1,'Исходные данные'!$F$5,'Исходные данные'!$I$5,'Исходные данные'!$K$5)</f>
        <v>0</v>
      </c>
    </row>
    <row r="59" spans="1:5" ht="21">
      <c r="A59" s="210"/>
      <c r="B59" s="211"/>
      <c r="C59" s="211"/>
      <c r="D59" s="208">
        <f t="shared" si="7"/>
        <v>0</v>
      </c>
      <c r="E59" s="208">
        <f>D59/CHOOSE('Исходные данные'!$O$2,1,'Исходные данные'!$F$5,'Исходные данные'!$I$5,'Исходные данные'!$K$5)</f>
        <v>0</v>
      </c>
    </row>
    <row r="60" spans="1:5" ht="21">
      <c r="A60" s="210"/>
      <c r="B60" s="211"/>
      <c r="C60" s="211"/>
      <c r="D60" s="208">
        <f t="shared" si="7"/>
        <v>0</v>
      </c>
      <c r="E60" s="208">
        <f>D60/CHOOSE('Исходные данные'!$O$2,1,'Исходные данные'!$F$5,'Исходные данные'!$I$5,'Исходные данные'!$K$5)</f>
        <v>0</v>
      </c>
    </row>
    <row r="61" spans="1:5" ht="21">
      <c r="A61" s="210"/>
      <c r="B61" s="211"/>
      <c r="C61" s="211"/>
      <c r="D61" s="208">
        <f t="shared" si="7"/>
        <v>0</v>
      </c>
      <c r="E61" s="208">
        <f>D61/CHOOSE('Исходные данные'!$O$2,1,'Исходные данные'!$F$5,'Исходные данные'!$I$5,'Исходные данные'!$K$5)</f>
        <v>0</v>
      </c>
    </row>
    <row r="62" spans="1:5" ht="21">
      <c r="A62" s="210"/>
      <c r="B62" s="211"/>
      <c r="C62" s="211"/>
      <c r="D62" s="208">
        <f t="shared" si="7"/>
        <v>0</v>
      </c>
      <c r="E62" s="208">
        <f>D62/CHOOSE('Исходные данные'!$O$2,1,'Исходные данные'!$F$5,'Исходные данные'!$I$5,'Исходные данные'!$K$5)</f>
        <v>0</v>
      </c>
    </row>
    <row r="63" spans="1:5" ht="21">
      <c r="A63" s="210"/>
      <c r="B63" s="211"/>
      <c r="C63" s="211"/>
      <c r="D63" s="208">
        <f t="shared" si="7"/>
        <v>0</v>
      </c>
      <c r="E63" s="208">
        <f>D63/CHOOSE('Исходные данные'!$O$2,1,'Исходные данные'!$F$5,'Исходные данные'!$I$5,'Исходные данные'!$K$5)</f>
        <v>0</v>
      </c>
    </row>
    <row r="64" spans="1:5" ht="21">
      <c r="A64" s="210"/>
      <c r="B64" s="211"/>
      <c r="C64" s="211"/>
      <c r="D64" s="208">
        <f t="shared" si="7"/>
        <v>0</v>
      </c>
      <c r="E64" s="208">
        <f>D64/CHOOSE('Исходные данные'!$O$2,1,'Исходные данные'!$F$5,'Исходные данные'!$I$5,'Исходные данные'!$K$5)</f>
        <v>0</v>
      </c>
    </row>
    <row r="65" spans="1:5" ht="21">
      <c r="A65" s="210"/>
      <c r="B65" s="211"/>
      <c r="C65" s="211"/>
      <c r="D65" s="208">
        <f t="shared" si="7"/>
        <v>0</v>
      </c>
      <c r="E65" s="208">
        <f>D65/CHOOSE('Исходные данные'!$O$2,1,'Исходные данные'!$F$5,'Исходные данные'!$I$5,'Исходные данные'!$K$5)</f>
        <v>0</v>
      </c>
    </row>
    <row r="66" spans="1:5" ht="21">
      <c r="A66" s="210"/>
      <c r="B66" s="211"/>
      <c r="C66" s="211"/>
      <c r="D66" s="208">
        <f t="shared" si="7"/>
        <v>0</v>
      </c>
      <c r="E66" s="208">
        <f>D66/CHOOSE('Исходные данные'!$O$2,1,'Исходные данные'!$F$5,'Исходные данные'!$I$5,'Исходные данные'!$K$5)</f>
        <v>0</v>
      </c>
    </row>
    <row r="67" spans="1:5" ht="21">
      <c r="A67" s="210"/>
      <c r="B67" s="211"/>
      <c r="C67" s="211"/>
      <c r="D67" s="208">
        <f t="shared" si="7"/>
        <v>0</v>
      </c>
      <c r="E67" s="208">
        <f>D67/CHOOSE('Исходные данные'!$O$2,1,'Исходные данные'!$F$5,'Исходные данные'!$I$5,'Исходные данные'!$K$5)</f>
        <v>0</v>
      </c>
    </row>
    <row r="68" spans="1:5" ht="21">
      <c r="A68" s="210"/>
      <c r="B68" s="211"/>
      <c r="C68" s="211"/>
      <c r="D68" s="208">
        <f t="shared" si="7"/>
        <v>0</v>
      </c>
      <c r="E68" s="208">
        <f>D68/CHOOSE('Исходные данные'!$O$2,1,'Исходные данные'!$F$5,'Исходные данные'!$I$5,'Исходные данные'!$K$5)</f>
        <v>0</v>
      </c>
    </row>
    <row r="69" spans="1:5" ht="21">
      <c r="A69" s="210"/>
      <c r="B69" s="211"/>
      <c r="C69" s="211"/>
      <c r="D69" s="208">
        <f t="shared" si="7"/>
        <v>0</v>
      </c>
      <c r="E69" s="208">
        <f>D69/CHOOSE('Исходные данные'!$O$2,1,'Исходные данные'!$F$5,'Исходные данные'!$I$5,'Исходные данные'!$K$5)</f>
        <v>0</v>
      </c>
    </row>
    <row r="70" spans="1:5" ht="21">
      <c r="A70" s="210"/>
      <c r="B70" s="211"/>
      <c r="C70" s="211"/>
      <c r="D70" s="208">
        <f t="shared" si="7"/>
        <v>0</v>
      </c>
      <c r="E70" s="208">
        <f>D70/CHOOSE('Исходные данные'!$O$2,1,'Исходные данные'!$F$5,'Исходные данные'!$I$5,'Исходные данные'!$K$5)</f>
        <v>0</v>
      </c>
    </row>
    <row r="71" spans="1:5" ht="21">
      <c r="A71" s="210"/>
      <c r="B71" s="211"/>
      <c r="C71" s="211"/>
      <c r="D71" s="208">
        <f t="shared" si="7"/>
        <v>0</v>
      </c>
      <c r="E71" s="208">
        <f>D71/CHOOSE('Исходные данные'!$O$2,1,'Исходные данные'!$F$5,'Исходные данные'!$I$5,'Исходные данные'!$K$5)</f>
        <v>0</v>
      </c>
    </row>
    <row r="72" spans="1:5" ht="21">
      <c r="A72" s="210"/>
      <c r="B72" s="211"/>
      <c r="C72" s="211"/>
      <c r="D72" s="208">
        <f t="shared" si="7"/>
        <v>0</v>
      </c>
      <c r="E72" s="208">
        <f>D72/CHOOSE('Исходные данные'!$O$2,1,'Исходные данные'!$F$5,'Исходные данные'!$I$5,'Исходные данные'!$K$5)</f>
        <v>0</v>
      </c>
    </row>
    <row r="73" spans="1:5" ht="21">
      <c r="A73" s="210"/>
      <c r="B73" s="211"/>
      <c r="C73" s="211"/>
      <c r="D73" s="208">
        <f t="shared" si="7"/>
        <v>0</v>
      </c>
      <c r="E73" s="208">
        <f>D73/CHOOSE('Исходные данные'!$O$2,1,'Исходные данные'!$F$5,'Исходные данные'!$I$5,'Исходные данные'!$K$5)</f>
        <v>0</v>
      </c>
    </row>
    <row r="74" spans="1:5" ht="21">
      <c r="A74" s="210"/>
      <c r="B74" s="211"/>
      <c r="C74" s="211"/>
      <c r="D74" s="208">
        <f t="shared" si="7"/>
        <v>0</v>
      </c>
      <c r="E74" s="208">
        <f>D74/CHOOSE('Исходные данные'!$O$2,1,'Исходные данные'!$F$5,'Исходные данные'!$I$5,'Исходные данные'!$K$5)</f>
        <v>0</v>
      </c>
    </row>
    <row r="75" spans="1:5" ht="21">
      <c r="A75" s="210"/>
      <c r="B75" s="211"/>
      <c r="C75" s="211"/>
      <c r="D75" s="208">
        <f t="shared" si="7"/>
        <v>0</v>
      </c>
      <c r="E75" s="208">
        <f>D75/CHOOSE('Исходные данные'!$O$2,1,'Исходные данные'!$F$5,'Исходные данные'!$I$5,'Исходные данные'!$K$5)</f>
        <v>0</v>
      </c>
    </row>
    <row r="76" spans="1:5" ht="21">
      <c r="A76" s="210"/>
      <c r="B76" s="211"/>
      <c r="C76" s="211"/>
      <c r="D76" s="208">
        <f t="shared" si="7"/>
        <v>0</v>
      </c>
      <c r="E76" s="208">
        <f>D76/CHOOSE('Исходные данные'!$O$2,1,'Исходные данные'!$F$5,'Исходные данные'!$I$5,'Исходные данные'!$K$5)</f>
        <v>0</v>
      </c>
    </row>
    <row r="77" spans="1:5" ht="21">
      <c r="A77" s="210"/>
      <c r="B77" s="211"/>
      <c r="C77" s="211"/>
      <c r="D77" s="208">
        <f t="shared" si="7"/>
        <v>0</v>
      </c>
      <c r="E77" s="208">
        <f>D77/CHOOSE('Исходные данные'!$O$2,1,'Исходные данные'!$F$5,'Исходные данные'!$I$5,'Исходные данные'!$K$5)</f>
        <v>0</v>
      </c>
    </row>
    <row r="78" spans="1:5" ht="26.25">
      <c r="A78" s="202" t="s">
        <v>142</v>
      </c>
      <c r="B78" s="206"/>
      <c r="C78" s="206"/>
      <c r="D78" s="209">
        <f>SUM(D79:D93)</f>
        <v>0</v>
      </c>
      <c r="E78" s="209">
        <f>SUM(E79:E93)</f>
        <v>0</v>
      </c>
    </row>
    <row r="79" spans="1:5" ht="21">
      <c r="A79" s="210"/>
      <c r="B79" s="211"/>
      <c r="C79" s="211"/>
      <c r="D79" s="208">
        <f t="shared" ref="D79" si="8">B79*C79</f>
        <v>0</v>
      </c>
      <c r="E79" s="208">
        <f>D79/CHOOSE('Исходные данные'!$O$2,1,'Исходные данные'!$F$5,'Исходные данные'!$I$5,'Исходные данные'!$K$5)</f>
        <v>0</v>
      </c>
    </row>
    <row r="80" spans="1:5" ht="21">
      <c r="A80" s="210"/>
      <c r="B80" s="211"/>
      <c r="C80" s="211"/>
      <c r="D80" s="208">
        <f t="shared" ref="D80:D93" si="9">B80*C80</f>
        <v>0</v>
      </c>
      <c r="E80" s="208">
        <f>D80/CHOOSE('Исходные данные'!$O$2,1,'Исходные данные'!$F$5,'Исходные данные'!$I$5,'Исходные данные'!$K$5)</f>
        <v>0</v>
      </c>
    </row>
    <row r="81" spans="1:5" ht="21">
      <c r="A81" s="210"/>
      <c r="B81" s="211"/>
      <c r="C81" s="211"/>
      <c r="D81" s="208">
        <f t="shared" si="9"/>
        <v>0</v>
      </c>
      <c r="E81" s="208">
        <f>D81/CHOOSE('Исходные данные'!$O$2,1,'Исходные данные'!$F$5,'Исходные данные'!$I$5,'Исходные данные'!$K$5)</f>
        <v>0</v>
      </c>
    </row>
    <row r="82" spans="1:5" ht="21">
      <c r="A82" s="210"/>
      <c r="B82" s="211"/>
      <c r="C82" s="211"/>
      <c r="D82" s="208">
        <f t="shared" si="9"/>
        <v>0</v>
      </c>
      <c r="E82" s="208">
        <f>D82/CHOOSE('Исходные данные'!$O$2,1,'Исходные данные'!$F$5,'Исходные данные'!$I$5,'Исходные данные'!$K$5)</f>
        <v>0</v>
      </c>
    </row>
    <row r="83" spans="1:5" ht="21">
      <c r="A83" s="210"/>
      <c r="B83" s="211"/>
      <c r="C83" s="211"/>
      <c r="D83" s="208">
        <f t="shared" si="9"/>
        <v>0</v>
      </c>
      <c r="E83" s="208">
        <f>D83/CHOOSE('Исходные данные'!$O$2,1,'Исходные данные'!$F$5,'Исходные данные'!$I$5,'Исходные данные'!$K$5)</f>
        <v>0</v>
      </c>
    </row>
    <row r="84" spans="1:5" ht="21">
      <c r="A84" s="210"/>
      <c r="B84" s="211"/>
      <c r="C84" s="211"/>
      <c r="D84" s="208">
        <f t="shared" ref="D84:D88" si="10">B84*C84</f>
        <v>0</v>
      </c>
      <c r="E84" s="208">
        <f>D84/CHOOSE('Исходные данные'!$O$2,1,'Исходные данные'!$F$5,'Исходные данные'!$I$5,'Исходные данные'!$K$5)</f>
        <v>0</v>
      </c>
    </row>
    <row r="85" spans="1:5" ht="21">
      <c r="A85" s="210"/>
      <c r="B85" s="211"/>
      <c r="C85" s="211"/>
      <c r="D85" s="208">
        <f t="shared" si="10"/>
        <v>0</v>
      </c>
      <c r="E85" s="208">
        <f>D85/CHOOSE('Исходные данные'!$O$2,1,'Исходные данные'!$F$5,'Исходные данные'!$I$5,'Исходные данные'!$K$5)</f>
        <v>0</v>
      </c>
    </row>
    <row r="86" spans="1:5" ht="21">
      <c r="A86" s="210"/>
      <c r="B86" s="211"/>
      <c r="C86" s="211"/>
      <c r="D86" s="208">
        <f t="shared" si="10"/>
        <v>0</v>
      </c>
      <c r="E86" s="208">
        <f>D86/CHOOSE('Исходные данные'!$O$2,1,'Исходные данные'!$F$5,'Исходные данные'!$I$5,'Исходные данные'!$K$5)</f>
        <v>0</v>
      </c>
    </row>
    <row r="87" spans="1:5" ht="21">
      <c r="A87" s="210"/>
      <c r="B87" s="211"/>
      <c r="C87" s="211"/>
      <c r="D87" s="208">
        <f t="shared" si="10"/>
        <v>0</v>
      </c>
      <c r="E87" s="208">
        <f>D87/CHOOSE('Исходные данные'!$O$2,1,'Исходные данные'!$F$5,'Исходные данные'!$I$5,'Исходные данные'!$K$5)</f>
        <v>0</v>
      </c>
    </row>
    <row r="88" spans="1:5" ht="21">
      <c r="A88" s="210"/>
      <c r="B88" s="211"/>
      <c r="C88" s="211"/>
      <c r="D88" s="208">
        <f t="shared" si="10"/>
        <v>0</v>
      </c>
      <c r="E88" s="208">
        <f>D88/CHOOSE('Исходные данные'!$O$2,1,'Исходные данные'!$F$5,'Исходные данные'!$I$5,'Исходные данные'!$K$5)</f>
        <v>0</v>
      </c>
    </row>
    <row r="89" spans="1:5" ht="21">
      <c r="A89" s="210"/>
      <c r="B89" s="211"/>
      <c r="C89" s="211"/>
      <c r="D89" s="208">
        <f t="shared" si="9"/>
        <v>0</v>
      </c>
      <c r="E89" s="208">
        <f>D89/CHOOSE('Исходные данные'!$O$2,1,'Исходные данные'!$F$5,'Исходные данные'!$I$5,'Исходные данные'!$K$5)</f>
        <v>0</v>
      </c>
    </row>
    <row r="90" spans="1:5" ht="21">
      <c r="A90" s="210"/>
      <c r="B90" s="211"/>
      <c r="C90" s="211"/>
      <c r="D90" s="208">
        <f t="shared" si="9"/>
        <v>0</v>
      </c>
      <c r="E90" s="208">
        <f>D90/CHOOSE('Исходные данные'!$O$2,1,'Исходные данные'!$F$5,'Исходные данные'!$I$5,'Исходные данные'!$K$5)</f>
        <v>0</v>
      </c>
    </row>
    <row r="91" spans="1:5" ht="21">
      <c r="A91" s="210"/>
      <c r="B91" s="211"/>
      <c r="C91" s="211"/>
      <c r="D91" s="208">
        <f t="shared" si="9"/>
        <v>0</v>
      </c>
      <c r="E91" s="208">
        <f>D91/CHOOSE('Исходные данные'!$O$2,1,'Исходные данные'!$F$5,'Исходные данные'!$I$5,'Исходные данные'!$K$5)</f>
        <v>0</v>
      </c>
    </row>
    <row r="92" spans="1:5" ht="21">
      <c r="A92" s="210"/>
      <c r="B92" s="211"/>
      <c r="C92" s="211"/>
      <c r="D92" s="208">
        <f t="shared" si="9"/>
        <v>0</v>
      </c>
      <c r="E92" s="208">
        <f>D92/CHOOSE('Исходные данные'!$O$2,1,'Исходные данные'!$F$5,'Исходные данные'!$I$5,'Исходные данные'!$K$5)</f>
        <v>0</v>
      </c>
    </row>
    <row r="93" spans="1:5" ht="21">
      <c r="A93" s="210"/>
      <c r="B93" s="211"/>
      <c r="C93" s="211"/>
      <c r="D93" s="208">
        <f t="shared" si="9"/>
        <v>0</v>
      </c>
      <c r="E93" s="208">
        <f>D93/CHOOSE('Исходные данные'!$O$2,1,'Исходные данные'!$F$5,'Исходные данные'!$I$5,'Исходные данные'!$K$5)</f>
        <v>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showGridLines="0" tabSelected="1" topLeftCell="A49" zoomScale="60" zoomScaleNormal="60" zoomScaleSheetLayoutView="70" workbookViewId="0">
      <selection activeCell="D39" sqref="D39:E39"/>
    </sheetView>
  </sheetViews>
  <sheetFormatPr defaultRowHeight="34.15" customHeight="1"/>
  <cols>
    <col min="1" max="1" width="8.42578125" customWidth="1"/>
    <col min="2" max="2" width="24.42578125" customWidth="1"/>
    <col min="3" max="3" width="24" customWidth="1"/>
    <col min="4" max="4" width="23.42578125" customWidth="1"/>
    <col min="5" max="5" width="27.140625" customWidth="1"/>
    <col min="6" max="6" width="25.7109375" customWidth="1"/>
    <col min="7" max="7" width="23.42578125" customWidth="1"/>
    <col min="8" max="8" width="25" customWidth="1"/>
    <col min="9" max="9" width="18.7109375" customWidth="1"/>
    <col min="10" max="10" width="40.85546875" customWidth="1"/>
    <col min="11" max="11" width="11.85546875" customWidth="1"/>
    <col min="12" max="13" width="9.140625" hidden="1" customWidth="1"/>
    <col min="14" max="14" width="1.7109375" hidden="1" customWidth="1"/>
    <col min="15" max="15" width="15.85546875" hidden="1" customWidth="1"/>
    <col min="16" max="16" width="6.140625" customWidth="1"/>
    <col min="17" max="17" width="11.85546875" bestFit="1" customWidth="1"/>
    <col min="18" max="18" width="8.85546875" customWidth="1"/>
  </cols>
  <sheetData>
    <row r="1" spans="1:18" ht="59.45" customHeight="1">
      <c r="A1" s="290" t="s">
        <v>156</v>
      </c>
      <c r="B1" s="290"/>
      <c r="C1" s="290"/>
      <c r="D1" s="290"/>
      <c r="E1" s="290"/>
      <c r="F1" s="290"/>
      <c r="G1" s="290"/>
      <c r="H1" s="290"/>
      <c r="I1" s="290"/>
      <c r="J1" s="290"/>
      <c r="K1" s="12"/>
      <c r="L1" s="13">
        <f>D60</f>
        <v>229225.21325301204</v>
      </c>
      <c r="M1" s="14">
        <f>I60</f>
        <v>0.10899448585320269</v>
      </c>
      <c r="N1" s="176">
        <v>1</v>
      </c>
      <c r="O1" s="176" t="s">
        <v>116</v>
      </c>
      <c r="P1" s="16"/>
      <c r="Q1" s="16"/>
      <c r="R1" s="15"/>
    </row>
    <row r="2" spans="1:18" ht="34.15" customHeight="1">
      <c r="A2" s="332" t="s">
        <v>48</v>
      </c>
      <c r="B2" s="332"/>
      <c r="C2" s="332"/>
      <c r="D2" s="332"/>
      <c r="E2" s="17" t="str">
        <f>CHOOSE('Исходные данные'!$O$2,'Исходные данные'!$P$2,'Исходные данные'!$P$3,'Исходные данные'!$P$4,'Исходные данные'!$P$5)</f>
        <v>RUB</v>
      </c>
      <c r="F2" s="333"/>
      <c r="G2" s="333"/>
      <c r="H2" s="333"/>
      <c r="J2" s="18"/>
      <c r="K2" s="18"/>
      <c r="L2" s="13">
        <f>D62</f>
        <v>416172.17734939797</v>
      </c>
      <c r="M2" s="14">
        <f>I62</f>
        <v>0.15116295647922876</v>
      </c>
      <c r="N2" s="176"/>
      <c r="O2" s="176" t="s">
        <v>118</v>
      </c>
      <c r="P2" s="16"/>
      <c r="Q2" s="16"/>
      <c r="R2" s="15"/>
    </row>
    <row r="3" spans="1:18" ht="34.15" customHeight="1">
      <c r="A3" s="19" t="s">
        <v>23</v>
      </c>
      <c r="B3" s="20"/>
      <c r="E3" s="17" t="str">
        <f>CHOOSE('Исходные данные'!$Q$2,'Исходные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январь</v>
      </c>
      <c r="H3" s="21" t="s">
        <v>120</v>
      </c>
      <c r="J3" s="18"/>
      <c r="K3" s="18"/>
      <c r="L3" s="13">
        <f>D64</f>
        <v>548134.74024096422</v>
      </c>
      <c r="M3" s="14">
        <f>I64</f>
        <v>0.17065258576016509</v>
      </c>
      <c r="N3" s="176"/>
      <c r="O3" s="176" t="s">
        <v>119</v>
      </c>
    </row>
    <row r="4" spans="1:18" ht="17.649999999999999" customHeight="1">
      <c r="A4" s="22"/>
      <c r="L4" s="13">
        <f>D66</f>
        <v>1</v>
      </c>
      <c r="M4" s="23"/>
      <c r="N4" s="15"/>
      <c r="O4" s="15" t="s">
        <v>177</v>
      </c>
    </row>
    <row r="5" spans="1:18" ht="34.15" customHeight="1">
      <c r="A5" s="22" t="s">
        <v>49</v>
      </c>
      <c r="L5" s="13">
        <f>D68</f>
        <v>5</v>
      </c>
      <c r="M5" s="23"/>
      <c r="N5" s="15"/>
      <c r="O5" s="15"/>
    </row>
    <row r="6" spans="1:18" s="24" customFormat="1" ht="86.1" customHeight="1">
      <c r="A6" s="309" t="str">
        <f>'Исходные данные'!A8</f>
        <v>Группы товаров</v>
      </c>
      <c r="B6" s="311"/>
      <c r="C6" s="219" t="str">
        <f>"Средняя стоимость за единицу, "&amp;CHOOSE('Исходные данные'!$O$2,'Исходные данные'!$P$2,'Исходные данные'!$P$3,'Исходные данные'!$P$4,'Исходные данные'!$P$5)&amp;""</f>
        <v>Средняя стоимость за единицу, RUB</v>
      </c>
      <c r="D6" s="217" t="s">
        <v>179</v>
      </c>
      <c r="E6" s="217" t="s">
        <v>180</v>
      </c>
      <c r="F6" s="335" t="str">
        <f>"Среднемесячная выручка за 1-й год работы*, "&amp;CHOOSE('Исходные данные'!$O$2,'Исходные данные'!$P$2,'Исходные данные'!$P$3,'Исходные данные'!$P$4,'Исходные данные'!$P$5)&amp;"/мес."</f>
        <v>Среднемесячная выручка за 1-й год работы*, RUB/мес.</v>
      </c>
      <c r="G6" s="335"/>
      <c r="H6" s="335" t="str">
        <f>"Среднемесячная себестоимость за 1-й год работы*, "&amp;CHOOSE('Исходные данные'!$O$2,'Исходные данные'!$P$2,'Исходные данные'!$P$3,'Исходные данные'!$P$4,'Исходные данные'!$P$5)&amp;"/мес."</f>
        <v>Среднемесячная себестоимость за 1-й год работы*, RUB/мес.</v>
      </c>
      <c r="I6" s="335"/>
      <c r="J6" s="184" t="str">
        <f>"Среднемесячная валовая прибыль (выручка - себестоимость) за 1-й год работы*, "&amp;CHOOSE('Исходные данные'!$O$2,'Исходные данные'!$P$2,'Исходные данные'!$P$3,'Исходные данные'!$P$4,'Исходные данные'!$P$5)&amp;"/мес."</f>
        <v>Среднемесячная валовая прибыль (выручка - себестоимость) за 1-й год работы*, RUB/мес.</v>
      </c>
      <c r="L6" s="13">
        <f>D25</f>
        <v>500000</v>
      </c>
      <c r="N6" s="25"/>
      <c r="O6" s="26"/>
      <c r="P6" s="15"/>
      <c r="Q6" s="27"/>
    </row>
    <row r="7" spans="1:18" s="24" customFormat="1" ht="32.450000000000003" customHeight="1">
      <c r="A7" s="327" t="str">
        <f>'Исходные данные'!A10</f>
        <v>Бургеры</v>
      </c>
      <c r="B7" s="328"/>
      <c r="C7" s="220">
        <f>'Исходные данные'!D10</f>
        <v>238</v>
      </c>
      <c r="D7" s="218">
        <f>'Исходные данные'!E10</f>
        <v>33</v>
      </c>
      <c r="E7" s="220">
        <f>'Исходные данные'!G10</f>
        <v>990</v>
      </c>
      <c r="F7" s="283">
        <f>'Детальный расчет'!P16</f>
        <v>215985</v>
      </c>
      <c r="G7" s="283"/>
      <c r="H7" s="283">
        <f>'Детальный расчет'!P26</f>
        <v>130111.4457831325</v>
      </c>
      <c r="I7" s="283"/>
      <c r="J7" s="218">
        <f>F7-H7</f>
        <v>85873.554216867502</v>
      </c>
      <c r="L7" s="13">
        <f>D27-D25</f>
        <v>250000</v>
      </c>
      <c r="N7" s="25"/>
      <c r="O7" s="26"/>
      <c r="P7" s="15"/>
      <c r="Q7" s="27"/>
    </row>
    <row r="8" spans="1:18" s="24" customFormat="1" ht="32.450000000000003" customHeight="1">
      <c r="A8" s="327" t="str">
        <f>'Исходные данные'!A11</f>
        <v>Пицца</v>
      </c>
      <c r="B8" s="328"/>
      <c r="C8" s="220">
        <f>'Исходные данные'!D11</f>
        <v>298</v>
      </c>
      <c r="D8" s="218">
        <f>'Исходные данные'!E11</f>
        <v>32</v>
      </c>
      <c r="E8" s="220">
        <f>'Исходные данные'!G11</f>
        <v>960</v>
      </c>
      <c r="F8" s="283">
        <f>'Детальный расчет'!P17</f>
        <v>262240</v>
      </c>
      <c r="G8" s="283"/>
      <c r="H8" s="283">
        <f>'Детальный расчет'!P27</f>
        <v>157975.90361445784</v>
      </c>
      <c r="I8" s="283"/>
      <c r="J8" s="218">
        <f t="shared" ref="J8:J13" si="0">F8-H8</f>
        <v>104264.09638554216</v>
      </c>
      <c r="L8" s="13"/>
      <c r="N8" s="25"/>
      <c r="O8" s="26"/>
      <c r="P8" s="15"/>
      <c r="Q8" s="27"/>
    </row>
    <row r="9" spans="1:18" s="24" customFormat="1" ht="32.450000000000003" customHeight="1">
      <c r="A9" s="327" t="str">
        <f>'Исходные данные'!A12</f>
        <v>Обеды и ужины</v>
      </c>
      <c r="B9" s="328"/>
      <c r="C9" s="220">
        <f>'Исходные данные'!D12</f>
        <v>308</v>
      </c>
      <c r="D9" s="218">
        <f>'Исходные данные'!E12</f>
        <v>110</v>
      </c>
      <c r="E9" s="220">
        <f>'Исходные данные'!G12</f>
        <v>3300</v>
      </c>
      <c r="F9" s="283">
        <f>'Детальный расчет'!P18</f>
        <v>931700</v>
      </c>
      <c r="G9" s="283"/>
      <c r="H9" s="283">
        <f>'Детальный расчет'!P28</f>
        <v>561265.06024096371</v>
      </c>
      <c r="I9" s="283"/>
      <c r="J9" s="218">
        <f t="shared" si="0"/>
        <v>370434.93975903629</v>
      </c>
      <c r="L9" s="13"/>
      <c r="N9" s="25"/>
      <c r="O9" s="26"/>
      <c r="P9" s="15"/>
      <c r="Q9" s="27"/>
    </row>
    <row r="10" spans="1:18" s="24" customFormat="1" ht="32.450000000000003" customHeight="1">
      <c r="A10" s="327" t="str">
        <f>'Исходные данные'!A13</f>
        <v>Суши и роллы</v>
      </c>
      <c r="B10" s="328"/>
      <c r="C10" s="220">
        <f>'Исходные данные'!D13</f>
        <v>193</v>
      </c>
      <c r="D10" s="218">
        <f>'Исходные данные'!E13</f>
        <v>65</v>
      </c>
      <c r="E10" s="220">
        <f>'Исходные данные'!G13</f>
        <v>1950</v>
      </c>
      <c r="F10" s="283">
        <f>'Детальный расчет'!P19</f>
        <v>344987.5</v>
      </c>
      <c r="G10" s="283"/>
      <c r="H10" s="283">
        <f>'Детальный расчет'!P29</f>
        <v>207823.79518072287</v>
      </c>
      <c r="I10" s="283"/>
      <c r="J10" s="218">
        <f t="shared" si="0"/>
        <v>137163.70481927713</v>
      </c>
      <c r="L10" s="13"/>
      <c r="N10" s="25"/>
      <c r="O10" s="26"/>
      <c r="P10" s="15"/>
      <c r="Q10" s="27"/>
    </row>
    <row r="11" spans="1:18" s="24" customFormat="1" ht="32.450000000000003" customHeight="1">
      <c r="A11" s="327" t="str">
        <f>'Исходные данные'!A14</f>
        <v>Супы</v>
      </c>
      <c r="B11" s="328"/>
      <c r="C11" s="220">
        <f>'Исходные данные'!D14</f>
        <v>130</v>
      </c>
      <c r="D11" s="218">
        <f>'Исходные данные'!E14</f>
        <v>40</v>
      </c>
      <c r="E11" s="220">
        <f>'Исходные данные'!G14</f>
        <v>1200</v>
      </c>
      <c r="F11" s="283">
        <f>'Детальный расчет'!P20</f>
        <v>143000</v>
      </c>
      <c r="G11" s="283"/>
      <c r="H11" s="283">
        <f>'Детальный расчет'!P30</f>
        <v>86144.57831325299</v>
      </c>
      <c r="I11" s="283"/>
      <c r="J11" s="218">
        <f t="shared" si="0"/>
        <v>56855.42168674701</v>
      </c>
      <c r="L11" s="13"/>
      <c r="N11" s="25"/>
      <c r="O11" s="26"/>
      <c r="P11" s="15"/>
      <c r="Q11" s="27"/>
    </row>
    <row r="12" spans="1:18" s="24" customFormat="1" ht="32.450000000000003" customHeight="1">
      <c r="A12" s="327" t="str">
        <f>'Исходные данные'!A15</f>
        <v>Закуски и салаты</v>
      </c>
      <c r="B12" s="328"/>
      <c r="C12" s="220">
        <f>'Исходные данные'!D15</f>
        <v>126</v>
      </c>
      <c r="D12" s="218">
        <f>'Исходные данные'!E15</f>
        <v>36</v>
      </c>
      <c r="E12" s="220">
        <f>'Исходные данные'!G15</f>
        <v>1080</v>
      </c>
      <c r="F12" s="283">
        <f>'Детальный расчет'!P21</f>
        <v>124740</v>
      </c>
      <c r="G12" s="283"/>
      <c r="H12" s="283">
        <f>'Детальный расчет'!P31</f>
        <v>75144.57831325299</v>
      </c>
      <c r="I12" s="283"/>
      <c r="J12" s="218">
        <f t="shared" si="0"/>
        <v>49595.42168674701</v>
      </c>
      <c r="L12" s="13"/>
      <c r="N12" s="25"/>
      <c r="O12" s="26"/>
      <c r="P12" s="15"/>
      <c r="Q12" s="27"/>
    </row>
    <row r="13" spans="1:18" s="24" customFormat="1" ht="32.450000000000003" customHeight="1">
      <c r="A13" s="327" t="str">
        <f>'Исходные данные'!A16</f>
        <v>Десерты</v>
      </c>
      <c r="B13" s="328"/>
      <c r="C13" s="220">
        <f>'Исходные данные'!D16</f>
        <v>195</v>
      </c>
      <c r="D13" s="218">
        <f>'Исходные данные'!E16</f>
        <v>15</v>
      </c>
      <c r="E13" s="220">
        <f>'Исходные данные'!G16</f>
        <v>450</v>
      </c>
      <c r="F13" s="283">
        <f>'Детальный расчет'!P22</f>
        <v>80437.5</v>
      </c>
      <c r="G13" s="283"/>
      <c r="H13" s="283">
        <f>'Детальный расчет'!P32</f>
        <v>48456.325301204815</v>
      </c>
      <c r="I13" s="283"/>
      <c r="J13" s="218">
        <f t="shared" si="0"/>
        <v>31981.174698795185</v>
      </c>
      <c r="L13" s="13"/>
      <c r="N13" s="25"/>
      <c r="O13" s="26"/>
      <c r="P13" s="15"/>
      <c r="Q13" s="27"/>
    </row>
    <row r="14" spans="1:18" s="24" customFormat="1" ht="32.450000000000003" customHeight="1">
      <c r="A14" s="327" t="str">
        <f>'Исходные данные'!A17</f>
        <v>ИТОГО:</v>
      </c>
      <c r="B14" s="328"/>
      <c r="C14" s="220"/>
      <c r="D14" s="218">
        <f>SUM(D7:D13)</f>
        <v>331</v>
      </c>
      <c r="E14" s="220">
        <f>SUM(E7:E13)</f>
        <v>9930</v>
      </c>
      <c r="F14" s="283">
        <f>SUM(F7:G13)</f>
        <v>2103090</v>
      </c>
      <c r="G14" s="283"/>
      <c r="H14" s="283">
        <f>SUM(H7:I13)</f>
        <v>1266921.6867469875</v>
      </c>
      <c r="I14" s="283"/>
      <c r="J14" s="218">
        <f>SUM(J7:J13)</f>
        <v>836168.31325301225</v>
      </c>
      <c r="L14" s="13"/>
      <c r="N14" s="25"/>
      <c r="O14" s="26"/>
      <c r="P14" s="15"/>
      <c r="Q14" s="27"/>
    </row>
    <row r="15" spans="1:18" ht="34.15" customHeight="1">
      <c r="A15" s="334" t="s">
        <v>136</v>
      </c>
      <c r="B15" s="334"/>
      <c r="C15" s="334"/>
      <c r="D15" s="334"/>
      <c r="E15" s="334"/>
      <c r="F15" s="334"/>
      <c r="G15" s="334"/>
      <c r="H15" s="334"/>
      <c r="I15" s="334"/>
      <c r="J15" s="334"/>
    </row>
    <row r="16" spans="1:18" ht="34.15" customHeight="1">
      <c r="A16" s="28" t="s">
        <v>54</v>
      </c>
      <c r="G16" s="29"/>
      <c r="H16" s="29"/>
      <c r="I16" s="29"/>
    </row>
    <row r="17" spans="1:25" ht="42" customHeight="1">
      <c r="A17" s="30"/>
      <c r="B17" s="240" t="str">
        <f>'Исходные данные'!B42:C42</f>
        <v>Ремонт помещения</v>
      </c>
      <c r="C17" s="240"/>
      <c r="D17" s="238">
        <f>'Исходные данные'!H42</f>
        <v>0</v>
      </c>
      <c r="E17" s="238"/>
      <c r="F17" s="238"/>
      <c r="G17" s="238"/>
      <c r="H17" s="238"/>
      <c r="I17" s="238"/>
      <c r="J17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17" s="32"/>
      <c r="N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5" ht="42" customHeight="1">
      <c r="A18" s="30"/>
      <c r="B18" s="240" t="str">
        <f>'Исходные данные'!B43:C43</f>
        <v>Мебель</v>
      </c>
      <c r="C18" s="240"/>
      <c r="D18" s="238">
        <f>'Исходные данные'!H43</f>
        <v>0</v>
      </c>
      <c r="E18" s="238"/>
      <c r="F18" s="238"/>
      <c r="G18" s="238"/>
      <c r="H18" s="238"/>
      <c r="I18" s="238"/>
      <c r="J18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5" ht="42" customHeight="1">
      <c r="A19" s="30"/>
      <c r="B19" s="240" t="s">
        <v>144</v>
      </c>
      <c r="C19" s="240"/>
      <c r="D19" s="238">
        <f>'Исходные данные'!H44</f>
        <v>200000</v>
      </c>
      <c r="E19" s="238"/>
      <c r="F19" s="238"/>
      <c r="G19" s="238"/>
      <c r="H19" s="238"/>
      <c r="I19" s="238"/>
      <c r="J19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5" ht="42" customHeight="1">
      <c r="A20" s="34"/>
      <c r="B20" s="240" t="str">
        <f>'Исходные данные'!B45:C45</f>
        <v>Видеонаблюдение</v>
      </c>
      <c r="C20" s="240"/>
      <c r="D20" s="238">
        <f>'Исходные данные'!H45</f>
        <v>0</v>
      </c>
      <c r="E20" s="238"/>
      <c r="F20" s="238"/>
      <c r="G20" s="238"/>
      <c r="H20" s="238"/>
      <c r="I20" s="238"/>
      <c r="J20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5" ht="42" customHeight="1">
      <c r="A21" s="34"/>
      <c r="B21" s="240" t="str">
        <f>'Исходные данные'!B46:C46</f>
        <v>Сигнализация (охранная и пожарная)</v>
      </c>
      <c r="C21" s="240"/>
      <c r="D21" s="238">
        <f>'Исходные данные'!H46</f>
        <v>0</v>
      </c>
      <c r="E21" s="238"/>
      <c r="F21" s="238"/>
      <c r="G21" s="238"/>
      <c r="H21" s="238"/>
      <c r="I21" s="238"/>
      <c r="J21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5" ht="42" customHeight="1">
      <c r="A22" s="34"/>
      <c r="B22" s="240" t="str">
        <f>'Исходные данные'!B47:C47</f>
        <v>Первоначальная закупка товара</v>
      </c>
      <c r="C22" s="240"/>
      <c r="D22" s="238">
        <f>'Исходные данные'!H47</f>
        <v>0</v>
      </c>
      <c r="E22" s="238"/>
      <c r="F22" s="238"/>
      <c r="G22" s="238"/>
      <c r="H22" s="238"/>
      <c r="I22" s="238"/>
      <c r="J22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5" ht="42" customHeight="1">
      <c r="A23" s="34"/>
      <c r="B23" s="240" t="str">
        <f>'Исходные данные'!B48:C48</f>
        <v>Авансовый платеж по аренде</v>
      </c>
      <c r="C23" s="240"/>
      <c r="D23" s="238">
        <f>'Исходные данные'!H48</f>
        <v>0</v>
      </c>
      <c r="E23" s="238"/>
      <c r="F23" s="238"/>
      <c r="G23" s="238"/>
      <c r="H23" s="238"/>
      <c r="I23" s="238"/>
      <c r="J23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5" ht="42" customHeight="1">
      <c r="A24" s="30"/>
      <c r="B24" s="240" t="s">
        <v>61</v>
      </c>
      <c r="C24" s="268"/>
      <c r="D24" s="238">
        <f>'Исходные данные'!H49</f>
        <v>50000</v>
      </c>
      <c r="E24" s="238"/>
      <c r="F24" s="238"/>
      <c r="G24" s="238"/>
      <c r="H24" s="238"/>
      <c r="I24" s="238"/>
      <c r="J24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4" s="32"/>
      <c r="N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5" ht="42" customHeight="1">
      <c r="A25" s="30"/>
      <c r="B25" s="240" t="s">
        <v>22</v>
      </c>
      <c r="C25" s="268"/>
      <c r="D25" s="238">
        <f>'Исходные данные'!H50</f>
        <v>500000</v>
      </c>
      <c r="E25" s="238"/>
      <c r="F25" s="238"/>
      <c r="G25" s="238"/>
      <c r="H25" s="238"/>
      <c r="I25" s="238"/>
      <c r="J25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5" ht="42" customHeight="1">
      <c r="A26" s="30"/>
      <c r="B26" s="240" t="s">
        <v>2</v>
      </c>
      <c r="C26" s="268"/>
      <c r="D26" s="238">
        <f>'Исходные данные'!H51</f>
        <v>0</v>
      </c>
      <c r="E26" s="238"/>
      <c r="F26" s="238"/>
      <c r="G26" s="238"/>
      <c r="H26" s="238"/>
      <c r="I26" s="238"/>
      <c r="J26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5" ht="42" customHeight="1">
      <c r="A27" s="30"/>
      <c r="B27" s="291" t="s">
        <v>0</v>
      </c>
      <c r="C27" s="324"/>
      <c r="D27" s="241">
        <f>SUM(D17:I26)</f>
        <v>750000</v>
      </c>
      <c r="E27" s="241"/>
      <c r="F27" s="241"/>
      <c r="G27" s="241"/>
      <c r="H27" s="241"/>
      <c r="I27" s="241"/>
      <c r="J27" s="31" t="str">
        <f>""&amp;CHOOSE('Исходные данные'!$O$2,'Исходные данные'!$P$2,'Исходные данные'!$P$3,'Исходные данные'!$P$4,'Исходные данные'!$P$5)&amp;""</f>
        <v>RUB</v>
      </c>
      <c r="K27" s="32"/>
      <c r="L27" s="35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5" ht="34.15" customHeight="1">
      <c r="A28" s="322"/>
      <c r="B28" s="322"/>
      <c r="C28" s="322"/>
      <c r="D28" s="322"/>
      <c r="E28" s="322"/>
      <c r="F28" s="322"/>
      <c r="G28" s="322"/>
      <c r="H28" s="322"/>
      <c r="I28" s="322"/>
      <c r="J28" s="322"/>
      <c r="K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5" ht="34.15" customHeight="1">
      <c r="A29" s="22" t="s">
        <v>62</v>
      </c>
      <c r="B29" s="36"/>
      <c r="C29" s="36"/>
      <c r="D29" s="36"/>
      <c r="E29" s="36"/>
      <c r="F29" s="36"/>
      <c r="G29" s="36"/>
      <c r="H29" s="36"/>
      <c r="I29" s="36"/>
      <c r="J29" s="36"/>
      <c r="K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5" ht="76.900000000000006" customHeight="1">
      <c r="A30" s="237" t="s">
        <v>63</v>
      </c>
      <c r="B30" s="237"/>
      <c r="C30" s="237"/>
      <c r="D30" s="214" t="str">
        <f>'Исходные данные'!D55</f>
        <v>Общее количество сотрудников на каждой должности, чел.</v>
      </c>
      <c r="E30" s="214" t="str">
        <f>'Исходные данные'!E55</f>
        <v>Количество сотрудников на смене, чел.</v>
      </c>
      <c r="F30" s="214" t="str">
        <f>"Фиксированный оклад в день, "&amp;CHOOSE('Исходные данные'!$O$2,'Исходные данные'!$P$2,'Исходные данные'!$P$3,'Исходные данные'!$P$4,'Исходные данные'!$P$5)&amp;"/день"</f>
        <v>Фиксированный оклад в день, RUB/день</v>
      </c>
      <c r="G30" s="214" t="str">
        <f>'Исходные данные'!H55</f>
        <v>Количество смен в месяц у каждого сотрудника, шт./мес.</v>
      </c>
      <c r="H30" s="237" t="s">
        <v>78</v>
      </c>
      <c r="I30" s="237"/>
      <c r="J30" s="214" t="s">
        <v>79</v>
      </c>
      <c r="L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24" customFormat="1" ht="39.950000000000003" customHeight="1">
      <c r="A31" s="323" t="str">
        <f>'Исходные данные'!A57</f>
        <v>Менеджер</v>
      </c>
      <c r="B31" s="323"/>
      <c r="C31" s="323"/>
      <c r="D31" s="216">
        <f>'Исходные данные'!D57</f>
        <v>1</v>
      </c>
      <c r="E31" s="216">
        <f>'Исходные данные'!E57</f>
        <v>1</v>
      </c>
      <c r="F31" s="216">
        <f>'Исходные данные'!G57</f>
        <v>1100</v>
      </c>
      <c r="G31" s="216">
        <f>'Исходные данные'!H57</f>
        <v>24</v>
      </c>
      <c r="H31" s="325">
        <f>'Исходные данные'!I57</f>
        <v>0</v>
      </c>
      <c r="I31" s="326"/>
      <c r="J31" s="213" t="str">
        <f>'Исходные данные'!K57</f>
        <v>общая выручка</v>
      </c>
      <c r="L31" s="32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s="24" customFormat="1" ht="39.950000000000003" customHeight="1">
      <c r="A32" s="323" t="str">
        <f>'Исходные данные'!A58</f>
        <v>Повар</v>
      </c>
      <c r="B32" s="323"/>
      <c r="C32" s="323"/>
      <c r="D32" s="216">
        <f>'Исходные данные'!D58</f>
        <v>8</v>
      </c>
      <c r="E32" s="216">
        <f>'Исходные данные'!E58</f>
        <v>4</v>
      </c>
      <c r="F32" s="216">
        <f>'Исходные данные'!G58</f>
        <v>1200</v>
      </c>
      <c r="G32" s="216">
        <f>'Исходные данные'!H58</f>
        <v>15</v>
      </c>
      <c r="H32" s="325">
        <f>'Исходные данные'!I58</f>
        <v>0</v>
      </c>
      <c r="I32" s="326"/>
      <c r="J32" s="213" t="str">
        <f>'Исходные данные'!K58</f>
        <v>общая выручка</v>
      </c>
      <c r="L32" s="32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s="24" customFormat="1" ht="39.950000000000003" customHeight="1">
      <c r="A33" s="323" t="str">
        <f>'Исходные данные'!A59</f>
        <v>Водитель-курьер</v>
      </c>
      <c r="B33" s="323"/>
      <c r="C33" s="323"/>
      <c r="D33" s="216">
        <f>'Исходные данные'!D59</f>
        <v>6</v>
      </c>
      <c r="E33" s="216">
        <f>'Исходные данные'!E59</f>
        <v>4</v>
      </c>
      <c r="F33" s="216">
        <f>'Исходные данные'!G59</f>
        <v>1100</v>
      </c>
      <c r="G33" s="216">
        <f>'Исходные данные'!H59</f>
        <v>22</v>
      </c>
      <c r="H33" s="325">
        <f>'Исходные данные'!I59</f>
        <v>0</v>
      </c>
      <c r="I33" s="326"/>
      <c r="J33" s="213" t="str">
        <f>'Исходные данные'!K59</f>
        <v>общая выручка</v>
      </c>
      <c r="L33" s="32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s="24" customFormat="1" ht="39.950000000000003" customHeight="1">
      <c r="A34" s="323" t="str">
        <f>'Исходные данные'!A60</f>
        <v>Оператор\сборщик</v>
      </c>
      <c r="B34" s="323"/>
      <c r="C34" s="323"/>
      <c r="D34" s="216">
        <f>'Исходные данные'!D60</f>
        <v>2</v>
      </c>
      <c r="E34" s="216">
        <f>'Исходные данные'!E60</f>
        <v>1</v>
      </c>
      <c r="F34" s="216">
        <f>'Исходные данные'!G60</f>
        <v>1000</v>
      </c>
      <c r="G34" s="216">
        <f>'Исходные данные'!H60</f>
        <v>15</v>
      </c>
      <c r="H34" s="325">
        <f>'Исходные данные'!I60</f>
        <v>0</v>
      </c>
      <c r="I34" s="326"/>
      <c r="J34" s="213" t="str">
        <f>'Исходные данные'!K60</f>
        <v>общая выручка</v>
      </c>
      <c r="L34" s="3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s="24" customFormat="1" ht="39.950000000000003" customHeight="1">
      <c r="A35" s="323">
        <f>'Исходные данные'!A61</f>
        <v>0</v>
      </c>
      <c r="B35" s="323"/>
      <c r="C35" s="323"/>
      <c r="D35" s="216">
        <f>'Исходные данные'!D61</f>
        <v>0</v>
      </c>
      <c r="E35" s="216">
        <f>'Исходные данные'!E61</f>
        <v>0</v>
      </c>
      <c r="F35" s="216">
        <f>'Исходные данные'!G61</f>
        <v>0</v>
      </c>
      <c r="G35" s="216">
        <f>'Исходные данные'!H61</f>
        <v>0</v>
      </c>
      <c r="H35" s="325">
        <f>'Исходные данные'!I61</f>
        <v>0</v>
      </c>
      <c r="I35" s="326"/>
      <c r="J35" s="213" t="str">
        <f>'Исходные данные'!K61</f>
        <v>общая выручка</v>
      </c>
      <c r="L35" s="3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34.15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5" ht="34.15" customHeight="1">
      <c r="A37" s="22" t="s">
        <v>1</v>
      </c>
      <c r="L37" s="24"/>
    </row>
    <row r="38" spans="1:25" ht="22.15" customHeight="1">
      <c r="A38" s="22"/>
      <c r="D38" s="318" t="s">
        <v>69</v>
      </c>
      <c r="E38" s="318"/>
      <c r="G38" s="318" t="s">
        <v>76</v>
      </c>
      <c r="H38" s="318"/>
      <c r="I38" s="318"/>
      <c r="J38" s="38"/>
      <c r="L38" s="24"/>
    </row>
    <row r="39" spans="1:25" ht="42" customHeight="1">
      <c r="B39" s="315" t="s">
        <v>138</v>
      </c>
      <c r="C39" s="316"/>
      <c r="D39" s="317">
        <f>G39/'Детальный расчет'!$P$23</f>
        <v>0.6024096385542167</v>
      </c>
      <c r="E39" s="317"/>
      <c r="G39" s="238">
        <f>'Детальный расчет'!P33</f>
        <v>1266921.6867469875</v>
      </c>
      <c r="H39" s="238"/>
      <c r="I39" s="238"/>
      <c r="J39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0" spans="1:25" ht="42" customHeight="1">
      <c r="B40" s="240" t="s">
        <v>44</v>
      </c>
      <c r="C40" s="268"/>
      <c r="D40" s="317">
        <f>G40/'Детальный расчет'!$P$23</f>
        <v>9.9948171500030908E-2</v>
      </c>
      <c r="E40" s="317"/>
      <c r="G40" s="238">
        <f>'Детальный расчет'!P53</f>
        <v>210200</v>
      </c>
      <c r="H40" s="238"/>
      <c r="I40" s="238"/>
      <c r="J40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1" spans="1:25" ht="42" customHeight="1">
      <c r="A41" s="40"/>
      <c r="B41" s="315" t="str">
        <f>'Исходные данные'!B67</f>
        <v>Роялти</v>
      </c>
      <c r="C41" s="316"/>
      <c r="D41" s="317">
        <f>G41/'Детальный расчет'!$P$23</f>
        <v>0.05</v>
      </c>
      <c r="E41" s="317"/>
      <c r="F41" s="41"/>
      <c r="G41" s="238">
        <f>'Детальный расчет'!P54</f>
        <v>105154.5</v>
      </c>
      <c r="H41" s="238"/>
      <c r="I41" s="238"/>
      <c r="J41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2" spans="1:25" ht="42" customHeight="1">
      <c r="A42" s="30"/>
      <c r="B42" s="315" t="str">
        <f>'Исходные данные'!B69</f>
        <v>Аренда</v>
      </c>
      <c r="C42" s="316"/>
      <c r="D42" s="317">
        <f>G42/'Детальный расчет'!$P$23</f>
        <v>0</v>
      </c>
      <c r="E42" s="317"/>
      <c r="F42" s="42"/>
      <c r="G42" s="238">
        <f>'Детальный расчет'!P55</f>
        <v>0</v>
      </c>
      <c r="H42" s="238"/>
      <c r="I42" s="238"/>
      <c r="J42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  <c r="K42" s="43"/>
      <c r="L42" s="3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42" customHeight="1">
      <c r="A43" s="30"/>
      <c r="B43" s="315" t="str">
        <f>'Исходные данные'!B70</f>
        <v>Коммунальные платежи</v>
      </c>
      <c r="C43" s="316"/>
      <c r="D43" s="317">
        <f>G43/'Детальный расчет'!$P$23</f>
        <v>0</v>
      </c>
      <c r="E43" s="317"/>
      <c r="F43" s="42"/>
      <c r="G43" s="238">
        <f>'Детальный расчет'!P56</f>
        <v>0</v>
      </c>
      <c r="H43" s="238"/>
      <c r="I43" s="238"/>
      <c r="J43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  <c r="K43" s="43"/>
      <c r="L43" s="3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42" customHeight="1">
      <c r="B44" s="315" t="str">
        <f>'Исходные данные'!B71</f>
        <v>Хозяйственные нужды</v>
      </c>
      <c r="C44" s="316"/>
      <c r="D44" s="317">
        <f>G44/'Детальный расчет'!$P$23</f>
        <v>0</v>
      </c>
      <c r="E44" s="317"/>
      <c r="G44" s="238">
        <f>'Детальный расчет'!P57</f>
        <v>0</v>
      </c>
      <c r="H44" s="238"/>
      <c r="I44" s="238"/>
      <c r="J44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5" spans="1:25" ht="42" customHeight="1">
      <c r="B45" s="315" t="s">
        <v>123</v>
      </c>
      <c r="C45" s="316"/>
      <c r="D45" s="317">
        <f>G45/'Детальный расчет'!$P$23</f>
        <v>0</v>
      </c>
      <c r="E45" s="317"/>
      <c r="G45" s="238">
        <f>'Детальный расчет'!P58</f>
        <v>0</v>
      </c>
      <c r="H45" s="238"/>
      <c r="I45" s="238"/>
      <c r="J45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6" spans="1:25" ht="42" customHeight="1">
      <c r="B46" s="315" t="s">
        <v>109</v>
      </c>
      <c r="C46" s="316"/>
      <c r="D46" s="317">
        <f>G46/'Детальный расчет'!$P$23</f>
        <v>0</v>
      </c>
      <c r="E46" s="317"/>
      <c r="G46" s="238">
        <f>'Детальный расчет'!P59</f>
        <v>0</v>
      </c>
      <c r="H46" s="238"/>
      <c r="I46" s="238"/>
      <c r="J46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7" spans="1:25" ht="42" customHeight="1">
      <c r="B47" s="315" t="s">
        <v>131</v>
      </c>
      <c r="C47" s="316"/>
      <c r="D47" s="317">
        <f>G47/'Детальный расчет'!$P$23</f>
        <v>0</v>
      </c>
      <c r="E47" s="317"/>
      <c r="G47" s="238">
        <f>'Детальный расчет'!P60</f>
        <v>0</v>
      </c>
      <c r="H47" s="238"/>
      <c r="I47" s="238"/>
      <c r="J47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8" spans="1:25" ht="42" customHeight="1">
      <c r="B48" s="240" t="str">
        <f>'Исходные данные'!B75:C75</f>
        <v>Охрана</v>
      </c>
      <c r="C48" s="268"/>
      <c r="D48" s="317">
        <f>G48/'Детальный расчет'!$P$23</f>
        <v>0</v>
      </c>
      <c r="E48" s="317"/>
      <c r="G48" s="238">
        <f>'Детальный расчет'!P61</f>
        <v>0</v>
      </c>
      <c r="H48" s="238"/>
      <c r="I48" s="238"/>
      <c r="J48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49" spans="1:24" ht="42" customHeight="1">
      <c r="B49" s="240" t="str">
        <f>'Исходные данные'!B76:C76</f>
        <v>Услуги связи и интернет</v>
      </c>
      <c r="C49" s="268"/>
      <c r="D49" s="317">
        <f>G49/'Детальный расчет'!$P$23</f>
        <v>0</v>
      </c>
      <c r="E49" s="317"/>
      <c r="G49" s="238">
        <f>'Детальный расчет'!P62</f>
        <v>0</v>
      </c>
      <c r="H49" s="238"/>
      <c r="I49" s="238"/>
      <c r="J49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0" spans="1:24" ht="42" customHeight="1">
      <c r="B50" s="240" t="str">
        <f>'Исходные данные'!B77:C77</f>
        <v>Транспортные расходы</v>
      </c>
      <c r="C50" s="268"/>
      <c r="D50" s="317">
        <f>G50/'Детальный расчет'!$P$23</f>
        <v>3.3284357778316669E-2</v>
      </c>
      <c r="E50" s="317"/>
      <c r="G50" s="238">
        <f>'Детальный расчет'!P63</f>
        <v>70000</v>
      </c>
      <c r="H50" s="238"/>
      <c r="I50" s="238"/>
      <c r="J50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1" spans="1:24" ht="42" customHeight="1">
      <c r="B51" s="240" t="str">
        <f>'Исходные данные'!B78:C78</f>
        <v>Ведение бухгалтерского учета</v>
      </c>
      <c r="C51" s="268"/>
      <c r="D51" s="317">
        <f>G51/'Детальный расчет'!$P$23</f>
        <v>0</v>
      </c>
      <c r="E51" s="317"/>
      <c r="G51" s="238">
        <f>'Детальный расчет'!P64</f>
        <v>0</v>
      </c>
      <c r="H51" s="238"/>
      <c r="I51" s="238"/>
      <c r="J51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2" spans="1:24" ht="42" customHeight="1">
      <c r="B52" s="240" t="s">
        <v>81</v>
      </c>
      <c r="C52" s="268"/>
      <c r="D52" s="317">
        <f>G52/'Детальный расчет'!$P$23</f>
        <v>0</v>
      </c>
      <c r="E52" s="317"/>
      <c r="G52" s="238">
        <f>'Детальный расчет'!P65</f>
        <v>0</v>
      </c>
      <c r="H52" s="238"/>
      <c r="I52" s="238"/>
      <c r="J52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3" spans="1:24" ht="42" customHeight="1">
      <c r="B53" s="240" t="s">
        <v>124</v>
      </c>
      <c r="C53" s="268"/>
      <c r="D53" s="317">
        <f>G53/'Детальный расчет'!$P$23</f>
        <v>2.1588805044006679E-2</v>
      </c>
      <c r="E53" s="317"/>
      <c r="F53" s="41"/>
      <c r="G53" s="238">
        <f>'Детальный расчет'!P66</f>
        <v>45403.200000000004</v>
      </c>
      <c r="H53" s="238"/>
      <c r="I53" s="238"/>
      <c r="J53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4" spans="1:24" ht="42" customHeight="1">
      <c r="B54" s="240" t="s">
        <v>70</v>
      </c>
      <c r="C54" s="268"/>
      <c r="D54" s="317">
        <f>G54/'Детальный расчет'!$P$23</f>
        <v>6.0000000000000012E-2</v>
      </c>
      <c r="E54" s="317"/>
      <c r="F54" s="41"/>
      <c r="G54" s="238">
        <f>'Детальный расчет'!P67</f>
        <v>126185.40000000002</v>
      </c>
      <c r="H54" s="238"/>
      <c r="I54" s="238"/>
      <c r="J54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5" spans="1:24" ht="42" customHeight="1">
      <c r="B55" s="240" t="s">
        <v>143</v>
      </c>
      <c r="C55" s="268"/>
      <c r="D55" s="317">
        <f>G55/'Детальный расчет'!$P$23</f>
        <v>2.3774541270226192E-2</v>
      </c>
      <c r="E55" s="317"/>
      <c r="G55" s="238">
        <f>'Детальный расчет'!P68</f>
        <v>50000</v>
      </c>
      <c r="H55" s="238"/>
      <c r="I55" s="238"/>
      <c r="J55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6" spans="1:24" ht="42" customHeight="1">
      <c r="B56" s="240" t="s">
        <v>2</v>
      </c>
      <c r="C56" s="268"/>
      <c r="D56" s="317">
        <f>G56/'Детальный расчет'!$P$23</f>
        <v>0</v>
      </c>
      <c r="E56" s="317"/>
      <c r="G56" s="238">
        <f>'Детальный расчет'!P69</f>
        <v>0</v>
      </c>
      <c r="H56" s="238"/>
      <c r="I56" s="238"/>
      <c r="J56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7" spans="1:24" ht="34.15" customHeight="1">
      <c r="B57" s="340" t="s">
        <v>3</v>
      </c>
      <c r="C57" s="340"/>
      <c r="D57" s="341">
        <f>SUM(D39:E56)</f>
        <v>0.89100551414679718</v>
      </c>
      <c r="E57" s="341"/>
      <c r="G57" s="320">
        <f>SUM(G39:I56)</f>
        <v>1873864.7867469876</v>
      </c>
      <c r="H57" s="320"/>
      <c r="I57" s="320"/>
      <c r="J57" s="39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</row>
    <row r="58" spans="1:24" ht="16.149999999999999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52.5" customHeight="1">
      <c r="A59" s="24"/>
      <c r="B59" s="24"/>
      <c r="C59" s="24"/>
      <c r="D59" s="44"/>
      <c r="E59" s="44"/>
      <c r="F59" s="44"/>
      <c r="G59" s="45"/>
      <c r="H59" s="44"/>
      <c r="I59" s="310" t="s">
        <v>88</v>
      </c>
      <c r="J59" s="310"/>
      <c r="K59" s="32"/>
    </row>
    <row r="60" spans="1:24" ht="45" customHeight="1">
      <c r="A60" s="336" t="s">
        <v>92</v>
      </c>
      <c r="B60" s="336"/>
      <c r="C60" s="336"/>
      <c r="D60" s="321">
        <f>'Детальный расчет'!P79</f>
        <v>229225.21325301204</v>
      </c>
      <c r="E60" s="321"/>
      <c r="F60" s="321"/>
      <c r="G60" s="321"/>
      <c r="H60" s="46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  <c r="I60" s="329">
        <f>'Детальный расчет'!P79/'Детальный расчет'!P73</f>
        <v>0.10899448585320269</v>
      </c>
      <c r="J60" s="329"/>
      <c r="K60" s="30"/>
    </row>
    <row r="61" spans="1:24" ht="8.1" customHeight="1">
      <c r="D61" s="319"/>
      <c r="E61" s="319"/>
      <c r="F61" s="319"/>
      <c r="G61" s="319"/>
      <c r="I61" s="330"/>
      <c r="J61" s="330"/>
      <c r="K61" s="30"/>
    </row>
    <row r="62" spans="1:24" ht="45" customHeight="1">
      <c r="A62" s="336" t="s">
        <v>93</v>
      </c>
      <c r="B62" s="336"/>
      <c r="C62" s="336"/>
      <c r="D62" s="321">
        <f>'Детальный расчет'!AD79</f>
        <v>416172.17734939797</v>
      </c>
      <c r="E62" s="321"/>
      <c r="F62" s="321"/>
      <c r="G62" s="321"/>
      <c r="H62" s="46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  <c r="I62" s="329">
        <f>'Детальный расчет'!AD79/'Детальный расчет'!AD73</f>
        <v>0.15116295647922876</v>
      </c>
      <c r="J62" s="329"/>
      <c r="K62" s="30"/>
    </row>
    <row r="63" spans="1:24" ht="8.1" customHeight="1">
      <c r="D63" s="319"/>
      <c r="E63" s="319"/>
      <c r="F63" s="319"/>
      <c r="G63" s="319"/>
      <c r="I63" s="330"/>
      <c r="J63" s="330"/>
    </row>
    <row r="64" spans="1:24" ht="45" customHeight="1">
      <c r="A64" s="336" t="s">
        <v>94</v>
      </c>
      <c r="B64" s="336"/>
      <c r="C64" s="336"/>
      <c r="D64" s="331">
        <f>'Детальный расчет'!AR79</f>
        <v>548134.74024096422</v>
      </c>
      <c r="E64" s="331"/>
      <c r="F64" s="331"/>
      <c r="G64" s="331"/>
      <c r="H64" s="46" t="str">
        <f>""&amp;CHOOSE('Исходные данные'!$O$2,'Исходные данные'!$P$2,'Исходные данные'!$P$3,'Исходные данные'!$P$4,'Исходные данные'!$P$5)&amp;"/мес."</f>
        <v>RUB/мес.</v>
      </c>
      <c r="I64" s="329">
        <f>'Детальный расчет'!AR79/'Детальный расчет'!AR73</f>
        <v>0.17065258576016509</v>
      </c>
      <c r="J64" s="329"/>
    </row>
    <row r="65" spans="1:10" ht="8.1" customHeight="1">
      <c r="H65" s="29"/>
      <c r="I65" s="29"/>
      <c r="J65" s="29"/>
    </row>
    <row r="66" spans="1:10" ht="45" customHeight="1">
      <c r="A66" s="338" t="s">
        <v>47</v>
      </c>
      <c r="B66" s="338"/>
      <c r="C66" s="339"/>
      <c r="D66" s="342">
        <f>'Детальный расчет'!B103</f>
        <v>1</v>
      </c>
      <c r="E66" s="343"/>
      <c r="F66" s="343"/>
      <c r="G66" s="343"/>
      <c r="H66" s="344"/>
      <c r="I66" s="47" t="s">
        <v>4</v>
      </c>
    </row>
    <row r="67" spans="1:10" ht="8.1" customHeight="1">
      <c r="D67" s="330"/>
      <c r="E67" s="330"/>
      <c r="F67" s="330"/>
      <c r="G67" s="330"/>
      <c r="H67" s="330"/>
      <c r="I67" s="29"/>
    </row>
    <row r="68" spans="1:10" ht="45" customHeight="1">
      <c r="A68" s="336" t="s">
        <v>65</v>
      </c>
      <c r="B68" s="336"/>
      <c r="C68" s="337"/>
      <c r="D68" s="342">
        <f>'Детальный расчет'!B102</f>
        <v>5</v>
      </c>
      <c r="E68" s="343"/>
      <c r="F68" s="343"/>
      <c r="G68" s="343"/>
      <c r="H68" s="344"/>
      <c r="I68" s="47" t="s">
        <v>4</v>
      </c>
    </row>
    <row r="69" spans="1:10" ht="27" customHeight="1">
      <c r="A69" s="48"/>
      <c r="B69" s="49"/>
      <c r="C69" s="49"/>
      <c r="D69" s="49"/>
      <c r="E69" s="49"/>
      <c r="F69" s="49"/>
      <c r="G69" s="50"/>
      <c r="H69" s="50"/>
      <c r="I69" s="50"/>
      <c r="J69" s="49"/>
    </row>
  </sheetData>
  <sheetProtection formatCells="0" formatColumns="0" formatRows="0" insertColumns="0" insertRows="0" insertHyperlinks="0" deleteColumns="0" deleteRows="0" sort="0" autoFilter="0" pivotTables="0"/>
  <mergeCells count="146">
    <mergeCell ref="D50:E50"/>
    <mergeCell ref="G50:I50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D22:I22"/>
    <mergeCell ref="D24:I24"/>
    <mergeCell ref="A31:C31"/>
    <mergeCell ref="B40:C40"/>
    <mergeCell ref="A33:C33"/>
    <mergeCell ref="A36:J36"/>
    <mergeCell ref="G44:I44"/>
    <mergeCell ref="A34:C34"/>
    <mergeCell ref="A35:C35"/>
    <mergeCell ref="H33:I33"/>
    <mergeCell ref="H34:I34"/>
    <mergeCell ref="H35:I35"/>
    <mergeCell ref="B23:C23"/>
    <mergeCell ref="D23:I23"/>
    <mergeCell ref="B41:C41"/>
    <mergeCell ref="D41:E41"/>
    <mergeCell ref="G41:I41"/>
    <mergeCell ref="A68:C68"/>
    <mergeCell ref="A64:C64"/>
    <mergeCell ref="A66:C66"/>
    <mergeCell ref="B55:C55"/>
    <mergeCell ref="D55:E55"/>
    <mergeCell ref="B56:C56"/>
    <mergeCell ref="D56:E56"/>
    <mergeCell ref="B57:C57"/>
    <mergeCell ref="D57:E57"/>
    <mergeCell ref="A58:J58"/>
    <mergeCell ref="A60:C60"/>
    <mergeCell ref="A62:C62"/>
    <mergeCell ref="D66:H66"/>
    <mergeCell ref="D67:H67"/>
    <mergeCell ref="D68:H68"/>
    <mergeCell ref="I59:J59"/>
    <mergeCell ref="I60:J60"/>
    <mergeCell ref="I61:J61"/>
    <mergeCell ref="I62:J62"/>
    <mergeCell ref="I63:J63"/>
    <mergeCell ref="I64:J64"/>
    <mergeCell ref="D64:G64"/>
    <mergeCell ref="G55:I55"/>
    <mergeCell ref="G56:I56"/>
    <mergeCell ref="A1:J1"/>
    <mergeCell ref="A2:D2"/>
    <mergeCell ref="F2:H2"/>
    <mergeCell ref="A15:J15"/>
    <mergeCell ref="B17:C17"/>
    <mergeCell ref="D17:I17"/>
    <mergeCell ref="F6:G6"/>
    <mergeCell ref="F7:G7"/>
    <mergeCell ref="H6:I6"/>
    <mergeCell ref="H7:I7"/>
    <mergeCell ref="A6:B6"/>
    <mergeCell ref="A7:B7"/>
    <mergeCell ref="A8:B8"/>
    <mergeCell ref="F8:G8"/>
    <mergeCell ref="H8:I8"/>
    <mergeCell ref="A9:B9"/>
    <mergeCell ref="F9:G9"/>
    <mergeCell ref="H9:I9"/>
    <mergeCell ref="A10:B10"/>
    <mergeCell ref="F10:G10"/>
    <mergeCell ref="H10:I10"/>
    <mergeCell ref="A11:B11"/>
    <mergeCell ref="B18:C18"/>
    <mergeCell ref="D18:I18"/>
    <mergeCell ref="D19:I19"/>
    <mergeCell ref="D20:I20"/>
    <mergeCell ref="D21:I21"/>
    <mergeCell ref="A28:J28"/>
    <mergeCell ref="B19:C19"/>
    <mergeCell ref="A32:C32"/>
    <mergeCell ref="B20:C20"/>
    <mergeCell ref="B26:C26"/>
    <mergeCell ref="B27:C27"/>
    <mergeCell ref="A30:C30"/>
    <mergeCell ref="B24:C24"/>
    <mergeCell ref="B25:C25"/>
    <mergeCell ref="D25:I25"/>
    <mergeCell ref="D26:I26"/>
    <mergeCell ref="D27:I27"/>
    <mergeCell ref="H30:I30"/>
    <mergeCell ref="B21:C21"/>
    <mergeCell ref="B22:C22"/>
    <mergeCell ref="H31:I31"/>
    <mergeCell ref="H32:I32"/>
    <mergeCell ref="D63:G63"/>
    <mergeCell ref="G45:I45"/>
    <mergeCell ref="G46:I46"/>
    <mergeCell ref="G48:I48"/>
    <mergeCell ref="G49:I49"/>
    <mergeCell ref="G51:I51"/>
    <mergeCell ref="G52:I52"/>
    <mergeCell ref="B46:C46"/>
    <mergeCell ref="D46:E46"/>
    <mergeCell ref="B54:C54"/>
    <mergeCell ref="D54:E54"/>
    <mergeCell ref="B51:C51"/>
    <mergeCell ref="D51:E51"/>
    <mergeCell ref="D53:E53"/>
    <mergeCell ref="G53:I53"/>
    <mergeCell ref="G57:I57"/>
    <mergeCell ref="D60:G60"/>
    <mergeCell ref="D61:G61"/>
    <mergeCell ref="D62:G62"/>
    <mergeCell ref="B49:C49"/>
    <mergeCell ref="D49:E49"/>
    <mergeCell ref="B52:C52"/>
    <mergeCell ref="D52:E52"/>
    <mergeCell ref="G54:I54"/>
    <mergeCell ref="B53:C53"/>
    <mergeCell ref="B47:C47"/>
    <mergeCell ref="D47:E47"/>
    <mergeCell ref="G47:I47"/>
    <mergeCell ref="D38:E38"/>
    <mergeCell ref="G38:I38"/>
    <mergeCell ref="G40:I40"/>
    <mergeCell ref="D40:E40"/>
    <mergeCell ref="D43:E43"/>
    <mergeCell ref="G42:I42"/>
    <mergeCell ref="G43:I43"/>
    <mergeCell ref="B39:C39"/>
    <mergeCell ref="D39:E39"/>
    <mergeCell ref="G39:I39"/>
    <mergeCell ref="B45:C45"/>
    <mergeCell ref="D45:E45"/>
    <mergeCell ref="B48:C48"/>
    <mergeCell ref="D48:E48"/>
    <mergeCell ref="B42:C42"/>
    <mergeCell ref="D42:E42"/>
    <mergeCell ref="B43:C43"/>
    <mergeCell ref="B44:C44"/>
    <mergeCell ref="D44:E44"/>
    <mergeCell ref="B50:C5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2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21"/>
  <sheetViews>
    <sheetView zoomScale="90" zoomScaleNormal="90" zoomScaleSheetLayoutView="70" workbookViewId="0">
      <pane xSplit="2" ySplit="5" topLeftCell="C71" activePane="bottomRight" state="frozen"/>
      <selection pane="topRight" activeCell="C1" sqref="C1"/>
      <selection pane="bottomLeft" activeCell="A7" sqref="A7"/>
      <selection pane="bottomRight" activeCell="C26" sqref="C26"/>
    </sheetView>
  </sheetViews>
  <sheetFormatPr defaultRowHeight="12.75" outlineLevelRow="1" outlineLevelCol="1"/>
  <cols>
    <col min="1" max="1" width="51.140625" style="9" bestFit="1" customWidth="1"/>
    <col min="2" max="2" width="12.5703125" style="9" customWidth="1"/>
    <col min="3" max="14" width="11" style="51" customWidth="1" outlineLevel="1"/>
    <col min="15" max="15" width="11" style="162" customWidth="1"/>
    <col min="16" max="16" width="13.85546875" style="162" customWidth="1"/>
    <col min="17" max="28" width="11" style="51" customWidth="1" outlineLevel="1"/>
    <col min="29" max="29" width="11" style="162" customWidth="1"/>
    <col min="30" max="30" width="14.28515625" style="162" customWidth="1"/>
    <col min="31" max="42" width="11" style="51" customWidth="1" outlineLevel="1"/>
    <col min="43" max="43" width="11" style="162" customWidth="1"/>
    <col min="44" max="44" width="14.28515625" style="162" customWidth="1"/>
    <col min="45" max="45" width="12.85546875" style="51" customWidth="1"/>
    <col min="46" max="46" width="10" style="51" bestFit="1" customWidth="1"/>
    <col min="47" max="285" width="9.140625" style="51"/>
    <col min="286" max="286" width="53" style="51" customWidth="1"/>
    <col min="287" max="287" width="14.42578125" style="51" customWidth="1"/>
    <col min="288" max="300" width="11" style="51" customWidth="1"/>
    <col min="301" max="301" width="12.85546875" style="51" customWidth="1"/>
    <col min="302" max="302" width="10" style="51" bestFit="1" customWidth="1"/>
    <col min="303" max="541" width="9.140625" style="51"/>
    <col min="542" max="542" width="53" style="51" customWidth="1"/>
    <col min="543" max="543" width="14.42578125" style="51" customWidth="1"/>
    <col min="544" max="556" width="11" style="51" customWidth="1"/>
    <col min="557" max="557" width="12.85546875" style="51" customWidth="1"/>
    <col min="558" max="558" width="10" style="51" bestFit="1" customWidth="1"/>
    <col min="559" max="797" width="9.140625" style="51"/>
    <col min="798" max="798" width="53" style="51" customWidth="1"/>
    <col min="799" max="799" width="14.42578125" style="51" customWidth="1"/>
    <col min="800" max="812" width="11" style="51" customWidth="1"/>
    <col min="813" max="813" width="12.85546875" style="51" customWidth="1"/>
    <col min="814" max="814" width="10" style="51" bestFit="1" customWidth="1"/>
    <col min="815" max="1053" width="9.140625" style="51"/>
    <col min="1054" max="1054" width="53" style="51" customWidth="1"/>
    <col min="1055" max="1055" width="14.42578125" style="51" customWidth="1"/>
    <col min="1056" max="1068" width="11" style="51" customWidth="1"/>
    <col min="1069" max="1069" width="12.85546875" style="51" customWidth="1"/>
    <col min="1070" max="1070" width="10" style="51" bestFit="1" customWidth="1"/>
    <col min="1071" max="1309" width="9.140625" style="51"/>
    <col min="1310" max="1310" width="53" style="51" customWidth="1"/>
    <col min="1311" max="1311" width="14.42578125" style="51" customWidth="1"/>
    <col min="1312" max="1324" width="11" style="51" customWidth="1"/>
    <col min="1325" max="1325" width="12.85546875" style="51" customWidth="1"/>
    <col min="1326" max="1326" width="10" style="51" bestFit="1" customWidth="1"/>
    <col min="1327" max="1565" width="9.140625" style="51"/>
    <col min="1566" max="1566" width="53" style="51" customWidth="1"/>
    <col min="1567" max="1567" width="14.42578125" style="51" customWidth="1"/>
    <col min="1568" max="1580" width="11" style="51" customWidth="1"/>
    <col min="1581" max="1581" width="12.85546875" style="51" customWidth="1"/>
    <col min="1582" max="1582" width="10" style="51" bestFit="1" customWidth="1"/>
    <col min="1583" max="1821" width="9.140625" style="51"/>
    <col min="1822" max="1822" width="53" style="51" customWidth="1"/>
    <col min="1823" max="1823" width="14.42578125" style="51" customWidth="1"/>
    <col min="1824" max="1836" width="11" style="51" customWidth="1"/>
    <col min="1837" max="1837" width="12.85546875" style="51" customWidth="1"/>
    <col min="1838" max="1838" width="10" style="51" bestFit="1" customWidth="1"/>
    <col min="1839" max="2077" width="9.140625" style="51"/>
    <col min="2078" max="2078" width="53" style="51" customWidth="1"/>
    <col min="2079" max="2079" width="14.42578125" style="51" customWidth="1"/>
    <col min="2080" max="2092" width="11" style="51" customWidth="1"/>
    <col min="2093" max="2093" width="12.85546875" style="51" customWidth="1"/>
    <col min="2094" max="2094" width="10" style="51" bestFit="1" customWidth="1"/>
    <col min="2095" max="2333" width="9.140625" style="51"/>
    <col min="2334" max="2334" width="53" style="51" customWidth="1"/>
    <col min="2335" max="2335" width="14.42578125" style="51" customWidth="1"/>
    <col min="2336" max="2348" width="11" style="51" customWidth="1"/>
    <col min="2349" max="2349" width="12.85546875" style="51" customWidth="1"/>
    <col min="2350" max="2350" width="10" style="51" bestFit="1" customWidth="1"/>
    <col min="2351" max="2589" width="9.140625" style="51"/>
    <col min="2590" max="2590" width="53" style="51" customWidth="1"/>
    <col min="2591" max="2591" width="14.42578125" style="51" customWidth="1"/>
    <col min="2592" max="2604" width="11" style="51" customWidth="1"/>
    <col min="2605" max="2605" width="12.85546875" style="51" customWidth="1"/>
    <col min="2606" max="2606" width="10" style="51" bestFit="1" customWidth="1"/>
    <col min="2607" max="2845" width="9.140625" style="51"/>
    <col min="2846" max="2846" width="53" style="51" customWidth="1"/>
    <col min="2847" max="2847" width="14.42578125" style="51" customWidth="1"/>
    <col min="2848" max="2860" width="11" style="51" customWidth="1"/>
    <col min="2861" max="2861" width="12.85546875" style="51" customWidth="1"/>
    <col min="2862" max="2862" width="10" style="51" bestFit="1" customWidth="1"/>
    <col min="2863" max="3101" width="9.140625" style="51"/>
    <col min="3102" max="3102" width="53" style="51" customWidth="1"/>
    <col min="3103" max="3103" width="14.42578125" style="51" customWidth="1"/>
    <col min="3104" max="3116" width="11" style="51" customWidth="1"/>
    <col min="3117" max="3117" width="12.85546875" style="51" customWidth="1"/>
    <col min="3118" max="3118" width="10" style="51" bestFit="1" customWidth="1"/>
    <col min="3119" max="3357" width="9.140625" style="51"/>
    <col min="3358" max="3358" width="53" style="51" customWidth="1"/>
    <col min="3359" max="3359" width="14.42578125" style="51" customWidth="1"/>
    <col min="3360" max="3372" width="11" style="51" customWidth="1"/>
    <col min="3373" max="3373" width="12.85546875" style="51" customWidth="1"/>
    <col min="3374" max="3374" width="10" style="51" bestFit="1" customWidth="1"/>
    <col min="3375" max="3613" width="9.140625" style="51"/>
    <col min="3614" max="3614" width="53" style="51" customWidth="1"/>
    <col min="3615" max="3615" width="14.42578125" style="51" customWidth="1"/>
    <col min="3616" max="3628" width="11" style="51" customWidth="1"/>
    <col min="3629" max="3629" width="12.85546875" style="51" customWidth="1"/>
    <col min="3630" max="3630" width="10" style="51" bestFit="1" customWidth="1"/>
    <col min="3631" max="3869" width="9.140625" style="51"/>
    <col min="3870" max="3870" width="53" style="51" customWidth="1"/>
    <col min="3871" max="3871" width="14.42578125" style="51" customWidth="1"/>
    <col min="3872" max="3884" width="11" style="51" customWidth="1"/>
    <col min="3885" max="3885" width="12.85546875" style="51" customWidth="1"/>
    <col min="3886" max="3886" width="10" style="51" bestFit="1" customWidth="1"/>
    <col min="3887" max="4125" width="9.140625" style="51"/>
    <col min="4126" max="4126" width="53" style="51" customWidth="1"/>
    <col min="4127" max="4127" width="14.42578125" style="51" customWidth="1"/>
    <col min="4128" max="4140" width="11" style="51" customWidth="1"/>
    <col min="4141" max="4141" width="12.85546875" style="51" customWidth="1"/>
    <col min="4142" max="4142" width="10" style="51" bestFit="1" customWidth="1"/>
    <col min="4143" max="4381" width="9.140625" style="51"/>
    <col min="4382" max="4382" width="53" style="51" customWidth="1"/>
    <col min="4383" max="4383" width="14.42578125" style="51" customWidth="1"/>
    <col min="4384" max="4396" width="11" style="51" customWidth="1"/>
    <col min="4397" max="4397" width="12.85546875" style="51" customWidth="1"/>
    <col min="4398" max="4398" width="10" style="51" bestFit="1" customWidth="1"/>
    <col min="4399" max="4637" width="9.140625" style="51"/>
    <col min="4638" max="4638" width="53" style="51" customWidth="1"/>
    <col min="4639" max="4639" width="14.42578125" style="51" customWidth="1"/>
    <col min="4640" max="4652" width="11" style="51" customWidth="1"/>
    <col min="4653" max="4653" width="12.85546875" style="51" customWidth="1"/>
    <col min="4654" max="4654" width="10" style="51" bestFit="1" customWidth="1"/>
    <col min="4655" max="4893" width="9.140625" style="51"/>
    <col min="4894" max="4894" width="53" style="51" customWidth="1"/>
    <col min="4895" max="4895" width="14.42578125" style="51" customWidth="1"/>
    <col min="4896" max="4908" width="11" style="51" customWidth="1"/>
    <col min="4909" max="4909" width="12.85546875" style="51" customWidth="1"/>
    <col min="4910" max="4910" width="10" style="51" bestFit="1" customWidth="1"/>
    <col min="4911" max="5149" width="9.140625" style="51"/>
    <col min="5150" max="5150" width="53" style="51" customWidth="1"/>
    <col min="5151" max="5151" width="14.42578125" style="51" customWidth="1"/>
    <col min="5152" max="5164" width="11" style="51" customWidth="1"/>
    <col min="5165" max="5165" width="12.85546875" style="51" customWidth="1"/>
    <col min="5166" max="5166" width="10" style="51" bestFit="1" customWidth="1"/>
    <col min="5167" max="5405" width="9.140625" style="51"/>
    <col min="5406" max="5406" width="53" style="51" customWidth="1"/>
    <col min="5407" max="5407" width="14.42578125" style="51" customWidth="1"/>
    <col min="5408" max="5420" width="11" style="51" customWidth="1"/>
    <col min="5421" max="5421" width="12.85546875" style="51" customWidth="1"/>
    <col min="5422" max="5422" width="10" style="51" bestFit="1" customWidth="1"/>
    <col min="5423" max="5661" width="9.140625" style="51"/>
    <col min="5662" max="5662" width="53" style="51" customWidth="1"/>
    <col min="5663" max="5663" width="14.42578125" style="51" customWidth="1"/>
    <col min="5664" max="5676" width="11" style="51" customWidth="1"/>
    <col min="5677" max="5677" width="12.85546875" style="51" customWidth="1"/>
    <col min="5678" max="5678" width="10" style="51" bestFit="1" customWidth="1"/>
    <col min="5679" max="5917" width="9.140625" style="51"/>
    <col min="5918" max="5918" width="53" style="51" customWidth="1"/>
    <col min="5919" max="5919" width="14.42578125" style="51" customWidth="1"/>
    <col min="5920" max="5932" width="11" style="51" customWidth="1"/>
    <col min="5933" max="5933" width="12.85546875" style="51" customWidth="1"/>
    <col min="5934" max="5934" width="10" style="51" bestFit="1" customWidth="1"/>
    <col min="5935" max="6173" width="9.140625" style="51"/>
    <col min="6174" max="6174" width="53" style="51" customWidth="1"/>
    <col min="6175" max="6175" width="14.42578125" style="51" customWidth="1"/>
    <col min="6176" max="6188" width="11" style="51" customWidth="1"/>
    <col min="6189" max="6189" width="12.85546875" style="51" customWidth="1"/>
    <col min="6190" max="6190" width="10" style="51" bestFit="1" customWidth="1"/>
    <col min="6191" max="6429" width="9.140625" style="51"/>
    <col min="6430" max="6430" width="53" style="51" customWidth="1"/>
    <col min="6431" max="6431" width="14.42578125" style="51" customWidth="1"/>
    <col min="6432" max="6444" width="11" style="51" customWidth="1"/>
    <col min="6445" max="6445" width="12.85546875" style="51" customWidth="1"/>
    <col min="6446" max="6446" width="10" style="51" bestFit="1" customWidth="1"/>
    <col min="6447" max="6685" width="9.140625" style="51"/>
    <col min="6686" max="6686" width="53" style="51" customWidth="1"/>
    <col min="6687" max="6687" width="14.42578125" style="51" customWidth="1"/>
    <col min="6688" max="6700" width="11" style="51" customWidth="1"/>
    <col min="6701" max="6701" width="12.85546875" style="51" customWidth="1"/>
    <col min="6702" max="6702" width="10" style="51" bestFit="1" customWidth="1"/>
    <col min="6703" max="6941" width="9.140625" style="51"/>
    <col min="6942" max="6942" width="53" style="51" customWidth="1"/>
    <col min="6943" max="6943" width="14.42578125" style="51" customWidth="1"/>
    <col min="6944" max="6956" width="11" style="51" customWidth="1"/>
    <col min="6957" max="6957" width="12.85546875" style="51" customWidth="1"/>
    <col min="6958" max="6958" width="10" style="51" bestFit="1" customWidth="1"/>
    <col min="6959" max="7197" width="9.140625" style="51"/>
    <col min="7198" max="7198" width="53" style="51" customWidth="1"/>
    <col min="7199" max="7199" width="14.42578125" style="51" customWidth="1"/>
    <col min="7200" max="7212" width="11" style="51" customWidth="1"/>
    <col min="7213" max="7213" width="12.85546875" style="51" customWidth="1"/>
    <col min="7214" max="7214" width="10" style="51" bestFit="1" customWidth="1"/>
    <col min="7215" max="7453" width="9.140625" style="51"/>
    <col min="7454" max="7454" width="53" style="51" customWidth="1"/>
    <col min="7455" max="7455" width="14.42578125" style="51" customWidth="1"/>
    <col min="7456" max="7468" width="11" style="51" customWidth="1"/>
    <col min="7469" max="7469" width="12.85546875" style="51" customWidth="1"/>
    <col min="7470" max="7470" width="10" style="51" bestFit="1" customWidth="1"/>
    <col min="7471" max="7709" width="9.140625" style="51"/>
    <col min="7710" max="7710" width="53" style="51" customWidth="1"/>
    <col min="7711" max="7711" width="14.42578125" style="51" customWidth="1"/>
    <col min="7712" max="7724" width="11" style="51" customWidth="1"/>
    <col min="7725" max="7725" width="12.85546875" style="51" customWidth="1"/>
    <col min="7726" max="7726" width="10" style="51" bestFit="1" customWidth="1"/>
    <col min="7727" max="7965" width="9.140625" style="51"/>
    <col min="7966" max="7966" width="53" style="51" customWidth="1"/>
    <col min="7967" max="7967" width="14.42578125" style="51" customWidth="1"/>
    <col min="7968" max="7980" width="11" style="51" customWidth="1"/>
    <col min="7981" max="7981" width="12.85546875" style="51" customWidth="1"/>
    <col min="7982" max="7982" width="10" style="51" bestFit="1" customWidth="1"/>
    <col min="7983" max="8221" width="9.140625" style="51"/>
    <col min="8222" max="8222" width="53" style="51" customWidth="1"/>
    <col min="8223" max="8223" width="14.42578125" style="51" customWidth="1"/>
    <col min="8224" max="8236" width="11" style="51" customWidth="1"/>
    <col min="8237" max="8237" width="12.85546875" style="51" customWidth="1"/>
    <col min="8238" max="8238" width="10" style="51" bestFit="1" customWidth="1"/>
    <col min="8239" max="8477" width="9.140625" style="51"/>
    <col min="8478" max="8478" width="53" style="51" customWidth="1"/>
    <col min="8479" max="8479" width="14.42578125" style="51" customWidth="1"/>
    <col min="8480" max="8492" width="11" style="51" customWidth="1"/>
    <col min="8493" max="8493" width="12.85546875" style="51" customWidth="1"/>
    <col min="8494" max="8494" width="10" style="51" bestFit="1" customWidth="1"/>
    <col min="8495" max="8733" width="9.140625" style="51"/>
    <col min="8734" max="8734" width="53" style="51" customWidth="1"/>
    <col min="8735" max="8735" width="14.42578125" style="51" customWidth="1"/>
    <col min="8736" max="8748" width="11" style="51" customWidth="1"/>
    <col min="8749" max="8749" width="12.85546875" style="51" customWidth="1"/>
    <col min="8750" max="8750" width="10" style="51" bestFit="1" customWidth="1"/>
    <col min="8751" max="8989" width="9.140625" style="51"/>
    <col min="8990" max="8990" width="53" style="51" customWidth="1"/>
    <col min="8991" max="8991" width="14.42578125" style="51" customWidth="1"/>
    <col min="8992" max="9004" width="11" style="51" customWidth="1"/>
    <col min="9005" max="9005" width="12.85546875" style="51" customWidth="1"/>
    <col min="9006" max="9006" width="10" style="51" bestFit="1" customWidth="1"/>
    <col min="9007" max="9245" width="9.140625" style="51"/>
    <col min="9246" max="9246" width="53" style="51" customWidth="1"/>
    <col min="9247" max="9247" width="14.42578125" style="51" customWidth="1"/>
    <col min="9248" max="9260" width="11" style="51" customWidth="1"/>
    <col min="9261" max="9261" width="12.85546875" style="51" customWidth="1"/>
    <col min="9262" max="9262" width="10" style="51" bestFit="1" customWidth="1"/>
    <col min="9263" max="9501" width="9.140625" style="51"/>
    <col min="9502" max="9502" width="53" style="51" customWidth="1"/>
    <col min="9503" max="9503" width="14.42578125" style="51" customWidth="1"/>
    <col min="9504" max="9516" width="11" style="51" customWidth="1"/>
    <col min="9517" max="9517" width="12.85546875" style="51" customWidth="1"/>
    <col min="9518" max="9518" width="10" style="51" bestFit="1" customWidth="1"/>
    <col min="9519" max="9757" width="9.140625" style="51"/>
    <col min="9758" max="9758" width="53" style="51" customWidth="1"/>
    <col min="9759" max="9759" width="14.42578125" style="51" customWidth="1"/>
    <col min="9760" max="9772" width="11" style="51" customWidth="1"/>
    <col min="9773" max="9773" width="12.85546875" style="51" customWidth="1"/>
    <col min="9774" max="9774" width="10" style="51" bestFit="1" customWidth="1"/>
    <col min="9775" max="10013" width="9.140625" style="51"/>
    <col min="10014" max="10014" width="53" style="51" customWidth="1"/>
    <col min="10015" max="10015" width="14.42578125" style="51" customWidth="1"/>
    <col min="10016" max="10028" width="11" style="51" customWidth="1"/>
    <col min="10029" max="10029" width="12.85546875" style="51" customWidth="1"/>
    <col min="10030" max="10030" width="10" style="51" bestFit="1" customWidth="1"/>
    <col min="10031" max="10269" width="9.140625" style="51"/>
    <col min="10270" max="10270" width="53" style="51" customWidth="1"/>
    <col min="10271" max="10271" width="14.42578125" style="51" customWidth="1"/>
    <col min="10272" max="10284" width="11" style="51" customWidth="1"/>
    <col min="10285" max="10285" width="12.85546875" style="51" customWidth="1"/>
    <col min="10286" max="10286" width="10" style="51" bestFit="1" customWidth="1"/>
    <col min="10287" max="10525" width="9.140625" style="51"/>
    <col min="10526" max="10526" width="53" style="51" customWidth="1"/>
    <col min="10527" max="10527" width="14.42578125" style="51" customWidth="1"/>
    <col min="10528" max="10540" width="11" style="51" customWidth="1"/>
    <col min="10541" max="10541" width="12.85546875" style="51" customWidth="1"/>
    <col min="10542" max="10542" width="10" style="51" bestFit="1" customWidth="1"/>
    <col min="10543" max="10781" width="9.140625" style="51"/>
    <col min="10782" max="10782" width="53" style="51" customWidth="1"/>
    <col min="10783" max="10783" width="14.42578125" style="51" customWidth="1"/>
    <col min="10784" max="10796" width="11" style="51" customWidth="1"/>
    <col min="10797" max="10797" width="12.85546875" style="51" customWidth="1"/>
    <col min="10798" max="10798" width="10" style="51" bestFit="1" customWidth="1"/>
    <col min="10799" max="11037" width="9.140625" style="51"/>
    <col min="11038" max="11038" width="53" style="51" customWidth="1"/>
    <col min="11039" max="11039" width="14.42578125" style="51" customWidth="1"/>
    <col min="11040" max="11052" width="11" style="51" customWidth="1"/>
    <col min="11053" max="11053" width="12.85546875" style="51" customWidth="1"/>
    <col min="11054" max="11054" width="10" style="51" bestFit="1" customWidth="1"/>
    <col min="11055" max="11293" width="9.140625" style="51"/>
    <col min="11294" max="11294" width="53" style="51" customWidth="1"/>
    <col min="11295" max="11295" width="14.42578125" style="51" customWidth="1"/>
    <col min="11296" max="11308" width="11" style="51" customWidth="1"/>
    <col min="11309" max="11309" width="12.85546875" style="51" customWidth="1"/>
    <col min="11310" max="11310" width="10" style="51" bestFit="1" customWidth="1"/>
    <col min="11311" max="11549" width="9.140625" style="51"/>
    <col min="11550" max="11550" width="53" style="51" customWidth="1"/>
    <col min="11551" max="11551" width="14.42578125" style="51" customWidth="1"/>
    <col min="11552" max="11564" width="11" style="51" customWidth="1"/>
    <col min="11565" max="11565" width="12.85546875" style="51" customWidth="1"/>
    <col min="11566" max="11566" width="10" style="51" bestFit="1" customWidth="1"/>
    <col min="11567" max="11805" width="9.140625" style="51"/>
    <col min="11806" max="11806" width="53" style="51" customWidth="1"/>
    <col min="11807" max="11807" width="14.42578125" style="51" customWidth="1"/>
    <col min="11808" max="11820" width="11" style="51" customWidth="1"/>
    <col min="11821" max="11821" width="12.85546875" style="51" customWidth="1"/>
    <col min="11822" max="11822" width="10" style="51" bestFit="1" customWidth="1"/>
    <col min="11823" max="12061" width="9.140625" style="51"/>
    <col min="12062" max="12062" width="53" style="51" customWidth="1"/>
    <col min="12063" max="12063" width="14.42578125" style="51" customWidth="1"/>
    <col min="12064" max="12076" width="11" style="51" customWidth="1"/>
    <col min="12077" max="12077" width="12.85546875" style="51" customWidth="1"/>
    <col min="12078" max="12078" width="10" style="51" bestFit="1" customWidth="1"/>
    <col min="12079" max="12317" width="9.140625" style="51"/>
    <col min="12318" max="12318" width="53" style="51" customWidth="1"/>
    <col min="12319" max="12319" width="14.42578125" style="51" customWidth="1"/>
    <col min="12320" max="12332" width="11" style="51" customWidth="1"/>
    <col min="12333" max="12333" width="12.85546875" style="51" customWidth="1"/>
    <col min="12334" max="12334" width="10" style="51" bestFit="1" customWidth="1"/>
    <col min="12335" max="12573" width="9.140625" style="51"/>
    <col min="12574" max="12574" width="53" style="51" customWidth="1"/>
    <col min="12575" max="12575" width="14.42578125" style="51" customWidth="1"/>
    <col min="12576" max="12588" width="11" style="51" customWidth="1"/>
    <col min="12589" max="12589" width="12.85546875" style="51" customWidth="1"/>
    <col min="12590" max="12590" width="10" style="51" bestFit="1" customWidth="1"/>
    <col min="12591" max="12829" width="9.140625" style="51"/>
    <col min="12830" max="12830" width="53" style="51" customWidth="1"/>
    <col min="12831" max="12831" width="14.42578125" style="51" customWidth="1"/>
    <col min="12832" max="12844" width="11" style="51" customWidth="1"/>
    <col min="12845" max="12845" width="12.85546875" style="51" customWidth="1"/>
    <col min="12846" max="12846" width="10" style="51" bestFit="1" customWidth="1"/>
    <col min="12847" max="13085" width="9.140625" style="51"/>
    <col min="13086" max="13086" width="53" style="51" customWidth="1"/>
    <col min="13087" max="13087" width="14.42578125" style="51" customWidth="1"/>
    <col min="13088" max="13100" width="11" style="51" customWidth="1"/>
    <col min="13101" max="13101" width="12.85546875" style="51" customWidth="1"/>
    <col min="13102" max="13102" width="10" style="51" bestFit="1" customWidth="1"/>
    <col min="13103" max="13341" width="9.140625" style="51"/>
    <col min="13342" max="13342" width="53" style="51" customWidth="1"/>
    <col min="13343" max="13343" width="14.42578125" style="51" customWidth="1"/>
    <col min="13344" max="13356" width="11" style="51" customWidth="1"/>
    <col min="13357" max="13357" width="12.85546875" style="51" customWidth="1"/>
    <col min="13358" max="13358" width="10" style="51" bestFit="1" customWidth="1"/>
    <col min="13359" max="13597" width="9.140625" style="51"/>
    <col min="13598" max="13598" width="53" style="51" customWidth="1"/>
    <col min="13599" max="13599" width="14.42578125" style="51" customWidth="1"/>
    <col min="13600" max="13612" width="11" style="51" customWidth="1"/>
    <col min="13613" max="13613" width="12.85546875" style="51" customWidth="1"/>
    <col min="13614" max="13614" width="10" style="51" bestFit="1" customWidth="1"/>
    <col min="13615" max="13853" width="9.140625" style="51"/>
    <col min="13854" max="13854" width="53" style="51" customWidth="1"/>
    <col min="13855" max="13855" width="14.42578125" style="51" customWidth="1"/>
    <col min="13856" max="13868" width="11" style="51" customWidth="1"/>
    <col min="13869" max="13869" width="12.85546875" style="51" customWidth="1"/>
    <col min="13870" max="13870" width="10" style="51" bestFit="1" customWidth="1"/>
    <col min="13871" max="14109" width="9.140625" style="51"/>
    <col min="14110" max="14110" width="53" style="51" customWidth="1"/>
    <col min="14111" max="14111" width="14.42578125" style="51" customWidth="1"/>
    <col min="14112" max="14124" width="11" style="51" customWidth="1"/>
    <col min="14125" max="14125" width="12.85546875" style="51" customWidth="1"/>
    <col min="14126" max="14126" width="10" style="51" bestFit="1" customWidth="1"/>
    <col min="14127" max="14365" width="9.140625" style="51"/>
    <col min="14366" max="14366" width="53" style="51" customWidth="1"/>
    <col min="14367" max="14367" width="14.42578125" style="51" customWidth="1"/>
    <col min="14368" max="14380" width="11" style="51" customWidth="1"/>
    <col min="14381" max="14381" width="12.85546875" style="51" customWidth="1"/>
    <col min="14382" max="14382" width="10" style="51" bestFit="1" customWidth="1"/>
    <col min="14383" max="14621" width="9.140625" style="51"/>
    <col min="14622" max="14622" width="53" style="51" customWidth="1"/>
    <col min="14623" max="14623" width="14.42578125" style="51" customWidth="1"/>
    <col min="14624" max="14636" width="11" style="51" customWidth="1"/>
    <col min="14637" max="14637" width="12.85546875" style="51" customWidth="1"/>
    <col min="14638" max="14638" width="10" style="51" bestFit="1" customWidth="1"/>
    <col min="14639" max="14877" width="9.140625" style="51"/>
    <col min="14878" max="14878" width="53" style="51" customWidth="1"/>
    <col min="14879" max="14879" width="14.42578125" style="51" customWidth="1"/>
    <col min="14880" max="14892" width="11" style="51" customWidth="1"/>
    <col min="14893" max="14893" width="12.85546875" style="51" customWidth="1"/>
    <col min="14894" max="14894" width="10" style="51" bestFit="1" customWidth="1"/>
    <col min="14895" max="15133" width="9.140625" style="51"/>
    <col min="15134" max="15134" width="53" style="51" customWidth="1"/>
    <col min="15135" max="15135" width="14.42578125" style="51" customWidth="1"/>
    <col min="15136" max="15148" width="11" style="51" customWidth="1"/>
    <col min="15149" max="15149" width="12.85546875" style="51" customWidth="1"/>
    <col min="15150" max="15150" width="10" style="51" bestFit="1" customWidth="1"/>
    <col min="15151" max="15389" width="9.140625" style="51"/>
    <col min="15390" max="15390" width="53" style="51" customWidth="1"/>
    <col min="15391" max="15391" width="14.42578125" style="51" customWidth="1"/>
    <col min="15392" max="15404" width="11" style="51" customWidth="1"/>
    <col min="15405" max="15405" width="12.85546875" style="51" customWidth="1"/>
    <col min="15406" max="15406" width="10" style="51" bestFit="1" customWidth="1"/>
    <col min="15407" max="15645" width="9.140625" style="51"/>
    <col min="15646" max="15646" width="53" style="51" customWidth="1"/>
    <col min="15647" max="15647" width="14.42578125" style="51" customWidth="1"/>
    <col min="15648" max="15660" width="11" style="51" customWidth="1"/>
    <col min="15661" max="15661" width="12.85546875" style="51" customWidth="1"/>
    <col min="15662" max="15662" width="10" style="51" bestFit="1" customWidth="1"/>
    <col min="15663" max="15901" width="9.140625" style="51"/>
    <col min="15902" max="15902" width="53" style="51" customWidth="1"/>
    <col min="15903" max="15903" width="14.42578125" style="51" customWidth="1"/>
    <col min="15904" max="15916" width="11" style="51" customWidth="1"/>
    <col min="15917" max="15917" width="12.85546875" style="51" customWidth="1"/>
    <col min="15918" max="15918" width="10" style="51" bestFit="1" customWidth="1"/>
    <col min="15919" max="16157" width="9.140625" style="51"/>
    <col min="16158" max="16158" width="53" style="51" customWidth="1"/>
    <col min="16159" max="16159" width="14.42578125" style="51" customWidth="1"/>
    <col min="16160" max="16172" width="11" style="51" customWidth="1"/>
    <col min="16173" max="16173" width="12.85546875" style="51" customWidth="1"/>
    <col min="16174" max="16174" width="10" style="51" bestFit="1" customWidth="1"/>
    <col min="16175" max="16384" width="9.140625" style="51"/>
  </cols>
  <sheetData>
    <row r="1" spans="1:54" ht="12.75" customHeight="1">
      <c r="A1" s="52"/>
      <c r="B1" s="53"/>
      <c r="C1" s="54" t="str">
        <f>A102</f>
        <v>Срок окупаемости проекта с учетом инвестиций, мес.:</v>
      </c>
      <c r="D1" s="55">
        <f>B102</f>
        <v>5</v>
      </c>
      <c r="E1" s="53"/>
      <c r="F1" s="53"/>
      <c r="G1" s="53"/>
      <c r="H1" s="53"/>
      <c r="I1" s="56"/>
      <c r="J1" s="57"/>
      <c r="K1" s="57"/>
      <c r="L1" s="57"/>
      <c r="M1" s="57"/>
      <c r="N1" s="57"/>
      <c r="O1" s="58"/>
      <c r="P1" s="58"/>
      <c r="Q1" s="53"/>
      <c r="R1" s="59"/>
      <c r="S1" s="53"/>
      <c r="T1" s="53"/>
      <c r="U1" s="53"/>
      <c r="V1" s="53"/>
      <c r="W1" s="56"/>
      <c r="X1" s="57"/>
      <c r="Y1" s="57"/>
      <c r="Z1" s="57"/>
      <c r="AA1" s="57"/>
      <c r="AB1" s="57"/>
      <c r="AC1" s="58"/>
      <c r="AD1" s="58"/>
      <c r="AE1" s="53"/>
      <c r="AF1" s="59"/>
      <c r="AG1" s="53"/>
      <c r="AH1" s="53"/>
      <c r="AI1" s="53"/>
      <c r="AJ1" s="53"/>
      <c r="AK1" s="56"/>
      <c r="AL1" s="57"/>
      <c r="AM1" s="57"/>
      <c r="AN1" s="57"/>
      <c r="AO1" s="57"/>
      <c r="AP1" s="57"/>
      <c r="AQ1" s="58"/>
      <c r="AR1" s="58"/>
      <c r="AS1" s="57"/>
    </row>
    <row r="2" spans="1:54" hidden="1">
      <c r="C2" s="60">
        <f>'Исходные данные'!$Q$2</f>
        <v>1</v>
      </c>
      <c r="D2" s="60">
        <f>IF(C2=12,1,C2+1)</f>
        <v>2</v>
      </c>
      <c r="E2" s="60">
        <f t="shared" ref="E2:AB2" si="0">IF(D2=12,1,D2+1)</f>
        <v>3</v>
      </c>
      <c r="F2" s="60">
        <f t="shared" si="0"/>
        <v>4</v>
      </c>
      <c r="G2" s="60">
        <f t="shared" si="0"/>
        <v>5</v>
      </c>
      <c r="H2" s="60">
        <f t="shared" si="0"/>
        <v>6</v>
      </c>
      <c r="I2" s="60">
        <f t="shared" si="0"/>
        <v>7</v>
      </c>
      <c r="J2" s="60">
        <f t="shared" si="0"/>
        <v>8</v>
      </c>
      <c r="K2" s="60">
        <f t="shared" si="0"/>
        <v>9</v>
      </c>
      <c r="L2" s="60">
        <f t="shared" si="0"/>
        <v>10</v>
      </c>
      <c r="M2" s="60">
        <f t="shared" si="0"/>
        <v>11</v>
      </c>
      <c r="N2" s="60">
        <f t="shared" si="0"/>
        <v>12</v>
      </c>
      <c r="O2" s="61"/>
      <c r="P2" s="61"/>
      <c r="Q2" s="60">
        <f>IF(N2=12,1,N2+1)</f>
        <v>1</v>
      </c>
      <c r="R2" s="60">
        <f t="shared" si="0"/>
        <v>2</v>
      </c>
      <c r="S2" s="60">
        <f t="shared" si="0"/>
        <v>3</v>
      </c>
      <c r="T2" s="60">
        <f t="shared" si="0"/>
        <v>4</v>
      </c>
      <c r="U2" s="60">
        <f t="shared" si="0"/>
        <v>5</v>
      </c>
      <c r="V2" s="60">
        <f t="shared" si="0"/>
        <v>6</v>
      </c>
      <c r="W2" s="60">
        <f t="shared" si="0"/>
        <v>7</v>
      </c>
      <c r="X2" s="60">
        <f t="shared" si="0"/>
        <v>8</v>
      </c>
      <c r="Y2" s="60">
        <f t="shared" si="0"/>
        <v>9</v>
      </c>
      <c r="Z2" s="60">
        <f t="shared" si="0"/>
        <v>10</v>
      </c>
      <c r="AA2" s="60">
        <f t="shared" si="0"/>
        <v>11</v>
      </c>
      <c r="AB2" s="60">
        <f t="shared" si="0"/>
        <v>12</v>
      </c>
      <c r="AC2" s="61"/>
      <c r="AD2" s="61"/>
      <c r="AE2" s="60">
        <f>IF(AB2=12,1,AB2+1)</f>
        <v>1</v>
      </c>
      <c r="AF2" s="60">
        <f t="shared" ref="AF2:AP2" si="1">IF(AE2=12,1,AE2+1)</f>
        <v>2</v>
      </c>
      <c r="AG2" s="60">
        <f t="shared" si="1"/>
        <v>3</v>
      </c>
      <c r="AH2" s="60">
        <f t="shared" si="1"/>
        <v>4</v>
      </c>
      <c r="AI2" s="60">
        <f t="shared" si="1"/>
        <v>5</v>
      </c>
      <c r="AJ2" s="60">
        <f t="shared" si="1"/>
        <v>6</v>
      </c>
      <c r="AK2" s="60">
        <f t="shared" si="1"/>
        <v>7</v>
      </c>
      <c r="AL2" s="60">
        <f t="shared" si="1"/>
        <v>8</v>
      </c>
      <c r="AM2" s="60">
        <f t="shared" si="1"/>
        <v>9</v>
      </c>
      <c r="AN2" s="60">
        <f t="shared" si="1"/>
        <v>10</v>
      </c>
      <c r="AO2" s="60">
        <f t="shared" si="1"/>
        <v>11</v>
      </c>
      <c r="AP2" s="60">
        <f t="shared" si="1"/>
        <v>12</v>
      </c>
      <c r="AQ2" s="61"/>
      <c r="AR2" s="61"/>
    </row>
    <row r="3" spans="1:54"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2"/>
      <c r="P3" s="62"/>
      <c r="Q3" s="10"/>
      <c r="R3" s="10"/>
      <c r="S3" s="10"/>
      <c r="T3" s="10"/>
      <c r="U3" s="10"/>
      <c r="V3" s="10"/>
      <c r="W3" s="10"/>
      <c r="X3" s="10"/>
      <c r="Y3" s="10"/>
      <c r="AC3" s="62"/>
      <c r="AD3" s="62"/>
      <c r="AE3" s="10"/>
      <c r="AF3" s="10"/>
      <c r="AG3" s="10"/>
      <c r="AH3" s="10"/>
      <c r="AI3" s="10"/>
      <c r="AJ3" s="10"/>
      <c r="AK3" s="10"/>
      <c r="AL3" s="10"/>
      <c r="AM3" s="10"/>
      <c r="AQ3" s="62"/>
      <c r="AR3" s="62"/>
      <c r="AU3" s="6"/>
    </row>
    <row r="4" spans="1:54" s="9" customFormat="1" ht="14.25" customHeight="1" thickBot="1">
      <c r="B4" s="63"/>
      <c r="C4" s="347" t="s">
        <v>32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350" t="s">
        <v>33</v>
      </c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2"/>
      <c r="AE4" s="353" t="s">
        <v>35</v>
      </c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U4" s="6"/>
    </row>
    <row r="5" spans="1:54" s="9" customFormat="1" thickTop="1" thickBot="1">
      <c r="A5" s="64" t="s">
        <v>6</v>
      </c>
      <c r="B5" s="70"/>
      <c r="C5" s="65" t="str">
        <f>CHOOSE(C2,'Исходные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январь</v>
      </c>
      <c r="D5" s="65" t="str">
        <f>CHOOSE(D2,'Исходные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февраль</v>
      </c>
      <c r="E5" s="65" t="str">
        <f>CHOOSE(E2,'Исходные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март</v>
      </c>
      <c r="F5" s="65" t="str">
        <f>CHOOSE(F2,'Исходные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апрель</v>
      </c>
      <c r="G5" s="65" t="str">
        <f>CHOOSE(G2,'Исходные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май</v>
      </c>
      <c r="H5" s="65" t="str">
        <f>CHOOSE(H2,'Исходные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июнь</v>
      </c>
      <c r="I5" s="65" t="str">
        <f>CHOOSE(I2,'Исходные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июль</v>
      </c>
      <c r="J5" s="65" t="str">
        <f>CHOOSE(J2,'Исходные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август</v>
      </c>
      <c r="K5" s="65" t="str">
        <f>CHOOSE(K2,'Исходные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сентябрь</v>
      </c>
      <c r="L5" s="65" t="str">
        <f>CHOOSE(L2,'Исходные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октябрь</v>
      </c>
      <c r="M5" s="65" t="str">
        <f>CHOOSE(M2,'Исходные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ноябрь</v>
      </c>
      <c r="N5" s="65" t="str">
        <f>CHOOSE(N2,'Исходные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декабрь</v>
      </c>
      <c r="O5" s="66"/>
      <c r="P5" s="66"/>
      <c r="Q5" s="65" t="str">
        <f>CHOOSE(Q2,'Исходные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январь</v>
      </c>
      <c r="R5" s="65" t="str">
        <f>CHOOSE(R2,'Исходные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февраль</v>
      </c>
      <c r="S5" s="65" t="str">
        <f>CHOOSE(S2,'Исходные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март</v>
      </c>
      <c r="T5" s="65" t="str">
        <f>CHOOSE(T2,'Исходные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апрель</v>
      </c>
      <c r="U5" s="65" t="str">
        <f>CHOOSE(U2,'Исходные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май</v>
      </c>
      <c r="V5" s="65" t="str">
        <f>CHOOSE(V2,'Исходные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июнь</v>
      </c>
      <c r="W5" s="65" t="str">
        <f>CHOOSE(W2,'Исходные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июль</v>
      </c>
      <c r="X5" s="65" t="str">
        <f>CHOOSE(X2,'Исходные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август</v>
      </c>
      <c r="Y5" s="65" t="str">
        <f>CHOOSE(Y2,'Исходные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сентябрь</v>
      </c>
      <c r="Z5" s="65" t="str">
        <f>CHOOSE(Z2,'Исходные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октябрь</v>
      </c>
      <c r="AA5" s="65" t="str">
        <f>CHOOSE(AA2,'Исходные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ноябрь</v>
      </c>
      <c r="AB5" s="65" t="str">
        <f>CHOOSE(AB2,'Исходные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декабрь</v>
      </c>
      <c r="AC5" s="66"/>
      <c r="AD5" s="66"/>
      <c r="AE5" s="65" t="str">
        <f>CHOOSE(AE2,'Исходные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январь</v>
      </c>
      <c r="AF5" s="65" t="str">
        <f>CHOOSE(AF2,'Исходные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февраль</v>
      </c>
      <c r="AG5" s="65" t="str">
        <f>CHOOSE(AG2,'Исходные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март</v>
      </c>
      <c r="AH5" s="65" t="str">
        <f>CHOOSE(AH2,'Исходные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апрель</v>
      </c>
      <c r="AI5" s="65" t="str">
        <f>CHOOSE(AI2,'Исходные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май</v>
      </c>
      <c r="AJ5" s="65" t="str">
        <f>CHOOSE(AJ2,'Исходные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июнь</v>
      </c>
      <c r="AK5" s="65" t="str">
        <f>CHOOSE(AK2,'Исходные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июль</v>
      </c>
      <c r="AL5" s="65" t="str">
        <f>CHOOSE(AL2,'Исходные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август</v>
      </c>
      <c r="AM5" s="65" t="str">
        <f>CHOOSE(AM2,'Исходные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сентябрь</v>
      </c>
      <c r="AN5" s="65" t="str">
        <f>CHOOSE(AN2,'Исходные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октябрь</v>
      </c>
      <c r="AO5" s="65" t="str">
        <f>CHOOSE(AO2,'Исходные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ноябрь</v>
      </c>
      <c r="AP5" s="65" t="str">
        <f>CHOOSE(AP2,'Исходные данные'!$R$2,'Исходные данные'!$R$3,'Исходные данные'!$R$4,'Исходные данные'!$R$5,'Исходные данные'!$R$6,'Исходные данные'!$R$7,'Исходные данные'!$R$8,'Исходные данные'!$R$9,'Исходные данные'!$R$10,'Исходные данные'!$R$11,'Исходные данные'!$R$12,'Исходные данные'!$R$13)</f>
        <v>декабрь</v>
      </c>
      <c r="AQ5" s="66"/>
      <c r="AR5" s="66"/>
      <c r="AS5" s="67"/>
      <c r="AU5" s="6"/>
    </row>
    <row r="6" spans="1:54" s="8" customFormat="1" ht="12" outlineLevel="1" thickTop="1">
      <c r="A6" s="4" t="s">
        <v>72</v>
      </c>
      <c r="B6" s="5"/>
      <c r="C6" s="6">
        <f>'Исходные данные'!$C22</f>
        <v>0.6</v>
      </c>
      <c r="D6" s="6">
        <f>'Исходные данные'!$C23</f>
        <v>0.7</v>
      </c>
      <c r="E6" s="6">
        <f>'Исходные данные'!$C24</f>
        <v>0.8</v>
      </c>
      <c r="F6" s="6">
        <f>'Исходные данные'!$C25</f>
        <v>0.9</v>
      </c>
      <c r="G6" s="6">
        <f>'Исходные данные'!$C26</f>
        <v>1</v>
      </c>
      <c r="H6" s="6">
        <f>'Исходные данные'!$C27</f>
        <v>1</v>
      </c>
      <c r="I6" s="6">
        <f>'Исходные данные'!$C28</f>
        <v>1</v>
      </c>
      <c r="J6" s="6">
        <f>'Исходные данные'!$C29</f>
        <v>1</v>
      </c>
      <c r="K6" s="6">
        <f>'Исходные данные'!$C30</f>
        <v>1</v>
      </c>
      <c r="L6" s="6">
        <f>'Исходные данные'!$C31</f>
        <v>1</v>
      </c>
      <c r="M6" s="6">
        <f>'Исходные данные'!$C32</f>
        <v>1</v>
      </c>
      <c r="N6" s="6">
        <f>'Исходные данные'!$C33</f>
        <v>1</v>
      </c>
      <c r="O6" s="7"/>
      <c r="P6" s="7"/>
      <c r="Q6" s="6">
        <f>'Исходные данные'!$C$36</f>
        <v>1.2</v>
      </c>
      <c r="R6" s="6">
        <f>'Исходные данные'!$C$36</f>
        <v>1.2</v>
      </c>
      <c r="S6" s="6">
        <f>'Исходные данные'!$C$36</f>
        <v>1.2</v>
      </c>
      <c r="T6" s="6">
        <f>'Исходные данные'!$C$36</f>
        <v>1.2</v>
      </c>
      <c r="U6" s="6">
        <f>'Исходные данные'!$C$36</f>
        <v>1.2</v>
      </c>
      <c r="V6" s="6">
        <f>'Исходные данные'!$C$36</f>
        <v>1.2</v>
      </c>
      <c r="W6" s="6">
        <f>'Исходные данные'!$C$36</f>
        <v>1.2</v>
      </c>
      <c r="X6" s="6">
        <f>'Исходные данные'!$C$36</f>
        <v>1.2</v>
      </c>
      <c r="Y6" s="6">
        <f>'Исходные данные'!$C$36</f>
        <v>1.2</v>
      </c>
      <c r="Z6" s="6">
        <f>'Исходные данные'!$C$36</f>
        <v>1.2</v>
      </c>
      <c r="AA6" s="6">
        <f>'Исходные данные'!$C$36</f>
        <v>1.2</v>
      </c>
      <c r="AB6" s="6">
        <f>'Исходные данные'!$C$36</f>
        <v>1.2</v>
      </c>
      <c r="AC6" s="7"/>
      <c r="AD6" s="7"/>
      <c r="AE6" s="6">
        <f>'Исходные данные'!$C$37</f>
        <v>1.4</v>
      </c>
      <c r="AF6" s="6">
        <f>'Исходные данные'!$C$37</f>
        <v>1.4</v>
      </c>
      <c r="AG6" s="6">
        <f>'Исходные данные'!$C$37</f>
        <v>1.4</v>
      </c>
      <c r="AH6" s="6">
        <f>'Исходные данные'!$C$37</f>
        <v>1.4</v>
      </c>
      <c r="AI6" s="6">
        <f>'Исходные данные'!$C$37</f>
        <v>1.4</v>
      </c>
      <c r="AJ6" s="6">
        <f>'Исходные данные'!$C$37</f>
        <v>1.4</v>
      </c>
      <c r="AK6" s="6">
        <f>'Исходные данные'!$C$37</f>
        <v>1.4</v>
      </c>
      <c r="AL6" s="6">
        <f>'Исходные данные'!$C$37</f>
        <v>1.4</v>
      </c>
      <c r="AM6" s="6">
        <f>'Исходные данные'!$C$37</f>
        <v>1.4</v>
      </c>
      <c r="AN6" s="6">
        <f>'Исходные данные'!$C$37</f>
        <v>1.4</v>
      </c>
      <c r="AO6" s="6">
        <f>'Исходные данные'!$C$37</f>
        <v>1.4</v>
      </c>
      <c r="AP6" s="6">
        <f>'Исходные данные'!$C$37</f>
        <v>1.4</v>
      </c>
      <c r="AQ6" s="7"/>
      <c r="AR6" s="7"/>
      <c r="AS6" s="6"/>
      <c r="AU6" s="6"/>
    </row>
    <row r="7" spans="1:54" s="8" customFormat="1" ht="11.25" outlineLevel="1">
      <c r="A7" s="4" t="s">
        <v>106</v>
      </c>
      <c r="B7" s="5"/>
      <c r="C7" s="6">
        <f>CHOOSE(C2,'Исходные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D7" s="6">
        <f>CHOOSE(D2,'Исходные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E7" s="6">
        <f>CHOOSE(E2,'Исходные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F7" s="6">
        <f>CHOOSE(F2,'Исходные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G7" s="6">
        <f>CHOOSE(G2,'Исходные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H7" s="6">
        <f>CHOOSE(H2,'Исходные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I7" s="6">
        <f>CHOOSE(I2,'Исходные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J7" s="6">
        <f>CHOOSE(J2,'Исходные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K7" s="6">
        <f>CHOOSE(K2,'Исходные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L7" s="6">
        <f>CHOOSE(L2,'Исходные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M7" s="6">
        <f>CHOOSE(M2,'Исходные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N7" s="6">
        <f>CHOOSE(N2,'Исходные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O7" s="7"/>
      <c r="P7" s="7"/>
      <c r="Q7" s="6">
        <f>CHOOSE(Q2,'Исходные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R7" s="6">
        <f>CHOOSE(R2,'Исходные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S7" s="6">
        <f>CHOOSE(S2,'Исходные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T7" s="6">
        <f>CHOOSE(T2,'Исходные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U7" s="6">
        <f>CHOOSE(U2,'Исходные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V7" s="6">
        <f>CHOOSE(V2,'Исходные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W7" s="6">
        <f>CHOOSE(W2,'Исходные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X7" s="6">
        <f>CHOOSE(X2,'Исходные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Y7" s="6">
        <f>CHOOSE(Y2,'Исходные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Z7" s="6">
        <f>CHOOSE(Z2,'Исходные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A7" s="6">
        <f>CHOOSE(AA2,'Исходные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B7" s="6">
        <f>CHOOSE(AB2,'Исходные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C7" s="7"/>
      <c r="AD7" s="7"/>
      <c r="AE7" s="6">
        <f>CHOOSE(AE2,'Исходные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F7" s="6">
        <f>CHOOSE(AF2,'Исходные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G7" s="6">
        <f>CHOOSE(AG2,'Исходные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H7" s="6">
        <f>CHOOSE(AH2,'Исходные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I7" s="6">
        <f>CHOOSE(AI2,'Исходные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J7" s="6">
        <f>CHOOSE(AJ2,'Исходные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K7" s="6">
        <f>CHOOSE(AK2,'Исходные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L7" s="6">
        <f>CHOOSE(AL2,'Исходные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M7" s="6">
        <f>CHOOSE(AM2,'Исходные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N7" s="6">
        <f>CHOOSE(AN2,'Исходные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O7" s="6">
        <f>CHOOSE(AO2,'Исходные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P7" s="6">
        <f>CHOOSE(AP2,'Исходные данные'!$H$22,'Исходные данные'!$H$23,'Исходные данные'!$H$24,'Исходные данные'!$H$25,'Исходные данные'!$H$26,'Исходные данные'!$H$27,'Исходные данные'!$H$28,'Исходные данные'!$H$29,'Исходные данные'!$H$30,'Исходные данные'!$H$31,'Исходные данные'!$H$32,'Исходные данные'!$H$33)</f>
        <v>1</v>
      </c>
      <c r="AQ7" s="7"/>
      <c r="AR7" s="7"/>
      <c r="AS7" s="6"/>
      <c r="AU7" s="6"/>
    </row>
    <row r="8" spans="1:54" s="8" customFormat="1" ht="11.25" outlineLevel="1">
      <c r="A8" s="4" t="s">
        <v>74</v>
      </c>
      <c r="B8" s="5"/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7"/>
      <c r="P8" s="7"/>
      <c r="Q8" s="6">
        <f>'Исходные данные'!$D$36</f>
        <v>1</v>
      </c>
      <c r="R8" s="6">
        <f>'Исходные данные'!$D$36</f>
        <v>1</v>
      </c>
      <c r="S8" s="6">
        <f>'Исходные данные'!$D$36</f>
        <v>1</v>
      </c>
      <c r="T8" s="6">
        <f>'Исходные данные'!$D$36</f>
        <v>1</v>
      </c>
      <c r="U8" s="6">
        <f>'Исходные данные'!$D$36</f>
        <v>1</v>
      </c>
      <c r="V8" s="6">
        <f>'Исходные данные'!$D$36</f>
        <v>1</v>
      </c>
      <c r="W8" s="6">
        <f>'Исходные данные'!$D$36</f>
        <v>1</v>
      </c>
      <c r="X8" s="6">
        <f>'Исходные данные'!$D$36</f>
        <v>1</v>
      </c>
      <c r="Y8" s="6">
        <f>'Исходные данные'!$D$36</f>
        <v>1</v>
      </c>
      <c r="Z8" s="6">
        <f>'Исходные данные'!$D$36</f>
        <v>1</v>
      </c>
      <c r="AA8" s="6">
        <f>'Исходные данные'!$D$36</f>
        <v>1</v>
      </c>
      <c r="AB8" s="6">
        <f>'Исходные данные'!$D$36</f>
        <v>1</v>
      </c>
      <c r="AC8" s="7"/>
      <c r="AD8" s="7"/>
      <c r="AE8" s="6">
        <f>'Исходные данные'!$D$37</f>
        <v>1</v>
      </c>
      <c r="AF8" s="6">
        <f>'Исходные данные'!$D$37</f>
        <v>1</v>
      </c>
      <c r="AG8" s="6">
        <f>'Исходные данные'!$D$37</f>
        <v>1</v>
      </c>
      <c r="AH8" s="6">
        <f>'Исходные данные'!$D$37</f>
        <v>1</v>
      </c>
      <c r="AI8" s="6">
        <f>'Исходные данные'!$D$37</f>
        <v>1</v>
      </c>
      <c r="AJ8" s="6">
        <f>'Исходные данные'!$D$37</f>
        <v>1</v>
      </c>
      <c r="AK8" s="6">
        <f>'Исходные данные'!$D$37</f>
        <v>1</v>
      </c>
      <c r="AL8" s="6">
        <f>'Исходные данные'!$D$37</f>
        <v>1</v>
      </c>
      <c r="AM8" s="6">
        <f>'Исходные данные'!$D$37</f>
        <v>1</v>
      </c>
      <c r="AN8" s="6">
        <f>'Исходные данные'!$D$37</f>
        <v>1</v>
      </c>
      <c r="AO8" s="6">
        <f>'Исходные данные'!$D$37</f>
        <v>1</v>
      </c>
      <c r="AP8" s="6">
        <f>'Исходные данные'!$D$37</f>
        <v>1</v>
      </c>
      <c r="AQ8" s="7"/>
      <c r="AR8" s="7"/>
      <c r="AS8" s="6"/>
      <c r="AU8" s="6"/>
    </row>
    <row r="9" spans="1:54" s="10" customFormat="1" outlineLevel="1">
      <c r="A9" s="8" t="s">
        <v>73</v>
      </c>
      <c r="B9" s="8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7"/>
      <c r="P9" s="7"/>
      <c r="Q9" s="6">
        <f>'Исходные данные'!$F$36</f>
        <v>1</v>
      </c>
      <c r="R9" s="6">
        <f>'Исходные данные'!$F$36</f>
        <v>1</v>
      </c>
      <c r="S9" s="6">
        <f>'Исходные данные'!$F$36</f>
        <v>1</v>
      </c>
      <c r="T9" s="6">
        <f>'Исходные данные'!$F$36</f>
        <v>1</v>
      </c>
      <c r="U9" s="6">
        <f>'Исходные данные'!$F$36</f>
        <v>1</v>
      </c>
      <c r="V9" s="6">
        <f>'Исходные данные'!$F$36</f>
        <v>1</v>
      </c>
      <c r="W9" s="6">
        <f>'Исходные данные'!$F$36</f>
        <v>1</v>
      </c>
      <c r="X9" s="6">
        <f>'Исходные данные'!$F$36</f>
        <v>1</v>
      </c>
      <c r="Y9" s="6">
        <f>'Исходные данные'!$F$36</f>
        <v>1</v>
      </c>
      <c r="Z9" s="6">
        <f>'Исходные данные'!$F$36</f>
        <v>1</v>
      </c>
      <c r="AA9" s="6">
        <f>'Исходные данные'!$F$36</f>
        <v>1</v>
      </c>
      <c r="AB9" s="6">
        <f>'Исходные данные'!$F$36</f>
        <v>1</v>
      </c>
      <c r="AC9" s="7"/>
      <c r="AD9" s="7"/>
      <c r="AE9" s="6">
        <f>'Исходные данные'!$F$37</f>
        <v>1</v>
      </c>
      <c r="AF9" s="6">
        <f>'Исходные данные'!$F$37</f>
        <v>1</v>
      </c>
      <c r="AG9" s="6">
        <f>'Исходные данные'!$F$37</f>
        <v>1</v>
      </c>
      <c r="AH9" s="6">
        <f>'Исходные данные'!$F$37</f>
        <v>1</v>
      </c>
      <c r="AI9" s="6">
        <f>'Исходные данные'!$F$37</f>
        <v>1</v>
      </c>
      <c r="AJ9" s="6">
        <f>'Исходные данные'!$F$37</f>
        <v>1</v>
      </c>
      <c r="AK9" s="6">
        <f>'Исходные данные'!$F$37</f>
        <v>1</v>
      </c>
      <c r="AL9" s="6">
        <f>'Исходные данные'!$F$37</f>
        <v>1</v>
      </c>
      <c r="AM9" s="6">
        <f>'Исходные данные'!$F$37</f>
        <v>1</v>
      </c>
      <c r="AN9" s="6">
        <f>'Исходные данные'!$F$37</f>
        <v>1</v>
      </c>
      <c r="AO9" s="6">
        <f>'Исходные данные'!$F$37</f>
        <v>1</v>
      </c>
      <c r="AP9" s="6">
        <f>'Исходные данные'!$F$37</f>
        <v>1</v>
      </c>
      <c r="AQ9" s="7"/>
      <c r="AR9" s="7"/>
      <c r="AU9" s="6"/>
    </row>
    <row r="10" spans="1:54" s="8" customFormat="1" ht="11.25" outlineLevel="1">
      <c r="A10" s="4" t="s">
        <v>99</v>
      </c>
      <c r="B10" s="5"/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7"/>
      <c r="P10" s="7"/>
      <c r="Q10" s="6">
        <f>'Исходные данные'!$G$36</f>
        <v>1</v>
      </c>
      <c r="R10" s="6">
        <f>'Исходные данные'!$G$36</f>
        <v>1</v>
      </c>
      <c r="S10" s="6">
        <f>'Исходные данные'!$G$36</f>
        <v>1</v>
      </c>
      <c r="T10" s="6">
        <f>'Исходные данные'!$G$36</f>
        <v>1</v>
      </c>
      <c r="U10" s="6">
        <f>'Исходные данные'!$G$36</f>
        <v>1</v>
      </c>
      <c r="V10" s="6">
        <f>'Исходные данные'!$G$36</f>
        <v>1</v>
      </c>
      <c r="W10" s="6">
        <f>'Исходные данные'!$G$36</f>
        <v>1</v>
      </c>
      <c r="X10" s="6">
        <f>'Исходные данные'!$G$36</f>
        <v>1</v>
      </c>
      <c r="Y10" s="6">
        <f>'Исходные данные'!$G$36</f>
        <v>1</v>
      </c>
      <c r="Z10" s="6">
        <f>'Исходные данные'!$G$36</f>
        <v>1</v>
      </c>
      <c r="AA10" s="6">
        <f>'Исходные данные'!$G$36</f>
        <v>1</v>
      </c>
      <c r="AB10" s="6">
        <f>'Исходные данные'!$G$36</f>
        <v>1</v>
      </c>
      <c r="AC10" s="7"/>
      <c r="AD10" s="7"/>
      <c r="AE10" s="6">
        <f>'Исходные данные'!$G$37</f>
        <v>1</v>
      </c>
      <c r="AF10" s="6">
        <f>'Исходные данные'!$G$37</f>
        <v>1</v>
      </c>
      <c r="AG10" s="6">
        <f>'Исходные данные'!$G$37</f>
        <v>1</v>
      </c>
      <c r="AH10" s="6">
        <f>'Исходные данные'!$G$37</f>
        <v>1</v>
      </c>
      <c r="AI10" s="6">
        <f>'Исходные данные'!$G$37</f>
        <v>1</v>
      </c>
      <c r="AJ10" s="6">
        <f>'Исходные данные'!$G$37</f>
        <v>1</v>
      </c>
      <c r="AK10" s="6">
        <f>'Исходные данные'!$G$37</f>
        <v>1</v>
      </c>
      <c r="AL10" s="6">
        <f>'Исходные данные'!$G$37</f>
        <v>1</v>
      </c>
      <c r="AM10" s="6">
        <f>'Исходные данные'!$G$37</f>
        <v>1</v>
      </c>
      <c r="AN10" s="6">
        <f>'Исходные данные'!$G$37</f>
        <v>1</v>
      </c>
      <c r="AO10" s="6">
        <f>'Исходные данные'!$G$37</f>
        <v>1</v>
      </c>
      <c r="AP10" s="6">
        <f>'Исходные данные'!$G$37</f>
        <v>1</v>
      </c>
      <c r="AQ10" s="7"/>
      <c r="AR10" s="7"/>
      <c r="AS10" s="6"/>
      <c r="AV10" s="6"/>
      <c r="AX10" s="9"/>
      <c r="AY10" s="9"/>
      <c r="AZ10" s="9"/>
      <c r="BA10" s="9"/>
      <c r="BB10" s="9"/>
    </row>
    <row r="11" spans="1:54" s="10" customFormat="1" outlineLevel="1">
      <c r="A11" s="8" t="s">
        <v>100</v>
      </c>
      <c r="B11" s="8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7"/>
      <c r="P11" s="7"/>
      <c r="Q11" s="6">
        <f>'Исходные данные'!$H$36</f>
        <v>1</v>
      </c>
      <c r="R11" s="6">
        <f>'Исходные данные'!$H$36</f>
        <v>1</v>
      </c>
      <c r="S11" s="6">
        <f>'Исходные данные'!$H$36</f>
        <v>1</v>
      </c>
      <c r="T11" s="6">
        <f>'Исходные данные'!$H$36</f>
        <v>1</v>
      </c>
      <c r="U11" s="6">
        <f>'Исходные данные'!$H$36</f>
        <v>1</v>
      </c>
      <c r="V11" s="6">
        <f>'Исходные данные'!$H$36</f>
        <v>1</v>
      </c>
      <c r="W11" s="6">
        <f>'Исходные данные'!$H$36</f>
        <v>1</v>
      </c>
      <c r="X11" s="6">
        <f>'Исходные данные'!$H$36</f>
        <v>1</v>
      </c>
      <c r="Y11" s="6">
        <f>'Исходные данные'!$H$36</f>
        <v>1</v>
      </c>
      <c r="Z11" s="6">
        <f>'Исходные данные'!$H$36</f>
        <v>1</v>
      </c>
      <c r="AA11" s="6">
        <f>'Исходные данные'!$H$36</f>
        <v>1</v>
      </c>
      <c r="AB11" s="6">
        <f>'Исходные данные'!$H$36</f>
        <v>1</v>
      </c>
      <c r="AC11" s="7"/>
      <c r="AD11" s="7"/>
      <c r="AE11" s="6">
        <f>'Исходные данные'!$H$37</f>
        <v>1</v>
      </c>
      <c r="AF11" s="6">
        <f>'Исходные данные'!$H$37</f>
        <v>1</v>
      </c>
      <c r="AG11" s="6">
        <f>'Исходные данные'!$H$37</f>
        <v>1</v>
      </c>
      <c r="AH11" s="6">
        <f>'Исходные данные'!$H$37</f>
        <v>1</v>
      </c>
      <c r="AI11" s="6">
        <f>'Исходные данные'!$H$37</f>
        <v>1</v>
      </c>
      <c r="AJ11" s="6">
        <f>'Исходные данные'!$H$37</f>
        <v>1</v>
      </c>
      <c r="AK11" s="6">
        <f>'Исходные данные'!$H$37</f>
        <v>1</v>
      </c>
      <c r="AL11" s="6">
        <f>'Исходные данные'!$H$37</f>
        <v>1</v>
      </c>
      <c r="AM11" s="6">
        <f>'Исходные данные'!$H$37</f>
        <v>1</v>
      </c>
      <c r="AN11" s="6">
        <f>'Исходные данные'!$H$37</f>
        <v>1</v>
      </c>
      <c r="AO11" s="6">
        <f>'Исходные данные'!$H$37</f>
        <v>1</v>
      </c>
      <c r="AP11" s="6">
        <f>'Исходные данные'!$H$37</f>
        <v>1</v>
      </c>
      <c r="AQ11" s="7"/>
      <c r="AR11" s="7"/>
      <c r="AV11" s="6"/>
      <c r="AX11" s="9"/>
      <c r="AY11" s="9"/>
      <c r="AZ11" s="9"/>
      <c r="BA11" s="9"/>
      <c r="BB11" s="9"/>
    </row>
    <row r="12" spans="1:54" s="8" customFormat="1" ht="11.25" outlineLevel="1">
      <c r="A12" s="4" t="s">
        <v>101</v>
      </c>
      <c r="B12" s="5"/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7"/>
      <c r="P12" s="7"/>
      <c r="Q12" s="6">
        <f>'Исходные данные'!$I$36</f>
        <v>1</v>
      </c>
      <c r="R12" s="6">
        <f>'Исходные данные'!$I$36</f>
        <v>1</v>
      </c>
      <c r="S12" s="6">
        <f>'Исходные данные'!$I$36</f>
        <v>1</v>
      </c>
      <c r="T12" s="6">
        <f>'Исходные данные'!$I$36</f>
        <v>1</v>
      </c>
      <c r="U12" s="6">
        <f>'Исходные данные'!$I$36</f>
        <v>1</v>
      </c>
      <c r="V12" s="6">
        <f>'Исходные данные'!$I$36</f>
        <v>1</v>
      </c>
      <c r="W12" s="6">
        <f>'Исходные данные'!$I$36</f>
        <v>1</v>
      </c>
      <c r="X12" s="6">
        <f>'Исходные данные'!$I$36</f>
        <v>1</v>
      </c>
      <c r="Y12" s="6">
        <f>'Исходные данные'!$I$36</f>
        <v>1</v>
      </c>
      <c r="Z12" s="6">
        <f>'Исходные данные'!$I$36</f>
        <v>1</v>
      </c>
      <c r="AA12" s="6">
        <f>'Исходные данные'!$I$36</f>
        <v>1</v>
      </c>
      <c r="AB12" s="6">
        <f>'Исходные данные'!$I$36</f>
        <v>1</v>
      </c>
      <c r="AC12" s="7"/>
      <c r="AD12" s="7"/>
      <c r="AE12" s="6">
        <f>'Исходные данные'!$I$37</f>
        <v>1</v>
      </c>
      <c r="AF12" s="6">
        <f>'Исходные данные'!$I$37</f>
        <v>1</v>
      </c>
      <c r="AG12" s="6">
        <f>'Исходные данные'!$I$37</f>
        <v>1</v>
      </c>
      <c r="AH12" s="6">
        <f>'Исходные данные'!$I$37</f>
        <v>1</v>
      </c>
      <c r="AI12" s="6">
        <f>'Исходные данные'!$I$37</f>
        <v>1</v>
      </c>
      <c r="AJ12" s="6">
        <f>'Исходные данные'!$I$37</f>
        <v>1</v>
      </c>
      <c r="AK12" s="6">
        <f>'Исходные данные'!$I$37</f>
        <v>1</v>
      </c>
      <c r="AL12" s="6">
        <f>'Исходные данные'!$I$37</f>
        <v>1</v>
      </c>
      <c r="AM12" s="6">
        <f>'Исходные данные'!$I$37</f>
        <v>1</v>
      </c>
      <c r="AN12" s="6">
        <f>'Исходные данные'!$I$37</f>
        <v>1</v>
      </c>
      <c r="AO12" s="6">
        <f>'Исходные данные'!$I$37</f>
        <v>1</v>
      </c>
      <c r="AP12" s="6">
        <f>'Исходные данные'!$I$37</f>
        <v>1</v>
      </c>
      <c r="AQ12" s="7"/>
      <c r="AR12" s="7"/>
      <c r="AS12" s="6"/>
      <c r="AX12" s="9"/>
      <c r="AY12" s="9"/>
      <c r="AZ12" s="9"/>
      <c r="BA12" s="9"/>
      <c r="BB12" s="9"/>
    </row>
    <row r="13" spans="1:54" s="9" customFormat="1" ht="11.25" outlineLevel="1">
      <c r="A13" s="9" t="s">
        <v>75</v>
      </c>
      <c r="O13" s="68"/>
      <c r="P13" s="68"/>
      <c r="AC13" s="68"/>
      <c r="AD13" s="68"/>
      <c r="AQ13" s="68"/>
      <c r="AR13" s="68"/>
      <c r="AU13" s="6"/>
    </row>
    <row r="14" spans="1:54" s="9" customFormat="1" ht="13.5" customHeight="1" thickBot="1">
      <c r="A14" s="63"/>
      <c r="B14" s="63"/>
      <c r="C14" s="350" t="s">
        <v>32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350" t="s">
        <v>33</v>
      </c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2"/>
      <c r="AE14" s="353" t="s">
        <v>35</v>
      </c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45" t="s">
        <v>42</v>
      </c>
      <c r="AU14" s="6"/>
    </row>
    <row r="15" spans="1:54" s="73" customFormat="1" ht="24" thickTop="1" thickBot="1">
      <c r="A15" s="69" t="s">
        <v>7</v>
      </c>
      <c r="B15" s="70"/>
      <c r="C15" s="71" t="str">
        <f t="shared" ref="C15:N15" si="2">C$5</f>
        <v>январь</v>
      </c>
      <c r="D15" s="71" t="str">
        <f t="shared" si="2"/>
        <v>февраль</v>
      </c>
      <c r="E15" s="71" t="str">
        <f t="shared" si="2"/>
        <v>март</v>
      </c>
      <c r="F15" s="71" t="str">
        <f t="shared" si="2"/>
        <v>апрель</v>
      </c>
      <c r="G15" s="71" t="str">
        <f t="shared" si="2"/>
        <v>май</v>
      </c>
      <c r="H15" s="71" t="str">
        <f t="shared" si="2"/>
        <v>июнь</v>
      </c>
      <c r="I15" s="71" t="str">
        <f t="shared" si="2"/>
        <v>июль</v>
      </c>
      <c r="J15" s="71" t="str">
        <f t="shared" si="2"/>
        <v>август</v>
      </c>
      <c r="K15" s="71" t="str">
        <f t="shared" si="2"/>
        <v>сентябрь</v>
      </c>
      <c r="L15" s="71" t="str">
        <f t="shared" si="2"/>
        <v>октябрь</v>
      </c>
      <c r="M15" s="71" t="str">
        <f t="shared" si="2"/>
        <v>ноябрь</v>
      </c>
      <c r="N15" s="71" t="str">
        <f t="shared" si="2"/>
        <v>декабрь</v>
      </c>
      <c r="O15" s="72" t="s">
        <v>36</v>
      </c>
      <c r="P15" s="72" t="s">
        <v>37</v>
      </c>
      <c r="Q15" s="71" t="str">
        <f t="shared" ref="Q15:AB15" si="3">Q$5</f>
        <v>январь</v>
      </c>
      <c r="R15" s="71" t="str">
        <f t="shared" si="3"/>
        <v>февраль</v>
      </c>
      <c r="S15" s="71" t="str">
        <f t="shared" si="3"/>
        <v>март</v>
      </c>
      <c r="T15" s="71" t="str">
        <f t="shared" si="3"/>
        <v>апрель</v>
      </c>
      <c r="U15" s="71" t="str">
        <f t="shared" si="3"/>
        <v>май</v>
      </c>
      <c r="V15" s="71" t="str">
        <f t="shared" si="3"/>
        <v>июнь</v>
      </c>
      <c r="W15" s="71" t="str">
        <f t="shared" si="3"/>
        <v>июль</v>
      </c>
      <c r="X15" s="71" t="str">
        <f t="shared" si="3"/>
        <v>август</v>
      </c>
      <c r="Y15" s="71" t="str">
        <f t="shared" si="3"/>
        <v>сентябрь</v>
      </c>
      <c r="Z15" s="71" t="str">
        <f t="shared" si="3"/>
        <v>октябрь</v>
      </c>
      <c r="AA15" s="71" t="str">
        <f t="shared" si="3"/>
        <v>ноябрь</v>
      </c>
      <c r="AB15" s="71" t="str">
        <f t="shared" si="3"/>
        <v>декабрь</v>
      </c>
      <c r="AC15" s="72" t="s">
        <v>39</v>
      </c>
      <c r="AD15" s="72" t="s">
        <v>38</v>
      </c>
      <c r="AE15" s="71" t="str">
        <f t="shared" ref="AE15:AP15" si="4">AE$5</f>
        <v>январь</v>
      </c>
      <c r="AF15" s="71" t="str">
        <f t="shared" si="4"/>
        <v>февраль</v>
      </c>
      <c r="AG15" s="71" t="str">
        <f t="shared" si="4"/>
        <v>март</v>
      </c>
      <c r="AH15" s="71" t="str">
        <f t="shared" si="4"/>
        <v>апрель</v>
      </c>
      <c r="AI15" s="71" t="str">
        <f t="shared" si="4"/>
        <v>май</v>
      </c>
      <c r="AJ15" s="71" t="str">
        <f t="shared" si="4"/>
        <v>июнь</v>
      </c>
      <c r="AK15" s="71" t="str">
        <f t="shared" si="4"/>
        <v>июль</v>
      </c>
      <c r="AL15" s="71" t="str">
        <f t="shared" si="4"/>
        <v>август</v>
      </c>
      <c r="AM15" s="71" t="str">
        <f t="shared" si="4"/>
        <v>сентябрь</v>
      </c>
      <c r="AN15" s="71" t="str">
        <f t="shared" si="4"/>
        <v>октябрь</v>
      </c>
      <c r="AO15" s="71" t="str">
        <f t="shared" si="4"/>
        <v>ноябрь</v>
      </c>
      <c r="AP15" s="71" t="str">
        <f t="shared" si="4"/>
        <v>декабрь</v>
      </c>
      <c r="AQ15" s="72" t="s">
        <v>40</v>
      </c>
      <c r="AR15" s="72" t="s">
        <v>41</v>
      </c>
      <c r="AS15" s="346"/>
      <c r="AU15" s="6"/>
    </row>
    <row r="16" spans="1:54" s="79" customFormat="1" ht="12" thickTop="1">
      <c r="A16" s="80" t="str">
        <f>'Исходные данные'!A10</f>
        <v>Бургеры</v>
      </c>
      <c r="B16" s="81" t="str">
        <f>CHOOSE('Исходные данные'!$O$2,'Исходные данные'!$P$2,'Исходные данные'!$P$3,'Исходные данные'!$P$4,'Исходные данные'!$P$5)</f>
        <v>RUB</v>
      </c>
      <c r="C16" s="82">
        <f>C$6*C$7*'Обобщенный расчет'!$C7*'Обобщенный расчет'!$E7</f>
        <v>141371.99999999997</v>
      </c>
      <c r="D16" s="82">
        <f>D$6*D$7*'Обобщенный расчет'!$C7*'Обобщенный расчет'!$E7</f>
        <v>164934</v>
      </c>
      <c r="E16" s="82">
        <f>E$6*E$7*'Обобщенный расчет'!$C7*'Обобщенный расчет'!$E7</f>
        <v>188496</v>
      </c>
      <c r="F16" s="82">
        <f>F$6*F$7*'Обобщенный расчет'!$C7*'Обобщенный расчет'!$E7</f>
        <v>212058.00000000003</v>
      </c>
      <c r="G16" s="82">
        <f>G$6*G$7*'Обобщенный расчет'!$C7*'Обобщенный расчет'!$E7</f>
        <v>235620</v>
      </c>
      <c r="H16" s="82">
        <f>H$6*H$7*'Обобщенный расчет'!$C7*'Обобщенный расчет'!$E7</f>
        <v>235620</v>
      </c>
      <c r="I16" s="82">
        <f>I$6*I$7*'Обобщенный расчет'!$C7*'Обобщенный расчет'!$E7</f>
        <v>235620</v>
      </c>
      <c r="J16" s="82">
        <f>J$6*J$7*'Обобщенный расчет'!$C7*'Обобщенный расчет'!$E7</f>
        <v>235620</v>
      </c>
      <c r="K16" s="82">
        <f>K$6*K$7*'Обобщенный расчет'!$C7*'Обобщенный расчет'!$E7</f>
        <v>235620</v>
      </c>
      <c r="L16" s="82">
        <f>L$6*L$7*'Обобщенный расчет'!$C7*'Обобщенный расчет'!$E7</f>
        <v>235620</v>
      </c>
      <c r="M16" s="82">
        <f>M$6*M$7*'Обобщенный расчет'!$C7*'Обобщенный расчет'!$E7</f>
        <v>235620</v>
      </c>
      <c r="N16" s="82">
        <f>N$6*N$7*'Обобщенный расчет'!$C7*'Обобщенный расчет'!$E7</f>
        <v>235620</v>
      </c>
      <c r="O16" s="83">
        <f t="shared" ref="O16" si="5">SUM(C16:N16)</f>
        <v>2591820</v>
      </c>
      <c r="P16" s="83">
        <f t="shared" ref="P16" si="6">O16/12</f>
        <v>215985</v>
      </c>
      <c r="Q16" s="82">
        <f>Q$6*Q$7*'Обобщенный расчет'!$C7*'Обобщенный расчет'!$E7</f>
        <v>282743.99999999994</v>
      </c>
      <c r="R16" s="82">
        <f>R$6*R$7*'Обобщенный расчет'!$C7*'Обобщенный расчет'!$E7</f>
        <v>282743.99999999994</v>
      </c>
      <c r="S16" s="82">
        <f>S$6*S$7*'Обобщенный расчет'!$C7*'Обобщенный расчет'!$E7</f>
        <v>282743.99999999994</v>
      </c>
      <c r="T16" s="82">
        <f>T$6*T$7*'Обобщенный расчет'!$C7*'Обобщенный расчет'!$E7</f>
        <v>282743.99999999994</v>
      </c>
      <c r="U16" s="82">
        <f>U$6*U$7*'Обобщенный расчет'!$C7*'Обобщенный расчет'!$E7</f>
        <v>282743.99999999994</v>
      </c>
      <c r="V16" s="82">
        <f>V$6*V$7*'Обобщенный расчет'!$C7*'Обобщенный расчет'!$E7</f>
        <v>282743.99999999994</v>
      </c>
      <c r="W16" s="82">
        <f>W$6*W$7*'Обобщенный расчет'!$C7*'Обобщенный расчет'!$E7</f>
        <v>282743.99999999994</v>
      </c>
      <c r="X16" s="82">
        <f>X$6*X$7*'Обобщенный расчет'!$C7*'Обобщенный расчет'!$E7</f>
        <v>282743.99999999994</v>
      </c>
      <c r="Y16" s="82">
        <f>Y$6*Y$7*'Обобщенный расчет'!$C7*'Обобщенный расчет'!$E7</f>
        <v>282743.99999999994</v>
      </c>
      <c r="Z16" s="82">
        <f>Z$6*Z$7*'Обобщенный расчет'!$C7*'Обобщенный расчет'!$E7</f>
        <v>282743.99999999994</v>
      </c>
      <c r="AA16" s="82">
        <f>AA$6*AA$7*'Обобщенный расчет'!$C7*'Обобщенный расчет'!$E7</f>
        <v>282743.99999999994</v>
      </c>
      <c r="AB16" s="82">
        <f>AB$6*AB$7*'Обобщенный расчет'!$C7*'Обобщенный расчет'!$E7</f>
        <v>282743.99999999994</v>
      </c>
      <c r="AC16" s="83">
        <f t="shared" ref="AC16" si="7">SUM(Q16:AB16)</f>
        <v>3392927.9999999995</v>
      </c>
      <c r="AD16" s="83">
        <f t="shared" ref="AD16" si="8">AC16/12</f>
        <v>282743.99999999994</v>
      </c>
      <c r="AE16" s="82">
        <f>AE$6*AE$7*'Обобщенный расчет'!$C7*'Обобщенный расчет'!$E7</f>
        <v>329868</v>
      </c>
      <c r="AF16" s="82">
        <f>AF$6*AF$7*'Обобщенный расчет'!$C7*'Обобщенный расчет'!$E7</f>
        <v>329868</v>
      </c>
      <c r="AG16" s="82">
        <f>AG$6*AG$7*'Обобщенный расчет'!$C7*'Обобщенный расчет'!$E7</f>
        <v>329868</v>
      </c>
      <c r="AH16" s="82">
        <f>AH$6*AH$7*'Обобщенный расчет'!$C7*'Обобщенный расчет'!$E7</f>
        <v>329868</v>
      </c>
      <c r="AI16" s="82">
        <f>AI$6*AI$7*'Обобщенный расчет'!$C7*'Обобщенный расчет'!$E7</f>
        <v>329868</v>
      </c>
      <c r="AJ16" s="82">
        <f>AJ$6*AJ$7*'Обобщенный расчет'!$C7*'Обобщенный расчет'!$E7</f>
        <v>329868</v>
      </c>
      <c r="AK16" s="82">
        <f>AK$6*AK$7*'Обобщенный расчет'!$C7*'Обобщенный расчет'!$E7</f>
        <v>329868</v>
      </c>
      <c r="AL16" s="82">
        <f>AL$6*AL$7*'Обобщенный расчет'!$C7*'Обобщенный расчет'!$E7</f>
        <v>329868</v>
      </c>
      <c r="AM16" s="82">
        <f>AM$6*AM$7*'Обобщенный расчет'!$C7*'Обобщенный расчет'!$E7</f>
        <v>329868</v>
      </c>
      <c r="AN16" s="82">
        <f>AN$6*AN$7*'Обобщенный расчет'!$C7*'Обобщенный расчет'!$E7</f>
        <v>329868</v>
      </c>
      <c r="AO16" s="82">
        <f>AO$6*AO$7*'Обобщенный расчет'!$C7*'Обобщенный расчет'!$E7</f>
        <v>329868</v>
      </c>
      <c r="AP16" s="82">
        <f>AP$6*AP$7*'Обобщенный расчет'!$C7*'Обобщенный расчет'!$E7</f>
        <v>329868</v>
      </c>
      <c r="AQ16" s="83">
        <f t="shared" ref="AQ16" si="9">SUM(AE16:AP16)</f>
        <v>3958416</v>
      </c>
      <c r="AR16" s="83">
        <f t="shared" ref="AR16" si="10">AQ16/12</f>
        <v>329868</v>
      </c>
      <c r="AS16" s="77">
        <f t="shared" ref="AS16" si="11">O16+AC16+AQ16</f>
        <v>9943164</v>
      </c>
      <c r="AT16" s="78"/>
      <c r="AU16" s="6"/>
    </row>
    <row r="17" spans="1:48" s="79" customFormat="1" ht="11.25">
      <c r="A17" s="94" t="str">
        <f>'Исходные данные'!A11</f>
        <v>Пицца</v>
      </c>
      <c r="B17" s="74" t="str">
        <f>CHOOSE('Исходные данные'!$O$2,'Исходные данные'!$P$2,'Исходные данные'!$P$3,'Исходные данные'!$P$4,'Исходные данные'!$P$5)</f>
        <v>RUB</v>
      </c>
      <c r="C17" s="75">
        <f>C$6*C$7*'Обобщенный расчет'!$C8*'Обобщенный расчет'!$E8</f>
        <v>171647.99999999997</v>
      </c>
      <c r="D17" s="75">
        <f>D$6*D$7*'Обобщенный расчет'!$C8*'Обобщенный расчет'!$E8</f>
        <v>200256</v>
      </c>
      <c r="E17" s="75">
        <f>E$6*E$7*'Обобщенный расчет'!$C8*'Обобщенный расчет'!$E8</f>
        <v>228864</v>
      </c>
      <c r="F17" s="75">
        <f>F$6*F$7*'Обобщенный расчет'!$C8*'Обобщенный расчет'!$E8</f>
        <v>257472</v>
      </c>
      <c r="G17" s="75">
        <f>G$6*G$7*'Обобщенный расчет'!$C8*'Обобщенный расчет'!$E8</f>
        <v>286080</v>
      </c>
      <c r="H17" s="75">
        <f>H$6*H$7*'Обобщенный расчет'!$C8*'Обобщенный расчет'!$E8</f>
        <v>286080</v>
      </c>
      <c r="I17" s="75">
        <f>I$6*I$7*'Обобщенный расчет'!$C8*'Обобщенный расчет'!$E8</f>
        <v>286080</v>
      </c>
      <c r="J17" s="75">
        <f>J$6*J$7*'Обобщенный расчет'!$C8*'Обобщенный расчет'!$E8</f>
        <v>286080</v>
      </c>
      <c r="K17" s="75">
        <f>K$6*K$7*'Обобщенный расчет'!$C8*'Обобщенный расчет'!$E8</f>
        <v>286080</v>
      </c>
      <c r="L17" s="75">
        <f>L$6*L$7*'Обобщенный расчет'!$C8*'Обобщенный расчет'!$E8</f>
        <v>286080</v>
      </c>
      <c r="M17" s="75">
        <f>M$6*M$7*'Обобщенный расчет'!$C8*'Обобщенный расчет'!$E8</f>
        <v>286080</v>
      </c>
      <c r="N17" s="75">
        <f>N$6*N$7*'Обобщенный расчет'!$C8*'Обобщенный расчет'!$E8</f>
        <v>286080</v>
      </c>
      <c r="O17" s="76">
        <f t="shared" ref="O17:O18" si="12">SUM(C17:N17)</f>
        <v>3146880</v>
      </c>
      <c r="P17" s="76">
        <f t="shared" ref="P17:P18" si="13">O17/12</f>
        <v>262240</v>
      </c>
      <c r="Q17" s="75">
        <f>Q$6*Q$7*'Обобщенный расчет'!$C8*'Обобщенный расчет'!$E8</f>
        <v>343295.99999999994</v>
      </c>
      <c r="R17" s="75">
        <f>R$6*R$7*'Обобщенный расчет'!$C8*'Обобщенный расчет'!$E8</f>
        <v>343295.99999999994</v>
      </c>
      <c r="S17" s="75">
        <f>S$6*S$7*'Обобщенный расчет'!$C8*'Обобщенный расчет'!$E8</f>
        <v>343295.99999999994</v>
      </c>
      <c r="T17" s="75">
        <f>T$6*T$7*'Обобщенный расчет'!$C8*'Обобщенный расчет'!$E8</f>
        <v>343295.99999999994</v>
      </c>
      <c r="U17" s="75">
        <f>U$6*U$7*'Обобщенный расчет'!$C8*'Обобщенный расчет'!$E8</f>
        <v>343295.99999999994</v>
      </c>
      <c r="V17" s="75">
        <f>V$6*V$7*'Обобщенный расчет'!$C8*'Обобщенный расчет'!$E8</f>
        <v>343295.99999999994</v>
      </c>
      <c r="W17" s="75">
        <f>W$6*W$7*'Обобщенный расчет'!$C8*'Обобщенный расчет'!$E8</f>
        <v>343295.99999999994</v>
      </c>
      <c r="X17" s="75">
        <f>X$6*X$7*'Обобщенный расчет'!$C8*'Обобщенный расчет'!$E8</f>
        <v>343295.99999999994</v>
      </c>
      <c r="Y17" s="75">
        <f>Y$6*Y$7*'Обобщенный расчет'!$C8*'Обобщенный расчет'!$E8</f>
        <v>343295.99999999994</v>
      </c>
      <c r="Z17" s="75">
        <f>Z$6*Z$7*'Обобщенный расчет'!$C8*'Обобщенный расчет'!$E8</f>
        <v>343295.99999999994</v>
      </c>
      <c r="AA17" s="75">
        <f>AA$6*AA$7*'Обобщенный расчет'!$C8*'Обобщенный расчет'!$E8</f>
        <v>343295.99999999994</v>
      </c>
      <c r="AB17" s="75">
        <f>AB$6*AB$7*'Обобщенный расчет'!$C8*'Обобщенный расчет'!$E8</f>
        <v>343295.99999999994</v>
      </c>
      <c r="AC17" s="76">
        <f t="shared" ref="AC17:AC18" si="14">SUM(Q17:AB17)</f>
        <v>4119551.9999999995</v>
      </c>
      <c r="AD17" s="76">
        <f t="shared" ref="AD17:AD18" si="15">AC17/12</f>
        <v>343295.99999999994</v>
      </c>
      <c r="AE17" s="75">
        <f>AE$6*AE$7*'Обобщенный расчет'!$C8*'Обобщенный расчет'!$E8</f>
        <v>400512</v>
      </c>
      <c r="AF17" s="75">
        <f>AF$6*AF$7*'Обобщенный расчет'!$C8*'Обобщенный расчет'!$E8</f>
        <v>400512</v>
      </c>
      <c r="AG17" s="75">
        <f>AG$6*AG$7*'Обобщенный расчет'!$C8*'Обобщенный расчет'!$E8</f>
        <v>400512</v>
      </c>
      <c r="AH17" s="75">
        <f>AH$6*AH$7*'Обобщенный расчет'!$C8*'Обобщенный расчет'!$E8</f>
        <v>400512</v>
      </c>
      <c r="AI17" s="75">
        <f>AI$6*AI$7*'Обобщенный расчет'!$C8*'Обобщенный расчет'!$E8</f>
        <v>400512</v>
      </c>
      <c r="AJ17" s="75">
        <f>AJ$6*AJ$7*'Обобщенный расчет'!$C8*'Обобщенный расчет'!$E8</f>
        <v>400512</v>
      </c>
      <c r="AK17" s="75">
        <f>AK$6*AK$7*'Обобщенный расчет'!$C8*'Обобщенный расчет'!$E8</f>
        <v>400512</v>
      </c>
      <c r="AL17" s="75">
        <f>AL$6*AL$7*'Обобщенный расчет'!$C8*'Обобщенный расчет'!$E8</f>
        <v>400512</v>
      </c>
      <c r="AM17" s="75">
        <f>AM$6*AM$7*'Обобщенный расчет'!$C8*'Обобщенный расчет'!$E8</f>
        <v>400512</v>
      </c>
      <c r="AN17" s="75">
        <f>AN$6*AN$7*'Обобщенный расчет'!$C8*'Обобщенный расчет'!$E8</f>
        <v>400512</v>
      </c>
      <c r="AO17" s="75">
        <f>AO$6*AO$7*'Обобщенный расчет'!$C8*'Обобщенный расчет'!$E8</f>
        <v>400512</v>
      </c>
      <c r="AP17" s="75">
        <f>AP$6*AP$7*'Обобщенный расчет'!$C8*'Обобщенный расчет'!$E8</f>
        <v>400512</v>
      </c>
      <c r="AQ17" s="76">
        <f t="shared" ref="AQ17:AQ18" si="16">SUM(AE17:AP17)</f>
        <v>4806144</v>
      </c>
      <c r="AR17" s="76">
        <f t="shared" ref="AR17:AR18" si="17">AQ17/12</f>
        <v>400512</v>
      </c>
      <c r="AS17" s="77">
        <f t="shared" ref="AS17:AS18" si="18">O17+AC17+AQ17</f>
        <v>12072576</v>
      </c>
      <c r="AT17" s="78"/>
    </row>
    <row r="18" spans="1:48" s="79" customFormat="1" ht="11.25">
      <c r="A18" s="80" t="str">
        <f>'Исходные данные'!A12</f>
        <v>Обеды и ужины</v>
      </c>
      <c r="B18" s="81" t="str">
        <f>CHOOSE('Исходные данные'!$O$2,'Исходные данные'!$P$2,'Исходные данные'!$P$3,'Исходные данные'!$P$4,'Исходные данные'!$P$5)</f>
        <v>RUB</v>
      </c>
      <c r="C18" s="82">
        <f>C$6*C$7*'Обобщенный расчет'!$C9*'Обобщенный расчет'!$E9</f>
        <v>609840</v>
      </c>
      <c r="D18" s="82">
        <f>D$6*D$7*'Обобщенный расчет'!$C9*'Обобщенный расчет'!$E9</f>
        <v>711480</v>
      </c>
      <c r="E18" s="82">
        <f>E$6*E$7*'Обобщенный расчет'!$C9*'Обобщенный расчет'!$E9</f>
        <v>813120</v>
      </c>
      <c r="F18" s="82">
        <f>F$6*F$7*'Обобщенный расчет'!$C9*'Обобщенный расчет'!$E9</f>
        <v>914760</v>
      </c>
      <c r="G18" s="82">
        <f>G$6*G$7*'Обобщенный расчет'!$C9*'Обобщенный расчет'!$E9</f>
        <v>1016400</v>
      </c>
      <c r="H18" s="82">
        <f>H$6*H$7*'Обобщенный расчет'!$C9*'Обобщенный расчет'!$E9</f>
        <v>1016400</v>
      </c>
      <c r="I18" s="82">
        <f>I$6*I$7*'Обобщенный расчет'!$C9*'Обобщенный расчет'!$E9</f>
        <v>1016400</v>
      </c>
      <c r="J18" s="82">
        <f>J$6*J$7*'Обобщенный расчет'!$C9*'Обобщенный расчет'!$E9</f>
        <v>1016400</v>
      </c>
      <c r="K18" s="82">
        <f>K$6*K$7*'Обобщенный расчет'!$C9*'Обобщенный расчет'!$E9</f>
        <v>1016400</v>
      </c>
      <c r="L18" s="82">
        <f>L$6*L$7*'Обобщенный расчет'!$C9*'Обобщенный расчет'!$E9</f>
        <v>1016400</v>
      </c>
      <c r="M18" s="82">
        <f>M$6*M$7*'Обобщенный расчет'!$C9*'Обобщенный расчет'!$E9</f>
        <v>1016400</v>
      </c>
      <c r="N18" s="82">
        <f>N$6*N$7*'Обобщенный расчет'!$C9*'Обобщенный расчет'!$E9</f>
        <v>1016400</v>
      </c>
      <c r="O18" s="83">
        <f t="shared" si="12"/>
        <v>11180400</v>
      </c>
      <c r="P18" s="83">
        <f t="shared" si="13"/>
        <v>931700</v>
      </c>
      <c r="Q18" s="82">
        <f>Q$6*Q$7*'Обобщенный расчет'!$C9*'Обобщенный расчет'!$E9</f>
        <v>1219680</v>
      </c>
      <c r="R18" s="82">
        <f>R$6*R$7*'Обобщенный расчет'!$C9*'Обобщенный расчет'!$E9</f>
        <v>1219680</v>
      </c>
      <c r="S18" s="82">
        <f>S$6*S$7*'Обобщенный расчет'!$C9*'Обобщенный расчет'!$E9</f>
        <v>1219680</v>
      </c>
      <c r="T18" s="82">
        <f>T$6*T$7*'Обобщенный расчет'!$C9*'Обобщенный расчет'!$E9</f>
        <v>1219680</v>
      </c>
      <c r="U18" s="82">
        <f>U$6*U$7*'Обобщенный расчет'!$C9*'Обобщенный расчет'!$E9</f>
        <v>1219680</v>
      </c>
      <c r="V18" s="82">
        <f>V$6*V$7*'Обобщенный расчет'!$C9*'Обобщенный расчет'!$E9</f>
        <v>1219680</v>
      </c>
      <c r="W18" s="82">
        <f>W$6*W$7*'Обобщенный расчет'!$C9*'Обобщенный расчет'!$E9</f>
        <v>1219680</v>
      </c>
      <c r="X18" s="82">
        <f>X$6*X$7*'Обобщенный расчет'!$C9*'Обобщенный расчет'!$E9</f>
        <v>1219680</v>
      </c>
      <c r="Y18" s="82">
        <f>Y$6*Y$7*'Обобщенный расчет'!$C9*'Обобщенный расчет'!$E9</f>
        <v>1219680</v>
      </c>
      <c r="Z18" s="82">
        <f>Z$6*Z$7*'Обобщенный расчет'!$C9*'Обобщенный расчет'!$E9</f>
        <v>1219680</v>
      </c>
      <c r="AA18" s="82">
        <f>AA$6*AA$7*'Обобщенный расчет'!$C9*'Обобщенный расчет'!$E9</f>
        <v>1219680</v>
      </c>
      <c r="AB18" s="82">
        <f>AB$6*AB$7*'Обобщенный расчет'!$C9*'Обобщенный расчет'!$E9</f>
        <v>1219680</v>
      </c>
      <c r="AC18" s="83">
        <f t="shared" si="14"/>
        <v>14636160</v>
      </c>
      <c r="AD18" s="83">
        <f t="shared" si="15"/>
        <v>1219680</v>
      </c>
      <c r="AE18" s="82">
        <f>AE$6*AE$7*'Обобщенный расчет'!$C9*'Обобщенный расчет'!$E9</f>
        <v>1422960</v>
      </c>
      <c r="AF18" s="82">
        <f>AF$6*AF$7*'Обобщенный расчет'!$C9*'Обобщенный расчет'!$E9</f>
        <v>1422960</v>
      </c>
      <c r="AG18" s="82">
        <f>AG$6*AG$7*'Обобщенный расчет'!$C9*'Обобщенный расчет'!$E9</f>
        <v>1422960</v>
      </c>
      <c r="AH18" s="82">
        <f>AH$6*AH$7*'Обобщенный расчет'!$C9*'Обобщенный расчет'!$E9</f>
        <v>1422960</v>
      </c>
      <c r="AI18" s="82">
        <f>AI$6*AI$7*'Обобщенный расчет'!$C9*'Обобщенный расчет'!$E9</f>
        <v>1422960</v>
      </c>
      <c r="AJ18" s="82">
        <f>AJ$6*AJ$7*'Обобщенный расчет'!$C9*'Обобщенный расчет'!$E9</f>
        <v>1422960</v>
      </c>
      <c r="AK18" s="82">
        <f>AK$6*AK$7*'Обобщенный расчет'!$C9*'Обобщенный расчет'!$E9</f>
        <v>1422960</v>
      </c>
      <c r="AL18" s="82">
        <f>AL$6*AL$7*'Обобщенный расчет'!$C9*'Обобщенный расчет'!$E9</f>
        <v>1422960</v>
      </c>
      <c r="AM18" s="82">
        <f>AM$6*AM$7*'Обобщенный расчет'!$C9*'Обобщенный расчет'!$E9</f>
        <v>1422960</v>
      </c>
      <c r="AN18" s="82">
        <f>AN$6*AN$7*'Обобщенный расчет'!$C9*'Обобщенный расчет'!$E9</f>
        <v>1422960</v>
      </c>
      <c r="AO18" s="82">
        <f>AO$6*AO$7*'Обобщенный расчет'!$C9*'Обобщенный расчет'!$E9</f>
        <v>1422960</v>
      </c>
      <c r="AP18" s="82">
        <f>AP$6*AP$7*'Обобщенный расчет'!$C9*'Обобщенный расчет'!$E9</f>
        <v>1422960</v>
      </c>
      <c r="AQ18" s="83">
        <f t="shared" si="16"/>
        <v>17075520</v>
      </c>
      <c r="AR18" s="83">
        <f t="shared" si="17"/>
        <v>1422960</v>
      </c>
      <c r="AS18" s="77">
        <f t="shared" si="18"/>
        <v>42892080</v>
      </c>
      <c r="AT18" s="78"/>
      <c r="AU18" s="6"/>
    </row>
    <row r="19" spans="1:48" s="79" customFormat="1" ht="11.25">
      <c r="A19" s="94" t="str">
        <f>'Исходные данные'!A13</f>
        <v>Суши и роллы</v>
      </c>
      <c r="B19" s="74" t="str">
        <f>CHOOSE('Исходные данные'!$O$2,'Исходные данные'!$P$2,'Исходные данные'!$P$3,'Исходные данные'!$P$4,'Исходные данные'!$P$5)</f>
        <v>RUB</v>
      </c>
      <c r="C19" s="75">
        <f>C$6*C$7*'Обобщенный расчет'!$C10*'Обобщенный расчет'!$E10</f>
        <v>225810</v>
      </c>
      <c r="D19" s="75">
        <f>D$6*D$7*'Обобщенный расчет'!$C10*'Обобщенный расчет'!$E10</f>
        <v>263445</v>
      </c>
      <c r="E19" s="75">
        <f>E$6*E$7*'Обобщенный расчет'!$C10*'Обобщенный расчет'!$E10</f>
        <v>301080</v>
      </c>
      <c r="F19" s="75">
        <f>F$6*F$7*'Обобщенный расчет'!$C10*'Обобщенный расчет'!$E10</f>
        <v>338715.00000000006</v>
      </c>
      <c r="G19" s="75">
        <f>G$6*G$7*'Обобщенный расчет'!$C10*'Обобщенный расчет'!$E10</f>
        <v>376350</v>
      </c>
      <c r="H19" s="75">
        <f>H$6*H$7*'Обобщенный расчет'!$C10*'Обобщенный расчет'!$E10</f>
        <v>376350</v>
      </c>
      <c r="I19" s="75">
        <f>I$6*I$7*'Обобщенный расчет'!$C10*'Обобщенный расчет'!$E10</f>
        <v>376350</v>
      </c>
      <c r="J19" s="75">
        <f>J$6*J$7*'Обобщенный расчет'!$C10*'Обобщенный расчет'!$E10</f>
        <v>376350</v>
      </c>
      <c r="K19" s="75">
        <f>K$6*K$7*'Обобщенный расчет'!$C10*'Обобщенный расчет'!$E10</f>
        <v>376350</v>
      </c>
      <c r="L19" s="75">
        <f>L$6*L$7*'Обобщенный расчет'!$C10*'Обобщенный расчет'!$E10</f>
        <v>376350</v>
      </c>
      <c r="M19" s="75">
        <f>M$6*M$7*'Обобщенный расчет'!$C10*'Обобщенный расчет'!$E10</f>
        <v>376350</v>
      </c>
      <c r="N19" s="75">
        <f>N$6*N$7*'Обобщенный расчет'!$C10*'Обобщенный расчет'!$E10</f>
        <v>376350</v>
      </c>
      <c r="O19" s="76">
        <f t="shared" ref="O19:O22" si="19">SUM(C19:N19)</f>
        <v>4139850</v>
      </c>
      <c r="P19" s="76">
        <f t="shared" ref="P19:P22" si="20">O19/12</f>
        <v>344987.5</v>
      </c>
      <c r="Q19" s="75">
        <f>Q$6*Q$7*'Обобщенный расчет'!$C10*'Обобщенный расчет'!$E10</f>
        <v>451620</v>
      </c>
      <c r="R19" s="75">
        <f>R$6*R$7*'Обобщенный расчет'!$C10*'Обобщенный расчет'!$E10</f>
        <v>451620</v>
      </c>
      <c r="S19" s="75">
        <f>S$6*S$7*'Обобщенный расчет'!$C10*'Обобщенный расчет'!$E10</f>
        <v>451620</v>
      </c>
      <c r="T19" s="75">
        <f>T$6*T$7*'Обобщенный расчет'!$C10*'Обобщенный расчет'!$E10</f>
        <v>451620</v>
      </c>
      <c r="U19" s="75">
        <f>U$6*U$7*'Обобщенный расчет'!$C10*'Обобщенный расчет'!$E10</f>
        <v>451620</v>
      </c>
      <c r="V19" s="75">
        <f>V$6*V$7*'Обобщенный расчет'!$C10*'Обобщенный расчет'!$E10</f>
        <v>451620</v>
      </c>
      <c r="W19" s="75">
        <f>W$6*W$7*'Обобщенный расчет'!$C10*'Обобщенный расчет'!$E10</f>
        <v>451620</v>
      </c>
      <c r="X19" s="75">
        <f>X$6*X$7*'Обобщенный расчет'!$C10*'Обобщенный расчет'!$E10</f>
        <v>451620</v>
      </c>
      <c r="Y19" s="75">
        <f>Y$6*Y$7*'Обобщенный расчет'!$C10*'Обобщенный расчет'!$E10</f>
        <v>451620</v>
      </c>
      <c r="Z19" s="75">
        <f>Z$6*Z$7*'Обобщенный расчет'!$C10*'Обобщенный расчет'!$E10</f>
        <v>451620</v>
      </c>
      <c r="AA19" s="75">
        <f>AA$6*AA$7*'Обобщенный расчет'!$C10*'Обобщенный расчет'!$E10</f>
        <v>451620</v>
      </c>
      <c r="AB19" s="75">
        <f>AB$6*AB$7*'Обобщенный расчет'!$C10*'Обобщенный расчет'!$E10</f>
        <v>451620</v>
      </c>
      <c r="AC19" s="76">
        <f t="shared" ref="AC19:AC22" si="21">SUM(Q19:AB19)</f>
        <v>5419440</v>
      </c>
      <c r="AD19" s="76">
        <f t="shared" ref="AD19:AD22" si="22">AC19/12</f>
        <v>451620</v>
      </c>
      <c r="AE19" s="75">
        <f>AE$6*AE$7*'Обобщенный расчет'!$C10*'Обобщенный расчет'!$E10</f>
        <v>526890</v>
      </c>
      <c r="AF19" s="75">
        <f>AF$6*AF$7*'Обобщенный расчет'!$C10*'Обобщенный расчет'!$E10</f>
        <v>526890</v>
      </c>
      <c r="AG19" s="75">
        <f>AG$6*AG$7*'Обобщенный расчет'!$C10*'Обобщенный расчет'!$E10</f>
        <v>526890</v>
      </c>
      <c r="AH19" s="75">
        <f>AH$6*AH$7*'Обобщенный расчет'!$C10*'Обобщенный расчет'!$E10</f>
        <v>526890</v>
      </c>
      <c r="AI19" s="75">
        <f>AI$6*AI$7*'Обобщенный расчет'!$C10*'Обобщенный расчет'!$E10</f>
        <v>526890</v>
      </c>
      <c r="AJ19" s="75">
        <f>AJ$6*AJ$7*'Обобщенный расчет'!$C10*'Обобщенный расчет'!$E10</f>
        <v>526890</v>
      </c>
      <c r="AK19" s="75">
        <f>AK$6*AK$7*'Обобщенный расчет'!$C10*'Обобщенный расчет'!$E10</f>
        <v>526890</v>
      </c>
      <c r="AL19" s="75">
        <f>AL$6*AL$7*'Обобщенный расчет'!$C10*'Обобщенный расчет'!$E10</f>
        <v>526890</v>
      </c>
      <c r="AM19" s="75">
        <f>AM$6*AM$7*'Обобщенный расчет'!$C10*'Обобщенный расчет'!$E10</f>
        <v>526890</v>
      </c>
      <c r="AN19" s="75">
        <f>AN$6*AN$7*'Обобщенный расчет'!$C10*'Обобщенный расчет'!$E10</f>
        <v>526890</v>
      </c>
      <c r="AO19" s="75">
        <f>AO$6*AO$7*'Обобщенный расчет'!$C10*'Обобщенный расчет'!$E10</f>
        <v>526890</v>
      </c>
      <c r="AP19" s="75">
        <f>AP$6*AP$7*'Обобщенный расчет'!$C10*'Обобщенный расчет'!$E10</f>
        <v>526890</v>
      </c>
      <c r="AQ19" s="76">
        <f t="shared" ref="AQ19:AQ22" si="23">SUM(AE19:AP19)</f>
        <v>6322680</v>
      </c>
      <c r="AR19" s="76">
        <f t="shared" ref="AR19:AR22" si="24">AQ19/12</f>
        <v>526890</v>
      </c>
      <c r="AS19" s="77">
        <f t="shared" ref="AS19:AS22" si="25">O19+AC19+AQ19</f>
        <v>15881970</v>
      </c>
      <c r="AT19" s="78"/>
    </row>
    <row r="20" spans="1:48" s="79" customFormat="1" ht="11.25">
      <c r="A20" s="80" t="str">
        <f>'Исходные данные'!A14</f>
        <v>Супы</v>
      </c>
      <c r="B20" s="81" t="str">
        <f>CHOOSE('Исходные данные'!$O$2,'Исходные данные'!$P$2,'Исходные данные'!$P$3,'Исходные данные'!$P$4,'Исходные данные'!$P$5)</f>
        <v>RUB</v>
      </c>
      <c r="C20" s="82">
        <f>C$6*C$7*'Обобщенный расчет'!$C11*'Обобщенный расчет'!$E11</f>
        <v>93600</v>
      </c>
      <c r="D20" s="82">
        <f>D$6*D$7*'Обобщенный расчет'!$C11*'Обобщенный расчет'!$E11</f>
        <v>109200</v>
      </c>
      <c r="E20" s="82">
        <f>E$6*E$7*'Обобщенный расчет'!$C11*'Обобщенный расчет'!$E11</f>
        <v>124800</v>
      </c>
      <c r="F20" s="82">
        <f>F$6*F$7*'Обобщенный расчет'!$C11*'Обобщенный расчет'!$E11</f>
        <v>140400</v>
      </c>
      <c r="G20" s="82">
        <f>G$6*G$7*'Обобщенный расчет'!$C11*'Обобщенный расчет'!$E11</f>
        <v>156000</v>
      </c>
      <c r="H20" s="82">
        <f>H$6*H$7*'Обобщенный расчет'!$C11*'Обобщенный расчет'!$E11</f>
        <v>156000</v>
      </c>
      <c r="I20" s="82">
        <f>I$6*I$7*'Обобщенный расчет'!$C11*'Обобщенный расчет'!$E11</f>
        <v>156000</v>
      </c>
      <c r="J20" s="82">
        <f>J$6*J$7*'Обобщенный расчет'!$C11*'Обобщенный расчет'!$E11</f>
        <v>156000</v>
      </c>
      <c r="K20" s="82">
        <f>K$6*K$7*'Обобщенный расчет'!$C11*'Обобщенный расчет'!$E11</f>
        <v>156000</v>
      </c>
      <c r="L20" s="82">
        <f>L$6*L$7*'Обобщенный расчет'!$C11*'Обобщенный расчет'!$E11</f>
        <v>156000</v>
      </c>
      <c r="M20" s="82">
        <f>M$6*M$7*'Обобщенный расчет'!$C11*'Обобщенный расчет'!$E11</f>
        <v>156000</v>
      </c>
      <c r="N20" s="82">
        <f>N$6*N$7*'Обобщенный расчет'!$C11*'Обобщенный расчет'!$E11</f>
        <v>156000</v>
      </c>
      <c r="O20" s="83">
        <f t="shared" si="19"/>
        <v>1716000</v>
      </c>
      <c r="P20" s="83">
        <f t="shared" si="20"/>
        <v>143000</v>
      </c>
      <c r="Q20" s="82">
        <f>Q$6*Q$7*'Обобщенный расчет'!$C11*'Обобщенный расчет'!$E11</f>
        <v>187200</v>
      </c>
      <c r="R20" s="82">
        <f>R$6*R$7*'Обобщенный расчет'!$C11*'Обобщенный расчет'!$E11</f>
        <v>187200</v>
      </c>
      <c r="S20" s="82">
        <f>S$6*S$7*'Обобщенный расчет'!$C11*'Обобщенный расчет'!$E11</f>
        <v>187200</v>
      </c>
      <c r="T20" s="82">
        <f>T$6*T$7*'Обобщенный расчет'!$C11*'Обобщенный расчет'!$E11</f>
        <v>187200</v>
      </c>
      <c r="U20" s="82">
        <f>U$6*U$7*'Обобщенный расчет'!$C11*'Обобщенный расчет'!$E11</f>
        <v>187200</v>
      </c>
      <c r="V20" s="82">
        <f>V$6*V$7*'Обобщенный расчет'!$C11*'Обобщенный расчет'!$E11</f>
        <v>187200</v>
      </c>
      <c r="W20" s="82">
        <f>W$6*W$7*'Обобщенный расчет'!$C11*'Обобщенный расчет'!$E11</f>
        <v>187200</v>
      </c>
      <c r="X20" s="82">
        <f>X$6*X$7*'Обобщенный расчет'!$C11*'Обобщенный расчет'!$E11</f>
        <v>187200</v>
      </c>
      <c r="Y20" s="82">
        <f>Y$6*Y$7*'Обобщенный расчет'!$C11*'Обобщенный расчет'!$E11</f>
        <v>187200</v>
      </c>
      <c r="Z20" s="82">
        <f>Z$6*Z$7*'Обобщенный расчет'!$C11*'Обобщенный расчет'!$E11</f>
        <v>187200</v>
      </c>
      <c r="AA20" s="82">
        <f>AA$6*AA$7*'Обобщенный расчет'!$C11*'Обобщенный расчет'!$E11</f>
        <v>187200</v>
      </c>
      <c r="AB20" s="82">
        <f>AB$6*AB$7*'Обобщенный расчет'!$C11*'Обобщенный расчет'!$E11</f>
        <v>187200</v>
      </c>
      <c r="AC20" s="83">
        <f t="shared" si="21"/>
        <v>2246400</v>
      </c>
      <c r="AD20" s="83">
        <f t="shared" si="22"/>
        <v>187200</v>
      </c>
      <c r="AE20" s="82">
        <f>AE$6*AE$7*'Обобщенный расчет'!$C11*'Обобщенный расчет'!$E11</f>
        <v>218400</v>
      </c>
      <c r="AF20" s="82">
        <f>AF$6*AF$7*'Обобщенный расчет'!$C11*'Обобщенный расчет'!$E11</f>
        <v>218400</v>
      </c>
      <c r="AG20" s="82">
        <f>AG$6*AG$7*'Обобщенный расчет'!$C11*'Обобщенный расчет'!$E11</f>
        <v>218400</v>
      </c>
      <c r="AH20" s="82">
        <f>AH$6*AH$7*'Обобщенный расчет'!$C11*'Обобщенный расчет'!$E11</f>
        <v>218400</v>
      </c>
      <c r="AI20" s="82">
        <f>AI$6*AI$7*'Обобщенный расчет'!$C11*'Обобщенный расчет'!$E11</f>
        <v>218400</v>
      </c>
      <c r="AJ20" s="82">
        <f>AJ$6*AJ$7*'Обобщенный расчет'!$C11*'Обобщенный расчет'!$E11</f>
        <v>218400</v>
      </c>
      <c r="AK20" s="82">
        <f>AK$6*AK$7*'Обобщенный расчет'!$C11*'Обобщенный расчет'!$E11</f>
        <v>218400</v>
      </c>
      <c r="AL20" s="82">
        <f>AL$6*AL$7*'Обобщенный расчет'!$C11*'Обобщенный расчет'!$E11</f>
        <v>218400</v>
      </c>
      <c r="AM20" s="82">
        <f>AM$6*AM$7*'Обобщенный расчет'!$C11*'Обобщенный расчет'!$E11</f>
        <v>218400</v>
      </c>
      <c r="AN20" s="82">
        <f>AN$6*AN$7*'Обобщенный расчет'!$C11*'Обобщенный расчет'!$E11</f>
        <v>218400</v>
      </c>
      <c r="AO20" s="82">
        <f>AO$6*AO$7*'Обобщенный расчет'!$C11*'Обобщенный расчет'!$E11</f>
        <v>218400</v>
      </c>
      <c r="AP20" s="82">
        <f>AP$6*AP$7*'Обобщенный расчет'!$C11*'Обобщенный расчет'!$E11</f>
        <v>218400</v>
      </c>
      <c r="AQ20" s="83">
        <f t="shared" si="23"/>
        <v>2620800</v>
      </c>
      <c r="AR20" s="83">
        <f t="shared" si="24"/>
        <v>218400</v>
      </c>
      <c r="AS20" s="77">
        <f t="shared" si="25"/>
        <v>6583200</v>
      </c>
      <c r="AT20" s="78"/>
      <c r="AU20" s="6"/>
    </row>
    <row r="21" spans="1:48" s="79" customFormat="1" ht="11.25">
      <c r="A21" s="94" t="str">
        <f>'Исходные данные'!A15</f>
        <v>Закуски и салаты</v>
      </c>
      <c r="B21" s="74" t="str">
        <f>CHOOSE('Исходные данные'!$O$2,'Исходные данные'!$P$2,'Исходные данные'!$P$3,'Исходные данные'!$P$4,'Исходные данные'!$P$5)</f>
        <v>RUB</v>
      </c>
      <c r="C21" s="75">
        <f>C$6*C$7*'Обобщенный расчет'!$C12*'Обобщенный расчет'!$E12</f>
        <v>81648</v>
      </c>
      <c r="D21" s="75">
        <f>D$6*D$7*'Обобщенный расчет'!$C12*'Обобщенный расчет'!$E12</f>
        <v>95255.999999999985</v>
      </c>
      <c r="E21" s="75">
        <f>E$6*E$7*'Обобщенный расчет'!$C12*'Обобщенный расчет'!$E12</f>
        <v>108864.00000000001</v>
      </c>
      <c r="F21" s="75">
        <f>F$6*F$7*'Обобщенный расчет'!$C12*'Обобщенный расчет'!$E12</f>
        <v>122472</v>
      </c>
      <c r="G21" s="75">
        <f>G$6*G$7*'Обобщенный расчет'!$C12*'Обобщенный расчет'!$E12</f>
        <v>136080</v>
      </c>
      <c r="H21" s="75">
        <f>H$6*H$7*'Обобщенный расчет'!$C12*'Обобщенный расчет'!$E12</f>
        <v>136080</v>
      </c>
      <c r="I21" s="75">
        <f>I$6*I$7*'Обобщенный расчет'!$C12*'Обобщенный расчет'!$E12</f>
        <v>136080</v>
      </c>
      <c r="J21" s="75">
        <f>J$6*J$7*'Обобщенный расчет'!$C12*'Обобщенный расчет'!$E12</f>
        <v>136080</v>
      </c>
      <c r="K21" s="75">
        <f>K$6*K$7*'Обобщенный расчет'!$C12*'Обобщенный расчет'!$E12</f>
        <v>136080</v>
      </c>
      <c r="L21" s="75">
        <f>L$6*L$7*'Обобщенный расчет'!$C12*'Обобщенный расчет'!$E12</f>
        <v>136080</v>
      </c>
      <c r="M21" s="75">
        <f>M$6*M$7*'Обобщенный расчет'!$C12*'Обобщенный расчет'!$E12</f>
        <v>136080</v>
      </c>
      <c r="N21" s="75">
        <f>N$6*N$7*'Обобщенный расчет'!$C12*'Обобщенный расчет'!$E12</f>
        <v>136080</v>
      </c>
      <c r="O21" s="76">
        <f t="shared" si="19"/>
        <v>1496880</v>
      </c>
      <c r="P21" s="76">
        <f t="shared" si="20"/>
        <v>124740</v>
      </c>
      <c r="Q21" s="75">
        <f>Q$6*Q$7*'Обобщенный расчет'!$C12*'Обобщенный расчет'!$E12</f>
        <v>163296</v>
      </c>
      <c r="R21" s="75">
        <f>R$6*R$7*'Обобщенный расчет'!$C12*'Обобщенный расчет'!$E12</f>
        <v>163296</v>
      </c>
      <c r="S21" s="75">
        <f>S$6*S$7*'Обобщенный расчет'!$C12*'Обобщенный расчет'!$E12</f>
        <v>163296</v>
      </c>
      <c r="T21" s="75">
        <f>T$6*T$7*'Обобщенный расчет'!$C12*'Обобщенный расчет'!$E12</f>
        <v>163296</v>
      </c>
      <c r="U21" s="75">
        <f>U$6*U$7*'Обобщенный расчет'!$C12*'Обобщенный расчет'!$E12</f>
        <v>163296</v>
      </c>
      <c r="V21" s="75">
        <f>V$6*V$7*'Обобщенный расчет'!$C12*'Обобщенный расчет'!$E12</f>
        <v>163296</v>
      </c>
      <c r="W21" s="75">
        <f>W$6*W$7*'Обобщенный расчет'!$C12*'Обобщенный расчет'!$E12</f>
        <v>163296</v>
      </c>
      <c r="X21" s="75">
        <f>X$6*X$7*'Обобщенный расчет'!$C12*'Обобщенный расчет'!$E12</f>
        <v>163296</v>
      </c>
      <c r="Y21" s="75">
        <f>Y$6*Y$7*'Обобщенный расчет'!$C12*'Обобщенный расчет'!$E12</f>
        <v>163296</v>
      </c>
      <c r="Z21" s="75">
        <f>Z$6*Z$7*'Обобщенный расчет'!$C12*'Обобщенный расчет'!$E12</f>
        <v>163296</v>
      </c>
      <c r="AA21" s="75">
        <f>AA$6*AA$7*'Обобщенный расчет'!$C12*'Обобщенный расчет'!$E12</f>
        <v>163296</v>
      </c>
      <c r="AB21" s="75">
        <f>AB$6*AB$7*'Обобщенный расчет'!$C12*'Обобщенный расчет'!$E12</f>
        <v>163296</v>
      </c>
      <c r="AC21" s="76">
        <f t="shared" si="21"/>
        <v>1959552</v>
      </c>
      <c r="AD21" s="76">
        <f t="shared" si="22"/>
        <v>163296</v>
      </c>
      <c r="AE21" s="75">
        <f>AE$6*AE$7*'Обобщенный расчет'!$C12*'Обобщенный расчет'!$E12</f>
        <v>190511.99999999997</v>
      </c>
      <c r="AF21" s="75">
        <f>AF$6*AF$7*'Обобщенный расчет'!$C12*'Обобщенный расчет'!$E12</f>
        <v>190511.99999999997</v>
      </c>
      <c r="AG21" s="75">
        <f>AG$6*AG$7*'Обобщенный расчет'!$C12*'Обобщенный расчет'!$E12</f>
        <v>190511.99999999997</v>
      </c>
      <c r="AH21" s="75">
        <f>AH$6*AH$7*'Обобщенный расчет'!$C12*'Обобщенный расчет'!$E12</f>
        <v>190511.99999999997</v>
      </c>
      <c r="AI21" s="75">
        <f>AI$6*AI$7*'Обобщенный расчет'!$C12*'Обобщенный расчет'!$E12</f>
        <v>190511.99999999997</v>
      </c>
      <c r="AJ21" s="75">
        <f>AJ$6*AJ$7*'Обобщенный расчет'!$C12*'Обобщенный расчет'!$E12</f>
        <v>190511.99999999997</v>
      </c>
      <c r="AK21" s="75">
        <f>AK$6*AK$7*'Обобщенный расчет'!$C12*'Обобщенный расчет'!$E12</f>
        <v>190511.99999999997</v>
      </c>
      <c r="AL21" s="75">
        <f>AL$6*AL$7*'Обобщенный расчет'!$C12*'Обобщенный расчет'!$E12</f>
        <v>190511.99999999997</v>
      </c>
      <c r="AM21" s="75">
        <f>AM$6*AM$7*'Обобщенный расчет'!$C12*'Обобщенный расчет'!$E12</f>
        <v>190511.99999999997</v>
      </c>
      <c r="AN21" s="75">
        <f>AN$6*AN$7*'Обобщенный расчет'!$C12*'Обобщенный расчет'!$E12</f>
        <v>190511.99999999997</v>
      </c>
      <c r="AO21" s="75">
        <f>AO$6*AO$7*'Обобщенный расчет'!$C12*'Обобщенный расчет'!$E12</f>
        <v>190511.99999999997</v>
      </c>
      <c r="AP21" s="75">
        <f>AP$6*AP$7*'Обобщенный расчет'!$C12*'Обобщенный расчет'!$E12</f>
        <v>190511.99999999997</v>
      </c>
      <c r="AQ21" s="76">
        <f t="shared" si="23"/>
        <v>2286143.9999999995</v>
      </c>
      <c r="AR21" s="76">
        <f t="shared" si="24"/>
        <v>190511.99999999997</v>
      </c>
      <c r="AS21" s="77">
        <f t="shared" si="25"/>
        <v>5742576</v>
      </c>
      <c r="AT21" s="78"/>
    </row>
    <row r="22" spans="1:48" s="79" customFormat="1" ht="11.25">
      <c r="A22" s="80" t="str">
        <f>'Исходные данные'!A16</f>
        <v>Десерты</v>
      </c>
      <c r="B22" s="81" t="str">
        <f>CHOOSE('Исходные данные'!$O$2,'Исходные данные'!$P$2,'Исходные данные'!$P$3,'Исходные данные'!$P$4,'Исходные данные'!$P$5)</f>
        <v>RUB</v>
      </c>
      <c r="C22" s="82">
        <f>C$6*C$7*'Обобщенный расчет'!$C13*'Обобщенный расчет'!$E13</f>
        <v>52650</v>
      </c>
      <c r="D22" s="82">
        <f>D$6*D$7*'Обобщенный расчет'!$C13*'Обобщенный расчет'!$E13</f>
        <v>61425</v>
      </c>
      <c r="E22" s="82">
        <f>E$6*E$7*'Обобщенный расчет'!$C13*'Обобщенный расчет'!$E13</f>
        <v>70200</v>
      </c>
      <c r="F22" s="82">
        <f>F$6*F$7*'Обобщенный расчет'!$C13*'Обобщенный расчет'!$E13</f>
        <v>78975</v>
      </c>
      <c r="G22" s="82">
        <f>G$6*G$7*'Обобщенный расчет'!$C13*'Обобщенный расчет'!$E13</f>
        <v>87750</v>
      </c>
      <c r="H22" s="82">
        <f>H$6*H$7*'Обобщенный расчет'!$C13*'Обобщенный расчет'!$E13</f>
        <v>87750</v>
      </c>
      <c r="I22" s="82">
        <f>I$6*I$7*'Обобщенный расчет'!$C13*'Обобщенный расчет'!$E13</f>
        <v>87750</v>
      </c>
      <c r="J22" s="82">
        <f>J$6*J$7*'Обобщенный расчет'!$C13*'Обобщенный расчет'!$E13</f>
        <v>87750</v>
      </c>
      <c r="K22" s="82">
        <f>K$6*K$7*'Обобщенный расчет'!$C13*'Обобщенный расчет'!$E13</f>
        <v>87750</v>
      </c>
      <c r="L22" s="82">
        <f>L$6*L$7*'Обобщенный расчет'!$C13*'Обобщенный расчет'!$E13</f>
        <v>87750</v>
      </c>
      <c r="M22" s="82">
        <f>M$6*M$7*'Обобщенный расчет'!$C13*'Обобщенный расчет'!$E13</f>
        <v>87750</v>
      </c>
      <c r="N22" s="82">
        <f>N$6*N$7*'Обобщенный расчет'!$C13*'Обобщенный расчет'!$E13</f>
        <v>87750</v>
      </c>
      <c r="O22" s="83">
        <f t="shared" si="19"/>
        <v>965250</v>
      </c>
      <c r="P22" s="83">
        <f t="shared" si="20"/>
        <v>80437.5</v>
      </c>
      <c r="Q22" s="82">
        <f>Q$6*Q$7*'Обобщенный расчет'!$C13*'Обобщенный расчет'!$E13</f>
        <v>105300</v>
      </c>
      <c r="R22" s="82">
        <f>R$6*R$7*'Обобщенный расчет'!$C13*'Обобщенный расчет'!$E13</f>
        <v>105300</v>
      </c>
      <c r="S22" s="82">
        <f>S$6*S$7*'Обобщенный расчет'!$C13*'Обобщенный расчет'!$E13</f>
        <v>105300</v>
      </c>
      <c r="T22" s="82">
        <f>T$6*T$7*'Обобщенный расчет'!$C13*'Обобщенный расчет'!$E13</f>
        <v>105300</v>
      </c>
      <c r="U22" s="82">
        <f>U$6*U$7*'Обобщенный расчет'!$C13*'Обобщенный расчет'!$E13</f>
        <v>105300</v>
      </c>
      <c r="V22" s="82">
        <f>V$6*V$7*'Обобщенный расчет'!$C13*'Обобщенный расчет'!$E13</f>
        <v>105300</v>
      </c>
      <c r="W22" s="82">
        <f>W$6*W$7*'Обобщенный расчет'!$C13*'Обобщенный расчет'!$E13</f>
        <v>105300</v>
      </c>
      <c r="X22" s="82">
        <f>X$6*X$7*'Обобщенный расчет'!$C13*'Обобщенный расчет'!$E13</f>
        <v>105300</v>
      </c>
      <c r="Y22" s="82">
        <f>Y$6*Y$7*'Обобщенный расчет'!$C13*'Обобщенный расчет'!$E13</f>
        <v>105300</v>
      </c>
      <c r="Z22" s="82">
        <f>Z$6*Z$7*'Обобщенный расчет'!$C13*'Обобщенный расчет'!$E13</f>
        <v>105300</v>
      </c>
      <c r="AA22" s="82">
        <f>AA$6*AA$7*'Обобщенный расчет'!$C13*'Обобщенный расчет'!$E13</f>
        <v>105300</v>
      </c>
      <c r="AB22" s="82">
        <f>AB$6*AB$7*'Обобщенный расчет'!$C13*'Обобщенный расчет'!$E13</f>
        <v>105300</v>
      </c>
      <c r="AC22" s="83">
        <f t="shared" si="21"/>
        <v>1263600</v>
      </c>
      <c r="AD22" s="83">
        <f t="shared" si="22"/>
        <v>105300</v>
      </c>
      <c r="AE22" s="82">
        <f>AE$6*AE$7*'Обобщенный расчет'!$C13*'Обобщенный расчет'!$E13</f>
        <v>122850</v>
      </c>
      <c r="AF22" s="82">
        <f>AF$6*AF$7*'Обобщенный расчет'!$C13*'Обобщенный расчет'!$E13</f>
        <v>122850</v>
      </c>
      <c r="AG22" s="82">
        <f>AG$6*AG$7*'Обобщенный расчет'!$C13*'Обобщенный расчет'!$E13</f>
        <v>122850</v>
      </c>
      <c r="AH22" s="82">
        <f>AH$6*AH$7*'Обобщенный расчет'!$C13*'Обобщенный расчет'!$E13</f>
        <v>122850</v>
      </c>
      <c r="AI22" s="82">
        <f>AI$6*AI$7*'Обобщенный расчет'!$C13*'Обобщенный расчет'!$E13</f>
        <v>122850</v>
      </c>
      <c r="AJ22" s="82">
        <f>AJ$6*AJ$7*'Обобщенный расчет'!$C13*'Обобщенный расчет'!$E13</f>
        <v>122850</v>
      </c>
      <c r="AK22" s="82">
        <f>AK$6*AK$7*'Обобщенный расчет'!$C13*'Обобщенный расчет'!$E13</f>
        <v>122850</v>
      </c>
      <c r="AL22" s="82">
        <f>AL$6*AL$7*'Обобщенный расчет'!$C13*'Обобщенный расчет'!$E13</f>
        <v>122850</v>
      </c>
      <c r="AM22" s="82">
        <f>AM$6*AM$7*'Обобщенный расчет'!$C13*'Обобщенный расчет'!$E13</f>
        <v>122850</v>
      </c>
      <c r="AN22" s="82">
        <f>AN$6*AN$7*'Обобщенный расчет'!$C13*'Обобщенный расчет'!$E13</f>
        <v>122850</v>
      </c>
      <c r="AO22" s="82">
        <f>AO$6*AO$7*'Обобщенный расчет'!$C13*'Обобщенный расчет'!$E13</f>
        <v>122850</v>
      </c>
      <c r="AP22" s="82">
        <f>AP$6*AP$7*'Обобщенный расчет'!$C13*'Обобщенный расчет'!$E13</f>
        <v>122850</v>
      </c>
      <c r="AQ22" s="83">
        <f t="shared" si="23"/>
        <v>1474200</v>
      </c>
      <c r="AR22" s="83">
        <f t="shared" si="24"/>
        <v>122850</v>
      </c>
      <c r="AS22" s="77">
        <f t="shared" si="25"/>
        <v>3703050</v>
      </c>
      <c r="AT22" s="78"/>
      <c r="AU22" s="6"/>
    </row>
    <row r="23" spans="1:48" s="73" customFormat="1" ht="11.25">
      <c r="A23" s="84" t="s">
        <v>3</v>
      </c>
      <c r="B23" s="85" t="str">
        <f>CHOOSE('Исходные данные'!$O$2,'Исходные данные'!$P$2,'Исходные данные'!$P$3,'Исходные данные'!$P$4,'Исходные данные'!$P$5)</f>
        <v>RUB</v>
      </c>
      <c r="C23" s="86">
        <f>SUM(C16:C22)</f>
        <v>1376568</v>
      </c>
      <c r="D23" s="86">
        <f t="shared" ref="D23:AS23" si="26">SUM(D16:D22)</f>
        <v>1605996</v>
      </c>
      <c r="E23" s="86">
        <f t="shared" si="26"/>
        <v>1835424</v>
      </c>
      <c r="F23" s="86">
        <f t="shared" si="26"/>
        <v>2064852</v>
      </c>
      <c r="G23" s="86">
        <f t="shared" si="26"/>
        <v>2294280</v>
      </c>
      <c r="H23" s="86">
        <f t="shared" si="26"/>
        <v>2294280</v>
      </c>
      <c r="I23" s="86">
        <f t="shared" si="26"/>
        <v>2294280</v>
      </c>
      <c r="J23" s="86">
        <f t="shared" si="26"/>
        <v>2294280</v>
      </c>
      <c r="K23" s="86">
        <f t="shared" si="26"/>
        <v>2294280</v>
      </c>
      <c r="L23" s="86">
        <f t="shared" si="26"/>
        <v>2294280</v>
      </c>
      <c r="M23" s="86">
        <f t="shared" si="26"/>
        <v>2294280</v>
      </c>
      <c r="N23" s="86">
        <f t="shared" si="26"/>
        <v>2294280</v>
      </c>
      <c r="O23" s="86">
        <f t="shared" si="26"/>
        <v>25237080</v>
      </c>
      <c r="P23" s="86">
        <f t="shared" si="26"/>
        <v>2103090</v>
      </c>
      <c r="Q23" s="86">
        <f t="shared" si="26"/>
        <v>2753136</v>
      </c>
      <c r="R23" s="86">
        <f t="shared" si="26"/>
        <v>2753136</v>
      </c>
      <c r="S23" s="86">
        <f t="shared" si="26"/>
        <v>2753136</v>
      </c>
      <c r="T23" s="86">
        <f t="shared" si="26"/>
        <v>2753136</v>
      </c>
      <c r="U23" s="86">
        <f t="shared" si="26"/>
        <v>2753136</v>
      </c>
      <c r="V23" s="86">
        <f t="shared" si="26"/>
        <v>2753136</v>
      </c>
      <c r="W23" s="86">
        <f t="shared" si="26"/>
        <v>2753136</v>
      </c>
      <c r="X23" s="86">
        <f t="shared" si="26"/>
        <v>2753136</v>
      </c>
      <c r="Y23" s="86">
        <f t="shared" si="26"/>
        <v>2753136</v>
      </c>
      <c r="Z23" s="86">
        <f t="shared" si="26"/>
        <v>2753136</v>
      </c>
      <c r="AA23" s="86">
        <f t="shared" si="26"/>
        <v>2753136</v>
      </c>
      <c r="AB23" s="86">
        <f t="shared" si="26"/>
        <v>2753136</v>
      </c>
      <c r="AC23" s="86">
        <f t="shared" si="26"/>
        <v>33037632</v>
      </c>
      <c r="AD23" s="86">
        <f t="shared" si="26"/>
        <v>2753136</v>
      </c>
      <c r="AE23" s="86">
        <f t="shared" si="26"/>
        <v>3211992</v>
      </c>
      <c r="AF23" s="86">
        <f t="shared" si="26"/>
        <v>3211992</v>
      </c>
      <c r="AG23" s="86">
        <f t="shared" si="26"/>
        <v>3211992</v>
      </c>
      <c r="AH23" s="86">
        <f t="shared" si="26"/>
        <v>3211992</v>
      </c>
      <c r="AI23" s="86">
        <f t="shared" si="26"/>
        <v>3211992</v>
      </c>
      <c r="AJ23" s="86">
        <f t="shared" si="26"/>
        <v>3211992</v>
      </c>
      <c r="AK23" s="86">
        <f t="shared" si="26"/>
        <v>3211992</v>
      </c>
      <c r="AL23" s="86">
        <f t="shared" si="26"/>
        <v>3211992</v>
      </c>
      <c r="AM23" s="86">
        <f t="shared" si="26"/>
        <v>3211992</v>
      </c>
      <c r="AN23" s="86">
        <f t="shared" si="26"/>
        <v>3211992</v>
      </c>
      <c r="AO23" s="86">
        <f t="shared" si="26"/>
        <v>3211992</v>
      </c>
      <c r="AP23" s="86">
        <f t="shared" si="26"/>
        <v>3211992</v>
      </c>
      <c r="AQ23" s="86">
        <f t="shared" si="26"/>
        <v>38543904</v>
      </c>
      <c r="AR23" s="86">
        <f t="shared" si="26"/>
        <v>3211992</v>
      </c>
      <c r="AS23" s="86">
        <f t="shared" si="26"/>
        <v>96818616</v>
      </c>
      <c r="AT23" s="87"/>
      <c r="AV23" s="79"/>
    </row>
    <row r="24" spans="1:48" s="73" customFormat="1" ht="12" thickBot="1">
      <c r="A24" s="185"/>
      <c r="B24" s="81"/>
      <c r="C24" s="186"/>
      <c r="D24" s="186"/>
      <c r="E24" s="186"/>
      <c r="F24" s="199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87"/>
      <c r="AV24" s="79"/>
    </row>
    <row r="25" spans="1:48" s="73" customFormat="1" ht="24" thickTop="1" thickBot="1">
      <c r="A25" s="69" t="s">
        <v>137</v>
      </c>
      <c r="B25" s="70"/>
      <c r="C25" s="71" t="str">
        <f t="shared" ref="C25:N25" si="27">C$5</f>
        <v>январь</v>
      </c>
      <c r="D25" s="71" t="str">
        <f t="shared" si="27"/>
        <v>февраль</v>
      </c>
      <c r="E25" s="71" t="str">
        <f t="shared" si="27"/>
        <v>март</v>
      </c>
      <c r="F25" s="71" t="str">
        <f t="shared" si="27"/>
        <v>апрель</v>
      </c>
      <c r="G25" s="71" t="str">
        <f t="shared" si="27"/>
        <v>май</v>
      </c>
      <c r="H25" s="71" t="str">
        <f t="shared" si="27"/>
        <v>июнь</v>
      </c>
      <c r="I25" s="71" t="str">
        <f t="shared" si="27"/>
        <v>июль</v>
      </c>
      <c r="J25" s="71" t="str">
        <f t="shared" si="27"/>
        <v>август</v>
      </c>
      <c r="K25" s="71" t="str">
        <f t="shared" si="27"/>
        <v>сентябрь</v>
      </c>
      <c r="L25" s="71" t="str">
        <f t="shared" si="27"/>
        <v>октябрь</v>
      </c>
      <c r="M25" s="71" t="str">
        <f t="shared" si="27"/>
        <v>ноябрь</v>
      </c>
      <c r="N25" s="71" t="str">
        <f t="shared" si="27"/>
        <v>декабрь</v>
      </c>
      <c r="O25" s="72" t="s">
        <v>36</v>
      </c>
      <c r="P25" s="72" t="s">
        <v>37</v>
      </c>
      <c r="Q25" s="71" t="str">
        <f t="shared" ref="Q25:AB25" si="28">Q$5</f>
        <v>январь</v>
      </c>
      <c r="R25" s="71" t="str">
        <f t="shared" si="28"/>
        <v>февраль</v>
      </c>
      <c r="S25" s="71" t="str">
        <f t="shared" si="28"/>
        <v>март</v>
      </c>
      <c r="T25" s="71" t="str">
        <f t="shared" si="28"/>
        <v>апрель</v>
      </c>
      <c r="U25" s="71" t="str">
        <f t="shared" si="28"/>
        <v>май</v>
      </c>
      <c r="V25" s="71" t="str">
        <f t="shared" si="28"/>
        <v>июнь</v>
      </c>
      <c r="W25" s="71" t="str">
        <f t="shared" si="28"/>
        <v>июль</v>
      </c>
      <c r="X25" s="71" t="str">
        <f t="shared" si="28"/>
        <v>август</v>
      </c>
      <c r="Y25" s="71" t="str">
        <f t="shared" si="28"/>
        <v>сентябрь</v>
      </c>
      <c r="Z25" s="71" t="str">
        <f t="shared" si="28"/>
        <v>октябрь</v>
      </c>
      <c r="AA25" s="71" t="str">
        <f t="shared" si="28"/>
        <v>ноябрь</v>
      </c>
      <c r="AB25" s="71" t="str">
        <f t="shared" si="28"/>
        <v>декабрь</v>
      </c>
      <c r="AC25" s="72" t="s">
        <v>39</v>
      </c>
      <c r="AD25" s="72" t="s">
        <v>38</v>
      </c>
      <c r="AE25" s="71" t="str">
        <f t="shared" ref="AE25:AP25" si="29">AE$5</f>
        <v>январь</v>
      </c>
      <c r="AF25" s="71" t="str">
        <f t="shared" si="29"/>
        <v>февраль</v>
      </c>
      <c r="AG25" s="71" t="str">
        <f t="shared" si="29"/>
        <v>март</v>
      </c>
      <c r="AH25" s="71" t="str">
        <f t="shared" si="29"/>
        <v>апрель</v>
      </c>
      <c r="AI25" s="71" t="str">
        <f t="shared" si="29"/>
        <v>май</v>
      </c>
      <c r="AJ25" s="71" t="str">
        <f t="shared" si="29"/>
        <v>июнь</v>
      </c>
      <c r="AK25" s="71" t="str">
        <f t="shared" si="29"/>
        <v>июль</v>
      </c>
      <c r="AL25" s="71" t="str">
        <f t="shared" si="29"/>
        <v>август</v>
      </c>
      <c r="AM25" s="71" t="str">
        <f t="shared" si="29"/>
        <v>сентябрь</v>
      </c>
      <c r="AN25" s="71" t="str">
        <f t="shared" si="29"/>
        <v>октябрь</v>
      </c>
      <c r="AO25" s="71" t="str">
        <f t="shared" si="29"/>
        <v>ноябрь</v>
      </c>
      <c r="AP25" s="71" t="str">
        <f t="shared" si="29"/>
        <v>декабрь</v>
      </c>
      <c r="AQ25" s="72" t="s">
        <v>40</v>
      </c>
      <c r="AR25" s="72" t="s">
        <v>41</v>
      </c>
      <c r="AS25" s="187" t="str">
        <f>AS14</f>
        <v>Итого за три года</v>
      </c>
      <c r="AU25" s="6"/>
    </row>
    <row r="26" spans="1:48" s="79" customFormat="1" ht="12" thickTop="1">
      <c r="A26" s="80" t="str">
        <f>A16</f>
        <v>Бургеры</v>
      </c>
      <c r="B26" s="81" t="str">
        <f>CHOOSE('Исходные данные'!$O$2,'Исходные данные'!$P$2,'Исходные данные'!$P$3,'Исходные данные'!$P$4,'Исходные данные'!$P$5)</f>
        <v>RUB</v>
      </c>
      <c r="C26" s="82">
        <f>C16/(1+'Исходные данные'!$H10)</f>
        <v>85163.85542168672</v>
      </c>
      <c r="D26" s="82">
        <f>D16/(1+'Исходные данные'!$H10)</f>
        <v>99357.831325301202</v>
      </c>
      <c r="E26" s="82">
        <f>E16/(1+'Исходные данные'!$H10)</f>
        <v>113551.80722891566</v>
      </c>
      <c r="F26" s="82">
        <f>F16/(1+'Исходные данные'!$H10)</f>
        <v>127745.78313253012</v>
      </c>
      <c r="G26" s="82">
        <f>G16/(1+'Исходные данные'!$H10)</f>
        <v>141939.75903614456</v>
      </c>
      <c r="H26" s="82">
        <f>H16/(1+'Исходные данные'!$H10)</f>
        <v>141939.75903614456</v>
      </c>
      <c r="I26" s="82">
        <f>I16/(1+'Исходные данные'!$H10)</f>
        <v>141939.75903614456</v>
      </c>
      <c r="J26" s="82">
        <f>J16/(1+'Исходные данные'!$H10)</f>
        <v>141939.75903614456</v>
      </c>
      <c r="K26" s="82">
        <f>K16/(1+'Исходные данные'!$H10)</f>
        <v>141939.75903614456</v>
      </c>
      <c r="L26" s="82">
        <f>L16/(1+'Исходные данные'!$H10)</f>
        <v>141939.75903614456</v>
      </c>
      <c r="M26" s="82">
        <f>M16/(1+'Исходные данные'!$H10)</f>
        <v>141939.75903614456</v>
      </c>
      <c r="N26" s="82">
        <f>N16/(1+'Исходные данные'!$H10)</f>
        <v>141939.75903614456</v>
      </c>
      <c r="O26" s="83">
        <f t="shared" ref="O26" si="30">SUM(C26:N26)</f>
        <v>1561337.3493975899</v>
      </c>
      <c r="P26" s="83">
        <f t="shared" ref="P26:P32" si="31">O26/12</f>
        <v>130111.4457831325</v>
      </c>
      <c r="Q26" s="82">
        <f>Q16/(1+'Исходные данные'!$H10)</f>
        <v>170327.71084337344</v>
      </c>
      <c r="R26" s="82">
        <f>R16/(1+'Исходные данные'!$H10)</f>
        <v>170327.71084337344</v>
      </c>
      <c r="S26" s="82">
        <f>S16/(1+'Исходные данные'!$H10)</f>
        <v>170327.71084337344</v>
      </c>
      <c r="T26" s="82">
        <f>T16/(1+'Исходные данные'!$H10)</f>
        <v>170327.71084337344</v>
      </c>
      <c r="U26" s="82">
        <f>U16/(1+'Исходные данные'!$H10)</f>
        <v>170327.71084337344</v>
      </c>
      <c r="V26" s="82">
        <f>V16/(1+'Исходные данные'!$H10)</f>
        <v>170327.71084337344</v>
      </c>
      <c r="W26" s="82">
        <f>W16/(1+'Исходные данные'!$H10)</f>
        <v>170327.71084337344</v>
      </c>
      <c r="X26" s="82">
        <f>X16/(1+'Исходные данные'!$H10)</f>
        <v>170327.71084337344</v>
      </c>
      <c r="Y26" s="82">
        <f>Y16/(1+'Исходные данные'!$H10)</f>
        <v>170327.71084337344</v>
      </c>
      <c r="Z26" s="82">
        <f>Z16/(1+'Исходные данные'!$H10)</f>
        <v>170327.71084337344</v>
      </c>
      <c r="AA26" s="82">
        <f>AA16/(1+'Исходные данные'!$H10)</f>
        <v>170327.71084337344</v>
      </c>
      <c r="AB26" s="82">
        <f>AB16/(1+'Исходные данные'!$H10)</f>
        <v>170327.71084337344</v>
      </c>
      <c r="AC26" s="83">
        <f t="shared" ref="AC26" si="32">SUM(Q26:AB26)</f>
        <v>2043932.5301204817</v>
      </c>
      <c r="AD26" s="83">
        <f t="shared" ref="AD26:AD32" si="33">AC26/12</f>
        <v>170327.71084337347</v>
      </c>
      <c r="AE26" s="82">
        <f>AE16/(1+'Исходные данные'!$H10)</f>
        <v>198715.6626506024</v>
      </c>
      <c r="AF26" s="82">
        <f>AF16/(1+'Исходные данные'!$H10)</f>
        <v>198715.6626506024</v>
      </c>
      <c r="AG26" s="82">
        <f>AG16/(1+'Исходные данные'!$H10)</f>
        <v>198715.6626506024</v>
      </c>
      <c r="AH26" s="82">
        <f>AH16/(1+'Исходные данные'!$H10)</f>
        <v>198715.6626506024</v>
      </c>
      <c r="AI26" s="82">
        <f>AI16/(1+'Исходные данные'!$H10)</f>
        <v>198715.6626506024</v>
      </c>
      <c r="AJ26" s="82">
        <f>AJ16/(1+'Исходные данные'!$H10)</f>
        <v>198715.6626506024</v>
      </c>
      <c r="AK26" s="82">
        <f>AK16/(1+'Исходные данные'!$H10)</f>
        <v>198715.6626506024</v>
      </c>
      <c r="AL26" s="82">
        <f>AL16/(1+'Исходные данные'!$H10)</f>
        <v>198715.6626506024</v>
      </c>
      <c r="AM26" s="82">
        <f>AM16/(1+'Исходные данные'!$H10)</f>
        <v>198715.6626506024</v>
      </c>
      <c r="AN26" s="82">
        <f>AN16/(1+'Исходные данные'!$H10)</f>
        <v>198715.6626506024</v>
      </c>
      <c r="AO26" s="82">
        <f>AO16/(1+'Исходные данные'!$H10)</f>
        <v>198715.6626506024</v>
      </c>
      <c r="AP26" s="82">
        <f>AP16/(1+'Исходные данные'!$H10)</f>
        <v>198715.6626506024</v>
      </c>
      <c r="AQ26" s="83">
        <f t="shared" ref="AQ26" si="34">SUM(AE26:AP26)</f>
        <v>2384587.9518072288</v>
      </c>
      <c r="AR26" s="83">
        <f t="shared" ref="AR26:AR32" si="35">AQ26/12</f>
        <v>198715.6626506024</v>
      </c>
      <c r="AS26" s="77">
        <f t="shared" ref="AS26:AS32" si="36">O26+AC26+AQ26</f>
        <v>5989857.8313253</v>
      </c>
      <c r="AT26" s="78"/>
      <c r="AU26" s="6"/>
    </row>
    <row r="27" spans="1:48" s="79" customFormat="1" ht="11.25">
      <c r="A27" s="94" t="str">
        <f t="shared" ref="A27:A32" si="37">A17</f>
        <v>Пицца</v>
      </c>
      <c r="B27" s="74" t="str">
        <f>CHOOSE('Исходные данные'!$O$2,'Исходные данные'!$P$2,'Исходные данные'!$P$3,'Исходные данные'!$P$4,'Исходные данные'!$P$5)</f>
        <v>RUB</v>
      </c>
      <c r="C27" s="75">
        <f>C17/(1+'Исходные данные'!$H11)</f>
        <v>103402.40963855419</v>
      </c>
      <c r="D27" s="75">
        <f>D17/(1+'Исходные данные'!$H11)</f>
        <v>120636.14457831324</v>
      </c>
      <c r="E27" s="75">
        <f>E17/(1+'Исходные данные'!$H11)</f>
        <v>137869.87951807227</v>
      </c>
      <c r="F27" s="75">
        <f>F17/(1+'Исходные данные'!$H11)</f>
        <v>155103.61445783131</v>
      </c>
      <c r="G27" s="75">
        <f>G17/(1+'Исходные данные'!$H11)</f>
        <v>172337.34939759035</v>
      </c>
      <c r="H27" s="75">
        <f>H17/(1+'Исходные данные'!$H11)</f>
        <v>172337.34939759035</v>
      </c>
      <c r="I27" s="75">
        <f>I17/(1+'Исходные данные'!$H11)</f>
        <v>172337.34939759035</v>
      </c>
      <c r="J27" s="75">
        <f>J17/(1+'Исходные данные'!$H11)</f>
        <v>172337.34939759035</v>
      </c>
      <c r="K27" s="75">
        <f>K17/(1+'Исходные данные'!$H11)</f>
        <v>172337.34939759035</v>
      </c>
      <c r="L27" s="75">
        <f>L17/(1+'Исходные данные'!$H11)</f>
        <v>172337.34939759035</v>
      </c>
      <c r="M27" s="75">
        <f>M17/(1+'Исходные данные'!$H11)</f>
        <v>172337.34939759035</v>
      </c>
      <c r="N27" s="75">
        <f>N17/(1+'Исходные данные'!$H11)</f>
        <v>172337.34939759035</v>
      </c>
      <c r="O27" s="76">
        <f t="shared" ref="O27:O32" si="38">SUM(C27:N27)</f>
        <v>1895710.843373494</v>
      </c>
      <c r="P27" s="76">
        <f t="shared" si="31"/>
        <v>157975.90361445784</v>
      </c>
      <c r="Q27" s="75">
        <f>Q17/(1+'Исходные данные'!$H11)</f>
        <v>206804.81927710838</v>
      </c>
      <c r="R27" s="75">
        <f>R17/(1+'Исходные данные'!$H11)</f>
        <v>206804.81927710838</v>
      </c>
      <c r="S27" s="75">
        <f>S17/(1+'Исходные данные'!$H11)</f>
        <v>206804.81927710838</v>
      </c>
      <c r="T27" s="75">
        <f>T17/(1+'Исходные данные'!$H11)</f>
        <v>206804.81927710838</v>
      </c>
      <c r="U27" s="75">
        <f>U17/(1+'Исходные данные'!$H11)</f>
        <v>206804.81927710838</v>
      </c>
      <c r="V27" s="75">
        <f>V17/(1+'Исходные данные'!$H11)</f>
        <v>206804.81927710838</v>
      </c>
      <c r="W27" s="75">
        <f>W17/(1+'Исходные данные'!$H11)</f>
        <v>206804.81927710838</v>
      </c>
      <c r="X27" s="75">
        <f>X17/(1+'Исходные данные'!$H11)</f>
        <v>206804.81927710838</v>
      </c>
      <c r="Y27" s="75">
        <f>Y17/(1+'Исходные данные'!$H11)</f>
        <v>206804.81927710838</v>
      </c>
      <c r="Z27" s="75">
        <f>Z17/(1+'Исходные данные'!$H11)</f>
        <v>206804.81927710838</v>
      </c>
      <c r="AA27" s="75">
        <f>AA17/(1+'Исходные данные'!$H11)</f>
        <v>206804.81927710838</v>
      </c>
      <c r="AB27" s="75">
        <f>AB17/(1+'Исходные данные'!$H11)</f>
        <v>206804.81927710838</v>
      </c>
      <c r="AC27" s="76">
        <f t="shared" ref="AC27:AC32" si="39">SUM(Q27:AB27)</f>
        <v>2481657.8313253005</v>
      </c>
      <c r="AD27" s="76">
        <f t="shared" si="33"/>
        <v>206804.81927710838</v>
      </c>
      <c r="AE27" s="75">
        <f>AE17/(1+'Исходные данные'!$H11)</f>
        <v>241272.28915662647</v>
      </c>
      <c r="AF27" s="75">
        <f>AF17/(1+'Исходные данные'!$H11)</f>
        <v>241272.28915662647</v>
      </c>
      <c r="AG27" s="75">
        <f>AG17/(1+'Исходные данные'!$H11)</f>
        <v>241272.28915662647</v>
      </c>
      <c r="AH27" s="75">
        <f>AH17/(1+'Исходные данные'!$H11)</f>
        <v>241272.28915662647</v>
      </c>
      <c r="AI27" s="75">
        <f>AI17/(1+'Исходные данные'!$H11)</f>
        <v>241272.28915662647</v>
      </c>
      <c r="AJ27" s="75">
        <f>AJ17/(1+'Исходные данные'!$H11)</f>
        <v>241272.28915662647</v>
      </c>
      <c r="AK27" s="75">
        <f>AK17/(1+'Исходные данные'!$H11)</f>
        <v>241272.28915662647</v>
      </c>
      <c r="AL27" s="75">
        <f>AL17/(1+'Исходные данные'!$H11)</f>
        <v>241272.28915662647</v>
      </c>
      <c r="AM27" s="75">
        <f>AM17/(1+'Исходные данные'!$H11)</f>
        <v>241272.28915662647</v>
      </c>
      <c r="AN27" s="75">
        <f>AN17/(1+'Исходные данные'!$H11)</f>
        <v>241272.28915662647</v>
      </c>
      <c r="AO27" s="75">
        <f>AO17/(1+'Исходные данные'!$H11)</f>
        <v>241272.28915662647</v>
      </c>
      <c r="AP27" s="75">
        <f>AP17/(1+'Исходные данные'!$H11)</f>
        <v>241272.28915662647</v>
      </c>
      <c r="AQ27" s="76">
        <f t="shared" ref="AQ27:AQ32" si="40">SUM(AE27:AP27)</f>
        <v>2895267.4698795178</v>
      </c>
      <c r="AR27" s="76">
        <f t="shared" si="35"/>
        <v>241272.28915662647</v>
      </c>
      <c r="AS27" s="77">
        <f t="shared" si="36"/>
        <v>7272636.1445783116</v>
      </c>
      <c r="AT27" s="78"/>
    </row>
    <row r="28" spans="1:48" s="79" customFormat="1" ht="11.25">
      <c r="A28" s="80" t="str">
        <f t="shared" si="37"/>
        <v>Обеды и ужины</v>
      </c>
      <c r="B28" s="81" t="str">
        <f>CHOOSE('Исходные данные'!$O$2,'Исходные данные'!$P$2,'Исходные данные'!$P$3,'Исходные данные'!$P$4,'Исходные данные'!$P$5)</f>
        <v>RUB</v>
      </c>
      <c r="C28" s="82">
        <f>C18/(1+'Исходные данные'!$H12)</f>
        <v>367373.49397590361</v>
      </c>
      <c r="D28" s="82">
        <f>D18/(1+'Исходные данные'!$H12)</f>
        <v>428602.40963855421</v>
      </c>
      <c r="E28" s="82">
        <f>E18/(1+'Исходные данные'!$H12)</f>
        <v>489831.32530120475</v>
      </c>
      <c r="F28" s="82">
        <f>F18/(1+'Исходные данные'!$H12)</f>
        <v>551060.24096385541</v>
      </c>
      <c r="G28" s="82">
        <f>G18/(1+'Исходные данные'!$H12)</f>
        <v>612289.15662650601</v>
      </c>
      <c r="H28" s="82">
        <f>H18/(1+'Исходные данные'!$H12)</f>
        <v>612289.15662650601</v>
      </c>
      <c r="I28" s="82">
        <f>I18/(1+'Исходные данные'!$H12)</f>
        <v>612289.15662650601</v>
      </c>
      <c r="J28" s="82">
        <f>J18/(1+'Исходные данные'!$H12)</f>
        <v>612289.15662650601</v>
      </c>
      <c r="K28" s="82">
        <f>K18/(1+'Исходные данные'!$H12)</f>
        <v>612289.15662650601</v>
      </c>
      <c r="L28" s="82">
        <f>L18/(1+'Исходные данные'!$H12)</f>
        <v>612289.15662650601</v>
      </c>
      <c r="M28" s="82">
        <f>M18/(1+'Исходные данные'!$H12)</f>
        <v>612289.15662650601</v>
      </c>
      <c r="N28" s="82">
        <f>N18/(1+'Исходные данные'!$H12)</f>
        <v>612289.15662650601</v>
      </c>
      <c r="O28" s="83">
        <f t="shared" si="38"/>
        <v>6735180.7228915645</v>
      </c>
      <c r="P28" s="83">
        <f t="shared" si="31"/>
        <v>561265.06024096371</v>
      </c>
      <c r="Q28" s="82">
        <f>Q18/(1+'Исходные данные'!$H12)</f>
        <v>734746.98795180721</v>
      </c>
      <c r="R28" s="82">
        <f>R18/(1+'Исходные данные'!$H12)</f>
        <v>734746.98795180721</v>
      </c>
      <c r="S28" s="82">
        <f>S18/(1+'Исходные данные'!$H12)</f>
        <v>734746.98795180721</v>
      </c>
      <c r="T28" s="82">
        <f>T18/(1+'Исходные данные'!$H12)</f>
        <v>734746.98795180721</v>
      </c>
      <c r="U28" s="82">
        <f>U18/(1+'Исходные данные'!$H12)</f>
        <v>734746.98795180721</v>
      </c>
      <c r="V28" s="82">
        <f>V18/(1+'Исходные данные'!$H12)</f>
        <v>734746.98795180721</v>
      </c>
      <c r="W28" s="82">
        <f>W18/(1+'Исходные данные'!$H12)</f>
        <v>734746.98795180721</v>
      </c>
      <c r="X28" s="82">
        <f>X18/(1+'Исходные данные'!$H12)</f>
        <v>734746.98795180721</v>
      </c>
      <c r="Y28" s="82">
        <f>Y18/(1+'Исходные данные'!$H12)</f>
        <v>734746.98795180721</v>
      </c>
      <c r="Z28" s="82">
        <f>Z18/(1+'Исходные данные'!$H12)</f>
        <v>734746.98795180721</v>
      </c>
      <c r="AA28" s="82">
        <f>AA18/(1+'Исходные данные'!$H12)</f>
        <v>734746.98795180721</v>
      </c>
      <c r="AB28" s="82">
        <f>AB18/(1+'Исходные данные'!$H12)</f>
        <v>734746.98795180721</v>
      </c>
      <c r="AC28" s="83">
        <f t="shared" si="39"/>
        <v>8816963.8554216884</v>
      </c>
      <c r="AD28" s="83">
        <f t="shared" si="33"/>
        <v>734746.98795180733</v>
      </c>
      <c r="AE28" s="82">
        <f>AE18/(1+'Исходные данные'!$H12)</f>
        <v>857204.81927710841</v>
      </c>
      <c r="AF28" s="82">
        <f>AF18/(1+'Исходные данные'!$H12)</f>
        <v>857204.81927710841</v>
      </c>
      <c r="AG28" s="82">
        <f>AG18/(1+'Исходные данные'!$H12)</f>
        <v>857204.81927710841</v>
      </c>
      <c r="AH28" s="82">
        <f>AH18/(1+'Исходные данные'!$H12)</f>
        <v>857204.81927710841</v>
      </c>
      <c r="AI28" s="82">
        <f>AI18/(1+'Исходные данные'!$H12)</f>
        <v>857204.81927710841</v>
      </c>
      <c r="AJ28" s="82">
        <f>AJ18/(1+'Исходные данные'!$H12)</f>
        <v>857204.81927710841</v>
      </c>
      <c r="AK28" s="82">
        <f>AK18/(1+'Исходные данные'!$H12)</f>
        <v>857204.81927710841</v>
      </c>
      <c r="AL28" s="82">
        <f>AL18/(1+'Исходные данные'!$H12)</f>
        <v>857204.81927710841</v>
      </c>
      <c r="AM28" s="82">
        <f>AM18/(1+'Исходные данные'!$H12)</f>
        <v>857204.81927710841</v>
      </c>
      <c r="AN28" s="82">
        <f>AN18/(1+'Исходные данные'!$H12)</f>
        <v>857204.81927710841</v>
      </c>
      <c r="AO28" s="82">
        <f>AO18/(1+'Исходные данные'!$H12)</f>
        <v>857204.81927710841</v>
      </c>
      <c r="AP28" s="82">
        <f>AP18/(1+'Исходные данные'!$H12)</f>
        <v>857204.81927710841</v>
      </c>
      <c r="AQ28" s="83">
        <f t="shared" si="40"/>
        <v>10286457.8313253</v>
      </c>
      <c r="AR28" s="83">
        <f t="shared" si="35"/>
        <v>857204.8192771083</v>
      </c>
      <c r="AS28" s="77">
        <f t="shared" si="36"/>
        <v>25838602.409638554</v>
      </c>
      <c r="AT28" s="78"/>
      <c r="AU28" s="6"/>
    </row>
    <row r="29" spans="1:48" s="79" customFormat="1" ht="11.25">
      <c r="A29" s="94" t="str">
        <f t="shared" si="37"/>
        <v>Суши и роллы</v>
      </c>
      <c r="B29" s="74" t="str">
        <f>CHOOSE('Исходные данные'!$O$2,'Исходные данные'!$P$2,'Исходные данные'!$P$3,'Исходные данные'!$P$4,'Исходные данные'!$P$5)</f>
        <v>RUB</v>
      </c>
      <c r="C29" s="75">
        <f>C19/(1+'Исходные данные'!$H13)</f>
        <v>136030.1204819277</v>
      </c>
      <c r="D29" s="75">
        <f>D19/(1+'Исходные данные'!$H13)</f>
        <v>158701.80722891566</v>
      </c>
      <c r="E29" s="75">
        <f>E19/(1+'Исходные данные'!$H13)</f>
        <v>181373.49397590361</v>
      </c>
      <c r="F29" s="75">
        <f>F19/(1+'Исходные данные'!$H13)</f>
        <v>204045.18072289159</v>
      </c>
      <c r="G29" s="75">
        <f>G19/(1+'Исходные данные'!$H13)</f>
        <v>226716.86746987951</v>
      </c>
      <c r="H29" s="75">
        <f>H19/(1+'Исходные данные'!$H13)</f>
        <v>226716.86746987951</v>
      </c>
      <c r="I29" s="75">
        <f>I19/(1+'Исходные данные'!$H13)</f>
        <v>226716.86746987951</v>
      </c>
      <c r="J29" s="75">
        <f>J19/(1+'Исходные данные'!$H13)</f>
        <v>226716.86746987951</v>
      </c>
      <c r="K29" s="75">
        <f>K19/(1+'Исходные данные'!$H13)</f>
        <v>226716.86746987951</v>
      </c>
      <c r="L29" s="75">
        <f>L19/(1+'Исходные данные'!$H13)</f>
        <v>226716.86746987951</v>
      </c>
      <c r="M29" s="75">
        <f>M19/(1+'Исходные данные'!$H13)</f>
        <v>226716.86746987951</v>
      </c>
      <c r="N29" s="75">
        <f>N19/(1+'Исходные данные'!$H13)</f>
        <v>226716.86746987951</v>
      </c>
      <c r="O29" s="76">
        <f t="shared" si="38"/>
        <v>2493885.5421686745</v>
      </c>
      <c r="P29" s="76">
        <f t="shared" si="31"/>
        <v>207823.79518072287</v>
      </c>
      <c r="Q29" s="75">
        <f>Q19/(1+'Исходные данные'!$H13)</f>
        <v>272060.24096385541</v>
      </c>
      <c r="R29" s="75">
        <f>R19/(1+'Исходные данные'!$H13)</f>
        <v>272060.24096385541</v>
      </c>
      <c r="S29" s="75">
        <f>S19/(1+'Исходные данные'!$H13)</f>
        <v>272060.24096385541</v>
      </c>
      <c r="T29" s="75">
        <f>T19/(1+'Исходные данные'!$H13)</f>
        <v>272060.24096385541</v>
      </c>
      <c r="U29" s="75">
        <f>U19/(1+'Исходные данные'!$H13)</f>
        <v>272060.24096385541</v>
      </c>
      <c r="V29" s="75">
        <f>V19/(1+'Исходные данные'!$H13)</f>
        <v>272060.24096385541</v>
      </c>
      <c r="W29" s="75">
        <f>W19/(1+'Исходные данные'!$H13)</f>
        <v>272060.24096385541</v>
      </c>
      <c r="X29" s="75">
        <f>X19/(1+'Исходные данные'!$H13)</f>
        <v>272060.24096385541</v>
      </c>
      <c r="Y29" s="75">
        <f>Y19/(1+'Исходные данные'!$H13)</f>
        <v>272060.24096385541</v>
      </c>
      <c r="Z29" s="75">
        <f>Z19/(1+'Исходные данные'!$H13)</f>
        <v>272060.24096385541</v>
      </c>
      <c r="AA29" s="75">
        <f>AA19/(1+'Исходные данные'!$H13)</f>
        <v>272060.24096385541</v>
      </c>
      <c r="AB29" s="75">
        <f>AB19/(1+'Исходные данные'!$H13)</f>
        <v>272060.24096385541</v>
      </c>
      <c r="AC29" s="76">
        <f t="shared" si="39"/>
        <v>3264722.891566264</v>
      </c>
      <c r="AD29" s="76">
        <f t="shared" si="33"/>
        <v>272060.24096385535</v>
      </c>
      <c r="AE29" s="75">
        <f>AE19/(1+'Исходные данные'!$H13)</f>
        <v>317403.61445783131</v>
      </c>
      <c r="AF29" s="75">
        <f>AF19/(1+'Исходные данные'!$H13)</f>
        <v>317403.61445783131</v>
      </c>
      <c r="AG29" s="75">
        <f>AG19/(1+'Исходные данные'!$H13)</f>
        <v>317403.61445783131</v>
      </c>
      <c r="AH29" s="75">
        <f>AH19/(1+'Исходные данные'!$H13)</f>
        <v>317403.61445783131</v>
      </c>
      <c r="AI29" s="75">
        <f>AI19/(1+'Исходные данные'!$H13)</f>
        <v>317403.61445783131</v>
      </c>
      <c r="AJ29" s="75">
        <f>AJ19/(1+'Исходные данные'!$H13)</f>
        <v>317403.61445783131</v>
      </c>
      <c r="AK29" s="75">
        <f>AK19/(1+'Исходные данные'!$H13)</f>
        <v>317403.61445783131</v>
      </c>
      <c r="AL29" s="75">
        <f>AL19/(1+'Исходные данные'!$H13)</f>
        <v>317403.61445783131</v>
      </c>
      <c r="AM29" s="75">
        <f>AM19/(1+'Исходные данные'!$H13)</f>
        <v>317403.61445783131</v>
      </c>
      <c r="AN29" s="75">
        <f>AN19/(1+'Исходные данные'!$H13)</f>
        <v>317403.61445783131</v>
      </c>
      <c r="AO29" s="75">
        <f>AO19/(1+'Исходные данные'!$H13)</f>
        <v>317403.61445783131</v>
      </c>
      <c r="AP29" s="75">
        <f>AP19/(1+'Исходные данные'!$H13)</f>
        <v>317403.61445783131</v>
      </c>
      <c r="AQ29" s="76">
        <f t="shared" si="40"/>
        <v>3808843.3734939755</v>
      </c>
      <c r="AR29" s="76">
        <f t="shared" si="35"/>
        <v>317403.61445783131</v>
      </c>
      <c r="AS29" s="77">
        <f t="shared" si="36"/>
        <v>9567451.8072289135</v>
      </c>
      <c r="AT29" s="78"/>
    </row>
    <row r="30" spans="1:48" s="79" customFormat="1" ht="11.25">
      <c r="A30" s="80" t="str">
        <f t="shared" si="37"/>
        <v>Супы</v>
      </c>
      <c r="B30" s="81" t="str">
        <f>CHOOSE('Исходные данные'!$O$2,'Исходные данные'!$P$2,'Исходные данные'!$P$3,'Исходные данные'!$P$4,'Исходные данные'!$P$5)</f>
        <v>RUB</v>
      </c>
      <c r="C30" s="82">
        <f>C20/(1+'Исходные данные'!$H14)</f>
        <v>56385.542168674692</v>
      </c>
      <c r="D30" s="82">
        <f>D20/(1+'Исходные данные'!$H14)</f>
        <v>65783.132530120478</v>
      </c>
      <c r="E30" s="82">
        <f>E20/(1+'Исходные данные'!$H14)</f>
        <v>75180.722891566256</v>
      </c>
      <c r="F30" s="82">
        <f>F20/(1+'Исходные данные'!$H14)</f>
        <v>84578.313253012035</v>
      </c>
      <c r="G30" s="82">
        <f>G20/(1+'Исходные данные'!$H14)</f>
        <v>93975.903614457828</v>
      </c>
      <c r="H30" s="82">
        <f>H20/(1+'Исходные данные'!$H14)</f>
        <v>93975.903614457828</v>
      </c>
      <c r="I30" s="82">
        <f>I20/(1+'Исходные данные'!$H14)</f>
        <v>93975.903614457828</v>
      </c>
      <c r="J30" s="82">
        <f>J20/(1+'Исходные данные'!$H14)</f>
        <v>93975.903614457828</v>
      </c>
      <c r="K30" s="82">
        <f>K20/(1+'Исходные данные'!$H14)</f>
        <v>93975.903614457828</v>
      </c>
      <c r="L30" s="82">
        <f>L20/(1+'Исходные данные'!$H14)</f>
        <v>93975.903614457828</v>
      </c>
      <c r="M30" s="82">
        <f>M20/(1+'Исходные данные'!$H14)</f>
        <v>93975.903614457828</v>
      </c>
      <c r="N30" s="82">
        <f>N20/(1+'Исходные данные'!$H14)</f>
        <v>93975.903614457828</v>
      </c>
      <c r="O30" s="83">
        <f t="shared" si="38"/>
        <v>1033734.9397590359</v>
      </c>
      <c r="P30" s="83">
        <f t="shared" si="31"/>
        <v>86144.57831325299</v>
      </c>
      <c r="Q30" s="82">
        <f>Q20/(1+'Исходные данные'!$H14)</f>
        <v>112771.08433734938</v>
      </c>
      <c r="R30" s="82">
        <f>R20/(1+'Исходные данные'!$H14)</f>
        <v>112771.08433734938</v>
      </c>
      <c r="S30" s="82">
        <f>S20/(1+'Исходные данные'!$H14)</f>
        <v>112771.08433734938</v>
      </c>
      <c r="T30" s="82">
        <f>T20/(1+'Исходные данные'!$H14)</f>
        <v>112771.08433734938</v>
      </c>
      <c r="U30" s="82">
        <f>U20/(1+'Исходные данные'!$H14)</f>
        <v>112771.08433734938</v>
      </c>
      <c r="V30" s="82">
        <f>V20/(1+'Исходные данные'!$H14)</f>
        <v>112771.08433734938</v>
      </c>
      <c r="W30" s="82">
        <f>W20/(1+'Исходные данные'!$H14)</f>
        <v>112771.08433734938</v>
      </c>
      <c r="X30" s="82">
        <f>X20/(1+'Исходные данные'!$H14)</f>
        <v>112771.08433734938</v>
      </c>
      <c r="Y30" s="82">
        <f>Y20/(1+'Исходные данные'!$H14)</f>
        <v>112771.08433734938</v>
      </c>
      <c r="Z30" s="82">
        <f>Z20/(1+'Исходные данные'!$H14)</f>
        <v>112771.08433734938</v>
      </c>
      <c r="AA30" s="82">
        <f>AA20/(1+'Исходные данные'!$H14)</f>
        <v>112771.08433734938</v>
      </c>
      <c r="AB30" s="82">
        <f>AB20/(1+'Исходные данные'!$H14)</f>
        <v>112771.08433734938</v>
      </c>
      <c r="AC30" s="83">
        <f t="shared" si="39"/>
        <v>1353253.0120481923</v>
      </c>
      <c r="AD30" s="83">
        <f t="shared" si="33"/>
        <v>112771.08433734936</v>
      </c>
      <c r="AE30" s="82">
        <f>AE20/(1+'Исходные данные'!$H14)</f>
        <v>131566.26506024096</v>
      </c>
      <c r="AF30" s="82">
        <f>AF20/(1+'Исходные данные'!$H14)</f>
        <v>131566.26506024096</v>
      </c>
      <c r="AG30" s="82">
        <f>AG20/(1+'Исходные данные'!$H14)</f>
        <v>131566.26506024096</v>
      </c>
      <c r="AH30" s="82">
        <f>AH20/(1+'Исходные данные'!$H14)</f>
        <v>131566.26506024096</v>
      </c>
      <c r="AI30" s="82">
        <f>AI20/(1+'Исходные данные'!$H14)</f>
        <v>131566.26506024096</v>
      </c>
      <c r="AJ30" s="82">
        <f>AJ20/(1+'Исходные данные'!$H14)</f>
        <v>131566.26506024096</v>
      </c>
      <c r="AK30" s="82">
        <f>AK20/(1+'Исходные данные'!$H14)</f>
        <v>131566.26506024096</v>
      </c>
      <c r="AL30" s="82">
        <f>AL20/(1+'Исходные данные'!$H14)</f>
        <v>131566.26506024096</v>
      </c>
      <c r="AM30" s="82">
        <f>AM20/(1+'Исходные данные'!$H14)</f>
        <v>131566.26506024096</v>
      </c>
      <c r="AN30" s="82">
        <f>AN20/(1+'Исходные данные'!$H14)</f>
        <v>131566.26506024096</v>
      </c>
      <c r="AO30" s="82">
        <f>AO20/(1+'Исходные данные'!$H14)</f>
        <v>131566.26506024096</v>
      </c>
      <c r="AP30" s="82">
        <f>AP20/(1+'Исходные данные'!$H14)</f>
        <v>131566.26506024096</v>
      </c>
      <c r="AQ30" s="83">
        <f t="shared" si="40"/>
        <v>1578795.1807228911</v>
      </c>
      <c r="AR30" s="83">
        <f t="shared" si="35"/>
        <v>131566.26506024093</v>
      </c>
      <c r="AS30" s="77">
        <f t="shared" si="36"/>
        <v>3965783.1325301193</v>
      </c>
      <c r="AT30" s="78"/>
      <c r="AU30" s="6"/>
    </row>
    <row r="31" spans="1:48" s="79" customFormat="1" ht="11.25">
      <c r="A31" s="94" t="str">
        <f t="shared" si="37"/>
        <v>Закуски и салаты</v>
      </c>
      <c r="B31" s="74" t="str">
        <f>CHOOSE('Исходные данные'!$O$2,'Исходные данные'!$P$2,'Исходные данные'!$P$3,'Исходные данные'!$P$4,'Исходные данные'!$P$5)</f>
        <v>RUB</v>
      </c>
      <c r="C31" s="75">
        <f>C21/(1+'Исходные данные'!$H15)</f>
        <v>49185.542168674692</v>
      </c>
      <c r="D31" s="75">
        <f>D21/(1+'Исходные данные'!$H15)</f>
        <v>57383.132530120471</v>
      </c>
      <c r="E31" s="75">
        <f>E21/(1+'Исходные данные'!$H15)</f>
        <v>65580.722891566271</v>
      </c>
      <c r="F31" s="75">
        <f>F21/(1+'Исходные данные'!$H15)</f>
        <v>73778.313253012035</v>
      </c>
      <c r="G31" s="75">
        <f>G21/(1+'Исходные данные'!$H15)</f>
        <v>81975.903614457828</v>
      </c>
      <c r="H31" s="75">
        <f>H21/(1+'Исходные данные'!$H15)</f>
        <v>81975.903614457828</v>
      </c>
      <c r="I31" s="75">
        <f>I21/(1+'Исходные данные'!$H15)</f>
        <v>81975.903614457828</v>
      </c>
      <c r="J31" s="75">
        <f>J21/(1+'Исходные данные'!$H15)</f>
        <v>81975.903614457828</v>
      </c>
      <c r="K31" s="75">
        <f>K21/(1+'Исходные данные'!$H15)</f>
        <v>81975.903614457828</v>
      </c>
      <c r="L31" s="75">
        <f>L21/(1+'Исходные данные'!$H15)</f>
        <v>81975.903614457828</v>
      </c>
      <c r="M31" s="75">
        <f>M21/(1+'Исходные данные'!$H15)</f>
        <v>81975.903614457828</v>
      </c>
      <c r="N31" s="75">
        <f>N21/(1+'Исходные данные'!$H15)</f>
        <v>81975.903614457828</v>
      </c>
      <c r="O31" s="76">
        <f t="shared" si="38"/>
        <v>901734.93975903594</v>
      </c>
      <c r="P31" s="76">
        <f t="shared" si="31"/>
        <v>75144.57831325299</v>
      </c>
      <c r="Q31" s="75">
        <f>Q21/(1+'Исходные данные'!$H15)</f>
        <v>98371.084337349384</v>
      </c>
      <c r="R31" s="75">
        <f>R21/(1+'Исходные данные'!$H15)</f>
        <v>98371.084337349384</v>
      </c>
      <c r="S31" s="75">
        <f>S21/(1+'Исходные данные'!$H15)</f>
        <v>98371.084337349384</v>
      </c>
      <c r="T31" s="75">
        <f>T21/(1+'Исходные данные'!$H15)</f>
        <v>98371.084337349384</v>
      </c>
      <c r="U31" s="75">
        <f>U21/(1+'Исходные данные'!$H15)</f>
        <v>98371.084337349384</v>
      </c>
      <c r="V31" s="75">
        <f>V21/(1+'Исходные данные'!$H15)</f>
        <v>98371.084337349384</v>
      </c>
      <c r="W31" s="75">
        <f>W21/(1+'Исходные данные'!$H15)</f>
        <v>98371.084337349384</v>
      </c>
      <c r="X31" s="75">
        <f>X21/(1+'Исходные данные'!$H15)</f>
        <v>98371.084337349384</v>
      </c>
      <c r="Y31" s="75">
        <f>Y21/(1+'Исходные данные'!$H15)</f>
        <v>98371.084337349384</v>
      </c>
      <c r="Z31" s="75">
        <f>Z21/(1+'Исходные данные'!$H15)</f>
        <v>98371.084337349384</v>
      </c>
      <c r="AA31" s="75">
        <f>AA21/(1+'Исходные данные'!$H15)</f>
        <v>98371.084337349384</v>
      </c>
      <c r="AB31" s="75">
        <f>AB21/(1+'Исходные данные'!$H15)</f>
        <v>98371.084337349384</v>
      </c>
      <c r="AC31" s="76">
        <f t="shared" si="39"/>
        <v>1180453.0120481926</v>
      </c>
      <c r="AD31" s="76">
        <f t="shared" si="33"/>
        <v>98371.084337349384</v>
      </c>
      <c r="AE31" s="75">
        <f>AE21/(1+'Исходные данные'!$H15)</f>
        <v>114766.26506024094</v>
      </c>
      <c r="AF31" s="75">
        <f>AF21/(1+'Исходные данные'!$H15)</f>
        <v>114766.26506024094</v>
      </c>
      <c r="AG31" s="75">
        <f>AG21/(1+'Исходные данные'!$H15)</f>
        <v>114766.26506024094</v>
      </c>
      <c r="AH31" s="75">
        <f>AH21/(1+'Исходные данные'!$H15)</f>
        <v>114766.26506024094</v>
      </c>
      <c r="AI31" s="75">
        <f>AI21/(1+'Исходные данные'!$H15)</f>
        <v>114766.26506024094</v>
      </c>
      <c r="AJ31" s="75">
        <f>AJ21/(1+'Исходные данные'!$H15)</f>
        <v>114766.26506024094</v>
      </c>
      <c r="AK31" s="75">
        <f>AK21/(1+'Исходные данные'!$H15)</f>
        <v>114766.26506024094</v>
      </c>
      <c r="AL31" s="75">
        <f>AL21/(1+'Исходные данные'!$H15)</f>
        <v>114766.26506024094</v>
      </c>
      <c r="AM31" s="75">
        <f>AM21/(1+'Исходные данные'!$H15)</f>
        <v>114766.26506024094</v>
      </c>
      <c r="AN31" s="75">
        <f>AN21/(1+'Исходные данные'!$H15)</f>
        <v>114766.26506024094</v>
      </c>
      <c r="AO31" s="75">
        <f>AO21/(1+'Исходные данные'!$H15)</f>
        <v>114766.26506024094</v>
      </c>
      <c r="AP31" s="75">
        <f>AP21/(1+'Исходные данные'!$H15)</f>
        <v>114766.26506024094</v>
      </c>
      <c r="AQ31" s="76">
        <f t="shared" si="40"/>
        <v>1377195.1807228914</v>
      </c>
      <c r="AR31" s="76">
        <f t="shared" si="35"/>
        <v>114766.26506024094</v>
      </c>
      <c r="AS31" s="77">
        <f t="shared" si="36"/>
        <v>3459383.1325301197</v>
      </c>
      <c r="AT31" s="78"/>
    </row>
    <row r="32" spans="1:48" s="79" customFormat="1" ht="11.25">
      <c r="A32" s="80" t="str">
        <f t="shared" si="37"/>
        <v>Десерты</v>
      </c>
      <c r="B32" s="81" t="str">
        <f>CHOOSE('Исходные данные'!$O$2,'Исходные данные'!$P$2,'Исходные данные'!$P$3,'Исходные данные'!$P$4,'Исходные данные'!$P$5)</f>
        <v>RUB</v>
      </c>
      <c r="C32" s="82">
        <f>C22/(1+'Исходные данные'!$H16)</f>
        <v>31716.867469879515</v>
      </c>
      <c r="D32" s="82">
        <f>D22/(1+'Исходные данные'!$H16)</f>
        <v>37003.012048192766</v>
      </c>
      <c r="E32" s="82">
        <f>E22/(1+'Исходные данные'!$H16)</f>
        <v>42289.156626506017</v>
      </c>
      <c r="F32" s="82">
        <f>F22/(1+'Исходные данные'!$H16)</f>
        <v>47575.301204819276</v>
      </c>
      <c r="G32" s="82">
        <f>G22/(1+'Исходные данные'!$H16)</f>
        <v>52861.445783132527</v>
      </c>
      <c r="H32" s="82">
        <f>H22/(1+'Исходные данные'!$H16)</f>
        <v>52861.445783132527</v>
      </c>
      <c r="I32" s="82">
        <f>I22/(1+'Исходные данные'!$H16)</f>
        <v>52861.445783132527</v>
      </c>
      <c r="J32" s="82">
        <f>J22/(1+'Исходные данные'!$H16)</f>
        <v>52861.445783132527</v>
      </c>
      <c r="K32" s="82">
        <f>K22/(1+'Исходные данные'!$H16)</f>
        <v>52861.445783132527</v>
      </c>
      <c r="L32" s="82">
        <f>L22/(1+'Исходные данные'!$H16)</f>
        <v>52861.445783132527</v>
      </c>
      <c r="M32" s="82">
        <f>M22/(1+'Исходные данные'!$H16)</f>
        <v>52861.445783132527</v>
      </c>
      <c r="N32" s="82">
        <f>N22/(1+'Исходные данные'!$H16)</f>
        <v>52861.445783132527</v>
      </c>
      <c r="O32" s="83">
        <f t="shared" si="38"/>
        <v>581475.90361445781</v>
      </c>
      <c r="P32" s="83">
        <f t="shared" si="31"/>
        <v>48456.325301204815</v>
      </c>
      <c r="Q32" s="82">
        <f>Q22/(1+'Исходные данные'!$H16)</f>
        <v>63433.73493975903</v>
      </c>
      <c r="R32" s="82">
        <f>R22/(1+'Исходные данные'!$H16)</f>
        <v>63433.73493975903</v>
      </c>
      <c r="S32" s="82">
        <f>S22/(1+'Исходные данные'!$H16)</f>
        <v>63433.73493975903</v>
      </c>
      <c r="T32" s="82">
        <f>T22/(1+'Исходные данные'!$H16)</f>
        <v>63433.73493975903</v>
      </c>
      <c r="U32" s="82">
        <f>U22/(1+'Исходные данные'!$H16)</f>
        <v>63433.73493975903</v>
      </c>
      <c r="V32" s="82">
        <f>V22/(1+'Исходные данные'!$H16)</f>
        <v>63433.73493975903</v>
      </c>
      <c r="W32" s="82">
        <f>W22/(1+'Исходные данные'!$H16)</f>
        <v>63433.73493975903</v>
      </c>
      <c r="X32" s="82">
        <f>X22/(1+'Исходные данные'!$H16)</f>
        <v>63433.73493975903</v>
      </c>
      <c r="Y32" s="82">
        <f>Y22/(1+'Исходные данные'!$H16)</f>
        <v>63433.73493975903</v>
      </c>
      <c r="Z32" s="82">
        <f>Z22/(1+'Исходные данные'!$H16)</f>
        <v>63433.73493975903</v>
      </c>
      <c r="AA32" s="82">
        <f>AA22/(1+'Исходные данные'!$H16)</f>
        <v>63433.73493975903</v>
      </c>
      <c r="AB32" s="82">
        <f>AB22/(1+'Исходные данные'!$H16)</f>
        <v>63433.73493975903</v>
      </c>
      <c r="AC32" s="83">
        <f t="shared" si="39"/>
        <v>761204.8192771083</v>
      </c>
      <c r="AD32" s="83">
        <f t="shared" si="33"/>
        <v>63433.734939759022</v>
      </c>
      <c r="AE32" s="82">
        <f>AE22/(1+'Исходные данные'!$H16)</f>
        <v>74006.024096385532</v>
      </c>
      <c r="AF32" s="82">
        <f>AF22/(1+'Исходные данные'!$H16)</f>
        <v>74006.024096385532</v>
      </c>
      <c r="AG32" s="82">
        <f>AG22/(1+'Исходные данные'!$H16)</f>
        <v>74006.024096385532</v>
      </c>
      <c r="AH32" s="82">
        <f>AH22/(1+'Исходные данные'!$H16)</f>
        <v>74006.024096385532</v>
      </c>
      <c r="AI32" s="82">
        <f>AI22/(1+'Исходные данные'!$H16)</f>
        <v>74006.024096385532</v>
      </c>
      <c r="AJ32" s="82">
        <f>AJ22/(1+'Исходные данные'!$H16)</f>
        <v>74006.024096385532</v>
      </c>
      <c r="AK32" s="82">
        <f>AK22/(1+'Исходные данные'!$H16)</f>
        <v>74006.024096385532</v>
      </c>
      <c r="AL32" s="82">
        <f>AL22/(1+'Исходные данные'!$H16)</f>
        <v>74006.024096385532</v>
      </c>
      <c r="AM32" s="82">
        <f>AM22/(1+'Исходные данные'!$H16)</f>
        <v>74006.024096385532</v>
      </c>
      <c r="AN32" s="82">
        <f>AN22/(1+'Исходные данные'!$H16)</f>
        <v>74006.024096385532</v>
      </c>
      <c r="AO32" s="82">
        <f>AO22/(1+'Исходные данные'!$H16)</f>
        <v>74006.024096385532</v>
      </c>
      <c r="AP32" s="82">
        <f>AP22/(1+'Исходные данные'!$H16)</f>
        <v>74006.024096385532</v>
      </c>
      <c r="AQ32" s="83">
        <f t="shared" si="40"/>
        <v>888072.28915662656</v>
      </c>
      <c r="AR32" s="83">
        <f t="shared" si="35"/>
        <v>74006.024096385547</v>
      </c>
      <c r="AS32" s="77">
        <f t="shared" si="36"/>
        <v>2230753.0120481928</v>
      </c>
      <c r="AT32" s="78"/>
      <c r="AU32" s="6"/>
    </row>
    <row r="33" spans="1:48" s="73" customFormat="1" ht="11.25">
      <c r="A33" s="84" t="s">
        <v>3</v>
      </c>
      <c r="B33" s="85" t="str">
        <f>CHOOSE('Исходные данные'!$O$2,'Исходные данные'!$P$2,'Исходные данные'!$P$3,'Исходные данные'!$P$4,'Исходные данные'!$P$5)</f>
        <v>RUB</v>
      </c>
      <c r="C33" s="86">
        <f>SUM(C26:C32)</f>
        <v>829257.83132530097</v>
      </c>
      <c r="D33" s="86">
        <f t="shared" ref="D33:AS33" si="41">SUM(D26:D32)</f>
        <v>967467.46987951791</v>
      </c>
      <c r="E33" s="86">
        <f t="shared" si="41"/>
        <v>1105677.1084337349</v>
      </c>
      <c r="F33" s="86">
        <f t="shared" si="41"/>
        <v>1243886.7469879517</v>
      </c>
      <c r="G33" s="86">
        <f t="shared" si="41"/>
        <v>1382096.3855421687</v>
      </c>
      <c r="H33" s="86">
        <f t="shared" si="41"/>
        <v>1382096.3855421687</v>
      </c>
      <c r="I33" s="86">
        <f t="shared" si="41"/>
        <v>1382096.3855421687</v>
      </c>
      <c r="J33" s="86">
        <f t="shared" si="41"/>
        <v>1382096.3855421687</v>
      </c>
      <c r="K33" s="86">
        <f t="shared" si="41"/>
        <v>1382096.3855421687</v>
      </c>
      <c r="L33" s="86">
        <f t="shared" si="41"/>
        <v>1382096.3855421687</v>
      </c>
      <c r="M33" s="86">
        <f t="shared" si="41"/>
        <v>1382096.3855421687</v>
      </c>
      <c r="N33" s="86">
        <f t="shared" si="41"/>
        <v>1382096.3855421687</v>
      </c>
      <c r="O33" s="86">
        <f t="shared" si="41"/>
        <v>15203060.240963854</v>
      </c>
      <c r="P33" s="86">
        <f t="shared" si="41"/>
        <v>1266921.6867469875</v>
      </c>
      <c r="Q33" s="86">
        <f t="shared" si="41"/>
        <v>1658515.6626506019</v>
      </c>
      <c r="R33" s="86">
        <f t="shared" si="41"/>
        <v>1658515.6626506019</v>
      </c>
      <c r="S33" s="86">
        <f t="shared" si="41"/>
        <v>1658515.6626506019</v>
      </c>
      <c r="T33" s="86">
        <f t="shared" si="41"/>
        <v>1658515.6626506019</v>
      </c>
      <c r="U33" s="86">
        <f t="shared" si="41"/>
        <v>1658515.6626506019</v>
      </c>
      <c r="V33" s="86">
        <f t="shared" si="41"/>
        <v>1658515.6626506019</v>
      </c>
      <c r="W33" s="86">
        <f t="shared" si="41"/>
        <v>1658515.6626506019</v>
      </c>
      <c r="X33" s="86">
        <f t="shared" si="41"/>
        <v>1658515.6626506019</v>
      </c>
      <c r="Y33" s="86">
        <f t="shared" si="41"/>
        <v>1658515.6626506019</v>
      </c>
      <c r="Z33" s="86">
        <f t="shared" si="41"/>
        <v>1658515.6626506019</v>
      </c>
      <c r="AA33" s="86">
        <f t="shared" si="41"/>
        <v>1658515.6626506019</v>
      </c>
      <c r="AB33" s="86">
        <f t="shared" si="41"/>
        <v>1658515.6626506019</v>
      </c>
      <c r="AC33" s="86">
        <f t="shared" si="41"/>
        <v>19902187.951807227</v>
      </c>
      <c r="AD33" s="86">
        <f t="shared" si="41"/>
        <v>1658515.6626506022</v>
      </c>
      <c r="AE33" s="86">
        <f t="shared" si="41"/>
        <v>1934934.9397590358</v>
      </c>
      <c r="AF33" s="86">
        <f t="shared" si="41"/>
        <v>1934934.9397590358</v>
      </c>
      <c r="AG33" s="86">
        <f t="shared" si="41"/>
        <v>1934934.9397590358</v>
      </c>
      <c r="AH33" s="86">
        <f t="shared" si="41"/>
        <v>1934934.9397590358</v>
      </c>
      <c r="AI33" s="86">
        <f t="shared" si="41"/>
        <v>1934934.9397590358</v>
      </c>
      <c r="AJ33" s="86">
        <f t="shared" si="41"/>
        <v>1934934.9397590358</v>
      </c>
      <c r="AK33" s="86">
        <f t="shared" si="41"/>
        <v>1934934.9397590358</v>
      </c>
      <c r="AL33" s="86">
        <f t="shared" si="41"/>
        <v>1934934.9397590358</v>
      </c>
      <c r="AM33" s="86">
        <f t="shared" si="41"/>
        <v>1934934.9397590358</v>
      </c>
      <c r="AN33" s="86">
        <f t="shared" si="41"/>
        <v>1934934.9397590358</v>
      </c>
      <c r="AO33" s="86">
        <f t="shared" si="41"/>
        <v>1934934.9397590358</v>
      </c>
      <c r="AP33" s="86">
        <f t="shared" si="41"/>
        <v>1934934.9397590358</v>
      </c>
      <c r="AQ33" s="86">
        <f t="shared" si="41"/>
        <v>23219219.277108435</v>
      </c>
      <c r="AR33" s="86">
        <f t="shared" si="41"/>
        <v>1934934.9397590356</v>
      </c>
      <c r="AS33" s="86">
        <f t="shared" si="41"/>
        <v>58324467.469879515</v>
      </c>
      <c r="AT33" s="87"/>
      <c r="AV33" s="79"/>
    </row>
    <row r="34" spans="1:48" s="73" customFormat="1" ht="12" thickBot="1">
      <c r="A34" s="88"/>
      <c r="B34" s="81"/>
      <c r="C34" s="89"/>
      <c r="D34" s="88"/>
      <c r="E34" s="88"/>
      <c r="F34" s="88"/>
      <c r="G34" s="88"/>
      <c r="H34" s="88"/>
      <c r="I34" s="88"/>
      <c r="J34" s="88"/>
      <c r="O34" s="90"/>
      <c r="P34" s="90"/>
      <c r="Q34" s="89"/>
      <c r="R34" s="88"/>
      <c r="S34" s="88"/>
      <c r="T34" s="88"/>
      <c r="U34" s="88"/>
      <c r="V34" s="88"/>
      <c r="W34" s="88"/>
      <c r="X34" s="88"/>
      <c r="AC34" s="90"/>
      <c r="AD34" s="90"/>
      <c r="AE34" s="89"/>
      <c r="AF34" s="88"/>
      <c r="AG34" s="88"/>
      <c r="AH34" s="88"/>
      <c r="AI34" s="88"/>
      <c r="AJ34" s="88"/>
      <c r="AK34" s="88"/>
      <c r="AL34" s="88"/>
      <c r="AQ34" s="90"/>
      <c r="AR34" s="90"/>
    </row>
    <row r="35" spans="1:48" s="9" customFormat="1" ht="24" thickTop="1" thickBot="1">
      <c r="A35" s="64" t="s">
        <v>77</v>
      </c>
      <c r="B35" s="91"/>
      <c r="C35" s="70" t="str">
        <f t="shared" ref="C35:N35" si="42">C$5</f>
        <v>январь</v>
      </c>
      <c r="D35" s="70" t="str">
        <f t="shared" si="42"/>
        <v>февраль</v>
      </c>
      <c r="E35" s="70" t="str">
        <f t="shared" si="42"/>
        <v>март</v>
      </c>
      <c r="F35" s="70" t="str">
        <f t="shared" si="42"/>
        <v>апрель</v>
      </c>
      <c r="G35" s="70" t="str">
        <f t="shared" si="42"/>
        <v>май</v>
      </c>
      <c r="H35" s="70" t="str">
        <f t="shared" si="42"/>
        <v>июнь</v>
      </c>
      <c r="I35" s="70" t="str">
        <f t="shared" si="42"/>
        <v>июль</v>
      </c>
      <c r="J35" s="70" t="str">
        <f t="shared" si="42"/>
        <v>август</v>
      </c>
      <c r="K35" s="70" t="str">
        <f t="shared" si="42"/>
        <v>сентябрь</v>
      </c>
      <c r="L35" s="70" t="str">
        <f t="shared" si="42"/>
        <v>октябрь</v>
      </c>
      <c r="M35" s="70" t="str">
        <f t="shared" si="42"/>
        <v>ноябрь</v>
      </c>
      <c r="N35" s="70" t="str">
        <f t="shared" si="42"/>
        <v>декабрь</v>
      </c>
      <c r="O35" s="92" t="str">
        <f>$O$15</f>
        <v>Итого за 1-й год</v>
      </c>
      <c r="P35" s="92" t="str">
        <f>$P$15</f>
        <v>Среднемесячно за 1-й год</v>
      </c>
      <c r="Q35" s="70" t="str">
        <f t="shared" ref="Q35:AB35" si="43">Q$5</f>
        <v>январь</v>
      </c>
      <c r="R35" s="70" t="str">
        <f t="shared" si="43"/>
        <v>февраль</v>
      </c>
      <c r="S35" s="70" t="str">
        <f t="shared" si="43"/>
        <v>март</v>
      </c>
      <c r="T35" s="70" t="str">
        <f t="shared" si="43"/>
        <v>апрель</v>
      </c>
      <c r="U35" s="70" t="str">
        <f t="shared" si="43"/>
        <v>май</v>
      </c>
      <c r="V35" s="70" t="str">
        <f t="shared" si="43"/>
        <v>июнь</v>
      </c>
      <c r="W35" s="70" t="str">
        <f t="shared" si="43"/>
        <v>июль</v>
      </c>
      <c r="X35" s="70" t="str">
        <f t="shared" si="43"/>
        <v>август</v>
      </c>
      <c r="Y35" s="70" t="str">
        <f t="shared" si="43"/>
        <v>сентябрь</v>
      </c>
      <c r="Z35" s="70" t="str">
        <f t="shared" si="43"/>
        <v>октябрь</v>
      </c>
      <c r="AA35" s="70" t="str">
        <f t="shared" si="43"/>
        <v>ноябрь</v>
      </c>
      <c r="AB35" s="70" t="str">
        <f t="shared" si="43"/>
        <v>декабрь</v>
      </c>
      <c r="AC35" s="92" t="str">
        <f>$AC$15</f>
        <v>Итого за 2-й год</v>
      </c>
      <c r="AD35" s="92" t="str">
        <f>$AD$15</f>
        <v>Среднемесячно за 2-й год</v>
      </c>
      <c r="AE35" s="70" t="str">
        <f t="shared" ref="AE35:AP35" si="44">AE$5</f>
        <v>январь</v>
      </c>
      <c r="AF35" s="70" t="str">
        <f t="shared" si="44"/>
        <v>февраль</v>
      </c>
      <c r="AG35" s="70" t="str">
        <f t="shared" si="44"/>
        <v>март</v>
      </c>
      <c r="AH35" s="70" t="str">
        <f t="shared" si="44"/>
        <v>апрель</v>
      </c>
      <c r="AI35" s="70" t="str">
        <f t="shared" si="44"/>
        <v>май</v>
      </c>
      <c r="AJ35" s="70" t="str">
        <f t="shared" si="44"/>
        <v>июнь</v>
      </c>
      <c r="AK35" s="70" t="str">
        <f t="shared" si="44"/>
        <v>июль</v>
      </c>
      <c r="AL35" s="70" t="str">
        <f t="shared" si="44"/>
        <v>август</v>
      </c>
      <c r="AM35" s="70" t="str">
        <f t="shared" si="44"/>
        <v>сентябрь</v>
      </c>
      <c r="AN35" s="70" t="str">
        <f t="shared" si="44"/>
        <v>октябрь</v>
      </c>
      <c r="AO35" s="70" t="str">
        <f t="shared" si="44"/>
        <v>ноябрь</v>
      </c>
      <c r="AP35" s="70" t="str">
        <f t="shared" si="44"/>
        <v>декабрь</v>
      </c>
      <c r="AQ35" s="92" t="str">
        <f>AQ15</f>
        <v>Итого за 3-й год</v>
      </c>
      <c r="AR35" s="92" t="str">
        <f>AR15</f>
        <v>Среднемесячно за 3-й год</v>
      </c>
      <c r="AS35" s="187" t="str">
        <f>AS14</f>
        <v>Итого за три года</v>
      </c>
    </row>
    <row r="36" spans="1:48" s="79" customFormat="1" ht="12" thickTop="1">
      <c r="A36" s="93" t="str">
        <f>'Обобщенный расчет'!B17</f>
        <v>Ремонт помещения</v>
      </c>
      <c r="B36" s="81" t="str">
        <f>CHOOSE('Исходные данные'!$O$2,'Исходные данные'!$P$2,'Исходные данные'!$P$3,'Исходные данные'!$P$4,'Исходные данные'!$P$5)</f>
        <v>RUB</v>
      </c>
      <c r="C36" s="82">
        <f>'Обобщенный расчет'!D17</f>
        <v>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>
        <f t="shared" ref="O36:O45" si="45">SUM(C36:N36)</f>
        <v>0</v>
      </c>
      <c r="P36" s="83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>
        <f t="shared" ref="AC36:AC45" si="46">SUM(Q36:AB36)</f>
        <v>0</v>
      </c>
      <c r="AD36" s="83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>
        <f t="shared" ref="AQ36:AQ45" si="47">SUM(AE36:AP36)</f>
        <v>0</v>
      </c>
      <c r="AR36" s="83"/>
      <c r="AS36" s="77">
        <f t="shared" ref="AS36:AS46" si="48">O36+AC36+AQ36</f>
        <v>0</v>
      </c>
      <c r="AT36" s="78"/>
    </row>
    <row r="37" spans="1:48" s="79" customFormat="1" ht="11.25">
      <c r="A37" s="94" t="str">
        <f>'Обобщенный расчет'!B18</f>
        <v>Мебель</v>
      </c>
      <c r="B37" s="74" t="str">
        <f>CHOOSE('Исходные данные'!$O$2,'Исходные данные'!$P$2,'Исходные данные'!$P$3,'Исходные данные'!$P$4,'Исходные данные'!$P$5)</f>
        <v>RUB</v>
      </c>
      <c r="C37" s="75">
        <f>'Обобщенный расчет'!D18</f>
        <v>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>
        <f t="shared" ref="O37" si="49">SUM(C37:N37)</f>
        <v>0</v>
      </c>
      <c r="P37" s="76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>
        <f t="shared" ref="AC37" si="50">SUM(Q37:AB37)</f>
        <v>0</v>
      </c>
      <c r="AD37" s="76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6">
        <f t="shared" ref="AQ37" si="51">SUM(AE37:AP37)</f>
        <v>0</v>
      </c>
      <c r="AR37" s="76"/>
      <c r="AS37" s="77">
        <f t="shared" ref="AS37" si="52">O37+AC37+AQ37</f>
        <v>0</v>
      </c>
      <c r="AT37" s="78"/>
    </row>
    <row r="38" spans="1:48" s="79" customFormat="1" ht="11.25">
      <c r="A38" s="93" t="str">
        <f>'Обобщенный расчет'!B19</f>
        <v>Инструмент, материалы и оборудование</v>
      </c>
      <c r="B38" s="81" t="str">
        <f>CHOOSE('Исходные данные'!$O$2,'Исходные данные'!$P$2,'Исходные данные'!$P$3,'Исходные данные'!$P$4,'Исходные данные'!$P$5)</f>
        <v>RUB</v>
      </c>
      <c r="C38" s="82">
        <f>'Обобщенный расчет'!D19</f>
        <v>200000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>
        <f t="shared" si="45"/>
        <v>200000</v>
      </c>
      <c r="P38" s="83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>
        <f t="shared" si="46"/>
        <v>0</v>
      </c>
      <c r="AD38" s="83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>
        <f t="shared" si="47"/>
        <v>0</v>
      </c>
      <c r="AR38" s="83"/>
      <c r="AS38" s="77">
        <f t="shared" si="48"/>
        <v>200000</v>
      </c>
      <c r="AT38" s="78"/>
    </row>
    <row r="39" spans="1:48" s="79" customFormat="1" ht="11.25">
      <c r="A39" s="94" t="str">
        <f>'Обобщенный расчет'!B20</f>
        <v>Видеонаблюдение</v>
      </c>
      <c r="B39" s="74" t="str">
        <f>CHOOSE('Исходные данные'!$O$2,'Исходные данные'!$P$2,'Исходные данные'!$P$3,'Исходные данные'!$P$4,'Исходные данные'!$P$5)</f>
        <v>RUB</v>
      </c>
      <c r="C39" s="75">
        <f>'Обобщенный расчет'!D20</f>
        <v>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>
        <f t="shared" si="45"/>
        <v>0</v>
      </c>
      <c r="P39" s="76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6">
        <f t="shared" si="46"/>
        <v>0</v>
      </c>
      <c r="AD39" s="76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6">
        <f t="shared" si="47"/>
        <v>0</v>
      </c>
      <c r="AR39" s="76"/>
      <c r="AS39" s="77">
        <f t="shared" si="48"/>
        <v>0</v>
      </c>
      <c r="AT39" s="78"/>
    </row>
    <row r="40" spans="1:48" s="79" customFormat="1" ht="11.25">
      <c r="A40" s="93" t="str">
        <f>'Обобщенный расчет'!B21</f>
        <v>Сигнализация (охранная и пожарная)</v>
      </c>
      <c r="B40" s="81" t="str">
        <f>CHOOSE('Исходные данные'!$O$2,'Исходные данные'!$P$2,'Исходные данные'!$P$3,'Исходные данные'!$P$4,'Исходные данные'!$P$5)</f>
        <v>RUB</v>
      </c>
      <c r="C40" s="82">
        <f>'Обобщенный расчет'!D21</f>
        <v>0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>
        <f t="shared" si="45"/>
        <v>0</v>
      </c>
      <c r="P40" s="83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>
        <f t="shared" si="46"/>
        <v>0</v>
      </c>
      <c r="AD40" s="83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3">
        <f t="shared" si="47"/>
        <v>0</v>
      </c>
      <c r="AR40" s="83"/>
      <c r="AS40" s="77">
        <f t="shared" si="48"/>
        <v>0</v>
      </c>
      <c r="AT40" s="78"/>
    </row>
    <row r="41" spans="1:48" s="79" customFormat="1" ht="11.25">
      <c r="A41" s="94" t="str">
        <f>'Обобщенный расчет'!B22</f>
        <v>Первоначальная закупка товара</v>
      </c>
      <c r="B41" s="74" t="str">
        <f>CHOOSE('Исходные данные'!$O$2,'Исходные данные'!$P$2,'Исходные данные'!$P$3,'Исходные данные'!$P$4,'Исходные данные'!$P$5)</f>
        <v>RUB</v>
      </c>
      <c r="C41" s="75">
        <f>'Обобщенный расчет'!D22</f>
        <v>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>
        <f t="shared" si="45"/>
        <v>0</v>
      </c>
      <c r="P41" s="76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>
        <f t="shared" si="46"/>
        <v>0</v>
      </c>
      <c r="AD41" s="76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6">
        <f t="shared" si="47"/>
        <v>0</v>
      </c>
      <c r="AR41" s="76"/>
      <c r="AS41" s="77">
        <f t="shared" si="48"/>
        <v>0</v>
      </c>
      <c r="AT41" s="78"/>
    </row>
    <row r="42" spans="1:48" s="79" customFormat="1" ht="11.25">
      <c r="A42" s="93" t="str">
        <f>'Обобщенный расчет'!B23</f>
        <v>Авансовый платеж по аренде</v>
      </c>
      <c r="B42" s="81" t="str">
        <f>CHOOSE('Исходные данные'!$O$2,'Исходные данные'!$P$2,'Исходные данные'!$P$3,'Исходные данные'!$P$4,'Исходные данные'!$P$5)</f>
        <v>RUB</v>
      </c>
      <c r="C42" s="82">
        <f>'Обобщенный расчет'!D23</f>
        <v>0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>
        <f t="shared" ref="O42" si="53">SUM(C42:N42)</f>
        <v>0</v>
      </c>
      <c r="P42" s="83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>
        <f t="shared" ref="AC42" si="54">SUM(Q42:AB42)</f>
        <v>0</v>
      </c>
      <c r="AD42" s="83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>
        <f t="shared" ref="AQ42" si="55">SUM(AE42:AP42)</f>
        <v>0</v>
      </c>
      <c r="AR42" s="83"/>
      <c r="AS42" s="77">
        <f t="shared" ref="AS42" si="56">O42+AC42+AQ42</f>
        <v>0</v>
      </c>
      <c r="AT42" s="78"/>
    </row>
    <row r="43" spans="1:48" s="79" customFormat="1" ht="11.25">
      <c r="A43" s="94" t="str">
        <f>'Обобщенный расчет'!B24</f>
        <v>Рекламная кампания</v>
      </c>
      <c r="B43" s="74" t="str">
        <f>CHOOSE('Исходные данные'!$O$2,'Исходные данные'!$P$2,'Исходные данные'!$P$3,'Исходные данные'!$P$4,'Исходные данные'!$P$5)</f>
        <v>RUB</v>
      </c>
      <c r="C43" s="75">
        <f>'Обобщенный расчет'!D24</f>
        <v>50000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>
        <f t="shared" si="45"/>
        <v>50000</v>
      </c>
      <c r="P43" s="76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6">
        <f t="shared" si="46"/>
        <v>0</v>
      </c>
      <c r="AD43" s="76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6">
        <f t="shared" si="47"/>
        <v>0</v>
      </c>
      <c r="AR43" s="76"/>
      <c r="AS43" s="77">
        <f t="shared" si="48"/>
        <v>50000</v>
      </c>
      <c r="AT43" s="78"/>
    </row>
    <row r="44" spans="1:48" s="79" customFormat="1" ht="11.25">
      <c r="A44" s="93" t="str">
        <f>'Обобщенный расчет'!B25</f>
        <v>Паушальный взнос</v>
      </c>
      <c r="B44" s="81" t="str">
        <f>CHOOSE('Исходные данные'!$O$2,'Исходные данные'!$P$2,'Исходные данные'!$P$3,'Исходные данные'!$P$4,'Исходные данные'!$P$5)</f>
        <v>RUB</v>
      </c>
      <c r="C44" s="82">
        <f>'Обобщенный расчет'!D25</f>
        <v>500000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3">
        <f t="shared" si="45"/>
        <v>500000</v>
      </c>
      <c r="P44" s="83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>
        <f t="shared" si="46"/>
        <v>0</v>
      </c>
      <c r="AD44" s="83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3">
        <f t="shared" si="47"/>
        <v>0</v>
      </c>
      <c r="AR44" s="83"/>
      <c r="AS44" s="77">
        <f t="shared" si="48"/>
        <v>500000</v>
      </c>
      <c r="AT44" s="78"/>
    </row>
    <row r="45" spans="1:48" s="79" customFormat="1" ht="11.25">
      <c r="A45" s="94" t="str">
        <f>'Обобщенный расчет'!B26</f>
        <v>Прочее</v>
      </c>
      <c r="B45" s="74" t="str">
        <f>CHOOSE('Исходные данные'!$O$2,'Исходные данные'!$P$2,'Исходные данные'!$P$3,'Исходные данные'!$P$4,'Исходные данные'!$P$5)</f>
        <v>RUB</v>
      </c>
      <c r="C45" s="75">
        <f>'Обобщенный расчет'!D26</f>
        <v>0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>
        <f t="shared" si="45"/>
        <v>0</v>
      </c>
      <c r="P45" s="76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>
        <f t="shared" si="46"/>
        <v>0</v>
      </c>
      <c r="AD45" s="76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6">
        <f t="shared" si="47"/>
        <v>0</v>
      </c>
      <c r="AR45" s="76"/>
      <c r="AS45" s="77">
        <f t="shared" si="48"/>
        <v>0</v>
      </c>
      <c r="AT45" s="78"/>
    </row>
    <row r="46" spans="1:48" s="73" customFormat="1" ht="11.25">
      <c r="A46" s="84" t="s">
        <v>9</v>
      </c>
      <c r="B46" s="85" t="str">
        <f>CHOOSE('Исходные данные'!$O$2,'Исходные данные'!$P$2,'Исходные данные'!$P$3,'Исходные данные'!$P$4,'Исходные данные'!$P$5)</f>
        <v>RUB</v>
      </c>
      <c r="C46" s="86">
        <f t="shared" ref="C46:O46" si="57">SUM(C36:C45)</f>
        <v>750000</v>
      </c>
      <c r="D46" s="86">
        <f t="shared" si="57"/>
        <v>0</v>
      </c>
      <c r="E46" s="86">
        <f t="shared" si="57"/>
        <v>0</v>
      </c>
      <c r="F46" s="86">
        <f t="shared" si="57"/>
        <v>0</v>
      </c>
      <c r="G46" s="86">
        <f t="shared" si="57"/>
        <v>0</v>
      </c>
      <c r="H46" s="86">
        <f t="shared" si="57"/>
        <v>0</v>
      </c>
      <c r="I46" s="86">
        <f t="shared" si="57"/>
        <v>0</v>
      </c>
      <c r="J46" s="86">
        <f t="shared" si="57"/>
        <v>0</v>
      </c>
      <c r="K46" s="86">
        <f t="shared" si="57"/>
        <v>0</v>
      </c>
      <c r="L46" s="86">
        <f t="shared" si="57"/>
        <v>0</v>
      </c>
      <c r="M46" s="86">
        <f t="shared" si="57"/>
        <v>0</v>
      </c>
      <c r="N46" s="86">
        <f t="shared" si="57"/>
        <v>0</v>
      </c>
      <c r="O46" s="86">
        <f t="shared" si="57"/>
        <v>750000</v>
      </c>
      <c r="P46" s="86"/>
      <c r="Q46" s="86">
        <f t="shared" ref="Q46:AC46" si="58">SUM(Q36:Q45)</f>
        <v>0</v>
      </c>
      <c r="R46" s="86">
        <f t="shared" si="58"/>
        <v>0</v>
      </c>
      <c r="S46" s="86">
        <f t="shared" si="58"/>
        <v>0</v>
      </c>
      <c r="T46" s="86">
        <f t="shared" si="58"/>
        <v>0</v>
      </c>
      <c r="U46" s="86">
        <f t="shared" si="58"/>
        <v>0</v>
      </c>
      <c r="V46" s="86">
        <f t="shared" si="58"/>
        <v>0</v>
      </c>
      <c r="W46" s="86">
        <f t="shared" si="58"/>
        <v>0</v>
      </c>
      <c r="X46" s="86">
        <f t="shared" si="58"/>
        <v>0</v>
      </c>
      <c r="Y46" s="86">
        <f t="shared" si="58"/>
        <v>0</v>
      </c>
      <c r="Z46" s="86">
        <f t="shared" si="58"/>
        <v>0</v>
      </c>
      <c r="AA46" s="86">
        <f t="shared" si="58"/>
        <v>0</v>
      </c>
      <c r="AB46" s="86">
        <f t="shared" si="58"/>
        <v>0</v>
      </c>
      <c r="AC46" s="86">
        <f t="shared" si="58"/>
        <v>0</v>
      </c>
      <c r="AD46" s="86"/>
      <c r="AE46" s="86">
        <f t="shared" ref="AE46:AQ46" si="59">SUM(AE36:AE45)</f>
        <v>0</v>
      </c>
      <c r="AF46" s="86">
        <f t="shared" si="59"/>
        <v>0</v>
      </c>
      <c r="AG46" s="86">
        <f t="shared" si="59"/>
        <v>0</v>
      </c>
      <c r="AH46" s="86">
        <f t="shared" si="59"/>
        <v>0</v>
      </c>
      <c r="AI46" s="86">
        <f t="shared" si="59"/>
        <v>0</v>
      </c>
      <c r="AJ46" s="86">
        <f t="shared" si="59"/>
        <v>0</v>
      </c>
      <c r="AK46" s="86">
        <f t="shared" si="59"/>
        <v>0</v>
      </c>
      <c r="AL46" s="86">
        <f t="shared" si="59"/>
        <v>0</v>
      </c>
      <c r="AM46" s="86">
        <f t="shared" si="59"/>
        <v>0</v>
      </c>
      <c r="AN46" s="86">
        <f t="shared" si="59"/>
        <v>0</v>
      </c>
      <c r="AO46" s="86">
        <f t="shared" si="59"/>
        <v>0</v>
      </c>
      <c r="AP46" s="86">
        <f t="shared" si="59"/>
        <v>0</v>
      </c>
      <c r="AQ46" s="86">
        <f t="shared" si="59"/>
        <v>0</v>
      </c>
      <c r="AR46" s="86"/>
      <c r="AS46" s="95">
        <f t="shared" si="48"/>
        <v>750000</v>
      </c>
      <c r="AT46" s="87"/>
    </row>
    <row r="47" spans="1:48" s="73" customFormat="1" ht="12" thickBot="1">
      <c r="A47" s="185"/>
      <c r="B47" s="81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9"/>
      <c r="AT47" s="87"/>
    </row>
    <row r="48" spans="1:48" s="194" customFormat="1" ht="11.25" hidden="1">
      <c r="A48" s="190" t="s">
        <v>134</v>
      </c>
      <c r="B48" s="195" t="e">
        <f>'Исходные данные'!#REF!</f>
        <v>#REF!</v>
      </c>
      <c r="C48" s="191" t="e">
        <f>IF(C23&gt;$B$48,1,0)</f>
        <v>#REF!</v>
      </c>
      <c r="D48" s="191" t="e">
        <f t="shared" ref="D48:N48" si="60">IF(OR(D23&gt;$B$48,C48=1),1,0)</f>
        <v>#REF!</v>
      </c>
      <c r="E48" s="191" t="e">
        <f t="shared" si="60"/>
        <v>#REF!</v>
      </c>
      <c r="F48" s="191" t="e">
        <f t="shared" si="60"/>
        <v>#REF!</v>
      </c>
      <c r="G48" s="191" t="e">
        <f t="shared" si="60"/>
        <v>#REF!</v>
      </c>
      <c r="H48" s="191" t="e">
        <f t="shared" si="60"/>
        <v>#REF!</v>
      </c>
      <c r="I48" s="191" t="e">
        <f t="shared" si="60"/>
        <v>#REF!</v>
      </c>
      <c r="J48" s="191" t="e">
        <f t="shared" si="60"/>
        <v>#REF!</v>
      </c>
      <c r="K48" s="191" t="e">
        <f t="shared" si="60"/>
        <v>#REF!</v>
      </c>
      <c r="L48" s="191" t="e">
        <f t="shared" si="60"/>
        <v>#REF!</v>
      </c>
      <c r="M48" s="191" t="e">
        <f t="shared" si="60"/>
        <v>#REF!</v>
      </c>
      <c r="N48" s="191" t="e">
        <f t="shared" si="60"/>
        <v>#REF!</v>
      </c>
      <c r="O48" s="191"/>
      <c r="P48" s="191"/>
      <c r="Q48" s="191" t="e">
        <f>IF(OR(Q23&gt;$B$48,N48=1),1,0)</f>
        <v>#REF!</v>
      </c>
      <c r="R48" s="191" t="e">
        <f t="shared" ref="R48:AB48" si="61">IF(OR(R23&gt;$B$48,Q48=1),1,0)</f>
        <v>#REF!</v>
      </c>
      <c r="S48" s="191" t="e">
        <f t="shared" si="61"/>
        <v>#REF!</v>
      </c>
      <c r="T48" s="191" t="e">
        <f t="shared" si="61"/>
        <v>#REF!</v>
      </c>
      <c r="U48" s="191" t="e">
        <f t="shared" si="61"/>
        <v>#REF!</v>
      </c>
      <c r="V48" s="191" t="e">
        <f t="shared" si="61"/>
        <v>#REF!</v>
      </c>
      <c r="W48" s="191" t="e">
        <f t="shared" si="61"/>
        <v>#REF!</v>
      </c>
      <c r="X48" s="191" t="e">
        <f t="shared" si="61"/>
        <v>#REF!</v>
      </c>
      <c r="Y48" s="191" t="e">
        <f t="shared" si="61"/>
        <v>#REF!</v>
      </c>
      <c r="Z48" s="191" t="e">
        <f t="shared" si="61"/>
        <v>#REF!</v>
      </c>
      <c r="AA48" s="191" t="e">
        <f t="shared" si="61"/>
        <v>#REF!</v>
      </c>
      <c r="AB48" s="191" t="e">
        <f t="shared" si="61"/>
        <v>#REF!</v>
      </c>
      <c r="AC48" s="191"/>
      <c r="AD48" s="191"/>
      <c r="AE48" s="191" t="e">
        <f>IF(OR(AE23&gt;$B$48,AB48=1),1,0)</f>
        <v>#REF!</v>
      </c>
      <c r="AF48" s="191" t="e">
        <f t="shared" ref="AF48:AP48" si="62">IF(OR(AF23&gt;$B$48,AE48=1),1,0)</f>
        <v>#REF!</v>
      </c>
      <c r="AG48" s="191" t="e">
        <f t="shared" si="62"/>
        <v>#REF!</v>
      </c>
      <c r="AH48" s="191" t="e">
        <f t="shared" si="62"/>
        <v>#REF!</v>
      </c>
      <c r="AI48" s="191" t="e">
        <f t="shared" si="62"/>
        <v>#REF!</v>
      </c>
      <c r="AJ48" s="191" t="e">
        <f t="shared" si="62"/>
        <v>#REF!</v>
      </c>
      <c r="AK48" s="191" t="e">
        <f t="shared" si="62"/>
        <v>#REF!</v>
      </c>
      <c r="AL48" s="191" t="e">
        <f t="shared" si="62"/>
        <v>#REF!</v>
      </c>
      <c r="AM48" s="191" t="e">
        <f t="shared" si="62"/>
        <v>#REF!</v>
      </c>
      <c r="AN48" s="191" t="e">
        <f t="shared" si="62"/>
        <v>#REF!</v>
      </c>
      <c r="AO48" s="191" t="e">
        <f t="shared" si="62"/>
        <v>#REF!</v>
      </c>
      <c r="AP48" s="191" t="e">
        <f t="shared" si="62"/>
        <v>#REF!</v>
      </c>
      <c r="AQ48" s="191"/>
      <c r="AR48" s="191"/>
      <c r="AS48" s="192"/>
      <c r="AT48" s="193"/>
    </row>
    <row r="49" spans="1:46" s="100" customFormat="1" ht="12" hidden="1" thickBot="1">
      <c r="A49" s="96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</row>
    <row r="50" spans="1:46" s="9" customFormat="1" ht="24" thickTop="1" thickBot="1">
      <c r="A50" s="64" t="s">
        <v>8</v>
      </c>
      <c r="B50" s="91"/>
      <c r="C50" s="70" t="str">
        <f t="shared" ref="C50:N50" si="63">C$5</f>
        <v>январь</v>
      </c>
      <c r="D50" s="70" t="str">
        <f t="shared" si="63"/>
        <v>февраль</v>
      </c>
      <c r="E50" s="70" t="str">
        <f t="shared" si="63"/>
        <v>март</v>
      </c>
      <c r="F50" s="70" t="str">
        <f t="shared" si="63"/>
        <v>апрель</v>
      </c>
      <c r="G50" s="70" t="str">
        <f t="shared" si="63"/>
        <v>май</v>
      </c>
      <c r="H50" s="70" t="str">
        <f t="shared" si="63"/>
        <v>июнь</v>
      </c>
      <c r="I50" s="70" t="str">
        <f t="shared" si="63"/>
        <v>июль</v>
      </c>
      <c r="J50" s="70" t="str">
        <f t="shared" si="63"/>
        <v>август</v>
      </c>
      <c r="K50" s="70" t="str">
        <f t="shared" si="63"/>
        <v>сентябрь</v>
      </c>
      <c r="L50" s="70" t="str">
        <f t="shared" si="63"/>
        <v>октябрь</v>
      </c>
      <c r="M50" s="70" t="str">
        <f t="shared" si="63"/>
        <v>ноябрь</v>
      </c>
      <c r="N50" s="70" t="str">
        <f t="shared" si="63"/>
        <v>декабрь</v>
      </c>
      <c r="O50" s="92" t="str">
        <f>$O$15</f>
        <v>Итого за 1-й год</v>
      </c>
      <c r="P50" s="92" t="str">
        <f>$P$15</f>
        <v>Среднемесячно за 1-й год</v>
      </c>
      <c r="Q50" s="70" t="str">
        <f t="shared" ref="Q50:AB50" si="64">Q$5</f>
        <v>январь</v>
      </c>
      <c r="R50" s="70" t="str">
        <f t="shared" si="64"/>
        <v>февраль</v>
      </c>
      <c r="S50" s="70" t="str">
        <f t="shared" si="64"/>
        <v>март</v>
      </c>
      <c r="T50" s="70" t="str">
        <f t="shared" si="64"/>
        <v>апрель</v>
      </c>
      <c r="U50" s="70" t="str">
        <f t="shared" si="64"/>
        <v>май</v>
      </c>
      <c r="V50" s="70" t="str">
        <f t="shared" si="64"/>
        <v>июнь</v>
      </c>
      <c r="W50" s="70" t="str">
        <f t="shared" si="64"/>
        <v>июль</v>
      </c>
      <c r="X50" s="70" t="str">
        <f t="shared" si="64"/>
        <v>август</v>
      </c>
      <c r="Y50" s="70" t="str">
        <f t="shared" si="64"/>
        <v>сентябрь</v>
      </c>
      <c r="Z50" s="70" t="str">
        <f t="shared" si="64"/>
        <v>октябрь</v>
      </c>
      <c r="AA50" s="70" t="str">
        <f t="shared" si="64"/>
        <v>ноябрь</v>
      </c>
      <c r="AB50" s="70" t="str">
        <f t="shared" si="64"/>
        <v>декабрь</v>
      </c>
      <c r="AC50" s="92" t="str">
        <f>AC35</f>
        <v>Итого за 2-й год</v>
      </c>
      <c r="AD50" s="92" t="str">
        <f>AD35</f>
        <v>Среднемесячно за 2-й год</v>
      </c>
      <c r="AE50" s="70" t="str">
        <f t="shared" ref="AE50:AP50" si="65">AE$5</f>
        <v>январь</v>
      </c>
      <c r="AF50" s="70" t="str">
        <f t="shared" si="65"/>
        <v>февраль</v>
      </c>
      <c r="AG50" s="70" t="str">
        <f t="shared" si="65"/>
        <v>март</v>
      </c>
      <c r="AH50" s="70" t="str">
        <f t="shared" si="65"/>
        <v>апрель</v>
      </c>
      <c r="AI50" s="70" t="str">
        <f t="shared" si="65"/>
        <v>май</v>
      </c>
      <c r="AJ50" s="70" t="str">
        <f t="shared" si="65"/>
        <v>июнь</v>
      </c>
      <c r="AK50" s="70" t="str">
        <f t="shared" si="65"/>
        <v>июль</v>
      </c>
      <c r="AL50" s="70" t="str">
        <f t="shared" si="65"/>
        <v>август</v>
      </c>
      <c r="AM50" s="70" t="str">
        <f t="shared" si="65"/>
        <v>сентябрь</v>
      </c>
      <c r="AN50" s="70" t="str">
        <f t="shared" si="65"/>
        <v>октябрь</v>
      </c>
      <c r="AO50" s="70" t="str">
        <f t="shared" si="65"/>
        <v>ноябрь</v>
      </c>
      <c r="AP50" s="70" t="str">
        <f t="shared" si="65"/>
        <v>декабрь</v>
      </c>
      <c r="AQ50" s="92" t="str">
        <f>AQ35</f>
        <v>Итого за 3-й год</v>
      </c>
      <c r="AR50" s="92" t="str">
        <f>AR35</f>
        <v>Среднемесячно за 3-й год</v>
      </c>
      <c r="AS50" s="187" t="str">
        <f>AS35</f>
        <v>Итого за три года</v>
      </c>
    </row>
    <row r="51" spans="1:46" s="104" customFormat="1" ht="12" hidden="1" thickTop="1">
      <c r="A51" s="101" t="s">
        <v>125</v>
      </c>
      <c r="B51" s="102"/>
      <c r="C51" s="103">
        <f t="shared" ref="C51:N51" si="66">C23-C33-SUM(C53:C66)-C68-C69</f>
        <v>102878.568674699</v>
      </c>
      <c r="D51" s="103">
        <f t="shared" si="66"/>
        <v>182625.53012048209</v>
      </c>
      <c r="E51" s="103">
        <f t="shared" si="66"/>
        <v>262372.49156626512</v>
      </c>
      <c r="F51" s="103">
        <f t="shared" si="66"/>
        <v>342119.45301204833</v>
      </c>
      <c r="G51" s="103">
        <f t="shared" si="66"/>
        <v>421866.41445783124</v>
      </c>
      <c r="H51" s="103">
        <f t="shared" si="66"/>
        <v>421866.41445783124</v>
      </c>
      <c r="I51" s="103">
        <f t="shared" si="66"/>
        <v>421866.41445783124</v>
      </c>
      <c r="J51" s="103">
        <f t="shared" si="66"/>
        <v>421866.41445783124</v>
      </c>
      <c r="K51" s="103">
        <f t="shared" si="66"/>
        <v>421866.41445783124</v>
      </c>
      <c r="L51" s="103">
        <f t="shared" si="66"/>
        <v>421866.41445783124</v>
      </c>
      <c r="M51" s="103">
        <f t="shared" si="66"/>
        <v>421866.41445783124</v>
      </c>
      <c r="N51" s="103">
        <f t="shared" si="66"/>
        <v>421866.41445783124</v>
      </c>
      <c r="O51" s="101"/>
      <c r="P51" s="101"/>
      <c r="Q51" s="103">
        <f t="shared" ref="Q51:AB51" si="67">Q23-Q33-SUM(Q53:Q66)-Q68-Q69</f>
        <v>581360.33734939806</v>
      </c>
      <c r="R51" s="103">
        <f t="shared" si="67"/>
        <v>581360.33734939806</v>
      </c>
      <c r="S51" s="103">
        <f t="shared" si="67"/>
        <v>581360.33734939806</v>
      </c>
      <c r="T51" s="103">
        <f t="shared" si="67"/>
        <v>581360.33734939806</v>
      </c>
      <c r="U51" s="103">
        <f t="shared" si="67"/>
        <v>581360.33734939806</v>
      </c>
      <c r="V51" s="103">
        <f t="shared" si="67"/>
        <v>581360.33734939806</v>
      </c>
      <c r="W51" s="103">
        <f t="shared" si="67"/>
        <v>581360.33734939806</v>
      </c>
      <c r="X51" s="103">
        <f t="shared" si="67"/>
        <v>581360.33734939806</v>
      </c>
      <c r="Y51" s="103">
        <f t="shared" si="67"/>
        <v>581360.33734939806</v>
      </c>
      <c r="Z51" s="103">
        <f t="shared" si="67"/>
        <v>581360.33734939806</v>
      </c>
      <c r="AA51" s="103">
        <f t="shared" si="67"/>
        <v>581360.33734939806</v>
      </c>
      <c r="AB51" s="103">
        <f t="shared" si="67"/>
        <v>581360.33734939806</v>
      </c>
      <c r="AC51" s="101"/>
      <c r="AD51" s="101"/>
      <c r="AE51" s="103">
        <f t="shared" ref="AE51:AP51" si="68">AE23-AE33-SUM(AE53:AE66)-AE68-AE69</f>
        <v>740854.26024096413</v>
      </c>
      <c r="AF51" s="103">
        <f t="shared" si="68"/>
        <v>740854.26024096413</v>
      </c>
      <c r="AG51" s="103">
        <f t="shared" si="68"/>
        <v>740854.26024096413</v>
      </c>
      <c r="AH51" s="103">
        <f t="shared" si="68"/>
        <v>740854.26024096413</v>
      </c>
      <c r="AI51" s="103">
        <f t="shared" si="68"/>
        <v>740854.26024096413</v>
      </c>
      <c r="AJ51" s="103">
        <f t="shared" si="68"/>
        <v>740854.26024096413</v>
      </c>
      <c r="AK51" s="103">
        <f t="shared" si="68"/>
        <v>740854.26024096413</v>
      </c>
      <c r="AL51" s="103">
        <f t="shared" si="68"/>
        <v>740854.26024096413</v>
      </c>
      <c r="AM51" s="103">
        <f t="shared" si="68"/>
        <v>740854.26024096413</v>
      </c>
      <c r="AN51" s="103">
        <f t="shared" si="68"/>
        <v>740854.26024096413</v>
      </c>
      <c r="AO51" s="103">
        <f t="shared" si="68"/>
        <v>740854.26024096413</v>
      </c>
      <c r="AP51" s="103">
        <f t="shared" si="68"/>
        <v>740854.26024096413</v>
      </c>
      <c r="AQ51" s="101"/>
      <c r="AR51" s="101"/>
      <c r="AS51" s="101"/>
    </row>
    <row r="52" spans="1:46" s="104" customFormat="1" ht="11.25" hidden="1">
      <c r="A52" s="101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1"/>
      <c r="P52" s="101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1"/>
      <c r="AD52" s="101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1"/>
      <c r="AR52" s="101"/>
      <c r="AS52" s="101"/>
    </row>
    <row r="53" spans="1:46" s="79" customFormat="1" ht="12" thickTop="1">
      <c r="A53" s="93" t="str">
        <f>'Обобщенный расчет'!B40</f>
        <v>Зарплата персонала</v>
      </c>
      <c r="B53" s="81" t="str">
        <f>CHOOSE('Исходные данные'!$O$2,'Исходные данные'!$P$2,'Исходные данные'!$P$3,'Исходные данные'!$P$4,'Исходные данные'!$P$5)</f>
        <v>RUB</v>
      </c>
      <c r="C53" s="82">
        <f>C8*('Обобщенный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расчет'!$H$35)*C23</f>
        <v>210200</v>
      </c>
      <c r="D53" s="82">
        <f>D8*('Обобщенный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расчет'!$H$35)*D23</f>
        <v>210200</v>
      </c>
      <c r="E53" s="82">
        <f>E8*('Обобщенный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расчет'!$H$35)*E23</f>
        <v>210200</v>
      </c>
      <c r="F53" s="82">
        <f>F8*('Обобщенный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расчет'!$H$35)*F23</f>
        <v>210200</v>
      </c>
      <c r="G53" s="82">
        <f>G8*('Обобщенный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расчет'!$H$35)*G23</f>
        <v>210200</v>
      </c>
      <c r="H53" s="82">
        <f>H8*('Обобщенный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расчет'!$H$35)*H23</f>
        <v>210200</v>
      </c>
      <c r="I53" s="82">
        <f>I8*('Обобщенный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расчет'!$H$35)*I23</f>
        <v>210200</v>
      </c>
      <c r="J53" s="82">
        <f>J8*('Обобщенный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расчет'!$H$35)*J23</f>
        <v>210200</v>
      </c>
      <c r="K53" s="82">
        <f>K8*('Обобщенный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расчет'!$H$35)*K23</f>
        <v>210200</v>
      </c>
      <c r="L53" s="82">
        <f>L8*('Обобщенный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расчет'!$H$35)*L23</f>
        <v>210200</v>
      </c>
      <c r="M53" s="82">
        <f>M8*('Обобщенный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расчет'!$H$35)*M23</f>
        <v>210200</v>
      </c>
      <c r="N53" s="82">
        <f>N8*('Обобщенный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расчет'!$H$35)*N23</f>
        <v>210200</v>
      </c>
      <c r="O53" s="83">
        <f t="shared" ref="O53:O58" si="69">SUM(C53:N53)</f>
        <v>2522400</v>
      </c>
      <c r="P53" s="83">
        <f t="shared" ref="P53:P58" si="70">O53/12</f>
        <v>210200</v>
      </c>
      <c r="Q53" s="82">
        <f>Q8*('Обобщенный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расчет'!$H$35)*Q23</f>
        <v>210200</v>
      </c>
      <c r="R53" s="82">
        <f>R8*('Обобщенный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расчет'!$H$35)*R23</f>
        <v>210200</v>
      </c>
      <c r="S53" s="82">
        <f>S8*('Обобщенный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расчет'!$H$35)*S23</f>
        <v>210200</v>
      </c>
      <c r="T53" s="82">
        <f>T8*('Обобщенный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расчет'!$H$35)*T23</f>
        <v>210200</v>
      </c>
      <c r="U53" s="82">
        <f>U8*('Обобщенный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расчет'!$H$35)*U23</f>
        <v>210200</v>
      </c>
      <c r="V53" s="82">
        <f>V8*('Обобщенный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расчет'!$H$35)*V23</f>
        <v>210200</v>
      </c>
      <c r="W53" s="82">
        <f>W8*('Обобщенный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расчет'!$H$35)*W23</f>
        <v>210200</v>
      </c>
      <c r="X53" s="82">
        <f>X8*('Обобщенный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расчет'!$H$35)*X23</f>
        <v>210200</v>
      </c>
      <c r="Y53" s="82">
        <f>Y8*('Обобщенный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расчет'!$H$35)*Y23</f>
        <v>210200</v>
      </c>
      <c r="Z53" s="82">
        <f>Z8*('Обобщенный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расчет'!$H$35)*Z23</f>
        <v>210200</v>
      </c>
      <c r="AA53" s="82">
        <f>AA8*('Обобщенный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расчет'!$H$35)*AA23</f>
        <v>210200</v>
      </c>
      <c r="AB53" s="82">
        <f>AB8*('Обобщенный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расчет'!$H$35)*AB23</f>
        <v>210200</v>
      </c>
      <c r="AC53" s="83">
        <f t="shared" ref="AC53:AC58" si="71">SUM(Q53:AB53)</f>
        <v>2522400</v>
      </c>
      <c r="AD53" s="83">
        <f t="shared" ref="AD53:AD58" si="72">AC53/12</f>
        <v>210200</v>
      </c>
      <c r="AE53" s="82">
        <f>AE8*('Обобщенный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расчет'!$H$35)*AE23</f>
        <v>210200</v>
      </c>
      <c r="AF53" s="82">
        <f>AF8*('Обобщенный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расчет'!$H$35)*AF23</f>
        <v>210200</v>
      </c>
      <c r="AG53" s="82">
        <f>AG8*('Обобщенный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расчет'!$H$35)*AG23</f>
        <v>210200</v>
      </c>
      <c r="AH53" s="82">
        <f>AH8*('Обобщенный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расчет'!$H$35)*AH23</f>
        <v>210200</v>
      </c>
      <c r="AI53" s="82">
        <f>AI8*('Обобщенный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расчет'!$H$35)*AI23</f>
        <v>210200</v>
      </c>
      <c r="AJ53" s="82">
        <f>AJ8*('Обобщенный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расчет'!$H$35)*AJ23</f>
        <v>210200</v>
      </c>
      <c r="AK53" s="82">
        <f>AK8*('Обобщенный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расчет'!$H$35)*AK23</f>
        <v>210200</v>
      </c>
      <c r="AL53" s="82">
        <f>AL8*('Обобщенный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расчет'!$H$35)*AL23</f>
        <v>210200</v>
      </c>
      <c r="AM53" s="82">
        <f>AM8*('Обобщенный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расчет'!$H$35)*AM23</f>
        <v>210200</v>
      </c>
      <c r="AN53" s="82">
        <f>AN8*('Обобщенный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расчет'!$H$35)*AN23</f>
        <v>210200</v>
      </c>
      <c r="AO53" s="82">
        <f>AO8*('Обобщенный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расчет'!$H$35)*AO23</f>
        <v>210200</v>
      </c>
      <c r="AP53" s="82">
        <f>AP8*('Обобщенный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расчет'!$G$35)+('Обобщенный расчет'!$H$31+'Обобщенный расчет'!$H$32+'Обобщенный расчет'!$H$33+'Обобщенный расчет'!$H$34+'Обобщенный расчет'!$H$35)*AP23</f>
        <v>210200</v>
      </c>
      <c r="AQ53" s="83">
        <f t="shared" ref="AQ53:AQ58" si="73">SUM(AE53:AP53)</f>
        <v>2522400</v>
      </c>
      <c r="AR53" s="83">
        <f t="shared" ref="AR53:AR58" si="74">AQ53/12</f>
        <v>210200</v>
      </c>
      <c r="AS53" s="77">
        <f t="shared" ref="AS53:AS58" si="75">O53+AC53+AQ53</f>
        <v>7567200</v>
      </c>
      <c r="AT53" s="78"/>
    </row>
    <row r="54" spans="1:46" s="79" customFormat="1" ht="11.25">
      <c r="A54" s="94" t="str">
        <f>'Обобщенный расчет'!B41</f>
        <v>Роялти</v>
      </c>
      <c r="B54" s="74" t="str">
        <f>CHOOSE('Исходные данные'!$O$2,'Исходные данные'!$P$2,'Исходные данные'!$P$3,'Исходные данные'!$P$4,'Исходные данные'!$P$5)</f>
        <v>RUB</v>
      </c>
      <c r="C54" s="75">
        <f>'Исходные данные'!$H$67+'Исходные данные'!$D68*'Детальный расчет'!C$23</f>
        <v>68828.400000000009</v>
      </c>
      <c r="D54" s="75">
        <f>'Исходные данные'!$H$67+'Исходные данные'!$D68*'Детальный расчет'!D$23</f>
        <v>80299.8</v>
      </c>
      <c r="E54" s="75">
        <f>'Исходные данные'!$H$67+'Исходные данные'!$D68*'Детальный расчет'!E$23</f>
        <v>91771.200000000012</v>
      </c>
      <c r="F54" s="75">
        <f>'Исходные данные'!$H$67+'Исходные данные'!$D68*'Детальный расчет'!F$23</f>
        <v>103242.6</v>
      </c>
      <c r="G54" s="75">
        <f>'Исходные данные'!$H$67+'Исходные данные'!$D68*'Детальный расчет'!G$23</f>
        <v>114714</v>
      </c>
      <c r="H54" s="75">
        <f>'Исходные данные'!$H$67+'Исходные данные'!$D68*'Детальный расчет'!H$23</f>
        <v>114714</v>
      </c>
      <c r="I54" s="75">
        <f>'Исходные данные'!$H$67+'Исходные данные'!$D68*'Детальный расчет'!I$23</f>
        <v>114714</v>
      </c>
      <c r="J54" s="75">
        <f>'Исходные данные'!$H$67+'Исходные данные'!$D68*'Детальный расчет'!J$23</f>
        <v>114714</v>
      </c>
      <c r="K54" s="75">
        <f>'Исходные данные'!$H$67+'Исходные данные'!$D68*'Детальный расчет'!K$23</f>
        <v>114714</v>
      </c>
      <c r="L54" s="75">
        <f>'Исходные данные'!$H$67+'Исходные данные'!$D68*'Детальный расчет'!L$23</f>
        <v>114714</v>
      </c>
      <c r="M54" s="75">
        <f>'Исходные данные'!$H$67+'Исходные данные'!$D68*'Детальный расчет'!M$23</f>
        <v>114714</v>
      </c>
      <c r="N54" s="75">
        <f>'Исходные данные'!$H$67+'Исходные данные'!$D68*'Детальный расчет'!N$23</f>
        <v>114714</v>
      </c>
      <c r="O54" s="76">
        <f t="shared" ref="O54" si="76">SUM(C54:N54)</f>
        <v>1261854</v>
      </c>
      <c r="P54" s="76">
        <f t="shared" ref="P54" si="77">O54/12</f>
        <v>105154.5</v>
      </c>
      <c r="Q54" s="75">
        <f>'Исходные данные'!$H$67+'Исходные данные'!$D68*'Детальный расчет'!Q$23</f>
        <v>137656.80000000002</v>
      </c>
      <c r="R54" s="75">
        <f>'Исходные данные'!$H$67+'Исходные данные'!$D68*'Детальный расчет'!R$23</f>
        <v>137656.80000000002</v>
      </c>
      <c r="S54" s="75">
        <f>'Исходные данные'!$H$67+'Исходные данные'!$D68*'Детальный расчет'!S$23</f>
        <v>137656.80000000002</v>
      </c>
      <c r="T54" s="75">
        <f>'Исходные данные'!$H$67+'Исходные данные'!$D68*'Детальный расчет'!T$23</f>
        <v>137656.80000000002</v>
      </c>
      <c r="U54" s="75">
        <f>'Исходные данные'!$H$67+'Исходные данные'!$D68*'Детальный расчет'!U$23</f>
        <v>137656.80000000002</v>
      </c>
      <c r="V54" s="75">
        <f>'Исходные данные'!$H$67+'Исходные данные'!$D68*'Детальный расчет'!V$23</f>
        <v>137656.80000000002</v>
      </c>
      <c r="W54" s="75">
        <f>'Исходные данные'!$H$67+'Исходные данные'!$D68*'Детальный расчет'!W$23</f>
        <v>137656.80000000002</v>
      </c>
      <c r="X54" s="75">
        <f>'Исходные данные'!$H$67+'Исходные данные'!$D68*'Детальный расчет'!X$23</f>
        <v>137656.80000000002</v>
      </c>
      <c r="Y54" s="75">
        <f>'Исходные данные'!$H$67+'Исходные данные'!$D68*'Детальный расчет'!Y$23</f>
        <v>137656.80000000002</v>
      </c>
      <c r="Z54" s="75">
        <f>'Исходные данные'!$H$67+'Исходные данные'!$D68*'Детальный расчет'!Z$23</f>
        <v>137656.80000000002</v>
      </c>
      <c r="AA54" s="75">
        <f>'Исходные данные'!$H$67+'Исходные данные'!$D68*'Детальный расчет'!AA$23</f>
        <v>137656.80000000002</v>
      </c>
      <c r="AB54" s="75">
        <f>'Исходные данные'!$H$67+'Исходные данные'!$D68*'Детальный расчет'!AB$23</f>
        <v>137656.80000000002</v>
      </c>
      <c r="AC54" s="76">
        <f t="shared" ref="AC54" si="78">SUM(Q54:AB54)</f>
        <v>1651881.6000000003</v>
      </c>
      <c r="AD54" s="76">
        <f t="shared" ref="AD54" si="79">AC54/12</f>
        <v>137656.80000000002</v>
      </c>
      <c r="AE54" s="75">
        <f>'Исходные данные'!$H$67+'Исходные данные'!$D68*'Детальный расчет'!AE$23</f>
        <v>160599.6</v>
      </c>
      <c r="AF54" s="75">
        <f>'Исходные данные'!$H$67+'Исходные данные'!$D68*'Детальный расчет'!AF$23</f>
        <v>160599.6</v>
      </c>
      <c r="AG54" s="75">
        <f>'Исходные данные'!$H$67+'Исходные данные'!$D68*'Детальный расчет'!AG$23</f>
        <v>160599.6</v>
      </c>
      <c r="AH54" s="75">
        <f>'Исходные данные'!$H$67+'Исходные данные'!$D68*'Детальный расчет'!AH$23</f>
        <v>160599.6</v>
      </c>
      <c r="AI54" s="75">
        <f>'Исходные данные'!$H$67+'Исходные данные'!$D68*'Детальный расчет'!AI$23</f>
        <v>160599.6</v>
      </c>
      <c r="AJ54" s="75">
        <f>'Исходные данные'!$H$67+'Исходные данные'!$D68*'Детальный расчет'!AJ$23</f>
        <v>160599.6</v>
      </c>
      <c r="AK54" s="75">
        <f>'Исходные данные'!$H$67+'Исходные данные'!$D68*'Детальный расчет'!AK$23</f>
        <v>160599.6</v>
      </c>
      <c r="AL54" s="75">
        <f>'Исходные данные'!$H$67+'Исходные данные'!$D68*'Детальный расчет'!AL$23</f>
        <v>160599.6</v>
      </c>
      <c r="AM54" s="75">
        <f>'Исходные данные'!$H$67+'Исходные данные'!$D68*'Детальный расчет'!AM$23</f>
        <v>160599.6</v>
      </c>
      <c r="AN54" s="75">
        <f>'Исходные данные'!$H$67+'Исходные данные'!$D68*'Детальный расчет'!AN$23</f>
        <v>160599.6</v>
      </c>
      <c r="AO54" s="75">
        <f>'Исходные данные'!$H$67+'Исходные данные'!$D68*'Детальный расчет'!AO$23</f>
        <v>160599.6</v>
      </c>
      <c r="AP54" s="75">
        <f>'Исходные данные'!$H$67+'Исходные данные'!$D68*'Детальный расчет'!AP$23</f>
        <v>160599.6</v>
      </c>
      <c r="AQ54" s="76">
        <f t="shared" ref="AQ54" si="80">SUM(AE54:AP54)</f>
        <v>1927195.2000000004</v>
      </c>
      <c r="AR54" s="76">
        <f t="shared" ref="AR54" si="81">AQ54/12</f>
        <v>160599.60000000003</v>
      </c>
      <c r="AS54" s="77">
        <f t="shared" ref="AS54" si="82">O54+AC54+AQ54</f>
        <v>4840930.8000000007</v>
      </c>
      <c r="AT54" s="78"/>
    </row>
    <row r="55" spans="1:46" s="79" customFormat="1" ht="11.25">
      <c r="A55" s="93" t="str">
        <f>'Обобщенный расчет'!B42</f>
        <v>Аренда</v>
      </c>
      <c r="B55" s="81" t="str">
        <f>CHOOSE('Исходные данные'!$O$2,'Исходные данные'!$P$2,'Исходные данные'!$P$3,'Исходные данные'!$P$4,'Исходные данные'!$P$5)</f>
        <v>RUB</v>
      </c>
      <c r="C55" s="82">
        <f>'Исходные данные'!$H$69*C9</f>
        <v>0</v>
      </c>
      <c r="D55" s="82">
        <f>'Исходные данные'!$H$69*D9</f>
        <v>0</v>
      </c>
      <c r="E55" s="82">
        <f>'Исходные данные'!$H$69*E9</f>
        <v>0</v>
      </c>
      <c r="F55" s="82">
        <f>'Исходные данные'!$H$69*F9</f>
        <v>0</v>
      </c>
      <c r="G55" s="82">
        <f>'Исходные данные'!$H$69*G9</f>
        <v>0</v>
      </c>
      <c r="H55" s="82">
        <f>'Исходные данные'!$H$69*H9</f>
        <v>0</v>
      </c>
      <c r="I55" s="82">
        <f>'Исходные данные'!$H$69*I9</f>
        <v>0</v>
      </c>
      <c r="J55" s="82">
        <f>'Исходные данные'!$H$69*J9</f>
        <v>0</v>
      </c>
      <c r="K55" s="82">
        <f>'Исходные данные'!$H$69*K9</f>
        <v>0</v>
      </c>
      <c r="L55" s="82">
        <f>'Исходные данные'!$H$69*L9</f>
        <v>0</v>
      </c>
      <c r="M55" s="82">
        <f>'Исходные данные'!$H$69*M9</f>
        <v>0</v>
      </c>
      <c r="N55" s="82">
        <f>'Исходные данные'!$H$69*N9</f>
        <v>0</v>
      </c>
      <c r="O55" s="83">
        <f t="shared" si="69"/>
        <v>0</v>
      </c>
      <c r="P55" s="83">
        <f t="shared" si="70"/>
        <v>0</v>
      </c>
      <c r="Q55" s="82">
        <f>'Исходные данные'!$H$69*Q9</f>
        <v>0</v>
      </c>
      <c r="R55" s="82">
        <f>'Исходные данные'!$H$69*R9</f>
        <v>0</v>
      </c>
      <c r="S55" s="82">
        <f>'Исходные данные'!$H$69*S9</f>
        <v>0</v>
      </c>
      <c r="T55" s="82">
        <f>'Исходные данные'!$H$69*T9</f>
        <v>0</v>
      </c>
      <c r="U55" s="82">
        <f>'Исходные данные'!$H$69*U9</f>
        <v>0</v>
      </c>
      <c r="V55" s="82">
        <f>'Исходные данные'!$H$69*V9</f>
        <v>0</v>
      </c>
      <c r="W55" s="82">
        <f>'Исходные данные'!$H$69*W9</f>
        <v>0</v>
      </c>
      <c r="X55" s="82">
        <f>'Исходные данные'!$H$69*X9</f>
        <v>0</v>
      </c>
      <c r="Y55" s="82">
        <f>'Исходные данные'!$H$69*Y9</f>
        <v>0</v>
      </c>
      <c r="Z55" s="82">
        <f>'Исходные данные'!$H$69*Z9</f>
        <v>0</v>
      </c>
      <c r="AA55" s="82">
        <f>'Исходные данные'!$H$69*AA9</f>
        <v>0</v>
      </c>
      <c r="AB55" s="82">
        <f>'Исходные данные'!$H$69*AB9</f>
        <v>0</v>
      </c>
      <c r="AC55" s="83">
        <f t="shared" si="71"/>
        <v>0</v>
      </c>
      <c r="AD55" s="83">
        <f t="shared" si="72"/>
        <v>0</v>
      </c>
      <c r="AE55" s="82">
        <f>'Исходные данные'!$H$69*AE9</f>
        <v>0</v>
      </c>
      <c r="AF55" s="82">
        <f>'Исходные данные'!$H$69*AF9</f>
        <v>0</v>
      </c>
      <c r="AG55" s="82">
        <f>'Исходные данные'!$H$69*AG9</f>
        <v>0</v>
      </c>
      <c r="AH55" s="82">
        <f>'Исходные данные'!$H$69*AH9</f>
        <v>0</v>
      </c>
      <c r="AI55" s="82">
        <f>'Исходные данные'!$H$69*AI9</f>
        <v>0</v>
      </c>
      <c r="AJ55" s="82">
        <f>'Исходные данные'!$H$69*AJ9</f>
        <v>0</v>
      </c>
      <c r="AK55" s="82">
        <f>'Исходные данные'!$H$69*AK9</f>
        <v>0</v>
      </c>
      <c r="AL55" s="82">
        <f>'Исходные данные'!$H$69*AL9</f>
        <v>0</v>
      </c>
      <c r="AM55" s="82">
        <f>'Исходные данные'!$H$69*AM9</f>
        <v>0</v>
      </c>
      <c r="AN55" s="82">
        <f>'Исходные данные'!$H$69*AN9</f>
        <v>0</v>
      </c>
      <c r="AO55" s="82">
        <f>'Исходные данные'!$H$69*AO9</f>
        <v>0</v>
      </c>
      <c r="AP55" s="82">
        <f>'Исходные данные'!$H$69*AP9</f>
        <v>0</v>
      </c>
      <c r="AQ55" s="83">
        <f t="shared" si="73"/>
        <v>0</v>
      </c>
      <c r="AR55" s="83">
        <f t="shared" si="74"/>
        <v>0</v>
      </c>
      <c r="AS55" s="77">
        <f t="shared" si="75"/>
        <v>0</v>
      </c>
      <c r="AT55" s="78"/>
    </row>
    <row r="56" spans="1:46" s="79" customFormat="1" ht="11.25">
      <c r="A56" s="94" t="str">
        <f>'Обобщенный расчет'!B43</f>
        <v>Коммунальные платежи</v>
      </c>
      <c r="B56" s="74" t="str">
        <f>CHOOSE('Исходные данные'!$O$2,'Исходные данные'!$P$2,'Исходные данные'!$P$3,'Исходные данные'!$P$4,'Исходные данные'!$P$5)</f>
        <v>RUB</v>
      </c>
      <c r="C56" s="75">
        <f>'Исходные данные'!$H$70*C10</f>
        <v>0</v>
      </c>
      <c r="D56" s="75">
        <f>'Исходные данные'!$H$70*D10</f>
        <v>0</v>
      </c>
      <c r="E56" s="75">
        <f>'Исходные данные'!$H$70*E10</f>
        <v>0</v>
      </c>
      <c r="F56" s="75">
        <f>'Исходные данные'!$H$70*F10</f>
        <v>0</v>
      </c>
      <c r="G56" s="75">
        <f>'Исходные данные'!$H$70*G10</f>
        <v>0</v>
      </c>
      <c r="H56" s="75">
        <f>'Исходные данные'!$H$70*H10</f>
        <v>0</v>
      </c>
      <c r="I56" s="75">
        <f>'Исходные данные'!$H$70*I10</f>
        <v>0</v>
      </c>
      <c r="J56" s="75">
        <f>'Исходные данные'!$H$70*J10</f>
        <v>0</v>
      </c>
      <c r="K56" s="75">
        <f>'Исходные данные'!$H$70*K10</f>
        <v>0</v>
      </c>
      <c r="L56" s="75">
        <f>'Исходные данные'!$H$70*L10</f>
        <v>0</v>
      </c>
      <c r="M56" s="75">
        <f>'Исходные данные'!$H$70*M10</f>
        <v>0</v>
      </c>
      <c r="N56" s="75">
        <f>'Исходные данные'!$H$70*N10</f>
        <v>0</v>
      </c>
      <c r="O56" s="76">
        <f t="shared" si="69"/>
        <v>0</v>
      </c>
      <c r="P56" s="76">
        <f t="shared" si="70"/>
        <v>0</v>
      </c>
      <c r="Q56" s="75">
        <f>'Исходные данные'!$H$70*Q10</f>
        <v>0</v>
      </c>
      <c r="R56" s="75">
        <f>'Исходные данные'!$H$70*R10</f>
        <v>0</v>
      </c>
      <c r="S56" s="75">
        <f>'Исходные данные'!$H$70*S10</f>
        <v>0</v>
      </c>
      <c r="T56" s="75">
        <f>'Исходные данные'!$H$70*T10</f>
        <v>0</v>
      </c>
      <c r="U56" s="75">
        <f>'Исходные данные'!$H$70*U10</f>
        <v>0</v>
      </c>
      <c r="V56" s="75">
        <f>'Исходные данные'!$H$70*V10</f>
        <v>0</v>
      </c>
      <c r="W56" s="75">
        <f>'Исходные данные'!$H$70*W10</f>
        <v>0</v>
      </c>
      <c r="X56" s="75">
        <f>'Исходные данные'!$H$70*X10</f>
        <v>0</v>
      </c>
      <c r="Y56" s="75">
        <f>'Исходные данные'!$H$70*Y10</f>
        <v>0</v>
      </c>
      <c r="Z56" s="75">
        <f>'Исходные данные'!$H$70*Z10</f>
        <v>0</v>
      </c>
      <c r="AA56" s="75">
        <f>'Исходные данные'!$H$70*AA10</f>
        <v>0</v>
      </c>
      <c r="AB56" s="75">
        <f>'Исходные данные'!$H$70*AB10</f>
        <v>0</v>
      </c>
      <c r="AC56" s="76">
        <f t="shared" si="71"/>
        <v>0</v>
      </c>
      <c r="AD56" s="76">
        <f t="shared" si="72"/>
        <v>0</v>
      </c>
      <c r="AE56" s="75">
        <f>'Исходные данные'!$H$70*AE10</f>
        <v>0</v>
      </c>
      <c r="AF56" s="75">
        <f>'Исходные данные'!$H$70*AF10</f>
        <v>0</v>
      </c>
      <c r="AG56" s="75">
        <f>'Исходные данные'!$H$70*AG10</f>
        <v>0</v>
      </c>
      <c r="AH56" s="75">
        <f>'Исходные данные'!$H$70*AH10</f>
        <v>0</v>
      </c>
      <c r="AI56" s="75">
        <f>'Исходные данные'!$H$70*AI10</f>
        <v>0</v>
      </c>
      <c r="AJ56" s="75">
        <f>'Исходные данные'!$H$70*AJ10</f>
        <v>0</v>
      </c>
      <c r="AK56" s="75">
        <f>'Исходные данные'!$H$70*AK10</f>
        <v>0</v>
      </c>
      <c r="AL56" s="75">
        <f>'Исходные данные'!$H$70*AL10</f>
        <v>0</v>
      </c>
      <c r="AM56" s="75">
        <f>'Исходные данные'!$H$70*AM10</f>
        <v>0</v>
      </c>
      <c r="AN56" s="75">
        <f>'Исходные данные'!$H$70*AN10</f>
        <v>0</v>
      </c>
      <c r="AO56" s="75">
        <f>'Исходные данные'!$H$70*AO10</f>
        <v>0</v>
      </c>
      <c r="AP56" s="75">
        <f>'Исходные данные'!$H$70*AP10</f>
        <v>0</v>
      </c>
      <c r="AQ56" s="76">
        <f t="shared" si="73"/>
        <v>0</v>
      </c>
      <c r="AR56" s="76">
        <f t="shared" si="74"/>
        <v>0</v>
      </c>
      <c r="AS56" s="77">
        <f t="shared" si="75"/>
        <v>0</v>
      </c>
      <c r="AT56" s="78"/>
    </row>
    <row r="57" spans="1:46" s="79" customFormat="1" ht="11.25">
      <c r="A57" s="93" t="str">
        <f>'Обобщенный расчет'!B44</f>
        <v>Хозяйственные нужды</v>
      </c>
      <c r="B57" s="81" t="str">
        <f>CHOOSE('Исходные данные'!$O$2,'Исходные данные'!$P$2,'Исходные данные'!$P$3,'Исходные данные'!$P$4,'Исходные данные'!$P$5)</f>
        <v>RUB</v>
      </c>
      <c r="C57" s="82">
        <f>'Исходные данные'!$H$71</f>
        <v>0</v>
      </c>
      <c r="D57" s="82">
        <f>'Исходные данные'!$H$71</f>
        <v>0</v>
      </c>
      <c r="E57" s="82">
        <f>'Исходные данные'!$H$71</f>
        <v>0</v>
      </c>
      <c r="F57" s="82">
        <f>'Исходные данные'!$H$71</f>
        <v>0</v>
      </c>
      <c r="G57" s="82">
        <f>'Исходные данные'!$H$71</f>
        <v>0</v>
      </c>
      <c r="H57" s="82">
        <f>'Исходные данные'!$H$71</f>
        <v>0</v>
      </c>
      <c r="I57" s="82">
        <f>'Исходные данные'!$H$71</f>
        <v>0</v>
      </c>
      <c r="J57" s="82">
        <f>'Исходные данные'!$H$71</f>
        <v>0</v>
      </c>
      <c r="K57" s="82">
        <f>'Исходные данные'!$H$71</f>
        <v>0</v>
      </c>
      <c r="L57" s="82">
        <f>'Исходные данные'!$H$71</f>
        <v>0</v>
      </c>
      <c r="M57" s="82">
        <f>'Исходные данные'!$H$71</f>
        <v>0</v>
      </c>
      <c r="N57" s="82">
        <f>'Исходные данные'!$H$71</f>
        <v>0</v>
      </c>
      <c r="O57" s="83">
        <f t="shared" si="69"/>
        <v>0</v>
      </c>
      <c r="P57" s="83">
        <f t="shared" si="70"/>
        <v>0</v>
      </c>
      <c r="Q57" s="82">
        <f>'Исходные данные'!$H$71</f>
        <v>0</v>
      </c>
      <c r="R57" s="82">
        <f>'Исходные данные'!$H$71</f>
        <v>0</v>
      </c>
      <c r="S57" s="82">
        <f>'Исходные данные'!$H$71</f>
        <v>0</v>
      </c>
      <c r="T57" s="82">
        <f>'Исходные данные'!$H$71</f>
        <v>0</v>
      </c>
      <c r="U57" s="82">
        <f>'Исходные данные'!$H$71</f>
        <v>0</v>
      </c>
      <c r="V57" s="82">
        <f>'Исходные данные'!$H$71</f>
        <v>0</v>
      </c>
      <c r="W57" s="82">
        <f>'Исходные данные'!$H$71</f>
        <v>0</v>
      </c>
      <c r="X57" s="82">
        <f>'Исходные данные'!$H$71</f>
        <v>0</v>
      </c>
      <c r="Y57" s="82">
        <f>'Исходные данные'!$H$71</f>
        <v>0</v>
      </c>
      <c r="Z57" s="82">
        <f>'Исходные данные'!$H$71</f>
        <v>0</v>
      </c>
      <c r="AA57" s="82">
        <f>'Исходные данные'!$H$71</f>
        <v>0</v>
      </c>
      <c r="AB57" s="82">
        <f>'Исходные данные'!$H$71</f>
        <v>0</v>
      </c>
      <c r="AC57" s="83">
        <f t="shared" si="71"/>
        <v>0</v>
      </c>
      <c r="AD57" s="83">
        <f t="shared" si="72"/>
        <v>0</v>
      </c>
      <c r="AE57" s="82">
        <f>'Исходные данные'!$H$71</f>
        <v>0</v>
      </c>
      <c r="AF57" s="82">
        <f>'Исходные данные'!$H$71</f>
        <v>0</v>
      </c>
      <c r="AG57" s="82">
        <f>'Исходные данные'!$H$71</f>
        <v>0</v>
      </c>
      <c r="AH57" s="82">
        <f>'Исходные данные'!$H$71</f>
        <v>0</v>
      </c>
      <c r="AI57" s="82">
        <f>'Исходные данные'!$H$71</f>
        <v>0</v>
      </c>
      <c r="AJ57" s="82">
        <f>'Исходные данные'!$H$71</f>
        <v>0</v>
      </c>
      <c r="AK57" s="82">
        <f>'Исходные данные'!$H$71</f>
        <v>0</v>
      </c>
      <c r="AL57" s="82">
        <f>'Исходные данные'!$H$71</f>
        <v>0</v>
      </c>
      <c r="AM57" s="82">
        <f>'Исходные данные'!$H$71</f>
        <v>0</v>
      </c>
      <c r="AN57" s="82">
        <f>'Исходные данные'!$H$71</f>
        <v>0</v>
      </c>
      <c r="AO57" s="82">
        <f>'Исходные данные'!$H$71</f>
        <v>0</v>
      </c>
      <c r="AP57" s="82">
        <f>'Исходные данные'!$H$71</f>
        <v>0</v>
      </c>
      <c r="AQ57" s="83">
        <f t="shared" si="73"/>
        <v>0</v>
      </c>
      <c r="AR57" s="83">
        <f t="shared" si="74"/>
        <v>0</v>
      </c>
      <c r="AS57" s="77">
        <f t="shared" si="75"/>
        <v>0</v>
      </c>
      <c r="AT57" s="78"/>
    </row>
    <row r="58" spans="1:46" s="79" customFormat="1" ht="11.25">
      <c r="A58" s="94" t="str">
        <f>'Обобщенный расчет'!B45</f>
        <v>Офисные расходы</v>
      </c>
      <c r="B58" s="74" t="str">
        <f>CHOOSE('Исходные данные'!$O$2,'Исходные данные'!$P$2,'Исходные данные'!$P$3,'Исходные данные'!$P$4,'Исходные данные'!$P$5)</f>
        <v>RUB</v>
      </c>
      <c r="C58" s="75">
        <f>'Исходные данные'!$H$72</f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f>'Исходные данные'!$H$72</f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6">
        <f t="shared" si="69"/>
        <v>0</v>
      </c>
      <c r="P58" s="76">
        <f t="shared" si="70"/>
        <v>0</v>
      </c>
      <c r="Q58" s="75">
        <f>'Исходные данные'!$H$72</f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f>'Исходные данные'!$H$72</f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6">
        <f t="shared" si="71"/>
        <v>0</v>
      </c>
      <c r="AD58" s="76">
        <f t="shared" si="72"/>
        <v>0</v>
      </c>
      <c r="AE58" s="75">
        <f>'Исходные данные'!$H$72</f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f>'Исходные данные'!$H$72</f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6">
        <f t="shared" si="73"/>
        <v>0</v>
      </c>
      <c r="AR58" s="76">
        <f t="shared" si="74"/>
        <v>0</v>
      </c>
      <c r="AS58" s="77">
        <f t="shared" si="75"/>
        <v>0</v>
      </c>
      <c r="AT58" s="78"/>
    </row>
    <row r="59" spans="1:46" s="79" customFormat="1" ht="11.25">
      <c r="A59" s="93" t="str">
        <f>'Обобщенный расчет'!B46</f>
        <v>Униформа персонала</v>
      </c>
      <c r="B59" s="81" t="str">
        <f>CHOOSE('Исходные данные'!$O$2,'Исходные данные'!$P$2,'Исходные данные'!$P$3,'Исходные данные'!$P$4,'Исходные данные'!$P$5)</f>
        <v>RUB</v>
      </c>
      <c r="C59" s="82">
        <f>'Исходные данные'!$H$73</f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3">
        <f t="shared" ref="O59" si="83">SUM(C59:N59)</f>
        <v>0</v>
      </c>
      <c r="P59" s="83">
        <f t="shared" ref="P59" si="84">O59/12</f>
        <v>0</v>
      </c>
      <c r="Q59" s="82">
        <f>'Исходные данные'!$H$73</f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3">
        <f t="shared" ref="AC59" si="85">SUM(Q59:AB59)</f>
        <v>0</v>
      </c>
      <c r="AD59" s="83">
        <f t="shared" ref="AD59" si="86">AC59/12</f>
        <v>0</v>
      </c>
      <c r="AE59" s="82">
        <f>'Исходные данные'!$H$73</f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3">
        <f t="shared" ref="AQ59" si="87">SUM(AE59:AP59)</f>
        <v>0</v>
      </c>
      <c r="AR59" s="83">
        <f t="shared" ref="AR59" si="88">AQ59/12</f>
        <v>0</v>
      </c>
      <c r="AS59" s="77">
        <f t="shared" ref="AS59" si="89">O59+AC59+AQ59</f>
        <v>0</v>
      </c>
      <c r="AT59" s="78"/>
    </row>
    <row r="60" spans="1:46" s="79" customFormat="1" ht="11.25">
      <c r="A60" s="94" t="str">
        <f>'Обобщенный расчет'!B47</f>
        <v>Сервисное обслуживание техники и оборудования</v>
      </c>
      <c r="B60" s="74" t="str">
        <f>CHOOSE('Исходные данные'!$O$2,'Исходные данные'!$P$2,'Исходные данные'!$P$3,'Исходные данные'!$P$4,'Исходные данные'!$P$5)</f>
        <v>RUB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6">
        <f t="shared" ref="O60" si="90">SUM(C60:N60)</f>
        <v>0</v>
      </c>
      <c r="P60" s="76">
        <f t="shared" ref="P60" si="91">O60/12</f>
        <v>0</v>
      </c>
      <c r="Q60" s="75">
        <f>'Исходные данные'!$H$74</f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6">
        <f t="shared" ref="AC60" si="92">SUM(Q60:AB60)</f>
        <v>0</v>
      </c>
      <c r="AD60" s="76">
        <f t="shared" ref="AD60" si="93">AC60/12</f>
        <v>0</v>
      </c>
      <c r="AE60" s="75">
        <f>'Исходные данные'!$H$74</f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6">
        <f t="shared" ref="AQ60" si="94">SUM(AE60:AP60)</f>
        <v>0</v>
      </c>
      <c r="AR60" s="76">
        <f t="shared" ref="AR60" si="95">AQ60/12</f>
        <v>0</v>
      </c>
      <c r="AS60" s="77">
        <f t="shared" ref="AS60" si="96">O60+AC60+AQ60</f>
        <v>0</v>
      </c>
      <c r="AT60" s="78"/>
    </row>
    <row r="61" spans="1:46" s="79" customFormat="1" ht="11.25">
      <c r="A61" s="93" t="str">
        <f>'Обобщенный расчет'!B48</f>
        <v>Охрана</v>
      </c>
      <c r="B61" s="81" t="str">
        <f>CHOOSE('Исходные данные'!$O$2,'Исходные данные'!$P$2,'Исходные данные'!$P$3,'Исходные данные'!$P$4,'Исходные данные'!$P$5)</f>
        <v>RUB</v>
      </c>
      <c r="C61" s="82">
        <f>'Исходные данные'!$H$75</f>
        <v>0</v>
      </c>
      <c r="D61" s="82">
        <f>'Исходные данные'!$H$75</f>
        <v>0</v>
      </c>
      <c r="E61" s="82">
        <f>'Исходные данные'!$H$75</f>
        <v>0</v>
      </c>
      <c r="F61" s="82">
        <f>'Исходные данные'!$H$75</f>
        <v>0</v>
      </c>
      <c r="G61" s="82">
        <f>'Исходные данные'!$H$75</f>
        <v>0</v>
      </c>
      <c r="H61" s="82">
        <f>'Исходные данные'!$H$75</f>
        <v>0</v>
      </c>
      <c r="I61" s="82">
        <f>'Исходные данные'!$H$75</f>
        <v>0</v>
      </c>
      <c r="J61" s="82">
        <f>'Исходные данные'!$H$75</f>
        <v>0</v>
      </c>
      <c r="K61" s="82">
        <f>'Исходные данные'!$H$75</f>
        <v>0</v>
      </c>
      <c r="L61" s="82">
        <f>'Исходные данные'!$H$75</f>
        <v>0</v>
      </c>
      <c r="M61" s="82">
        <f>'Исходные данные'!$H$75</f>
        <v>0</v>
      </c>
      <c r="N61" s="82">
        <f>'Исходные данные'!$H$75</f>
        <v>0</v>
      </c>
      <c r="O61" s="83">
        <f>SUM(C61:N61)</f>
        <v>0</v>
      </c>
      <c r="P61" s="83">
        <f>O61/12</f>
        <v>0</v>
      </c>
      <c r="Q61" s="82">
        <f>'Исходные данные'!$H$75</f>
        <v>0</v>
      </c>
      <c r="R61" s="82">
        <f>'Исходные данные'!$H$75</f>
        <v>0</v>
      </c>
      <c r="S61" s="82">
        <f>'Исходные данные'!$H$75</f>
        <v>0</v>
      </c>
      <c r="T61" s="82">
        <f>'Исходные данные'!$H$75</f>
        <v>0</v>
      </c>
      <c r="U61" s="82">
        <f>'Исходные данные'!$H$75</f>
        <v>0</v>
      </c>
      <c r="V61" s="82">
        <f>'Исходные данные'!$H$75</f>
        <v>0</v>
      </c>
      <c r="W61" s="82">
        <f>'Исходные данные'!$H$75</f>
        <v>0</v>
      </c>
      <c r="X61" s="82">
        <f>'Исходные данные'!$H$75</f>
        <v>0</v>
      </c>
      <c r="Y61" s="82">
        <f>'Исходные данные'!$H$75</f>
        <v>0</v>
      </c>
      <c r="Z61" s="82">
        <f>'Исходные данные'!$H$75</f>
        <v>0</v>
      </c>
      <c r="AA61" s="82">
        <f>'Исходные данные'!$H$75</f>
        <v>0</v>
      </c>
      <c r="AB61" s="82">
        <f>'Исходные данные'!$H$75</f>
        <v>0</v>
      </c>
      <c r="AC61" s="83">
        <f>SUM(Q61:AB61)</f>
        <v>0</v>
      </c>
      <c r="AD61" s="83">
        <f>AC61/12</f>
        <v>0</v>
      </c>
      <c r="AE61" s="82">
        <f>'Исходные данные'!$H$75</f>
        <v>0</v>
      </c>
      <c r="AF61" s="82">
        <f>'Исходные данные'!$H$75</f>
        <v>0</v>
      </c>
      <c r="AG61" s="82">
        <f>'Исходные данные'!$H$75</f>
        <v>0</v>
      </c>
      <c r="AH61" s="82">
        <f>'Исходные данные'!$H$75</f>
        <v>0</v>
      </c>
      <c r="AI61" s="82">
        <f>'Исходные данные'!$H$75</f>
        <v>0</v>
      </c>
      <c r="AJ61" s="82">
        <f>'Исходные данные'!$H$75</f>
        <v>0</v>
      </c>
      <c r="AK61" s="82">
        <f>'Исходные данные'!$H$75</f>
        <v>0</v>
      </c>
      <c r="AL61" s="82">
        <f>'Исходные данные'!$H$75</f>
        <v>0</v>
      </c>
      <c r="AM61" s="82">
        <f>'Исходные данные'!$H$75</f>
        <v>0</v>
      </c>
      <c r="AN61" s="82">
        <f>'Исходные данные'!$H$75</f>
        <v>0</v>
      </c>
      <c r="AO61" s="82">
        <f>'Исходные данные'!$H$75</f>
        <v>0</v>
      </c>
      <c r="AP61" s="82">
        <f>'Исходные данные'!$H$75</f>
        <v>0</v>
      </c>
      <c r="AQ61" s="83">
        <f>SUM(AE61:AP61)</f>
        <v>0</v>
      </c>
      <c r="AR61" s="83">
        <f>AQ61/12</f>
        <v>0</v>
      </c>
      <c r="AS61" s="77">
        <f>O61+AC61+AQ61</f>
        <v>0</v>
      </c>
      <c r="AT61" s="78"/>
    </row>
    <row r="62" spans="1:46" s="79" customFormat="1" ht="11.25">
      <c r="A62" s="94" t="str">
        <f>'Обобщенный расчет'!B49</f>
        <v>Услуги связи и интернет</v>
      </c>
      <c r="B62" s="74" t="str">
        <f>CHOOSE('Исходные данные'!$O$2,'Исходные данные'!$P$2,'Исходные данные'!$P$3,'Исходные данные'!$P$4,'Исходные данные'!$P$5)</f>
        <v>RUB</v>
      </c>
      <c r="C62" s="75">
        <f>'Исходные данные'!$H$76*C11</f>
        <v>0</v>
      </c>
      <c r="D62" s="75">
        <f>'Исходные данные'!$H$76*D11</f>
        <v>0</v>
      </c>
      <c r="E62" s="75">
        <f>'Исходные данные'!$H$76*E11</f>
        <v>0</v>
      </c>
      <c r="F62" s="75">
        <f>'Исходные данные'!$H$76*F11</f>
        <v>0</v>
      </c>
      <c r="G62" s="75">
        <f>'Исходные данные'!$H$76*G11</f>
        <v>0</v>
      </c>
      <c r="H62" s="75">
        <f>'Исходные данные'!$H$76*H11</f>
        <v>0</v>
      </c>
      <c r="I62" s="75">
        <f>'Исходные данные'!$H$76*I11</f>
        <v>0</v>
      </c>
      <c r="J62" s="75">
        <f>'Исходные данные'!$H$76*J11</f>
        <v>0</v>
      </c>
      <c r="K62" s="75">
        <f>'Исходные данные'!$H$76*K11</f>
        <v>0</v>
      </c>
      <c r="L62" s="75">
        <f>'Исходные данные'!$H$76*L11</f>
        <v>0</v>
      </c>
      <c r="M62" s="75">
        <f>'Исходные данные'!$H$76*M11</f>
        <v>0</v>
      </c>
      <c r="N62" s="75">
        <f>'Исходные данные'!$H$76*N11</f>
        <v>0</v>
      </c>
      <c r="O62" s="76">
        <f>SUM(C62:N62)</f>
        <v>0</v>
      </c>
      <c r="P62" s="76">
        <f>O62/12</f>
        <v>0</v>
      </c>
      <c r="Q62" s="75">
        <f>'Исходные данные'!$H$76*Q11</f>
        <v>0</v>
      </c>
      <c r="R62" s="75">
        <f>'Исходные данные'!$H$76*R11</f>
        <v>0</v>
      </c>
      <c r="S62" s="75">
        <f>'Исходные данные'!$H$76*S11</f>
        <v>0</v>
      </c>
      <c r="T62" s="75">
        <f>'Исходные данные'!$H$76*T11</f>
        <v>0</v>
      </c>
      <c r="U62" s="75">
        <f>'Исходные данные'!$H$76*U11</f>
        <v>0</v>
      </c>
      <c r="V62" s="75">
        <f>'Исходные данные'!$H$76*V11</f>
        <v>0</v>
      </c>
      <c r="W62" s="75">
        <f>'Исходные данные'!$H$76*W11</f>
        <v>0</v>
      </c>
      <c r="X62" s="75">
        <f>'Исходные данные'!$H$76*X11</f>
        <v>0</v>
      </c>
      <c r="Y62" s="75">
        <f>'Исходные данные'!$H$76*Y11</f>
        <v>0</v>
      </c>
      <c r="Z62" s="75">
        <f>'Исходные данные'!$H$76*Z11</f>
        <v>0</v>
      </c>
      <c r="AA62" s="75">
        <f>'Исходные данные'!$H$76*AA11</f>
        <v>0</v>
      </c>
      <c r="AB62" s="75">
        <f>'Исходные данные'!$H$76*AB11</f>
        <v>0</v>
      </c>
      <c r="AC62" s="76">
        <f>SUM(Q62:AB62)</f>
        <v>0</v>
      </c>
      <c r="AD62" s="76">
        <f>AC62/12</f>
        <v>0</v>
      </c>
      <c r="AE62" s="75">
        <f>'Исходные данные'!$H$76*AE11</f>
        <v>0</v>
      </c>
      <c r="AF62" s="75">
        <f>'Исходные данные'!$H$76*AF11</f>
        <v>0</v>
      </c>
      <c r="AG62" s="75">
        <f>'Исходные данные'!$H$76*AG11</f>
        <v>0</v>
      </c>
      <c r="AH62" s="75">
        <f>'Исходные данные'!$H$76*AH11</f>
        <v>0</v>
      </c>
      <c r="AI62" s="75">
        <f>'Исходные данные'!$H$76*AI11</f>
        <v>0</v>
      </c>
      <c r="AJ62" s="75">
        <f>'Исходные данные'!$H$76*AJ11</f>
        <v>0</v>
      </c>
      <c r="AK62" s="75">
        <f>'Исходные данные'!$H$76*AK11</f>
        <v>0</v>
      </c>
      <c r="AL62" s="75">
        <f>'Исходные данные'!$H$76*AL11</f>
        <v>0</v>
      </c>
      <c r="AM62" s="75">
        <f>'Исходные данные'!$H$76*AM11</f>
        <v>0</v>
      </c>
      <c r="AN62" s="75">
        <f>'Исходные данные'!$H$76*AN11</f>
        <v>0</v>
      </c>
      <c r="AO62" s="75">
        <f>'Исходные данные'!$H$76*AO11</f>
        <v>0</v>
      </c>
      <c r="AP62" s="75">
        <f>'Исходные данные'!$H$76*AP11</f>
        <v>0</v>
      </c>
      <c r="AQ62" s="76">
        <f>SUM(AE62:AP62)</f>
        <v>0</v>
      </c>
      <c r="AR62" s="76">
        <f>AQ62/12</f>
        <v>0</v>
      </c>
      <c r="AS62" s="77">
        <f>O62+AC62+AQ62</f>
        <v>0</v>
      </c>
      <c r="AT62" s="78"/>
    </row>
    <row r="63" spans="1:46" s="79" customFormat="1" ht="11.25">
      <c r="A63" s="93" t="str">
        <f>'Обобщенный расчет'!B50</f>
        <v>Транспортные расходы</v>
      </c>
      <c r="B63" s="81" t="str">
        <f>CHOOSE('Исходные данные'!$O$2,'Исходные данные'!$P$2,'Исходные данные'!$P$3,'Исходные данные'!$P$4,'Исходные данные'!$P$5)</f>
        <v>RUB</v>
      </c>
      <c r="C63" s="82">
        <f>'Исходные данные'!$H$77</f>
        <v>70000</v>
      </c>
      <c r="D63" s="82">
        <f>'Исходные данные'!$H$77</f>
        <v>70000</v>
      </c>
      <c r="E63" s="82">
        <f>'Исходные данные'!$H$77</f>
        <v>70000</v>
      </c>
      <c r="F63" s="82">
        <f>'Исходные данные'!$H$77</f>
        <v>70000</v>
      </c>
      <c r="G63" s="82">
        <f>'Исходные данные'!$H$77</f>
        <v>70000</v>
      </c>
      <c r="H63" s="82">
        <f>'Исходные данные'!$H$77</f>
        <v>70000</v>
      </c>
      <c r="I63" s="82">
        <f>'Исходные данные'!$H$77</f>
        <v>70000</v>
      </c>
      <c r="J63" s="82">
        <f>'Исходные данные'!$H$77</f>
        <v>70000</v>
      </c>
      <c r="K63" s="82">
        <f>'Исходные данные'!$H$77</f>
        <v>70000</v>
      </c>
      <c r="L63" s="82">
        <f>'Исходные данные'!$H$77</f>
        <v>70000</v>
      </c>
      <c r="M63" s="82">
        <f>'Исходные данные'!$H$77</f>
        <v>70000</v>
      </c>
      <c r="N63" s="82">
        <f>'Исходные данные'!$H$77</f>
        <v>70000</v>
      </c>
      <c r="O63" s="83">
        <f>SUM(C63:N63)</f>
        <v>840000</v>
      </c>
      <c r="P63" s="83">
        <f>O63/12</f>
        <v>70000</v>
      </c>
      <c r="Q63" s="82">
        <f>'Исходные данные'!$H$77</f>
        <v>70000</v>
      </c>
      <c r="R63" s="82">
        <f>'Исходные данные'!$H$77</f>
        <v>70000</v>
      </c>
      <c r="S63" s="82">
        <f>'Исходные данные'!$H$77</f>
        <v>70000</v>
      </c>
      <c r="T63" s="82">
        <f>'Исходные данные'!$H$77</f>
        <v>70000</v>
      </c>
      <c r="U63" s="82">
        <f>'Исходные данные'!$H$77</f>
        <v>70000</v>
      </c>
      <c r="V63" s="82">
        <f>'Исходные данные'!$H$77</f>
        <v>70000</v>
      </c>
      <c r="W63" s="82">
        <f>'Исходные данные'!$H$77</f>
        <v>70000</v>
      </c>
      <c r="X63" s="82">
        <f>'Исходные данные'!$H$77</f>
        <v>70000</v>
      </c>
      <c r="Y63" s="82">
        <f>'Исходные данные'!$H$77</f>
        <v>70000</v>
      </c>
      <c r="Z63" s="82">
        <f>'Исходные данные'!$H$77</f>
        <v>70000</v>
      </c>
      <c r="AA63" s="82">
        <f>'Исходные данные'!$H$77</f>
        <v>70000</v>
      </c>
      <c r="AB63" s="82">
        <f>'Исходные данные'!$H$77</f>
        <v>70000</v>
      </c>
      <c r="AC63" s="83">
        <f>SUM(Q63:AB63)</f>
        <v>840000</v>
      </c>
      <c r="AD63" s="83">
        <f>AC63/12</f>
        <v>70000</v>
      </c>
      <c r="AE63" s="82">
        <f>'Исходные данные'!$H$77</f>
        <v>70000</v>
      </c>
      <c r="AF63" s="82">
        <f>'Исходные данные'!$H$77</f>
        <v>70000</v>
      </c>
      <c r="AG63" s="82">
        <f>'Исходные данные'!$H$77</f>
        <v>70000</v>
      </c>
      <c r="AH63" s="82">
        <f>'Исходные данные'!$H$77</f>
        <v>70000</v>
      </c>
      <c r="AI63" s="82">
        <f>'Исходные данные'!$H$77</f>
        <v>70000</v>
      </c>
      <c r="AJ63" s="82">
        <f>'Исходные данные'!$H$77</f>
        <v>70000</v>
      </c>
      <c r="AK63" s="82">
        <f>'Исходные данные'!$H$77</f>
        <v>70000</v>
      </c>
      <c r="AL63" s="82">
        <f>'Исходные данные'!$H$77</f>
        <v>70000</v>
      </c>
      <c r="AM63" s="82">
        <f>'Исходные данные'!$H$77</f>
        <v>70000</v>
      </c>
      <c r="AN63" s="82">
        <f>'Исходные данные'!$H$77</f>
        <v>70000</v>
      </c>
      <c r="AO63" s="82">
        <f>'Исходные данные'!$H$77</f>
        <v>70000</v>
      </c>
      <c r="AP63" s="82">
        <f>'Исходные данные'!$H$77</f>
        <v>70000</v>
      </c>
      <c r="AQ63" s="83">
        <f>SUM(AE63:AP63)</f>
        <v>840000</v>
      </c>
      <c r="AR63" s="83">
        <f>AQ63/12</f>
        <v>70000</v>
      </c>
      <c r="AS63" s="77">
        <f>O63+AC63+AQ63</f>
        <v>2520000</v>
      </c>
      <c r="AT63" s="78"/>
    </row>
    <row r="64" spans="1:46" s="79" customFormat="1" ht="11.25">
      <c r="A64" s="94" t="str">
        <f>'Обобщенный расчет'!B51</f>
        <v>Ведение бухгалтерского учета</v>
      </c>
      <c r="B64" s="74" t="str">
        <f>CHOOSE('Исходные данные'!$O$2,'Исходные данные'!$P$2,'Исходные данные'!$P$3,'Исходные данные'!$P$4,'Исходные данные'!$P$5)</f>
        <v>RUB</v>
      </c>
      <c r="C64" s="75">
        <f>'Исходные данные'!$H$78</f>
        <v>0</v>
      </c>
      <c r="D64" s="75">
        <f>'Исходные данные'!$H$78</f>
        <v>0</v>
      </c>
      <c r="E64" s="75">
        <f>'Исходные данные'!$H$78</f>
        <v>0</v>
      </c>
      <c r="F64" s="75">
        <f>'Исходные данные'!$H$78</f>
        <v>0</v>
      </c>
      <c r="G64" s="75">
        <f>'Исходные данные'!$H$78</f>
        <v>0</v>
      </c>
      <c r="H64" s="75">
        <f>'Исходные данные'!$H$78</f>
        <v>0</v>
      </c>
      <c r="I64" s="75">
        <f>'Исходные данные'!$H$78</f>
        <v>0</v>
      </c>
      <c r="J64" s="75">
        <f>'Исходные данные'!$H$78</f>
        <v>0</v>
      </c>
      <c r="K64" s="75">
        <f>'Исходные данные'!$H$78</f>
        <v>0</v>
      </c>
      <c r="L64" s="75">
        <f>'Исходные данные'!$H$78</f>
        <v>0</v>
      </c>
      <c r="M64" s="75">
        <f>'Исходные данные'!$H$78</f>
        <v>0</v>
      </c>
      <c r="N64" s="75">
        <f>'Исходные данные'!$H$78</f>
        <v>0</v>
      </c>
      <c r="O64" s="76">
        <f t="shared" ref="O64:O67" si="97">SUM(C64:N64)</f>
        <v>0</v>
      </c>
      <c r="P64" s="76">
        <f t="shared" ref="P64:P67" si="98">O64/12</f>
        <v>0</v>
      </c>
      <c r="Q64" s="75">
        <f>'Исходные данные'!$H$78</f>
        <v>0</v>
      </c>
      <c r="R64" s="75">
        <f>'Исходные данные'!$H$78</f>
        <v>0</v>
      </c>
      <c r="S64" s="75">
        <f>'Исходные данные'!$H$78</f>
        <v>0</v>
      </c>
      <c r="T64" s="75">
        <f>'Исходные данные'!$H$78</f>
        <v>0</v>
      </c>
      <c r="U64" s="75">
        <f>'Исходные данные'!$H$78</f>
        <v>0</v>
      </c>
      <c r="V64" s="75">
        <f>'Исходные данные'!$H$78</f>
        <v>0</v>
      </c>
      <c r="W64" s="75">
        <f>'Исходные данные'!$H$78</f>
        <v>0</v>
      </c>
      <c r="X64" s="75">
        <f>'Исходные данные'!$H$78</f>
        <v>0</v>
      </c>
      <c r="Y64" s="75">
        <f>'Исходные данные'!$H$78</f>
        <v>0</v>
      </c>
      <c r="Z64" s="75">
        <f>'Исходные данные'!$H$78</f>
        <v>0</v>
      </c>
      <c r="AA64" s="75">
        <f>'Исходные данные'!$H$78</f>
        <v>0</v>
      </c>
      <c r="AB64" s="75">
        <f>'Исходные данные'!$H$78</f>
        <v>0</v>
      </c>
      <c r="AC64" s="76">
        <f t="shared" ref="AC64:AC67" si="99">SUM(Q64:AB64)</f>
        <v>0</v>
      </c>
      <c r="AD64" s="76">
        <f t="shared" ref="AD64:AD67" si="100">AC64/12</f>
        <v>0</v>
      </c>
      <c r="AE64" s="75">
        <f>'Исходные данные'!$H$78</f>
        <v>0</v>
      </c>
      <c r="AF64" s="75">
        <f>'Исходные данные'!$H$78</f>
        <v>0</v>
      </c>
      <c r="AG64" s="75">
        <f>'Исходные данные'!$H$78</f>
        <v>0</v>
      </c>
      <c r="AH64" s="75">
        <f>'Исходные данные'!$H$78</f>
        <v>0</v>
      </c>
      <c r="AI64" s="75">
        <f>'Исходные данные'!$H$78</f>
        <v>0</v>
      </c>
      <c r="AJ64" s="75">
        <f>'Исходные данные'!$H$78</f>
        <v>0</v>
      </c>
      <c r="AK64" s="75">
        <f>'Исходные данные'!$H$78</f>
        <v>0</v>
      </c>
      <c r="AL64" s="75">
        <f>'Исходные данные'!$H$78</f>
        <v>0</v>
      </c>
      <c r="AM64" s="75">
        <f>'Исходные данные'!$H$78</f>
        <v>0</v>
      </c>
      <c r="AN64" s="75">
        <f>'Исходные данные'!$H$78</f>
        <v>0</v>
      </c>
      <c r="AO64" s="75">
        <f>'Исходные данные'!$H$78</f>
        <v>0</v>
      </c>
      <c r="AP64" s="75">
        <f>'Исходные данные'!$H$78</f>
        <v>0</v>
      </c>
      <c r="AQ64" s="76">
        <f t="shared" ref="AQ64:AQ67" si="101">SUM(AE64:AP64)</f>
        <v>0</v>
      </c>
      <c r="AR64" s="76">
        <f t="shared" ref="AR64:AR67" si="102">AQ64/12</f>
        <v>0</v>
      </c>
      <c r="AS64" s="77">
        <f t="shared" ref="AS64:AS67" si="103">O64+AC64+AQ64</f>
        <v>0</v>
      </c>
      <c r="AT64" s="78"/>
    </row>
    <row r="65" spans="1:46" s="79" customFormat="1" ht="11.25">
      <c r="A65" s="93" t="str">
        <f>'Обобщенный расчет'!B52</f>
        <v>Банковское обслуживание</v>
      </c>
      <c r="B65" s="81" t="str">
        <f>CHOOSE('Исходные данные'!$O$2,'Исходные данные'!$P$2,'Исходные данные'!$P$3,'Исходные данные'!$P$4,'Исходные данные'!$P$5)</f>
        <v>RUB</v>
      </c>
      <c r="C65" s="82">
        <f>C23*'Исходные данные'!$D$79*'Исходные данные'!$D$80</f>
        <v>0</v>
      </c>
      <c r="D65" s="82">
        <f>D23*'Исходные данные'!$D$79*'Исходные данные'!$D$80</f>
        <v>0</v>
      </c>
      <c r="E65" s="82">
        <f>E23*'Исходные данные'!$D$79*'Исходные данные'!$D$80</f>
        <v>0</v>
      </c>
      <c r="F65" s="82">
        <f>F23*'Исходные данные'!$D$79*'Исходные данные'!$D$80</f>
        <v>0</v>
      </c>
      <c r="G65" s="82">
        <f>G23*'Исходные данные'!$D$79*'Исходные данные'!$D$80</f>
        <v>0</v>
      </c>
      <c r="H65" s="82">
        <f>H23*'Исходные данные'!$D$79*'Исходные данные'!$D$80</f>
        <v>0</v>
      </c>
      <c r="I65" s="82">
        <f>I23*'Исходные данные'!$D$79*'Исходные данные'!$D$80</f>
        <v>0</v>
      </c>
      <c r="J65" s="82">
        <f>J23*'Исходные данные'!$D$79*'Исходные данные'!$D$80</f>
        <v>0</v>
      </c>
      <c r="K65" s="82">
        <f>K23*'Исходные данные'!$D$79*'Исходные данные'!$D$80</f>
        <v>0</v>
      </c>
      <c r="L65" s="82">
        <f>L23*'Исходные данные'!$D$79*'Исходные данные'!$D$80</f>
        <v>0</v>
      </c>
      <c r="M65" s="82">
        <f>M23*'Исходные данные'!$D$79*'Исходные данные'!$D$80</f>
        <v>0</v>
      </c>
      <c r="N65" s="82">
        <f>N23*'Исходные данные'!$D$79*'Исходные данные'!$D$80</f>
        <v>0</v>
      </c>
      <c r="O65" s="83">
        <f>SUM(C65:N65)</f>
        <v>0</v>
      </c>
      <c r="P65" s="83">
        <f t="shared" si="98"/>
        <v>0</v>
      </c>
      <c r="Q65" s="82">
        <f>Q23*'Исходные данные'!$D$79*'Исходные данные'!$D$80</f>
        <v>0</v>
      </c>
      <c r="R65" s="82">
        <f>R23*'Исходные данные'!$D$79*'Исходные данные'!$D$80</f>
        <v>0</v>
      </c>
      <c r="S65" s="82">
        <f>S23*'Исходные данные'!$D$79*'Исходные данные'!$D$80</f>
        <v>0</v>
      </c>
      <c r="T65" s="82">
        <f>T23*'Исходные данные'!$D$79*'Исходные данные'!$D$80</f>
        <v>0</v>
      </c>
      <c r="U65" s="82">
        <f>U23*'Исходные данные'!$D$79*'Исходные данные'!$D$80</f>
        <v>0</v>
      </c>
      <c r="V65" s="82">
        <f>V23*'Исходные данные'!$D$79*'Исходные данные'!$D$80</f>
        <v>0</v>
      </c>
      <c r="W65" s="82">
        <f>W23*'Исходные данные'!$D$79*'Исходные данные'!$D$80</f>
        <v>0</v>
      </c>
      <c r="X65" s="82">
        <f>X23*'Исходные данные'!$D$79*'Исходные данные'!$D$80</f>
        <v>0</v>
      </c>
      <c r="Y65" s="82">
        <f>Y23*'Исходные данные'!$D$79*'Исходные данные'!$D$80</f>
        <v>0</v>
      </c>
      <c r="Z65" s="82">
        <f>Z23*'Исходные данные'!$D$79*'Исходные данные'!$D$80</f>
        <v>0</v>
      </c>
      <c r="AA65" s="82">
        <f>AA23*'Исходные данные'!$D$79*'Исходные данные'!$D$80</f>
        <v>0</v>
      </c>
      <c r="AB65" s="82">
        <f>AB23*'Исходные данные'!$D$79*'Исходные данные'!$D$80</f>
        <v>0</v>
      </c>
      <c r="AC65" s="83">
        <f t="shared" si="99"/>
        <v>0</v>
      </c>
      <c r="AD65" s="83">
        <f t="shared" si="100"/>
        <v>0</v>
      </c>
      <c r="AE65" s="82">
        <f>AE23*'Исходные данные'!$D$79*'Исходные данные'!$D$80</f>
        <v>0</v>
      </c>
      <c r="AF65" s="82">
        <f>AF23*'Исходные данные'!$D$79*'Исходные данные'!$D$80</f>
        <v>0</v>
      </c>
      <c r="AG65" s="82">
        <f>AG23*'Исходные данные'!$D$79*'Исходные данные'!$D$80</f>
        <v>0</v>
      </c>
      <c r="AH65" s="82">
        <f>AH23*'Исходные данные'!$D$79*'Исходные данные'!$D$80</f>
        <v>0</v>
      </c>
      <c r="AI65" s="82">
        <f>AI23*'Исходные данные'!$D$79*'Исходные данные'!$D$80</f>
        <v>0</v>
      </c>
      <c r="AJ65" s="82">
        <f>AJ23*'Исходные данные'!$D$79*'Исходные данные'!$D$80</f>
        <v>0</v>
      </c>
      <c r="AK65" s="82">
        <f>AK23*'Исходные данные'!$D$79*'Исходные данные'!$D$80</f>
        <v>0</v>
      </c>
      <c r="AL65" s="82">
        <f>AL23*'Исходные данные'!$D$79*'Исходные данные'!$D$80</f>
        <v>0</v>
      </c>
      <c r="AM65" s="82">
        <f>AM23*'Исходные данные'!$D$79*'Исходные данные'!$D$80</f>
        <v>0</v>
      </c>
      <c r="AN65" s="82">
        <f>AN23*'Исходные данные'!$D$79*'Исходные данные'!$D$80</f>
        <v>0</v>
      </c>
      <c r="AO65" s="82">
        <f>AO23*'Исходные данные'!$D$79*'Исходные данные'!$D$80</f>
        <v>0</v>
      </c>
      <c r="AP65" s="82">
        <f>AP23*'Исходные данные'!$D$79*'Исходные данные'!$D$80</f>
        <v>0</v>
      </c>
      <c r="AQ65" s="83">
        <f t="shared" si="101"/>
        <v>0</v>
      </c>
      <c r="AR65" s="83">
        <f t="shared" si="102"/>
        <v>0</v>
      </c>
      <c r="AS65" s="77">
        <f t="shared" si="103"/>
        <v>0</v>
      </c>
      <c r="AT65" s="78"/>
    </row>
    <row r="66" spans="1:46" s="79" customFormat="1" ht="11.25">
      <c r="A66" s="94" t="str">
        <f>'Обобщенный расчет'!B53</f>
        <v>Налоги на зарплату</v>
      </c>
      <c r="B66" s="74" t="str">
        <f>CHOOSE('Исходные данные'!$O$2,'Исходные данные'!$P$2,'Исходные данные'!$P$3,'Исходные данные'!$P$4,'Исходные данные'!$P$5)</f>
        <v>RUB</v>
      </c>
      <c r="C66" s="75">
        <f>(C8*('Обобщенный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D66" s="75">
        <f>(D8*('Обобщенный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E66" s="75">
        <f>(E8*('Обобщенный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F66" s="75">
        <f>(F8*('Обобщенный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G66" s="75">
        <f>(G8*('Обобщенный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H66" s="75">
        <f>(H8*('Обобщенный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I66" s="75">
        <f>(I8*('Обобщенный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J66" s="75">
        <f>(J8*('Обобщенный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K66" s="75">
        <f>(K8*('Обобщенный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L66" s="75">
        <f>(L8*('Обобщенный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M66" s="75">
        <f>(M8*('Обобщенный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N66" s="75">
        <f>(N8*('Обобщенный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O66" s="76">
        <f t="shared" ref="O66" si="104">SUM(C66:N66)</f>
        <v>544838.40000000002</v>
      </c>
      <c r="P66" s="76">
        <f t="shared" ref="P66" si="105">O66/12</f>
        <v>45403.200000000004</v>
      </c>
      <c r="Q66" s="75">
        <f>(Q8*('Обобщенный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R66" s="75">
        <f>(R8*('Обобщенный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S66" s="75">
        <f>(S8*('Обобщенный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T66" s="75">
        <f>(T8*('Обобщенный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U66" s="75">
        <f>(U8*('Обобщенный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V66" s="75">
        <f>(V8*('Обобщенный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W66" s="75">
        <f>(W8*('Обобщенный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X66" s="75">
        <f>(X8*('Обобщенный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Y66" s="75">
        <f>(Y8*('Обобщенный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Z66" s="75">
        <f>(Z8*('Обобщенный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A66" s="75">
        <f>(AA8*('Обобщенный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B66" s="75">
        <f>(AB8*('Обобщенный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C66" s="76">
        <f t="shared" ref="AC66" si="106">SUM(Q66:AB66)</f>
        <v>544838.40000000002</v>
      </c>
      <c r="AD66" s="76">
        <f t="shared" ref="AD66" si="107">AC66/12</f>
        <v>45403.200000000004</v>
      </c>
      <c r="AE66" s="75">
        <f>(AE8*('Обобщенный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F66" s="75">
        <f>(AF8*('Обобщенный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G66" s="75">
        <f>(AG8*('Обобщенный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H66" s="75">
        <f>(AH8*('Обобщенный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I66" s="75">
        <f>(AI8*('Обобщенный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J66" s="75">
        <f>(AJ8*('Обобщенный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K66" s="75">
        <f>(AK8*('Обобщенный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L66" s="75">
        <f>(AL8*('Обобщенный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M66" s="75">
        <f>(AM8*('Обобщенный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N66" s="75">
        <f>(AN8*('Обобщенный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O66" s="75">
        <f>(AO8*('Обобщенный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P66" s="75">
        <f>(AP8*('Обобщенный расчет'!$E$31*'Обобщенный расчет'!$F$31*'Обобщенный расчет'!$G$31+'Обобщенный расчет'!$E$32*'Обобщенный расчет'!$F$32*'Обобщенный расчет'!$G$32+'Обобщенный расчет'!$E$33*'Обобщенный расчет'!$F$33*'Обобщенный расчет'!$G$33+'Обобщенный расчет'!$E$34*'Обобщенный расчет'!$F$34*'Обобщенный расчет'!$G$34+'Обобщенный расчет'!$E$35*'Обобщенный расчет'!$F$35*'Обобщенный расчет'!$G$35))*'Исходные данные'!$D$81</f>
        <v>45403.199999999997</v>
      </c>
      <c r="AQ66" s="76">
        <f t="shared" ref="AQ66" si="108">SUM(AE66:AP66)</f>
        <v>544838.40000000002</v>
      </c>
      <c r="AR66" s="76">
        <f t="shared" ref="AR66" si="109">AQ66/12</f>
        <v>45403.200000000004</v>
      </c>
      <c r="AS66" s="77">
        <f t="shared" ref="AS66" si="110">O66+AC66+AQ66</f>
        <v>1634515.2000000002</v>
      </c>
      <c r="AT66" s="78"/>
    </row>
    <row r="67" spans="1:46" s="79" customFormat="1" ht="11.25">
      <c r="A67" s="93" t="str">
        <f>'Обобщенный расчет'!B54</f>
        <v>Налоги</v>
      </c>
      <c r="B67" s="81" t="str">
        <f>CHOOSE('Исходные данные'!$O$2,'Исходные данные'!$P$2,'Исходные данные'!$P$3,'Исходные данные'!$P$4,'Исходные данные'!$P$5)</f>
        <v>RUB</v>
      </c>
      <c r="C67" s="82">
        <f>C12*CHOOSE('Обобщенный расчет'!$N$1,'Исходные данные'!$D$82*C23,IF(C51&gt;0,'Исходные данные'!$D$83*C51,0),'Исходные данные'!$H$86,'Исходные данные'!$D$84*'Исходные данные'!$D$85)</f>
        <v>82594.080000000002</v>
      </c>
      <c r="D67" s="82">
        <f>D12*CHOOSE('Обобщенный расчет'!$N$1,'Исходные данные'!$D$82*D23,IF(D51&gt;0,'Исходные данные'!$D$83*D51,0),'Исходные данные'!$H$86,'Исходные данные'!$D$84*'Исходные данные'!$D$85)</f>
        <v>96359.76</v>
      </c>
      <c r="E67" s="82">
        <f>E12*CHOOSE('Обобщенный расчет'!$N$1,'Исходные данные'!$D$82*E23,IF(E51&gt;0,'Исходные данные'!$D$83*E51,0),'Исходные данные'!$H$86,'Исходные данные'!$D$84*'Исходные данные'!$D$85)</f>
        <v>110125.44</v>
      </c>
      <c r="F67" s="82">
        <f>F12*CHOOSE('Обобщенный расчет'!$N$1,'Исходные данные'!$D$82*F23,IF(F51&gt;0,'Исходные данные'!$D$83*F51,0),'Исходные данные'!$H$86,'Исходные данные'!$D$84*'Исходные данные'!$D$85)</f>
        <v>123891.12</v>
      </c>
      <c r="G67" s="82">
        <f>G12*CHOOSE('Обобщенный расчет'!$N$1,'Исходные данные'!$D$82*G23,IF(G51&gt;0,'Исходные данные'!$D$83*G51,0),'Исходные данные'!$H$86,'Исходные данные'!$D$84*'Исходные данные'!$D$85)</f>
        <v>137656.79999999999</v>
      </c>
      <c r="H67" s="82">
        <f>H12*CHOOSE('Обобщенный расчет'!$N$1,'Исходные данные'!$D$82*H23,IF(H51&gt;0,'Исходные данные'!$D$83*H51,0),'Исходные данные'!$H$86,'Исходные данные'!$D$84*'Исходные данные'!$D$85)</f>
        <v>137656.79999999999</v>
      </c>
      <c r="I67" s="82">
        <f>I12*CHOOSE('Обобщенный расчет'!$N$1,'Исходные данные'!$D$82*I23,IF(I51&gt;0,'Исходные данные'!$D$83*I51,0),'Исходные данные'!$H$86,'Исходные данные'!$D$84*'Исходные данные'!$D$85)</f>
        <v>137656.79999999999</v>
      </c>
      <c r="J67" s="82">
        <f>J12*CHOOSE('Обобщенный расчет'!$N$1,'Исходные данные'!$D$82*J23,IF(J51&gt;0,'Исходные данные'!$D$83*J51,0),'Исходные данные'!$H$86,'Исходные данные'!$D$84*'Исходные данные'!$D$85)</f>
        <v>137656.79999999999</v>
      </c>
      <c r="K67" s="82">
        <f>K12*CHOOSE('Обобщенный расчет'!$N$1,'Исходные данные'!$D$82*K23,IF(K51&gt;0,'Исходные данные'!$D$83*K51,0),'Исходные данные'!$H$86,'Исходные данные'!$D$84*'Исходные данные'!$D$85)</f>
        <v>137656.79999999999</v>
      </c>
      <c r="L67" s="82">
        <f>L12*CHOOSE('Обобщенный расчет'!$N$1,'Исходные данные'!$D$82*L23,IF(L51&gt;0,'Исходные данные'!$D$83*L51,0),'Исходные данные'!$H$86,'Исходные данные'!$D$84*'Исходные данные'!$D$85)</f>
        <v>137656.79999999999</v>
      </c>
      <c r="M67" s="82">
        <f>M12*CHOOSE('Обобщенный расчет'!$N$1,'Исходные данные'!$D$82*M23,IF(M51&gt;0,'Исходные данные'!$D$83*M51,0),'Исходные данные'!$H$86,'Исходные данные'!$D$84*'Исходные данные'!$D$85)</f>
        <v>137656.79999999999</v>
      </c>
      <c r="N67" s="82">
        <f>N12*CHOOSE('Обобщенный расчет'!$N$1,'Исходные данные'!$D$82*N23,IF(N51&gt;0,'Исходные данные'!$D$83*N51,0),'Исходные данные'!$H$86,'Исходные данные'!$D$84*'Исходные данные'!$D$85)</f>
        <v>137656.79999999999</v>
      </c>
      <c r="O67" s="83">
        <f t="shared" si="97"/>
        <v>1514224.8000000003</v>
      </c>
      <c r="P67" s="83">
        <f t="shared" si="98"/>
        <v>126185.40000000002</v>
      </c>
      <c r="Q67" s="82">
        <f>Q12*CHOOSE('Обобщенный расчет'!$N$1,'Исходные данные'!$D$82*Q23,IF(Q51&gt;0,'Исходные данные'!$D$83*Q51,0),'Исходные данные'!$H$86,'Исходные данные'!$D$84*'Исходные данные'!$D$85)</f>
        <v>165188.16</v>
      </c>
      <c r="R67" s="82">
        <f>R12*CHOOSE('Обобщенный расчет'!$N$1,'Исходные данные'!$D$82*R23,IF(R51&gt;0,'Исходные данные'!$D$83*R51,0),'Исходные данные'!$H$86,'Исходные данные'!$D$84*'Исходные данные'!$D$85)</f>
        <v>165188.16</v>
      </c>
      <c r="S67" s="82">
        <f>S12*CHOOSE('Обобщенный расчет'!$N$1,'Исходные данные'!$D$82*S23,IF(S51&gt;0,'Исходные данные'!$D$83*S51,0),'Исходные данные'!$H$86,'Исходные данные'!$D$84*'Исходные данные'!$D$85)</f>
        <v>165188.16</v>
      </c>
      <c r="T67" s="82">
        <f>T12*CHOOSE('Обобщенный расчет'!$N$1,'Исходные данные'!$D$82*T23,IF(T51&gt;0,'Исходные данные'!$D$83*T51,0),'Исходные данные'!$H$86,'Исходные данные'!$D$84*'Исходные данные'!$D$85)</f>
        <v>165188.16</v>
      </c>
      <c r="U67" s="82">
        <f>U12*CHOOSE('Обобщенный расчет'!$N$1,'Исходные данные'!$D$82*U23,IF(U51&gt;0,'Исходные данные'!$D$83*U51,0),'Исходные данные'!$H$86,'Исходные данные'!$D$84*'Исходные данные'!$D$85)</f>
        <v>165188.16</v>
      </c>
      <c r="V67" s="82">
        <f>V12*CHOOSE('Обобщенный расчет'!$N$1,'Исходные данные'!$D$82*V23,IF(V51&gt;0,'Исходные данные'!$D$83*V51,0),'Исходные данные'!$H$86,'Исходные данные'!$D$84*'Исходные данные'!$D$85)</f>
        <v>165188.16</v>
      </c>
      <c r="W67" s="82">
        <f>W12*CHOOSE('Обобщенный расчет'!$N$1,'Исходные данные'!$D$82*W23,IF(W51&gt;0,'Исходные данные'!$D$83*W51,0),'Исходные данные'!$H$86,'Исходные данные'!$D$84*'Исходные данные'!$D$85)</f>
        <v>165188.16</v>
      </c>
      <c r="X67" s="82">
        <f>X12*CHOOSE('Обобщенный расчет'!$N$1,'Исходные данные'!$D$82*X23,IF(X51&gt;0,'Исходные данные'!$D$83*X51,0),'Исходные данные'!$H$86,'Исходные данные'!$D$84*'Исходные данные'!$D$85)</f>
        <v>165188.16</v>
      </c>
      <c r="Y67" s="82">
        <f>Y12*CHOOSE('Обобщенный расчет'!$N$1,'Исходные данные'!$D$82*Y23,IF(Y51&gt;0,'Исходные данные'!$D$83*Y51,0),'Исходные данные'!$H$86,'Исходные данные'!$D$84*'Исходные данные'!$D$85)</f>
        <v>165188.16</v>
      </c>
      <c r="Z67" s="82">
        <f>Z12*CHOOSE('Обобщенный расчет'!$N$1,'Исходные данные'!$D$82*Z23,IF(Z51&gt;0,'Исходные данные'!$D$83*Z51,0),'Исходные данные'!$H$86,'Исходные данные'!$D$84*'Исходные данные'!$D$85)</f>
        <v>165188.16</v>
      </c>
      <c r="AA67" s="82">
        <f>AA12*CHOOSE('Обобщенный расчет'!$N$1,'Исходные данные'!$D$82*AA23,IF(AA51&gt;0,'Исходные данные'!$D$83*AA51,0),'Исходные данные'!$H$86,'Исходные данные'!$D$84*'Исходные данные'!$D$85)</f>
        <v>165188.16</v>
      </c>
      <c r="AB67" s="82">
        <f>AB12*CHOOSE('Обобщенный расчет'!$N$1,'Исходные данные'!$D$82*AB23,IF(AB51&gt;0,'Исходные данные'!$D$83*AB51,0),'Исходные данные'!$H$86,'Исходные данные'!$D$84*'Исходные данные'!$D$85)</f>
        <v>165188.16</v>
      </c>
      <c r="AC67" s="83">
        <f t="shared" si="99"/>
        <v>1982257.9199999997</v>
      </c>
      <c r="AD67" s="83">
        <f t="shared" si="100"/>
        <v>165188.15999999997</v>
      </c>
      <c r="AE67" s="82">
        <f>AE12*CHOOSE('Обобщенный расчет'!$N$1,'Исходные данные'!$D$82*AE23,IF(AE51&gt;0,'Исходные данные'!$D$83*AE51,0),'Исходные данные'!$H$86,'Исходные данные'!$D$84*'Исходные данные'!$D$85)</f>
        <v>192719.52</v>
      </c>
      <c r="AF67" s="82">
        <f>AF12*CHOOSE('Обобщенный расчет'!$N$1,'Исходные данные'!$D$82*AF23,IF(AF51&gt;0,'Исходные данные'!$D$83*AF51,0),'Исходные данные'!$H$86,'Исходные данные'!$D$84*'Исходные данные'!$D$85)</f>
        <v>192719.52</v>
      </c>
      <c r="AG67" s="82">
        <f>AG12*CHOOSE('Обобщенный расчет'!$N$1,'Исходные данные'!$D$82*AG23,IF(AG51&gt;0,'Исходные данные'!$D$83*AG51,0),'Исходные данные'!$H$86,'Исходные данные'!$D$84*'Исходные данные'!$D$85)</f>
        <v>192719.52</v>
      </c>
      <c r="AH67" s="82">
        <f>AH12*CHOOSE('Обобщенный расчет'!$N$1,'Исходные данные'!$D$82*AH23,IF(AH51&gt;0,'Исходные данные'!$D$83*AH51,0),'Исходные данные'!$H$86,'Исходные данные'!$D$84*'Исходные данные'!$D$85)</f>
        <v>192719.52</v>
      </c>
      <c r="AI67" s="82">
        <f>AI12*CHOOSE('Обобщенный расчет'!$N$1,'Исходные данные'!$D$82*AI23,IF(AI51&gt;0,'Исходные данные'!$D$83*AI51,0),'Исходные данные'!$H$86,'Исходные данные'!$D$84*'Исходные данные'!$D$85)</f>
        <v>192719.52</v>
      </c>
      <c r="AJ67" s="82">
        <f>AJ12*CHOOSE('Обобщенный расчет'!$N$1,'Исходные данные'!$D$82*AJ23,IF(AJ51&gt;0,'Исходные данные'!$D$83*AJ51,0),'Исходные данные'!$H$86,'Исходные данные'!$D$84*'Исходные данные'!$D$85)</f>
        <v>192719.52</v>
      </c>
      <c r="AK67" s="82">
        <f>AK12*CHOOSE('Обобщенный расчет'!$N$1,'Исходные данные'!$D$82*AK23,IF(AK51&gt;0,'Исходные данные'!$D$83*AK51,0),'Исходные данные'!$H$86,'Исходные данные'!$D$84*'Исходные данные'!$D$85)</f>
        <v>192719.52</v>
      </c>
      <c r="AL67" s="82">
        <f>AL12*CHOOSE('Обобщенный расчет'!$N$1,'Исходные данные'!$D$82*AL23,IF(AL51&gt;0,'Исходные данные'!$D$83*AL51,0),'Исходные данные'!$H$86,'Исходные данные'!$D$84*'Исходные данные'!$D$85)</f>
        <v>192719.52</v>
      </c>
      <c r="AM67" s="82">
        <f>AM12*CHOOSE('Обобщенный расчет'!$N$1,'Исходные данные'!$D$82*AM23,IF(AM51&gt;0,'Исходные данные'!$D$83*AM51,0),'Исходные данные'!$H$86,'Исходные данные'!$D$84*'Исходные данные'!$D$85)</f>
        <v>192719.52</v>
      </c>
      <c r="AN67" s="82">
        <f>AN12*CHOOSE('Обобщенный расчет'!$N$1,'Исходные данные'!$D$82*AN23,IF(AN51&gt;0,'Исходные данные'!$D$83*AN51,0),'Исходные данные'!$H$86,'Исходные данные'!$D$84*'Исходные данные'!$D$85)</f>
        <v>192719.52</v>
      </c>
      <c r="AO67" s="82">
        <f>AO12*CHOOSE('Обобщенный расчет'!$N$1,'Исходные данные'!$D$82*AO23,IF(AO51&gt;0,'Исходные данные'!$D$83*AO51,0),'Исходные данные'!$H$86,'Исходные данные'!$D$84*'Исходные данные'!$D$85)</f>
        <v>192719.52</v>
      </c>
      <c r="AP67" s="82">
        <f>AP12*CHOOSE('Обобщенный расчет'!$N$1,'Исходные данные'!$D$82*AP23,IF(AP51&gt;0,'Исходные данные'!$D$83*AP51,0),'Исходные данные'!$H$86,'Исходные данные'!$D$84*'Исходные данные'!$D$85)</f>
        <v>192719.52</v>
      </c>
      <c r="AQ67" s="83">
        <f t="shared" si="101"/>
        <v>2312634.2399999998</v>
      </c>
      <c r="AR67" s="83">
        <f t="shared" si="102"/>
        <v>192719.52</v>
      </c>
      <c r="AS67" s="77">
        <f t="shared" si="103"/>
        <v>5809116.959999999</v>
      </c>
      <c r="AT67" s="78"/>
    </row>
    <row r="68" spans="1:46" s="79" customFormat="1" ht="11.25">
      <c r="A68" s="94" t="str">
        <f>'Обобщенный расчет'!B55</f>
        <v>Реклама</v>
      </c>
      <c r="B68" s="74" t="str">
        <f>CHOOSE('Исходные данные'!$O$2,'Исходные данные'!$P$2,'Исходные данные'!$P$3,'Исходные данные'!$P$4,'Исходные данные'!$P$5)</f>
        <v>RUB</v>
      </c>
      <c r="C68" s="75">
        <f>'Исходные данные'!$H$87</f>
        <v>50000</v>
      </c>
      <c r="D68" s="75">
        <f>'Исходные данные'!$H$87</f>
        <v>50000</v>
      </c>
      <c r="E68" s="75">
        <f>'Исходные данные'!$H$87</f>
        <v>50000</v>
      </c>
      <c r="F68" s="75">
        <f>'Исходные данные'!$H$87</f>
        <v>50000</v>
      </c>
      <c r="G68" s="75">
        <f>'Исходные данные'!$H$87</f>
        <v>50000</v>
      </c>
      <c r="H68" s="75">
        <f>'Исходные данные'!$H$87</f>
        <v>50000</v>
      </c>
      <c r="I68" s="75">
        <f>'Исходные данные'!$H$87</f>
        <v>50000</v>
      </c>
      <c r="J68" s="75">
        <f>'Исходные данные'!$H$87</f>
        <v>50000</v>
      </c>
      <c r="K68" s="75">
        <f>'Исходные данные'!$H$87</f>
        <v>50000</v>
      </c>
      <c r="L68" s="75">
        <f>'Исходные данные'!$H$87</f>
        <v>50000</v>
      </c>
      <c r="M68" s="75">
        <f>'Исходные данные'!$H$87</f>
        <v>50000</v>
      </c>
      <c r="N68" s="75">
        <f>'Исходные данные'!$H$87</f>
        <v>50000</v>
      </c>
      <c r="O68" s="76">
        <f>SUM(C68:N68)</f>
        <v>600000</v>
      </c>
      <c r="P68" s="76">
        <f>O68/12</f>
        <v>50000</v>
      </c>
      <c r="Q68" s="75">
        <f>'Исходные данные'!$H$87</f>
        <v>50000</v>
      </c>
      <c r="R68" s="75">
        <f>'Исходные данные'!$H$87</f>
        <v>50000</v>
      </c>
      <c r="S68" s="75">
        <f>'Исходные данные'!$H$87</f>
        <v>50000</v>
      </c>
      <c r="T68" s="75">
        <f>'Исходные данные'!$H$87</f>
        <v>50000</v>
      </c>
      <c r="U68" s="75">
        <f>'Исходные данные'!$H$87</f>
        <v>50000</v>
      </c>
      <c r="V68" s="75">
        <f>'Исходные данные'!$H$87</f>
        <v>50000</v>
      </c>
      <c r="W68" s="75">
        <f>'Исходные данные'!$H$87</f>
        <v>50000</v>
      </c>
      <c r="X68" s="75">
        <f>'Исходные данные'!$H$87</f>
        <v>50000</v>
      </c>
      <c r="Y68" s="75">
        <f>'Исходные данные'!$H$87</f>
        <v>50000</v>
      </c>
      <c r="Z68" s="75">
        <f>'Исходные данные'!$H$87</f>
        <v>50000</v>
      </c>
      <c r="AA68" s="75">
        <f>'Исходные данные'!$H$87</f>
        <v>50000</v>
      </c>
      <c r="AB68" s="75">
        <f>'Исходные данные'!$H$87</f>
        <v>50000</v>
      </c>
      <c r="AC68" s="76">
        <f>SUM(Q68:AB68)</f>
        <v>600000</v>
      </c>
      <c r="AD68" s="76">
        <f>AC68/12</f>
        <v>50000</v>
      </c>
      <c r="AE68" s="75">
        <f>'Исходные данные'!$H$87</f>
        <v>50000</v>
      </c>
      <c r="AF68" s="75">
        <f>'Исходные данные'!$H$87</f>
        <v>50000</v>
      </c>
      <c r="AG68" s="75">
        <f>'Исходные данные'!$H$87</f>
        <v>50000</v>
      </c>
      <c r="AH68" s="75">
        <f>'Исходные данные'!$H$87</f>
        <v>50000</v>
      </c>
      <c r="AI68" s="75">
        <f>'Исходные данные'!$H$87</f>
        <v>50000</v>
      </c>
      <c r="AJ68" s="75">
        <f>'Исходные данные'!$H$87</f>
        <v>50000</v>
      </c>
      <c r="AK68" s="75">
        <f>'Исходные данные'!$H$87</f>
        <v>50000</v>
      </c>
      <c r="AL68" s="75">
        <f>'Исходные данные'!$H$87</f>
        <v>50000</v>
      </c>
      <c r="AM68" s="75">
        <f>'Исходные данные'!$H$87</f>
        <v>50000</v>
      </c>
      <c r="AN68" s="75">
        <f>'Исходные данные'!$H$87</f>
        <v>50000</v>
      </c>
      <c r="AO68" s="75">
        <f>'Исходные данные'!$H$87</f>
        <v>50000</v>
      </c>
      <c r="AP68" s="75">
        <f>'Исходные данные'!$H$87</f>
        <v>50000</v>
      </c>
      <c r="AQ68" s="76">
        <f>SUM(AE68:AP68)</f>
        <v>600000</v>
      </c>
      <c r="AR68" s="76">
        <f>AQ68/12</f>
        <v>50000</v>
      </c>
      <c r="AS68" s="77">
        <f>O68+AC68+AQ68</f>
        <v>1800000</v>
      </c>
      <c r="AT68" s="78"/>
    </row>
    <row r="69" spans="1:46" s="79" customFormat="1" ht="11.25">
      <c r="A69" s="93" t="str">
        <f>'Обобщенный расчет'!B56</f>
        <v>Прочее</v>
      </c>
      <c r="B69" s="81" t="str">
        <f>CHOOSE('Исходные данные'!$O$2,'Исходные данные'!$P$2,'Исходные данные'!$P$3,'Исходные данные'!$P$4,'Исходные данные'!$P$5)</f>
        <v>RUB</v>
      </c>
      <c r="C69" s="82">
        <f>'Исходные данные'!$H$88</f>
        <v>0</v>
      </c>
      <c r="D69" s="82">
        <f>'Исходные данные'!$H$88</f>
        <v>0</v>
      </c>
      <c r="E69" s="82">
        <f>'Исходные данные'!$H$88</f>
        <v>0</v>
      </c>
      <c r="F69" s="82">
        <f>'Исходные данные'!$H$88</f>
        <v>0</v>
      </c>
      <c r="G69" s="82">
        <f>'Исходные данные'!$H$88</f>
        <v>0</v>
      </c>
      <c r="H69" s="82">
        <f>'Исходные данные'!$H$88</f>
        <v>0</v>
      </c>
      <c r="I69" s="82">
        <f>'Исходные данные'!$H$88</f>
        <v>0</v>
      </c>
      <c r="J69" s="82">
        <f>'Исходные данные'!$H$88</f>
        <v>0</v>
      </c>
      <c r="K69" s="82">
        <f>'Исходные данные'!$H$88</f>
        <v>0</v>
      </c>
      <c r="L69" s="82">
        <f>'Исходные данные'!$H$88</f>
        <v>0</v>
      </c>
      <c r="M69" s="82">
        <f>'Исходные данные'!$H$88</f>
        <v>0</v>
      </c>
      <c r="N69" s="82">
        <f>'Исходные данные'!$H$88</f>
        <v>0</v>
      </c>
      <c r="O69" s="83">
        <f>SUM(C69:N69)</f>
        <v>0</v>
      </c>
      <c r="P69" s="83">
        <f>O69/12</f>
        <v>0</v>
      </c>
      <c r="Q69" s="82">
        <f>'Исходные данные'!$H$88</f>
        <v>0</v>
      </c>
      <c r="R69" s="82">
        <f>'Исходные данные'!$H$88</f>
        <v>0</v>
      </c>
      <c r="S69" s="82">
        <f>'Исходные данные'!$H$88</f>
        <v>0</v>
      </c>
      <c r="T69" s="82">
        <f>'Исходные данные'!$H$88</f>
        <v>0</v>
      </c>
      <c r="U69" s="82">
        <f>'Исходные данные'!$H$88</f>
        <v>0</v>
      </c>
      <c r="V69" s="82">
        <f>'Исходные данные'!$H$88</f>
        <v>0</v>
      </c>
      <c r="W69" s="82">
        <f>'Исходные данные'!$H$88</f>
        <v>0</v>
      </c>
      <c r="X69" s="82">
        <f>'Исходные данные'!$H$88</f>
        <v>0</v>
      </c>
      <c r="Y69" s="82">
        <f>'Исходные данные'!$H$88</f>
        <v>0</v>
      </c>
      <c r="Z69" s="82">
        <f>'Исходные данные'!$H$88</f>
        <v>0</v>
      </c>
      <c r="AA69" s="82">
        <f>'Исходные данные'!$H$88</f>
        <v>0</v>
      </c>
      <c r="AB69" s="82">
        <f>'Исходные данные'!$H$88</f>
        <v>0</v>
      </c>
      <c r="AC69" s="83">
        <f>SUM(Q69:AB69)</f>
        <v>0</v>
      </c>
      <c r="AD69" s="83">
        <f>AC69/12</f>
        <v>0</v>
      </c>
      <c r="AE69" s="82">
        <f>'Исходные данные'!$H$88</f>
        <v>0</v>
      </c>
      <c r="AF69" s="82">
        <f>'Исходные данные'!$H$88</f>
        <v>0</v>
      </c>
      <c r="AG69" s="82">
        <f>'Исходные данные'!$H$88</f>
        <v>0</v>
      </c>
      <c r="AH69" s="82">
        <f>'Исходные данные'!$H$88</f>
        <v>0</v>
      </c>
      <c r="AI69" s="82">
        <f>'Исходные данные'!$H$88</f>
        <v>0</v>
      </c>
      <c r="AJ69" s="82">
        <f>'Исходные данные'!$H$88</f>
        <v>0</v>
      </c>
      <c r="AK69" s="82">
        <f>'Исходные данные'!$H$88</f>
        <v>0</v>
      </c>
      <c r="AL69" s="82">
        <f>'Исходные данные'!$H$88</f>
        <v>0</v>
      </c>
      <c r="AM69" s="82">
        <f>'Исходные данные'!$H$88</f>
        <v>0</v>
      </c>
      <c r="AN69" s="82">
        <f>'Исходные данные'!$H$88</f>
        <v>0</v>
      </c>
      <c r="AO69" s="82">
        <f>'Исходные данные'!$H$88</f>
        <v>0</v>
      </c>
      <c r="AP69" s="82">
        <f>'Исходные данные'!$H$88</f>
        <v>0</v>
      </c>
      <c r="AQ69" s="83">
        <f>SUM(AE69:AP69)</f>
        <v>0</v>
      </c>
      <c r="AR69" s="83">
        <f>AQ69/12</f>
        <v>0</v>
      </c>
      <c r="AS69" s="77">
        <f>O69+AC69+AQ69</f>
        <v>0</v>
      </c>
      <c r="AT69" s="78"/>
    </row>
    <row r="70" spans="1:46" s="8" customFormat="1" ht="11.25">
      <c r="A70" s="105" t="s">
        <v>9</v>
      </c>
      <c r="B70" s="106" t="str">
        <f>CHOOSE('Исходные данные'!$O$2,'Исходные данные'!$P$2,'Исходные данные'!$P$3,'Исходные данные'!$P$4,'Исходные данные'!$P$5)</f>
        <v>RUB</v>
      </c>
      <c r="C70" s="107">
        <f t="shared" ref="C70:AS70" si="111">SUM(C53:C69)</f>
        <v>527025.68000000005</v>
      </c>
      <c r="D70" s="107">
        <f t="shared" si="111"/>
        <v>552262.76</v>
      </c>
      <c r="E70" s="107">
        <f t="shared" si="111"/>
        <v>577499.84000000008</v>
      </c>
      <c r="F70" s="107">
        <f t="shared" si="111"/>
        <v>602736.91999999993</v>
      </c>
      <c r="G70" s="107">
        <f t="shared" si="111"/>
        <v>627974</v>
      </c>
      <c r="H70" s="107">
        <f t="shared" si="111"/>
        <v>627974</v>
      </c>
      <c r="I70" s="107">
        <f t="shared" si="111"/>
        <v>627974</v>
      </c>
      <c r="J70" s="107">
        <f t="shared" si="111"/>
        <v>627974</v>
      </c>
      <c r="K70" s="107">
        <f t="shared" si="111"/>
        <v>627974</v>
      </c>
      <c r="L70" s="107">
        <f t="shared" si="111"/>
        <v>627974</v>
      </c>
      <c r="M70" s="107">
        <f t="shared" si="111"/>
        <v>627974</v>
      </c>
      <c r="N70" s="107">
        <f t="shared" si="111"/>
        <v>627974</v>
      </c>
      <c r="O70" s="107">
        <f t="shared" si="111"/>
        <v>7283317.2000000011</v>
      </c>
      <c r="P70" s="107">
        <f t="shared" si="111"/>
        <v>606943.10000000009</v>
      </c>
      <c r="Q70" s="107">
        <f t="shared" si="111"/>
        <v>678448.16</v>
      </c>
      <c r="R70" s="107">
        <f t="shared" si="111"/>
        <v>678448.16</v>
      </c>
      <c r="S70" s="107">
        <f t="shared" si="111"/>
        <v>678448.16</v>
      </c>
      <c r="T70" s="107">
        <f t="shared" si="111"/>
        <v>678448.16</v>
      </c>
      <c r="U70" s="107">
        <f t="shared" si="111"/>
        <v>678448.16</v>
      </c>
      <c r="V70" s="107">
        <f t="shared" si="111"/>
        <v>678448.16</v>
      </c>
      <c r="W70" s="107">
        <f t="shared" si="111"/>
        <v>678448.16</v>
      </c>
      <c r="X70" s="107">
        <f t="shared" si="111"/>
        <v>678448.16</v>
      </c>
      <c r="Y70" s="107">
        <f t="shared" si="111"/>
        <v>678448.16</v>
      </c>
      <c r="Z70" s="107">
        <f t="shared" si="111"/>
        <v>678448.16</v>
      </c>
      <c r="AA70" s="107">
        <f t="shared" si="111"/>
        <v>678448.16</v>
      </c>
      <c r="AB70" s="107">
        <f t="shared" si="111"/>
        <v>678448.16</v>
      </c>
      <c r="AC70" s="107">
        <f t="shared" si="111"/>
        <v>8141377.9200000009</v>
      </c>
      <c r="AD70" s="107">
        <f t="shared" si="111"/>
        <v>678448.16</v>
      </c>
      <c r="AE70" s="107">
        <f t="shared" si="111"/>
        <v>728922.32</v>
      </c>
      <c r="AF70" s="107">
        <f t="shared" si="111"/>
        <v>728922.32</v>
      </c>
      <c r="AG70" s="107">
        <f t="shared" si="111"/>
        <v>728922.32</v>
      </c>
      <c r="AH70" s="107">
        <f t="shared" si="111"/>
        <v>728922.32</v>
      </c>
      <c r="AI70" s="107">
        <f t="shared" si="111"/>
        <v>728922.32</v>
      </c>
      <c r="AJ70" s="107">
        <f t="shared" si="111"/>
        <v>728922.32</v>
      </c>
      <c r="AK70" s="107">
        <f t="shared" si="111"/>
        <v>728922.32</v>
      </c>
      <c r="AL70" s="107">
        <f t="shared" si="111"/>
        <v>728922.32</v>
      </c>
      <c r="AM70" s="107">
        <f t="shared" si="111"/>
        <v>728922.32</v>
      </c>
      <c r="AN70" s="107">
        <f t="shared" si="111"/>
        <v>728922.32</v>
      </c>
      <c r="AO70" s="107">
        <f t="shared" si="111"/>
        <v>728922.32</v>
      </c>
      <c r="AP70" s="107">
        <f t="shared" si="111"/>
        <v>728922.32</v>
      </c>
      <c r="AQ70" s="107">
        <f t="shared" si="111"/>
        <v>8747067.8399999999</v>
      </c>
      <c r="AR70" s="107">
        <f t="shared" si="111"/>
        <v>728922.32000000007</v>
      </c>
      <c r="AS70" s="107">
        <f t="shared" si="111"/>
        <v>24171762.960000001</v>
      </c>
    </row>
    <row r="71" spans="1:46" s="9" customFormat="1" ht="12" thickBot="1">
      <c r="A71" s="108"/>
      <c r="B71" s="109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10"/>
      <c r="P71" s="110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10"/>
      <c r="AD71" s="110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10"/>
      <c r="AR71" s="110"/>
      <c r="AS71" s="108"/>
    </row>
    <row r="72" spans="1:46" s="73" customFormat="1" ht="24" thickTop="1" thickBot="1">
      <c r="A72" s="69" t="s">
        <v>10</v>
      </c>
      <c r="B72" s="70"/>
      <c r="C72" s="70" t="str">
        <f t="shared" ref="C72:N72" si="112">C$5</f>
        <v>январь</v>
      </c>
      <c r="D72" s="70" t="str">
        <f t="shared" si="112"/>
        <v>февраль</v>
      </c>
      <c r="E72" s="70" t="str">
        <f t="shared" si="112"/>
        <v>март</v>
      </c>
      <c r="F72" s="70" t="str">
        <f t="shared" si="112"/>
        <v>апрель</v>
      </c>
      <c r="G72" s="70" t="str">
        <f t="shared" si="112"/>
        <v>май</v>
      </c>
      <c r="H72" s="70" t="str">
        <f t="shared" si="112"/>
        <v>июнь</v>
      </c>
      <c r="I72" s="70" t="str">
        <f t="shared" si="112"/>
        <v>июль</v>
      </c>
      <c r="J72" s="70" t="str">
        <f t="shared" si="112"/>
        <v>август</v>
      </c>
      <c r="K72" s="70" t="str">
        <f t="shared" si="112"/>
        <v>сентябрь</v>
      </c>
      <c r="L72" s="70" t="str">
        <f t="shared" si="112"/>
        <v>октябрь</v>
      </c>
      <c r="M72" s="70" t="str">
        <f t="shared" si="112"/>
        <v>ноябрь</v>
      </c>
      <c r="N72" s="70" t="str">
        <f t="shared" si="112"/>
        <v>декабрь</v>
      </c>
      <c r="O72" s="92" t="str">
        <f>$O$15</f>
        <v>Итого за 1-й год</v>
      </c>
      <c r="P72" s="92" t="str">
        <f>$P$15</f>
        <v>Среднемесячно за 1-й год</v>
      </c>
      <c r="Q72" s="70" t="str">
        <f t="shared" ref="Q72:AB72" si="113">Q$5</f>
        <v>январь</v>
      </c>
      <c r="R72" s="70" t="str">
        <f t="shared" si="113"/>
        <v>февраль</v>
      </c>
      <c r="S72" s="70" t="str">
        <f t="shared" si="113"/>
        <v>март</v>
      </c>
      <c r="T72" s="70" t="str">
        <f t="shared" si="113"/>
        <v>апрель</v>
      </c>
      <c r="U72" s="70" t="str">
        <f t="shared" si="113"/>
        <v>май</v>
      </c>
      <c r="V72" s="70" t="str">
        <f t="shared" si="113"/>
        <v>июнь</v>
      </c>
      <c r="W72" s="70" t="str">
        <f t="shared" si="113"/>
        <v>июль</v>
      </c>
      <c r="X72" s="70" t="str">
        <f t="shared" si="113"/>
        <v>август</v>
      </c>
      <c r="Y72" s="70" t="str">
        <f t="shared" si="113"/>
        <v>сентябрь</v>
      </c>
      <c r="Z72" s="70" t="str">
        <f t="shared" si="113"/>
        <v>октябрь</v>
      </c>
      <c r="AA72" s="70" t="str">
        <f t="shared" si="113"/>
        <v>ноябрь</v>
      </c>
      <c r="AB72" s="70" t="str">
        <f t="shared" si="113"/>
        <v>декабрь</v>
      </c>
      <c r="AC72" s="92" t="str">
        <f>AC50</f>
        <v>Итого за 2-й год</v>
      </c>
      <c r="AD72" s="92" t="str">
        <f>AD50</f>
        <v>Среднемесячно за 2-й год</v>
      </c>
      <c r="AE72" s="70" t="str">
        <f t="shared" ref="AE72:AP72" si="114">AE$5</f>
        <v>январь</v>
      </c>
      <c r="AF72" s="70" t="str">
        <f t="shared" si="114"/>
        <v>февраль</v>
      </c>
      <c r="AG72" s="70" t="str">
        <f t="shared" si="114"/>
        <v>март</v>
      </c>
      <c r="AH72" s="70" t="str">
        <f t="shared" si="114"/>
        <v>апрель</v>
      </c>
      <c r="AI72" s="70" t="str">
        <f t="shared" si="114"/>
        <v>май</v>
      </c>
      <c r="AJ72" s="70" t="str">
        <f t="shared" si="114"/>
        <v>июнь</v>
      </c>
      <c r="AK72" s="70" t="str">
        <f t="shared" si="114"/>
        <v>июль</v>
      </c>
      <c r="AL72" s="70" t="str">
        <f t="shared" si="114"/>
        <v>август</v>
      </c>
      <c r="AM72" s="70" t="str">
        <f t="shared" si="114"/>
        <v>сентябрь</v>
      </c>
      <c r="AN72" s="70" t="str">
        <f t="shared" si="114"/>
        <v>октябрь</v>
      </c>
      <c r="AO72" s="70" t="str">
        <f t="shared" si="114"/>
        <v>ноябрь</v>
      </c>
      <c r="AP72" s="70" t="str">
        <f t="shared" si="114"/>
        <v>декабрь</v>
      </c>
      <c r="AQ72" s="92" t="str">
        <f>AQ50</f>
        <v>Итого за 3-й год</v>
      </c>
      <c r="AR72" s="92" t="str">
        <f>AR50</f>
        <v>Среднемесячно за 3-й год</v>
      </c>
      <c r="AS72" s="188" t="str">
        <f>AS50</f>
        <v>Итого за три года</v>
      </c>
    </row>
    <row r="73" spans="1:46" s="73" customFormat="1" ht="12" thickTop="1">
      <c r="A73" s="111" t="s">
        <v>11</v>
      </c>
      <c r="B73" s="81" t="str">
        <f>CHOOSE('Исходные данные'!$O$2,'Исходные данные'!$P$2,'Исходные данные'!$P$3,'Исходные данные'!$P$4,'Исходные данные'!$P$5)</f>
        <v>RUB</v>
      </c>
      <c r="C73" s="112">
        <f t="shared" ref="C73:N73" si="115">C23</f>
        <v>1376568</v>
      </c>
      <c r="D73" s="112">
        <f t="shared" si="115"/>
        <v>1605996</v>
      </c>
      <c r="E73" s="112">
        <f t="shared" si="115"/>
        <v>1835424</v>
      </c>
      <c r="F73" s="112">
        <f t="shared" si="115"/>
        <v>2064852</v>
      </c>
      <c r="G73" s="112">
        <f t="shared" si="115"/>
        <v>2294280</v>
      </c>
      <c r="H73" s="112">
        <f t="shared" si="115"/>
        <v>2294280</v>
      </c>
      <c r="I73" s="112">
        <f t="shared" si="115"/>
        <v>2294280</v>
      </c>
      <c r="J73" s="112">
        <f t="shared" si="115"/>
        <v>2294280</v>
      </c>
      <c r="K73" s="112">
        <f t="shared" si="115"/>
        <v>2294280</v>
      </c>
      <c r="L73" s="112">
        <f t="shared" si="115"/>
        <v>2294280</v>
      </c>
      <c r="M73" s="112">
        <f t="shared" si="115"/>
        <v>2294280</v>
      </c>
      <c r="N73" s="112">
        <f t="shared" si="115"/>
        <v>2294280</v>
      </c>
      <c r="O73" s="113">
        <f t="shared" ref="O73:O79" si="116">SUM(C73:N73)</f>
        <v>25237080</v>
      </c>
      <c r="P73" s="113">
        <f t="shared" ref="P73:P79" si="117">O73/12</f>
        <v>2103090</v>
      </c>
      <c r="Q73" s="112">
        <f t="shared" ref="Q73:AB73" si="118">Q23</f>
        <v>2753136</v>
      </c>
      <c r="R73" s="112">
        <f t="shared" si="118"/>
        <v>2753136</v>
      </c>
      <c r="S73" s="112">
        <f t="shared" si="118"/>
        <v>2753136</v>
      </c>
      <c r="T73" s="112">
        <f t="shared" si="118"/>
        <v>2753136</v>
      </c>
      <c r="U73" s="112">
        <f t="shared" si="118"/>
        <v>2753136</v>
      </c>
      <c r="V73" s="112">
        <f t="shared" si="118"/>
        <v>2753136</v>
      </c>
      <c r="W73" s="112">
        <f t="shared" si="118"/>
        <v>2753136</v>
      </c>
      <c r="X73" s="112">
        <f t="shared" si="118"/>
        <v>2753136</v>
      </c>
      <c r="Y73" s="112">
        <f t="shared" si="118"/>
        <v>2753136</v>
      </c>
      <c r="Z73" s="112">
        <f t="shared" si="118"/>
        <v>2753136</v>
      </c>
      <c r="AA73" s="112">
        <f t="shared" si="118"/>
        <v>2753136</v>
      </c>
      <c r="AB73" s="112">
        <f t="shared" si="118"/>
        <v>2753136</v>
      </c>
      <c r="AC73" s="113">
        <f t="shared" ref="AC73:AC79" si="119">SUM(Q73:AB73)</f>
        <v>33037632</v>
      </c>
      <c r="AD73" s="113">
        <f t="shared" ref="AD73:AD79" si="120">AC73/12</f>
        <v>2753136</v>
      </c>
      <c r="AE73" s="112">
        <f t="shared" ref="AE73:AP73" si="121">AE23</f>
        <v>3211992</v>
      </c>
      <c r="AF73" s="112">
        <f t="shared" si="121"/>
        <v>3211992</v>
      </c>
      <c r="AG73" s="112">
        <f t="shared" si="121"/>
        <v>3211992</v>
      </c>
      <c r="AH73" s="112">
        <f t="shared" si="121"/>
        <v>3211992</v>
      </c>
      <c r="AI73" s="112">
        <f t="shared" si="121"/>
        <v>3211992</v>
      </c>
      <c r="AJ73" s="112">
        <f t="shared" si="121"/>
        <v>3211992</v>
      </c>
      <c r="AK73" s="112">
        <f t="shared" si="121"/>
        <v>3211992</v>
      </c>
      <c r="AL73" s="112">
        <f t="shared" si="121"/>
        <v>3211992</v>
      </c>
      <c r="AM73" s="112">
        <f t="shared" si="121"/>
        <v>3211992</v>
      </c>
      <c r="AN73" s="112">
        <f t="shared" si="121"/>
        <v>3211992</v>
      </c>
      <c r="AO73" s="112">
        <f t="shared" si="121"/>
        <v>3211992</v>
      </c>
      <c r="AP73" s="112">
        <f t="shared" si="121"/>
        <v>3211992</v>
      </c>
      <c r="AQ73" s="113">
        <f t="shared" ref="AQ73:AQ79" si="122">SUM(AE73:AP73)</f>
        <v>38543904</v>
      </c>
      <c r="AR73" s="113">
        <f t="shared" ref="AR73:AR79" si="123">AQ73/12</f>
        <v>3211992</v>
      </c>
      <c r="AS73" s="114">
        <f t="shared" ref="AS73:AS78" si="124">O73+AC73+AQ73</f>
        <v>96818616</v>
      </c>
    </row>
    <row r="74" spans="1:46" s="73" customFormat="1" ht="11.25">
      <c r="A74" s="80" t="str">
        <f>"- Себестоимость"</f>
        <v>- Себестоимость</v>
      </c>
      <c r="B74" s="81" t="str">
        <f>CHOOSE('Исходные данные'!$O$2,'Исходные данные'!$P$2,'Исходные данные'!$P$3,'Исходные данные'!$P$4,'Исходные данные'!$P$5)</f>
        <v>RUB</v>
      </c>
      <c r="C74" s="112">
        <f t="shared" ref="C74:N74" si="125">C33</f>
        <v>829257.83132530097</v>
      </c>
      <c r="D74" s="112">
        <f t="shared" si="125"/>
        <v>967467.46987951791</v>
      </c>
      <c r="E74" s="112">
        <f t="shared" si="125"/>
        <v>1105677.1084337349</v>
      </c>
      <c r="F74" s="112">
        <f t="shared" si="125"/>
        <v>1243886.7469879517</v>
      </c>
      <c r="G74" s="112">
        <f t="shared" si="125"/>
        <v>1382096.3855421687</v>
      </c>
      <c r="H74" s="112">
        <f t="shared" si="125"/>
        <v>1382096.3855421687</v>
      </c>
      <c r="I74" s="112">
        <f t="shared" si="125"/>
        <v>1382096.3855421687</v>
      </c>
      <c r="J74" s="112">
        <f t="shared" si="125"/>
        <v>1382096.3855421687</v>
      </c>
      <c r="K74" s="112">
        <f t="shared" si="125"/>
        <v>1382096.3855421687</v>
      </c>
      <c r="L74" s="112">
        <f t="shared" si="125"/>
        <v>1382096.3855421687</v>
      </c>
      <c r="M74" s="112">
        <f t="shared" si="125"/>
        <v>1382096.3855421687</v>
      </c>
      <c r="N74" s="112">
        <f t="shared" si="125"/>
        <v>1382096.3855421687</v>
      </c>
      <c r="O74" s="113">
        <f t="shared" si="116"/>
        <v>15203060.240963859</v>
      </c>
      <c r="P74" s="113">
        <f t="shared" si="117"/>
        <v>1266921.6867469882</v>
      </c>
      <c r="Q74" s="112">
        <f t="shared" ref="Q74:AB74" si="126">Q33</f>
        <v>1658515.6626506019</v>
      </c>
      <c r="R74" s="112">
        <f t="shared" si="126"/>
        <v>1658515.6626506019</v>
      </c>
      <c r="S74" s="112">
        <f t="shared" si="126"/>
        <v>1658515.6626506019</v>
      </c>
      <c r="T74" s="112">
        <f t="shared" si="126"/>
        <v>1658515.6626506019</v>
      </c>
      <c r="U74" s="112">
        <f t="shared" si="126"/>
        <v>1658515.6626506019</v>
      </c>
      <c r="V74" s="112">
        <f t="shared" si="126"/>
        <v>1658515.6626506019</v>
      </c>
      <c r="W74" s="112">
        <f t="shared" si="126"/>
        <v>1658515.6626506019</v>
      </c>
      <c r="X74" s="112">
        <f t="shared" si="126"/>
        <v>1658515.6626506019</v>
      </c>
      <c r="Y74" s="112">
        <f t="shared" si="126"/>
        <v>1658515.6626506019</v>
      </c>
      <c r="Z74" s="112">
        <f t="shared" si="126"/>
        <v>1658515.6626506019</v>
      </c>
      <c r="AA74" s="112">
        <f t="shared" si="126"/>
        <v>1658515.6626506019</v>
      </c>
      <c r="AB74" s="112">
        <f t="shared" si="126"/>
        <v>1658515.6626506019</v>
      </c>
      <c r="AC74" s="113">
        <f t="shared" si="119"/>
        <v>19902187.951807223</v>
      </c>
      <c r="AD74" s="113">
        <f t="shared" si="120"/>
        <v>1658515.6626506019</v>
      </c>
      <c r="AE74" s="112">
        <f t="shared" ref="AE74:AP74" si="127">AE33</f>
        <v>1934934.9397590358</v>
      </c>
      <c r="AF74" s="112">
        <f t="shared" si="127"/>
        <v>1934934.9397590358</v>
      </c>
      <c r="AG74" s="112">
        <f t="shared" si="127"/>
        <v>1934934.9397590358</v>
      </c>
      <c r="AH74" s="112">
        <f t="shared" si="127"/>
        <v>1934934.9397590358</v>
      </c>
      <c r="AI74" s="112">
        <f t="shared" si="127"/>
        <v>1934934.9397590358</v>
      </c>
      <c r="AJ74" s="112">
        <f t="shared" si="127"/>
        <v>1934934.9397590358</v>
      </c>
      <c r="AK74" s="112">
        <f t="shared" si="127"/>
        <v>1934934.9397590358</v>
      </c>
      <c r="AL74" s="112">
        <f t="shared" si="127"/>
        <v>1934934.9397590358</v>
      </c>
      <c r="AM74" s="112">
        <f t="shared" si="127"/>
        <v>1934934.9397590358</v>
      </c>
      <c r="AN74" s="112">
        <f t="shared" si="127"/>
        <v>1934934.9397590358</v>
      </c>
      <c r="AO74" s="112">
        <f t="shared" si="127"/>
        <v>1934934.9397590358</v>
      </c>
      <c r="AP74" s="112">
        <f t="shared" si="127"/>
        <v>1934934.9397590358</v>
      </c>
      <c r="AQ74" s="113">
        <f t="shared" si="122"/>
        <v>23219219.277108427</v>
      </c>
      <c r="AR74" s="113">
        <f t="shared" si="123"/>
        <v>1934934.9397590356</v>
      </c>
      <c r="AS74" s="114">
        <f t="shared" si="124"/>
        <v>58324467.469879508</v>
      </c>
    </row>
    <row r="75" spans="1:46" s="73" customFormat="1" ht="11.25">
      <c r="A75" s="111" t="s">
        <v>12</v>
      </c>
      <c r="B75" s="81" t="str">
        <f>CHOOSE('Исходные данные'!$O$2,'Исходные данные'!$P$2,'Исходные данные'!$P$3,'Исходные данные'!$P$4,'Исходные данные'!$P$5)</f>
        <v>RUB</v>
      </c>
      <c r="C75" s="112">
        <f>C73-C74</f>
        <v>547310.16867469903</v>
      </c>
      <c r="D75" s="112">
        <f t="shared" ref="D75:N75" si="128">D73-D74</f>
        <v>638528.53012048209</v>
      </c>
      <c r="E75" s="112">
        <f t="shared" si="128"/>
        <v>729746.89156626514</v>
      </c>
      <c r="F75" s="112">
        <f t="shared" si="128"/>
        <v>820965.25301204831</v>
      </c>
      <c r="G75" s="112">
        <f t="shared" si="128"/>
        <v>912183.61445783125</v>
      </c>
      <c r="H75" s="112">
        <f t="shared" si="128"/>
        <v>912183.61445783125</v>
      </c>
      <c r="I75" s="112">
        <f t="shared" si="128"/>
        <v>912183.61445783125</v>
      </c>
      <c r="J75" s="112">
        <f t="shared" si="128"/>
        <v>912183.61445783125</v>
      </c>
      <c r="K75" s="112">
        <f t="shared" si="128"/>
        <v>912183.61445783125</v>
      </c>
      <c r="L75" s="112">
        <f t="shared" si="128"/>
        <v>912183.61445783125</v>
      </c>
      <c r="M75" s="112">
        <f t="shared" si="128"/>
        <v>912183.61445783125</v>
      </c>
      <c r="N75" s="112">
        <f t="shared" si="128"/>
        <v>912183.61445783125</v>
      </c>
      <c r="O75" s="113">
        <f t="shared" si="116"/>
        <v>10034019.759036142</v>
      </c>
      <c r="P75" s="113">
        <f t="shared" si="117"/>
        <v>836168.3132530119</v>
      </c>
      <c r="Q75" s="112">
        <f>Q73-Q74</f>
        <v>1094620.3373493981</v>
      </c>
      <c r="R75" s="112">
        <f t="shared" ref="R75:AB75" si="129">R73-R74</f>
        <v>1094620.3373493981</v>
      </c>
      <c r="S75" s="112">
        <f t="shared" si="129"/>
        <v>1094620.3373493981</v>
      </c>
      <c r="T75" s="112">
        <f t="shared" si="129"/>
        <v>1094620.3373493981</v>
      </c>
      <c r="U75" s="112">
        <f t="shared" si="129"/>
        <v>1094620.3373493981</v>
      </c>
      <c r="V75" s="112">
        <f t="shared" si="129"/>
        <v>1094620.3373493981</v>
      </c>
      <c r="W75" s="112">
        <f t="shared" si="129"/>
        <v>1094620.3373493981</v>
      </c>
      <c r="X75" s="112">
        <f t="shared" si="129"/>
        <v>1094620.3373493981</v>
      </c>
      <c r="Y75" s="112">
        <f t="shared" si="129"/>
        <v>1094620.3373493981</v>
      </c>
      <c r="Z75" s="112">
        <f t="shared" si="129"/>
        <v>1094620.3373493981</v>
      </c>
      <c r="AA75" s="112">
        <f t="shared" si="129"/>
        <v>1094620.3373493981</v>
      </c>
      <c r="AB75" s="112">
        <f t="shared" si="129"/>
        <v>1094620.3373493981</v>
      </c>
      <c r="AC75" s="113">
        <f t="shared" si="119"/>
        <v>13135444.048192777</v>
      </c>
      <c r="AD75" s="113">
        <f t="shared" si="120"/>
        <v>1094620.3373493981</v>
      </c>
      <c r="AE75" s="112">
        <f>AE73-AE74</f>
        <v>1277057.0602409642</v>
      </c>
      <c r="AF75" s="112">
        <f t="shared" ref="AF75:AP75" si="130">AF73-AF74</f>
        <v>1277057.0602409642</v>
      </c>
      <c r="AG75" s="112">
        <f t="shared" si="130"/>
        <v>1277057.0602409642</v>
      </c>
      <c r="AH75" s="112">
        <f t="shared" si="130"/>
        <v>1277057.0602409642</v>
      </c>
      <c r="AI75" s="112">
        <f t="shared" si="130"/>
        <v>1277057.0602409642</v>
      </c>
      <c r="AJ75" s="112">
        <f t="shared" si="130"/>
        <v>1277057.0602409642</v>
      </c>
      <c r="AK75" s="112">
        <f t="shared" si="130"/>
        <v>1277057.0602409642</v>
      </c>
      <c r="AL75" s="112">
        <f t="shared" si="130"/>
        <v>1277057.0602409642</v>
      </c>
      <c r="AM75" s="112">
        <f t="shared" si="130"/>
        <v>1277057.0602409642</v>
      </c>
      <c r="AN75" s="112">
        <f t="shared" si="130"/>
        <v>1277057.0602409642</v>
      </c>
      <c r="AO75" s="112">
        <f t="shared" si="130"/>
        <v>1277057.0602409642</v>
      </c>
      <c r="AP75" s="112">
        <f t="shared" si="130"/>
        <v>1277057.0602409642</v>
      </c>
      <c r="AQ75" s="113">
        <f t="shared" si="122"/>
        <v>15324684.722891567</v>
      </c>
      <c r="AR75" s="113">
        <f t="shared" si="123"/>
        <v>1277057.0602409639</v>
      </c>
      <c r="AS75" s="114">
        <f t="shared" si="124"/>
        <v>38494148.530120485</v>
      </c>
    </row>
    <row r="76" spans="1:46" s="118" customFormat="1" ht="11.25">
      <c r="A76" s="115" t="str">
        <f>"- Инвестиции"</f>
        <v>- Инвестиции</v>
      </c>
      <c r="B76" s="116" t="str">
        <f>CHOOSE('Исходные данные'!$O$2,'Исходные данные'!$P$2,'Исходные данные'!$P$3,'Исходные данные'!$P$4,'Исходные данные'!$P$5)</f>
        <v>RUB</v>
      </c>
      <c r="C76" s="117">
        <f t="shared" ref="C76:N76" si="131">C46</f>
        <v>750000</v>
      </c>
      <c r="D76" s="117">
        <f t="shared" si="131"/>
        <v>0</v>
      </c>
      <c r="E76" s="117">
        <f t="shared" si="131"/>
        <v>0</v>
      </c>
      <c r="F76" s="117">
        <f t="shared" si="131"/>
        <v>0</v>
      </c>
      <c r="G76" s="117">
        <f t="shared" si="131"/>
        <v>0</v>
      </c>
      <c r="H76" s="117">
        <f t="shared" si="131"/>
        <v>0</v>
      </c>
      <c r="I76" s="117">
        <f t="shared" si="131"/>
        <v>0</v>
      </c>
      <c r="J76" s="117">
        <f t="shared" si="131"/>
        <v>0</v>
      </c>
      <c r="K76" s="117">
        <f t="shared" si="131"/>
        <v>0</v>
      </c>
      <c r="L76" s="117">
        <f t="shared" si="131"/>
        <v>0</v>
      </c>
      <c r="M76" s="117">
        <f t="shared" si="131"/>
        <v>0</v>
      </c>
      <c r="N76" s="117">
        <f t="shared" si="131"/>
        <v>0</v>
      </c>
      <c r="O76" s="113">
        <f t="shared" si="116"/>
        <v>750000</v>
      </c>
      <c r="P76" s="113"/>
      <c r="Q76" s="117">
        <f t="shared" ref="Q76:AB76" si="132">Q46</f>
        <v>0</v>
      </c>
      <c r="R76" s="117">
        <f t="shared" si="132"/>
        <v>0</v>
      </c>
      <c r="S76" s="117">
        <f t="shared" si="132"/>
        <v>0</v>
      </c>
      <c r="T76" s="117">
        <f t="shared" si="132"/>
        <v>0</v>
      </c>
      <c r="U76" s="117">
        <f t="shared" si="132"/>
        <v>0</v>
      </c>
      <c r="V76" s="117">
        <f t="shared" si="132"/>
        <v>0</v>
      </c>
      <c r="W76" s="117">
        <f t="shared" si="132"/>
        <v>0</v>
      </c>
      <c r="X76" s="117">
        <f t="shared" si="132"/>
        <v>0</v>
      </c>
      <c r="Y76" s="117">
        <f t="shared" si="132"/>
        <v>0</v>
      </c>
      <c r="Z76" s="117">
        <f t="shared" si="132"/>
        <v>0</v>
      </c>
      <c r="AA76" s="117">
        <f t="shared" si="132"/>
        <v>0</v>
      </c>
      <c r="AB76" s="117">
        <f t="shared" si="132"/>
        <v>0</v>
      </c>
      <c r="AC76" s="113">
        <f t="shared" si="119"/>
        <v>0</v>
      </c>
      <c r="AD76" s="113"/>
      <c r="AE76" s="117">
        <f t="shared" ref="AE76:AP76" si="133">AE46</f>
        <v>0</v>
      </c>
      <c r="AF76" s="117">
        <f t="shared" si="133"/>
        <v>0</v>
      </c>
      <c r="AG76" s="117">
        <f t="shared" si="133"/>
        <v>0</v>
      </c>
      <c r="AH76" s="117">
        <f t="shared" si="133"/>
        <v>0</v>
      </c>
      <c r="AI76" s="117">
        <f t="shared" si="133"/>
        <v>0</v>
      </c>
      <c r="AJ76" s="117">
        <f t="shared" si="133"/>
        <v>0</v>
      </c>
      <c r="AK76" s="117">
        <f t="shared" si="133"/>
        <v>0</v>
      </c>
      <c r="AL76" s="117">
        <f t="shared" si="133"/>
        <v>0</v>
      </c>
      <c r="AM76" s="117">
        <f t="shared" si="133"/>
        <v>0</v>
      </c>
      <c r="AN76" s="117">
        <f t="shared" si="133"/>
        <v>0</v>
      </c>
      <c r="AO76" s="117">
        <f t="shared" si="133"/>
        <v>0</v>
      </c>
      <c r="AP76" s="117">
        <f t="shared" si="133"/>
        <v>0</v>
      </c>
      <c r="AQ76" s="113">
        <f t="shared" si="122"/>
        <v>0</v>
      </c>
      <c r="AR76" s="113"/>
      <c r="AS76" s="114">
        <f t="shared" si="124"/>
        <v>750000</v>
      </c>
    </row>
    <row r="77" spans="1:46" s="73" customFormat="1" ht="11.25">
      <c r="A77" s="80" t="str">
        <f>"- Текущие затраты"</f>
        <v>- Текущие затраты</v>
      </c>
      <c r="B77" s="81" t="str">
        <f>CHOOSE('Исходные данные'!$O$2,'Исходные данные'!$P$2,'Исходные данные'!$P$3,'Исходные данные'!$P$4,'Исходные данные'!$P$5)</f>
        <v>RUB</v>
      </c>
      <c r="C77" s="112">
        <f>C70</f>
        <v>527025.68000000005</v>
      </c>
      <c r="D77" s="112">
        <f t="shared" ref="D77:N77" si="134">D70</f>
        <v>552262.76</v>
      </c>
      <c r="E77" s="112">
        <f t="shared" si="134"/>
        <v>577499.84000000008</v>
      </c>
      <c r="F77" s="112">
        <f t="shared" si="134"/>
        <v>602736.91999999993</v>
      </c>
      <c r="G77" s="112">
        <f t="shared" si="134"/>
        <v>627974</v>
      </c>
      <c r="H77" s="112">
        <f t="shared" si="134"/>
        <v>627974</v>
      </c>
      <c r="I77" s="112">
        <f t="shared" si="134"/>
        <v>627974</v>
      </c>
      <c r="J77" s="112">
        <f t="shared" si="134"/>
        <v>627974</v>
      </c>
      <c r="K77" s="112">
        <f t="shared" si="134"/>
        <v>627974</v>
      </c>
      <c r="L77" s="112">
        <f t="shared" si="134"/>
        <v>627974</v>
      </c>
      <c r="M77" s="112">
        <f t="shared" si="134"/>
        <v>627974</v>
      </c>
      <c r="N77" s="112">
        <f t="shared" si="134"/>
        <v>627974</v>
      </c>
      <c r="O77" s="113">
        <f t="shared" si="116"/>
        <v>7283317.2000000002</v>
      </c>
      <c r="P77" s="113">
        <f t="shared" si="117"/>
        <v>606943.1</v>
      </c>
      <c r="Q77" s="112">
        <f>Q70</f>
        <v>678448.16</v>
      </c>
      <c r="R77" s="112">
        <f t="shared" ref="R77:AB77" si="135">R70</f>
        <v>678448.16</v>
      </c>
      <c r="S77" s="112">
        <f t="shared" si="135"/>
        <v>678448.16</v>
      </c>
      <c r="T77" s="112">
        <f t="shared" si="135"/>
        <v>678448.16</v>
      </c>
      <c r="U77" s="112">
        <f t="shared" si="135"/>
        <v>678448.16</v>
      </c>
      <c r="V77" s="112">
        <f t="shared" si="135"/>
        <v>678448.16</v>
      </c>
      <c r="W77" s="112">
        <f t="shared" si="135"/>
        <v>678448.16</v>
      </c>
      <c r="X77" s="112">
        <f t="shared" si="135"/>
        <v>678448.16</v>
      </c>
      <c r="Y77" s="112">
        <f t="shared" si="135"/>
        <v>678448.16</v>
      </c>
      <c r="Z77" s="112">
        <f t="shared" si="135"/>
        <v>678448.16</v>
      </c>
      <c r="AA77" s="112">
        <f t="shared" si="135"/>
        <v>678448.16</v>
      </c>
      <c r="AB77" s="112">
        <f t="shared" si="135"/>
        <v>678448.16</v>
      </c>
      <c r="AC77" s="113">
        <f t="shared" si="119"/>
        <v>8141377.9200000009</v>
      </c>
      <c r="AD77" s="113">
        <f t="shared" si="120"/>
        <v>678448.16</v>
      </c>
      <c r="AE77" s="112">
        <f>AE70</f>
        <v>728922.32</v>
      </c>
      <c r="AF77" s="112">
        <f t="shared" ref="AF77:AP77" si="136">AF70</f>
        <v>728922.32</v>
      </c>
      <c r="AG77" s="112">
        <f t="shared" si="136"/>
        <v>728922.32</v>
      </c>
      <c r="AH77" s="112">
        <f t="shared" si="136"/>
        <v>728922.32</v>
      </c>
      <c r="AI77" s="112">
        <f t="shared" si="136"/>
        <v>728922.32</v>
      </c>
      <c r="AJ77" s="112">
        <f t="shared" si="136"/>
        <v>728922.32</v>
      </c>
      <c r="AK77" s="112">
        <f t="shared" si="136"/>
        <v>728922.32</v>
      </c>
      <c r="AL77" s="112">
        <f t="shared" si="136"/>
        <v>728922.32</v>
      </c>
      <c r="AM77" s="112">
        <f t="shared" si="136"/>
        <v>728922.32</v>
      </c>
      <c r="AN77" s="112">
        <f t="shared" si="136"/>
        <v>728922.32</v>
      </c>
      <c r="AO77" s="112">
        <f t="shared" si="136"/>
        <v>728922.32</v>
      </c>
      <c r="AP77" s="112">
        <f t="shared" si="136"/>
        <v>728922.32</v>
      </c>
      <c r="AQ77" s="113">
        <f t="shared" si="122"/>
        <v>8747067.8400000017</v>
      </c>
      <c r="AR77" s="113">
        <f t="shared" si="123"/>
        <v>728922.32000000018</v>
      </c>
      <c r="AS77" s="114">
        <f t="shared" si="124"/>
        <v>24171762.960000001</v>
      </c>
    </row>
    <row r="78" spans="1:46" s="73" customFormat="1" ht="11.25">
      <c r="A78" s="119" t="s">
        <v>89</v>
      </c>
      <c r="B78" s="81" t="str">
        <f>CHOOSE('Исходные данные'!$O$2,'Исходные данные'!$P$2,'Исходные данные'!$P$3,'Исходные данные'!$P$4,'Исходные данные'!$P$5)</f>
        <v>RUB</v>
      </c>
      <c r="C78" s="112">
        <f>C75-C76-C77</f>
        <v>-729715.51132530102</v>
      </c>
      <c r="D78" s="112">
        <f>D75-D76-D77</f>
        <v>86265.770120482077</v>
      </c>
      <c r="E78" s="112">
        <f t="shared" ref="E78:N78" si="137">E75-E76-E77</f>
        <v>152247.05156626506</v>
      </c>
      <c r="F78" s="112">
        <f t="shared" si="137"/>
        <v>218228.33301204839</v>
      </c>
      <c r="G78" s="112">
        <f t="shared" si="137"/>
        <v>284209.61445783125</v>
      </c>
      <c r="H78" s="112">
        <f t="shared" si="137"/>
        <v>284209.61445783125</v>
      </c>
      <c r="I78" s="112">
        <f t="shared" si="137"/>
        <v>284209.61445783125</v>
      </c>
      <c r="J78" s="112">
        <f t="shared" si="137"/>
        <v>284209.61445783125</v>
      </c>
      <c r="K78" s="112">
        <f t="shared" si="137"/>
        <v>284209.61445783125</v>
      </c>
      <c r="L78" s="112">
        <f t="shared" si="137"/>
        <v>284209.61445783125</v>
      </c>
      <c r="M78" s="112">
        <f t="shared" si="137"/>
        <v>284209.61445783125</v>
      </c>
      <c r="N78" s="112">
        <f t="shared" si="137"/>
        <v>284209.61445783125</v>
      </c>
      <c r="O78" s="113">
        <f t="shared" si="116"/>
        <v>2000702.5590361445</v>
      </c>
      <c r="P78" s="113">
        <f t="shared" si="117"/>
        <v>166725.21325301204</v>
      </c>
      <c r="Q78" s="112">
        <f>Q75-Q76-Q77</f>
        <v>416172.17734939803</v>
      </c>
      <c r="R78" s="112">
        <f>R75-R76-R77</f>
        <v>416172.17734939803</v>
      </c>
      <c r="S78" s="112">
        <f t="shared" ref="S78:AB78" si="138">S75-S76-S77</f>
        <v>416172.17734939803</v>
      </c>
      <c r="T78" s="112">
        <f t="shared" si="138"/>
        <v>416172.17734939803</v>
      </c>
      <c r="U78" s="112">
        <f t="shared" si="138"/>
        <v>416172.17734939803</v>
      </c>
      <c r="V78" s="112">
        <f t="shared" si="138"/>
        <v>416172.17734939803</v>
      </c>
      <c r="W78" s="112">
        <f t="shared" si="138"/>
        <v>416172.17734939803</v>
      </c>
      <c r="X78" s="112">
        <f t="shared" si="138"/>
        <v>416172.17734939803</v>
      </c>
      <c r="Y78" s="112">
        <f t="shared" si="138"/>
        <v>416172.17734939803</v>
      </c>
      <c r="Z78" s="112">
        <f t="shared" si="138"/>
        <v>416172.17734939803</v>
      </c>
      <c r="AA78" s="112">
        <f t="shared" si="138"/>
        <v>416172.17734939803</v>
      </c>
      <c r="AB78" s="112">
        <f t="shared" si="138"/>
        <v>416172.17734939803</v>
      </c>
      <c r="AC78" s="113">
        <f t="shared" si="119"/>
        <v>4994066.1281927759</v>
      </c>
      <c r="AD78" s="113">
        <f t="shared" si="120"/>
        <v>416172.17734939797</v>
      </c>
      <c r="AE78" s="112">
        <f>AE75-AE76-AE77</f>
        <v>548134.74024096422</v>
      </c>
      <c r="AF78" s="112">
        <f>AF75-AF76-AF77</f>
        <v>548134.74024096422</v>
      </c>
      <c r="AG78" s="112">
        <f t="shared" ref="AG78:AP78" si="139">AG75-AG76-AG77</f>
        <v>548134.74024096422</v>
      </c>
      <c r="AH78" s="112">
        <f t="shared" si="139"/>
        <v>548134.74024096422</v>
      </c>
      <c r="AI78" s="112">
        <f t="shared" si="139"/>
        <v>548134.74024096422</v>
      </c>
      <c r="AJ78" s="112">
        <f t="shared" si="139"/>
        <v>548134.74024096422</v>
      </c>
      <c r="AK78" s="112">
        <f t="shared" si="139"/>
        <v>548134.74024096422</v>
      </c>
      <c r="AL78" s="112">
        <f t="shared" si="139"/>
        <v>548134.74024096422</v>
      </c>
      <c r="AM78" s="112">
        <f t="shared" si="139"/>
        <v>548134.74024096422</v>
      </c>
      <c r="AN78" s="112">
        <f t="shared" si="139"/>
        <v>548134.74024096422</v>
      </c>
      <c r="AO78" s="112">
        <f t="shared" si="139"/>
        <v>548134.74024096422</v>
      </c>
      <c r="AP78" s="112">
        <f t="shared" si="139"/>
        <v>548134.74024096422</v>
      </c>
      <c r="AQ78" s="113">
        <f t="shared" si="122"/>
        <v>6577616.8828915702</v>
      </c>
      <c r="AR78" s="113">
        <f t="shared" si="123"/>
        <v>548134.74024096422</v>
      </c>
      <c r="AS78" s="114">
        <f t="shared" si="124"/>
        <v>13572385.570120491</v>
      </c>
    </row>
    <row r="79" spans="1:46" s="73" customFormat="1" ht="11.25">
      <c r="A79" s="120" t="s">
        <v>66</v>
      </c>
      <c r="B79" s="81" t="str">
        <f>CHOOSE('Исходные данные'!$O$2,'Исходные данные'!$P$2,'Исходные данные'!$P$3,'Исходные данные'!$P$4,'Исходные данные'!$P$5)</f>
        <v>RUB</v>
      </c>
      <c r="C79" s="112">
        <f t="shared" ref="C79:N79" si="140">C75-C77</f>
        <v>20284.48867469898</v>
      </c>
      <c r="D79" s="112">
        <f t="shared" si="140"/>
        <v>86265.770120482077</v>
      </c>
      <c r="E79" s="112">
        <f t="shared" si="140"/>
        <v>152247.05156626506</v>
      </c>
      <c r="F79" s="112">
        <f t="shared" si="140"/>
        <v>218228.33301204839</v>
      </c>
      <c r="G79" s="112">
        <f t="shared" si="140"/>
        <v>284209.61445783125</v>
      </c>
      <c r="H79" s="112">
        <f t="shared" si="140"/>
        <v>284209.61445783125</v>
      </c>
      <c r="I79" s="112">
        <f t="shared" si="140"/>
        <v>284209.61445783125</v>
      </c>
      <c r="J79" s="112">
        <f t="shared" si="140"/>
        <v>284209.61445783125</v>
      </c>
      <c r="K79" s="112">
        <f t="shared" si="140"/>
        <v>284209.61445783125</v>
      </c>
      <c r="L79" s="112">
        <f t="shared" si="140"/>
        <v>284209.61445783125</v>
      </c>
      <c r="M79" s="112">
        <f t="shared" si="140"/>
        <v>284209.61445783125</v>
      </c>
      <c r="N79" s="112">
        <f t="shared" si="140"/>
        <v>284209.61445783125</v>
      </c>
      <c r="O79" s="113">
        <f t="shared" si="116"/>
        <v>2750702.5590361445</v>
      </c>
      <c r="P79" s="113">
        <f t="shared" si="117"/>
        <v>229225.21325301204</v>
      </c>
      <c r="Q79" s="112">
        <f t="shared" ref="Q79:AB79" si="141">Q75-Q77</f>
        <v>416172.17734939803</v>
      </c>
      <c r="R79" s="112">
        <f t="shared" si="141"/>
        <v>416172.17734939803</v>
      </c>
      <c r="S79" s="112">
        <f t="shared" si="141"/>
        <v>416172.17734939803</v>
      </c>
      <c r="T79" s="112">
        <f t="shared" si="141"/>
        <v>416172.17734939803</v>
      </c>
      <c r="U79" s="112">
        <f t="shared" si="141"/>
        <v>416172.17734939803</v>
      </c>
      <c r="V79" s="112">
        <f t="shared" si="141"/>
        <v>416172.17734939803</v>
      </c>
      <c r="W79" s="112">
        <f t="shared" si="141"/>
        <v>416172.17734939803</v>
      </c>
      <c r="X79" s="112">
        <f t="shared" si="141"/>
        <v>416172.17734939803</v>
      </c>
      <c r="Y79" s="112">
        <f t="shared" si="141"/>
        <v>416172.17734939803</v>
      </c>
      <c r="Z79" s="112">
        <f t="shared" si="141"/>
        <v>416172.17734939803</v>
      </c>
      <c r="AA79" s="112">
        <f t="shared" si="141"/>
        <v>416172.17734939803</v>
      </c>
      <c r="AB79" s="112">
        <f t="shared" si="141"/>
        <v>416172.17734939803</v>
      </c>
      <c r="AC79" s="113">
        <f t="shared" si="119"/>
        <v>4994066.1281927759</v>
      </c>
      <c r="AD79" s="113">
        <f t="shared" si="120"/>
        <v>416172.17734939797</v>
      </c>
      <c r="AE79" s="112">
        <f t="shared" ref="AE79:AP79" si="142">AE75-AE77</f>
        <v>548134.74024096422</v>
      </c>
      <c r="AF79" s="112">
        <f t="shared" si="142"/>
        <v>548134.74024096422</v>
      </c>
      <c r="AG79" s="112">
        <f t="shared" si="142"/>
        <v>548134.74024096422</v>
      </c>
      <c r="AH79" s="112">
        <f t="shared" si="142"/>
        <v>548134.74024096422</v>
      </c>
      <c r="AI79" s="112">
        <f t="shared" si="142"/>
        <v>548134.74024096422</v>
      </c>
      <c r="AJ79" s="112">
        <f t="shared" si="142"/>
        <v>548134.74024096422</v>
      </c>
      <c r="AK79" s="112">
        <f t="shared" si="142"/>
        <v>548134.74024096422</v>
      </c>
      <c r="AL79" s="112">
        <f t="shared" si="142"/>
        <v>548134.74024096422</v>
      </c>
      <c r="AM79" s="112">
        <f t="shared" si="142"/>
        <v>548134.74024096422</v>
      </c>
      <c r="AN79" s="112">
        <f t="shared" si="142"/>
        <v>548134.74024096422</v>
      </c>
      <c r="AO79" s="112">
        <f t="shared" si="142"/>
        <v>548134.74024096422</v>
      </c>
      <c r="AP79" s="112">
        <f t="shared" si="142"/>
        <v>548134.74024096422</v>
      </c>
      <c r="AQ79" s="113">
        <f t="shared" si="122"/>
        <v>6577616.8828915702</v>
      </c>
      <c r="AR79" s="113">
        <f t="shared" si="123"/>
        <v>548134.74024096422</v>
      </c>
      <c r="AS79" s="121"/>
    </row>
    <row r="80" spans="1:46" s="73" customFormat="1" ht="11.25">
      <c r="A80" s="122" t="str">
        <f>"- Прибыль (убытки) накопительным итогом"</f>
        <v>- Прибыль (убытки) накопительным итогом</v>
      </c>
      <c r="B80" s="81" t="str">
        <f>CHOOSE('Исходные данные'!$O$2,'Исходные данные'!$P$2,'Исходные данные'!$P$3,'Исходные данные'!$P$4,'Исходные данные'!$P$5)</f>
        <v>RUB</v>
      </c>
      <c r="C80" s="112">
        <f t="shared" ref="C80:N80" si="143">C78+IF(ISNUMBER(B80),B80,0)</f>
        <v>-729715.51132530102</v>
      </c>
      <c r="D80" s="112">
        <f t="shared" si="143"/>
        <v>-643449.74120481894</v>
      </c>
      <c r="E80" s="112">
        <f t="shared" si="143"/>
        <v>-491202.68963855389</v>
      </c>
      <c r="F80" s="112">
        <f t="shared" si="143"/>
        <v>-272974.3566265055</v>
      </c>
      <c r="G80" s="112">
        <f t="shared" si="143"/>
        <v>11235.257831325755</v>
      </c>
      <c r="H80" s="112">
        <f t="shared" si="143"/>
        <v>295444.87228915701</v>
      </c>
      <c r="I80" s="112">
        <f t="shared" si="143"/>
        <v>579654.48674698826</v>
      </c>
      <c r="J80" s="112">
        <f t="shared" si="143"/>
        <v>863864.10120481951</v>
      </c>
      <c r="K80" s="112">
        <f t="shared" si="143"/>
        <v>1148073.7156626508</v>
      </c>
      <c r="L80" s="112">
        <f t="shared" si="143"/>
        <v>1432283.330120482</v>
      </c>
      <c r="M80" s="112">
        <f t="shared" si="143"/>
        <v>1716492.9445783133</v>
      </c>
      <c r="N80" s="112">
        <f t="shared" si="143"/>
        <v>2000702.5590361445</v>
      </c>
      <c r="O80" s="113">
        <f>N80</f>
        <v>2000702.5590361445</v>
      </c>
      <c r="P80" s="113"/>
      <c r="Q80" s="112">
        <f>Q78+IF(ISNUMBER(N80),N80,0)</f>
        <v>2416874.7363855424</v>
      </c>
      <c r="R80" s="112">
        <f t="shared" ref="R80:AB80" si="144">R78+IF(ISNUMBER(Q80),Q80,0)</f>
        <v>2833046.9137349403</v>
      </c>
      <c r="S80" s="112">
        <f t="shared" si="144"/>
        <v>3249219.0910843383</v>
      </c>
      <c r="T80" s="112">
        <f t="shared" si="144"/>
        <v>3665391.2684337362</v>
      </c>
      <c r="U80" s="112">
        <f t="shared" si="144"/>
        <v>4081563.4457831341</v>
      </c>
      <c r="V80" s="112">
        <f t="shared" si="144"/>
        <v>4497735.6231325325</v>
      </c>
      <c r="W80" s="112">
        <f t="shared" si="144"/>
        <v>4913907.8004819304</v>
      </c>
      <c r="X80" s="112">
        <f t="shared" si="144"/>
        <v>5330079.9778313283</v>
      </c>
      <c r="Y80" s="112">
        <f t="shared" si="144"/>
        <v>5746252.1551807262</v>
      </c>
      <c r="Z80" s="112">
        <f t="shared" si="144"/>
        <v>6162424.3325301241</v>
      </c>
      <c r="AA80" s="112">
        <f t="shared" si="144"/>
        <v>6578596.509879522</v>
      </c>
      <c r="AB80" s="112">
        <f t="shared" si="144"/>
        <v>6994768.6872289199</v>
      </c>
      <c r="AC80" s="113">
        <f>AB80</f>
        <v>6994768.6872289199</v>
      </c>
      <c r="AD80" s="113"/>
      <c r="AE80" s="112">
        <f>AE78+IF(ISNUMBER(AB80),AB80,0)</f>
        <v>7542903.427469884</v>
      </c>
      <c r="AF80" s="112">
        <f t="shared" ref="AF80:AP80" si="145">AF78+IF(ISNUMBER(AE80),AE80,0)</f>
        <v>8091038.1677108482</v>
      </c>
      <c r="AG80" s="112">
        <f t="shared" si="145"/>
        <v>8639172.9079518132</v>
      </c>
      <c r="AH80" s="112">
        <f t="shared" si="145"/>
        <v>9187307.6481927782</v>
      </c>
      <c r="AI80" s="112">
        <f t="shared" si="145"/>
        <v>9735442.3884337433</v>
      </c>
      <c r="AJ80" s="112">
        <f t="shared" si="145"/>
        <v>10283577.128674708</v>
      </c>
      <c r="AK80" s="112">
        <f t="shared" si="145"/>
        <v>10831711.868915673</v>
      </c>
      <c r="AL80" s="112">
        <f t="shared" si="145"/>
        <v>11379846.609156638</v>
      </c>
      <c r="AM80" s="112">
        <f t="shared" si="145"/>
        <v>11927981.349397603</v>
      </c>
      <c r="AN80" s="112">
        <f t="shared" si="145"/>
        <v>12476116.089638568</v>
      </c>
      <c r="AO80" s="112">
        <f t="shared" si="145"/>
        <v>13024250.829879533</v>
      </c>
      <c r="AP80" s="112">
        <f t="shared" si="145"/>
        <v>13572385.570120499</v>
      </c>
      <c r="AQ80" s="113">
        <f>AP80</f>
        <v>13572385.570120499</v>
      </c>
      <c r="AR80" s="113"/>
      <c r="AS80" s="121"/>
    </row>
    <row r="81" spans="1:45" s="73" customFormat="1" ht="12" thickBot="1">
      <c r="O81" s="90"/>
      <c r="P81" s="90"/>
      <c r="AC81" s="90"/>
      <c r="AD81" s="90"/>
      <c r="AQ81" s="90"/>
      <c r="AR81" s="90"/>
    </row>
    <row r="82" spans="1:45" s="73" customFormat="1" ht="24" thickTop="1" thickBot="1">
      <c r="A82" s="69" t="s">
        <v>13</v>
      </c>
      <c r="B82" s="70"/>
      <c r="C82" s="70" t="str">
        <f t="shared" ref="C82:N82" si="146">C$5</f>
        <v>январь</v>
      </c>
      <c r="D82" s="70" t="str">
        <f t="shared" si="146"/>
        <v>февраль</v>
      </c>
      <c r="E82" s="70" t="str">
        <f t="shared" si="146"/>
        <v>март</v>
      </c>
      <c r="F82" s="70" t="str">
        <f t="shared" si="146"/>
        <v>апрель</v>
      </c>
      <c r="G82" s="70" t="str">
        <f t="shared" si="146"/>
        <v>май</v>
      </c>
      <c r="H82" s="70" t="str">
        <f t="shared" si="146"/>
        <v>июнь</v>
      </c>
      <c r="I82" s="70" t="str">
        <f t="shared" si="146"/>
        <v>июль</v>
      </c>
      <c r="J82" s="70" t="str">
        <f t="shared" si="146"/>
        <v>август</v>
      </c>
      <c r="K82" s="70" t="str">
        <f t="shared" si="146"/>
        <v>сентябрь</v>
      </c>
      <c r="L82" s="70" t="str">
        <f t="shared" si="146"/>
        <v>октябрь</v>
      </c>
      <c r="M82" s="70" t="str">
        <f t="shared" si="146"/>
        <v>ноябрь</v>
      </c>
      <c r="N82" s="70" t="str">
        <f t="shared" si="146"/>
        <v>декабрь</v>
      </c>
      <c r="O82" s="92" t="str">
        <f>$O$15</f>
        <v>Итого за 1-й год</v>
      </c>
      <c r="P82" s="92" t="str">
        <f>$P$15</f>
        <v>Среднемесячно за 1-й год</v>
      </c>
      <c r="Q82" s="70" t="str">
        <f t="shared" ref="Q82:AB82" si="147">Q$5</f>
        <v>январь</v>
      </c>
      <c r="R82" s="70" t="str">
        <f t="shared" si="147"/>
        <v>февраль</v>
      </c>
      <c r="S82" s="70" t="str">
        <f t="shared" si="147"/>
        <v>март</v>
      </c>
      <c r="T82" s="70" t="str">
        <f t="shared" si="147"/>
        <v>апрель</v>
      </c>
      <c r="U82" s="70" t="str">
        <f t="shared" si="147"/>
        <v>май</v>
      </c>
      <c r="V82" s="70" t="str">
        <f t="shared" si="147"/>
        <v>июнь</v>
      </c>
      <c r="W82" s="70" t="str">
        <f t="shared" si="147"/>
        <v>июль</v>
      </c>
      <c r="X82" s="70" t="str">
        <f t="shared" si="147"/>
        <v>август</v>
      </c>
      <c r="Y82" s="70" t="str">
        <f t="shared" si="147"/>
        <v>сентябрь</v>
      </c>
      <c r="Z82" s="70" t="str">
        <f t="shared" si="147"/>
        <v>октябрь</v>
      </c>
      <c r="AA82" s="70" t="str">
        <f t="shared" si="147"/>
        <v>ноябрь</v>
      </c>
      <c r="AB82" s="70" t="str">
        <f t="shared" si="147"/>
        <v>декабрь</v>
      </c>
      <c r="AC82" s="92" t="str">
        <f>AC72</f>
        <v>Итого за 2-й год</v>
      </c>
      <c r="AD82" s="92" t="str">
        <f>AD72</f>
        <v>Среднемесячно за 2-й год</v>
      </c>
      <c r="AE82" s="70" t="str">
        <f t="shared" ref="AE82:AP82" si="148">AE$5</f>
        <v>январь</v>
      </c>
      <c r="AF82" s="70" t="str">
        <f t="shared" si="148"/>
        <v>февраль</v>
      </c>
      <c r="AG82" s="70" t="str">
        <f t="shared" si="148"/>
        <v>март</v>
      </c>
      <c r="AH82" s="70" t="str">
        <f t="shared" si="148"/>
        <v>апрель</v>
      </c>
      <c r="AI82" s="70" t="str">
        <f t="shared" si="148"/>
        <v>май</v>
      </c>
      <c r="AJ82" s="70" t="str">
        <f t="shared" si="148"/>
        <v>июнь</v>
      </c>
      <c r="AK82" s="70" t="str">
        <f t="shared" si="148"/>
        <v>июль</v>
      </c>
      <c r="AL82" s="70" t="str">
        <f t="shared" si="148"/>
        <v>август</v>
      </c>
      <c r="AM82" s="70" t="str">
        <f t="shared" si="148"/>
        <v>сентябрь</v>
      </c>
      <c r="AN82" s="70" t="str">
        <f t="shared" si="148"/>
        <v>октябрь</v>
      </c>
      <c r="AO82" s="70" t="str">
        <f t="shared" si="148"/>
        <v>ноябрь</v>
      </c>
      <c r="AP82" s="70" t="str">
        <f t="shared" si="148"/>
        <v>декабрь</v>
      </c>
      <c r="AQ82" s="92" t="str">
        <f>AQ72</f>
        <v>Итого за 3-й год</v>
      </c>
      <c r="AR82" s="92" t="str">
        <f>AR72</f>
        <v>Среднемесячно за 3-й год</v>
      </c>
      <c r="AS82" s="188" t="str">
        <f>AS72</f>
        <v>Итого за три года</v>
      </c>
    </row>
    <row r="83" spans="1:45" s="79" customFormat="1" ht="12" thickTop="1">
      <c r="A83" s="123" t="s">
        <v>14</v>
      </c>
      <c r="B83" s="81" t="str">
        <f>CHOOSE('Исходные данные'!$O$2,'Исходные данные'!$P$2,'Исходные данные'!$P$3,'Исходные данные'!$P$4,'Исходные данные'!$P$5)</f>
        <v>RUB</v>
      </c>
      <c r="C83" s="82">
        <f t="shared" ref="C83:N83" si="149">C73</f>
        <v>1376568</v>
      </c>
      <c r="D83" s="82">
        <f t="shared" si="149"/>
        <v>1605996</v>
      </c>
      <c r="E83" s="82">
        <f t="shared" si="149"/>
        <v>1835424</v>
      </c>
      <c r="F83" s="82">
        <f t="shared" si="149"/>
        <v>2064852</v>
      </c>
      <c r="G83" s="82">
        <f t="shared" si="149"/>
        <v>2294280</v>
      </c>
      <c r="H83" s="82">
        <f t="shared" si="149"/>
        <v>2294280</v>
      </c>
      <c r="I83" s="82">
        <f t="shared" si="149"/>
        <v>2294280</v>
      </c>
      <c r="J83" s="82">
        <f t="shared" si="149"/>
        <v>2294280</v>
      </c>
      <c r="K83" s="82">
        <f t="shared" si="149"/>
        <v>2294280</v>
      </c>
      <c r="L83" s="82">
        <f t="shared" si="149"/>
        <v>2294280</v>
      </c>
      <c r="M83" s="82">
        <f t="shared" si="149"/>
        <v>2294280</v>
      </c>
      <c r="N83" s="82">
        <f t="shared" si="149"/>
        <v>2294280</v>
      </c>
      <c r="O83" s="83">
        <f>SUM(C83:N83)</f>
        <v>25237080</v>
      </c>
      <c r="P83" s="83">
        <f>O83/12</f>
        <v>2103090</v>
      </c>
      <c r="Q83" s="82">
        <f t="shared" ref="Q83:AB83" si="150">Q73</f>
        <v>2753136</v>
      </c>
      <c r="R83" s="82">
        <f t="shared" si="150"/>
        <v>2753136</v>
      </c>
      <c r="S83" s="82">
        <f t="shared" si="150"/>
        <v>2753136</v>
      </c>
      <c r="T83" s="82">
        <f t="shared" si="150"/>
        <v>2753136</v>
      </c>
      <c r="U83" s="82">
        <f t="shared" si="150"/>
        <v>2753136</v>
      </c>
      <c r="V83" s="82">
        <f t="shared" si="150"/>
        <v>2753136</v>
      </c>
      <c r="W83" s="82">
        <f t="shared" si="150"/>
        <v>2753136</v>
      </c>
      <c r="X83" s="82">
        <f t="shared" si="150"/>
        <v>2753136</v>
      </c>
      <c r="Y83" s="82">
        <f t="shared" si="150"/>
        <v>2753136</v>
      </c>
      <c r="Z83" s="82">
        <f t="shared" si="150"/>
        <v>2753136</v>
      </c>
      <c r="AA83" s="82">
        <f t="shared" si="150"/>
        <v>2753136</v>
      </c>
      <c r="AB83" s="82">
        <f t="shared" si="150"/>
        <v>2753136</v>
      </c>
      <c r="AC83" s="83">
        <f>SUM(Q83:AB83)</f>
        <v>33037632</v>
      </c>
      <c r="AD83" s="83">
        <f>AC83/12</f>
        <v>2753136</v>
      </c>
      <c r="AE83" s="82">
        <f t="shared" ref="AE83:AP83" si="151">AE73</f>
        <v>3211992</v>
      </c>
      <c r="AF83" s="82">
        <f t="shared" si="151"/>
        <v>3211992</v>
      </c>
      <c r="AG83" s="82">
        <f t="shared" si="151"/>
        <v>3211992</v>
      </c>
      <c r="AH83" s="82">
        <f t="shared" si="151"/>
        <v>3211992</v>
      </c>
      <c r="AI83" s="82">
        <f t="shared" si="151"/>
        <v>3211992</v>
      </c>
      <c r="AJ83" s="82">
        <f t="shared" si="151"/>
        <v>3211992</v>
      </c>
      <c r="AK83" s="82">
        <f t="shared" si="151"/>
        <v>3211992</v>
      </c>
      <c r="AL83" s="82">
        <f t="shared" si="151"/>
        <v>3211992</v>
      </c>
      <c r="AM83" s="82">
        <f t="shared" si="151"/>
        <v>3211992</v>
      </c>
      <c r="AN83" s="82">
        <f t="shared" si="151"/>
        <v>3211992</v>
      </c>
      <c r="AO83" s="82">
        <f t="shared" si="151"/>
        <v>3211992</v>
      </c>
      <c r="AP83" s="82">
        <f t="shared" si="151"/>
        <v>3211992</v>
      </c>
      <c r="AQ83" s="83">
        <f>SUM(AE83:AP83)</f>
        <v>38543904</v>
      </c>
      <c r="AR83" s="83">
        <f>AQ83/12</f>
        <v>3211992</v>
      </c>
      <c r="AS83" s="124">
        <f>O83+AC83+AQ83</f>
        <v>96818616</v>
      </c>
    </row>
    <row r="84" spans="1:45" s="79" customFormat="1" ht="11.25">
      <c r="A84" s="123" t="s">
        <v>1</v>
      </c>
      <c r="B84" s="81" t="str">
        <f>CHOOSE('Исходные данные'!$O$2,'Исходные данные'!$P$2,'Исходные данные'!$P$3,'Исходные данные'!$P$4,'Исходные данные'!$P$5)</f>
        <v>RUB</v>
      </c>
      <c r="C84" s="82">
        <f t="shared" ref="C84:N84" si="152">-(C33+C70)</f>
        <v>-1356283.5113253011</v>
      </c>
      <c r="D84" s="82">
        <f t="shared" si="152"/>
        <v>-1519730.229879518</v>
      </c>
      <c r="E84" s="82">
        <f t="shared" si="152"/>
        <v>-1683176.9484337349</v>
      </c>
      <c r="F84" s="82">
        <f t="shared" si="152"/>
        <v>-1846623.6669879516</v>
      </c>
      <c r="G84" s="82">
        <f t="shared" si="152"/>
        <v>-2010070.3855421687</v>
      </c>
      <c r="H84" s="82">
        <f t="shared" si="152"/>
        <v>-2010070.3855421687</v>
      </c>
      <c r="I84" s="82">
        <f t="shared" si="152"/>
        <v>-2010070.3855421687</v>
      </c>
      <c r="J84" s="82">
        <f t="shared" si="152"/>
        <v>-2010070.3855421687</v>
      </c>
      <c r="K84" s="82">
        <f t="shared" si="152"/>
        <v>-2010070.3855421687</v>
      </c>
      <c r="L84" s="82">
        <f t="shared" si="152"/>
        <v>-2010070.3855421687</v>
      </c>
      <c r="M84" s="82">
        <f t="shared" si="152"/>
        <v>-2010070.3855421687</v>
      </c>
      <c r="N84" s="82">
        <f t="shared" si="152"/>
        <v>-2010070.3855421687</v>
      </c>
      <c r="O84" s="83">
        <f>SUM(C84:N84)</f>
        <v>-22486377.440963857</v>
      </c>
      <c r="P84" s="83">
        <f>O84/12</f>
        <v>-1873864.7867469881</v>
      </c>
      <c r="Q84" s="82">
        <f t="shared" ref="Q84:AB84" si="153">-(Q33+Q70)</f>
        <v>-2336963.8226506021</v>
      </c>
      <c r="R84" s="82">
        <f t="shared" si="153"/>
        <v>-2336963.8226506021</v>
      </c>
      <c r="S84" s="82">
        <f t="shared" si="153"/>
        <v>-2336963.8226506021</v>
      </c>
      <c r="T84" s="82">
        <f t="shared" si="153"/>
        <v>-2336963.8226506021</v>
      </c>
      <c r="U84" s="82">
        <f t="shared" si="153"/>
        <v>-2336963.8226506021</v>
      </c>
      <c r="V84" s="82">
        <f t="shared" si="153"/>
        <v>-2336963.8226506021</v>
      </c>
      <c r="W84" s="82">
        <f t="shared" si="153"/>
        <v>-2336963.8226506021</v>
      </c>
      <c r="X84" s="82">
        <f t="shared" si="153"/>
        <v>-2336963.8226506021</v>
      </c>
      <c r="Y84" s="82">
        <f t="shared" si="153"/>
        <v>-2336963.8226506021</v>
      </c>
      <c r="Z84" s="82">
        <f t="shared" si="153"/>
        <v>-2336963.8226506021</v>
      </c>
      <c r="AA84" s="82">
        <f t="shared" si="153"/>
        <v>-2336963.8226506021</v>
      </c>
      <c r="AB84" s="82">
        <f t="shared" si="153"/>
        <v>-2336963.8226506021</v>
      </c>
      <c r="AC84" s="83">
        <f>SUM(Q84:AB84)</f>
        <v>-28043565.871807232</v>
      </c>
      <c r="AD84" s="83">
        <f>AC84/12</f>
        <v>-2336963.8226506026</v>
      </c>
      <c r="AE84" s="82">
        <f t="shared" ref="AE84:AP84" si="154">-(AE33+AE70)</f>
        <v>-2663857.2597590359</v>
      </c>
      <c r="AF84" s="82">
        <f t="shared" si="154"/>
        <v>-2663857.2597590359</v>
      </c>
      <c r="AG84" s="82">
        <f t="shared" si="154"/>
        <v>-2663857.2597590359</v>
      </c>
      <c r="AH84" s="82">
        <f t="shared" si="154"/>
        <v>-2663857.2597590359</v>
      </c>
      <c r="AI84" s="82">
        <f t="shared" si="154"/>
        <v>-2663857.2597590359</v>
      </c>
      <c r="AJ84" s="82">
        <f t="shared" si="154"/>
        <v>-2663857.2597590359</v>
      </c>
      <c r="AK84" s="82">
        <f t="shared" si="154"/>
        <v>-2663857.2597590359</v>
      </c>
      <c r="AL84" s="82">
        <f t="shared" si="154"/>
        <v>-2663857.2597590359</v>
      </c>
      <c r="AM84" s="82">
        <f t="shared" si="154"/>
        <v>-2663857.2597590359</v>
      </c>
      <c r="AN84" s="82">
        <f t="shared" si="154"/>
        <v>-2663857.2597590359</v>
      </c>
      <c r="AO84" s="82">
        <f t="shared" si="154"/>
        <v>-2663857.2597590359</v>
      </c>
      <c r="AP84" s="82">
        <f t="shared" si="154"/>
        <v>-2663857.2597590359</v>
      </c>
      <c r="AQ84" s="83">
        <f>SUM(AE84:AP84)</f>
        <v>-31966287.117108423</v>
      </c>
      <c r="AR84" s="83">
        <f>AQ84/12</f>
        <v>-2663857.2597590354</v>
      </c>
      <c r="AS84" s="124">
        <f>O84+AC84+AQ84</f>
        <v>-82496230.429879516</v>
      </c>
    </row>
    <row r="85" spans="1:45" s="79" customFormat="1" ht="11.25">
      <c r="A85" s="123" t="s">
        <v>15</v>
      </c>
      <c r="B85" s="81" t="str">
        <f>CHOOSE('Исходные данные'!$O$2,'Исходные данные'!$P$2,'Исходные данные'!$P$3,'Исходные данные'!$P$4,'Исходные данные'!$P$5)</f>
        <v>RUB</v>
      </c>
      <c r="C85" s="82">
        <f t="shared" ref="C85:N85" si="155">SUM(C83:C84)</f>
        <v>20284.488674698863</v>
      </c>
      <c r="D85" s="82">
        <f t="shared" si="155"/>
        <v>86265.77012048196</v>
      </c>
      <c r="E85" s="82">
        <f t="shared" si="155"/>
        <v>152247.05156626506</v>
      </c>
      <c r="F85" s="82">
        <f t="shared" si="155"/>
        <v>218228.33301204839</v>
      </c>
      <c r="G85" s="82">
        <f t="shared" si="155"/>
        <v>284209.61445783125</v>
      </c>
      <c r="H85" s="82">
        <f t="shared" si="155"/>
        <v>284209.61445783125</v>
      </c>
      <c r="I85" s="82">
        <f t="shared" si="155"/>
        <v>284209.61445783125</v>
      </c>
      <c r="J85" s="82">
        <f t="shared" si="155"/>
        <v>284209.61445783125</v>
      </c>
      <c r="K85" s="82">
        <f t="shared" si="155"/>
        <v>284209.61445783125</v>
      </c>
      <c r="L85" s="82">
        <f t="shared" si="155"/>
        <v>284209.61445783125</v>
      </c>
      <c r="M85" s="82">
        <f t="shared" si="155"/>
        <v>284209.61445783125</v>
      </c>
      <c r="N85" s="82">
        <f t="shared" si="155"/>
        <v>284209.61445783125</v>
      </c>
      <c r="O85" s="83">
        <f>SUM(C85:N85)</f>
        <v>2750702.5590361441</v>
      </c>
      <c r="P85" s="83">
        <f>O85/12</f>
        <v>229225.21325301201</v>
      </c>
      <c r="Q85" s="82">
        <f t="shared" ref="Q85:AB85" si="156">SUM(Q83:Q84)</f>
        <v>416172.17734939791</v>
      </c>
      <c r="R85" s="82">
        <f t="shared" si="156"/>
        <v>416172.17734939791</v>
      </c>
      <c r="S85" s="82">
        <f t="shared" si="156"/>
        <v>416172.17734939791</v>
      </c>
      <c r="T85" s="82">
        <f t="shared" si="156"/>
        <v>416172.17734939791</v>
      </c>
      <c r="U85" s="82">
        <f t="shared" si="156"/>
        <v>416172.17734939791</v>
      </c>
      <c r="V85" s="82">
        <f t="shared" si="156"/>
        <v>416172.17734939791</v>
      </c>
      <c r="W85" s="82">
        <f t="shared" si="156"/>
        <v>416172.17734939791</v>
      </c>
      <c r="X85" s="82">
        <f t="shared" si="156"/>
        <v>416172.17734939791</v>
      </c>
      <c r="Y85" s="82">
        <f t="shared" si="156"/>
        <v>416172.17734939791</v>
      </c>
      <c r="Z85" s="82">
        <f t="shared" si="156"/>
        <v>416172.17734939791</v>
      </c>
      <c r="AA85" s="82">
        <f t="shared" si="156"/>
        <v>416172.17734939791</v>
      </c>
      <c r="AB85" s="82">
        <f t="shared" si="156"/>
        <v>416172.17734939791</v>
      </c>
      <c r="AC85" s="83">
        <f>SUM(Q85:AB85)</f>
        <v>4994066.128192775</v>
      </c>
      <c r="AD85" s="83">
        <f>AC85/12</f>
        <v>416172.17734939791</v>
      </c>
      <c r="AE85" s="82">
        <f t="shared" ref="AE85:AP85" si="157">SUM(AE83:AE84)</f>
        <v>548134.74024096411</v>
      </c>
      <c r="AF85" s="82">
        <f t="shared" si="157"/>
        <v>548134.74024096411</v>
      </c>
      <c r="AG85" s="82">
        <f t="shared" si="157"/>
        <v>548134.74024096411</v>
      </c>
      <c r="AH85" s="82">
        <f t="shared" si="157"/>
        <v>548134.74024096411</v>
      </c>
      <c r="AI85" s="82">
        <f t="shared" si="157"/>
        <v>548134.74024096411</v>
      </c>
      <c r="AJ85" s="82">
        <f t="shared" si="157"/>
        <v>548134.74024096411</v>
      </c>
      <c r="AK85" s="82">
        <f t="shared" si="157"/>
        <v>548134.74024096411</v>
      </c>
      <c r="AL85" s="82">
        <f t="shared" si="157"/>
        <v>548134.74024096411</v>
      </c>
      <c r="AM85" s="82">
        <f t="shared" si="157"/>
        <v>548134.74024096411</v>
      </c>
      <c r="AN85" s="82">
        <f t="shared" si="157"/>
        <v>548134.74024096411</v>
      </c>
      <c r="AO85" s="82">
        <f t="shared" si="157"/>
        <v>548134.74024096411</v>
      </c>
      <c r="AP85" s="82">
        <f t="shared" si="157"/>
        <v>548134.74024096411</v>
      </c>
      <c r="AQ85" s="83">
        <f>SUM(AE85:AP85)</f>
        <v>6577616.8828915693</v>
      </c>
      <c r="AR85" s="83">
        <f>AQ85/12</f>
        <v>548134.74024096411</v>
      </c>
      <c r="AS85" s="124">
        <f>O85+AC85+AQ85</f>
        <v>14322385.570120487</v>
      </c>
    </row>
    <row r="86" spans="1:45" s="79" customFormat="1" ht="11.25">
      <c r="A86" s="123" t="s">
        <v>16</v>
      </c>
      <c r="B86" s="81" t="str">
        <f>CHOOSE('Исходные данные'!$O$2,'Исходные данные'!$P$2,'Исходные данные'!$P$3,'Исходные данные'!$P$4,'Исходные данные'!$P$5)</f>
        <v>RUB</v>
      </c>
      <c r="C86" s="82">
        <f t="shared" ref="C86:N86" si="158">-(C46)</f>
        <v>-750000</v>
      </c>
      <c r="D86" s="82">
        <f t="shared" si="158"/>
        <v>0</v>
      </c>
      <c r="E86" s="82">
        <f t="shared" si="158"/>
        <v>0</v>
      </c>
      <c r="F86" s="82">
        <f t="shared" si="158"/>
        <v>0</v>
      </c>
      <c r="G86" s="82">
        <f t="shared" si="158"/>
        <v>0</v>
      </c>
      <c r="H86" s="82">
        <f t="shared" si="158"/>
        <v>0</v>
      </c>
      <c r="I86" s="82">
        <f t="shared" si="158"/>
        <v>0</v>
      </c>
      <c r="J86" s="82">
        <f t="shared" si="158"/>
        <v>0</v>
      </c>
      <c r="K86" s="82">
        <f t="shared" si="158"/>
        <v>0</v>
      </c>
      <c r="L86" s="82">
        <f t="shared" si="158"/>
        <v>0</v>
      </c>
      <c r="M86" s="82">
        <f t="shared" si="158"/>
        <v>0</v>
      </c>
      <c r="N86" s="82">
        <f t="shared" si="158"/>
        <v>0</v>
      </c>
      <c r="O86" s="83">
        <f>SUM(C86:N86)</f>
        <v>-750000</v>
      </c>
      <c r="P86" s="83"/>
      <c r="Q86" s="82">
        <f t="shared" ref="Q86:AB86" si="159">-(Q46)</f>
        <v>0</v>
      </c>
      <c r="R86" s="82">
        <f t="shared" si="159"/>
        <v>0</v>
      </c>
      <c r="S86" s="82">
        <f t="shared" si="159"/>
        <v>0</v>
      </c>
      <c r="T86" s="82">
        <f t="shared" si="159"/>
        <v>0</v>
      </c>
      <c r="U86" s="82">
        <f t="shared" si="159"/>
        <v>0</v>
      </c>
      <c r="V86" s="82">
        <f t="shared" si="159"/>
        <v>0</v>
      </c>
      <c r="W86" s="82">
        <f t="shared" si="159"/>
        <v>0</v>
      </c>
      <c r="X86" s="82">
        <f t="shared" si="159"/>
        <v>0</v>
      </c>
      <c r="Y86" s="82">
        <f t="shared" si="159"/>
        <v>0</v>
      </c>
      <c r="Z86" s="82">
        <f t="shared" si="159"/>
        <v>0</v>
      </c>
      <c r="AA86" s="82">
        <f t="shared" si="159"/>
        <v>0</v>
      </c>
      <c r="AB86" s="82">
        <f t="shared" si="159"/>
        <v>0</v>
      </c>
      <c r="AC86" s="83">
        <f>SUM(Q86:AB86)</f>
        <v>0</v>
      </c>
      <c r="AD86" s="83"/>
      <c r="AE86" s="82">
        <f t="shared" ref="AE86:AP86" si="160">-(AE46)</f>
        <v>0</v>
      </c>
      <c r="AF86" s="82">
        <f t="shared" si="160"/>
        <v>0</v>
      </c>
      <c r="AG86" s="82">
        <f t="shared" si="160"/>
        <v>0</v>
      </c>
      <c r="AH86" s="82">
        <f t="shared" si="160"/>
        <v>0</v>
      </c>
      <c r="AI86" s="82">
        <f t="shared" si="160"/>
        <v>0</v>
      </c>
      <c r="AJ86" s="82">
        <f t="shared" si="160"/>
        <v>0</v>
      </c>
      <c r="AK86" s="82">
        <f t="shared" si="160"/>
        <v>0</v>
      </c>
      <c r="AL86" s="82">
        <f t="shared" si="160"/>
        <v>0</v>
      </c>
      <c r="AM86" s="82">
        <f t="shared" si="160"/>
        <v>0</v>
      </c>
      <c r="AN86" s="82">
        <f t="shared" si="160"/>
        <v>0</v>
      </c>
      <c r="AO86" s="82">
        <f t="shared" si="160"/>
        <v>0</v>
      </c>
      <c r="AP86" s="82">
        <f t="shared" si="160"/>
        <v>0</v>
      </c>
      <c r="AQ86" s="83">
        <f>SUM(AE86:AP86)</f>
        <v>0</v>
      </c>
      <c r="AR86" s="83"/>
      <c r="AS86" s="124">
        <f>O86+AC86+AQ86</f>
        <v>-750000</v>
      </c>
    </row>
    <row r="87" spans="1:45" s="127" customFormat="1" ht="11.25">
      <c r="A87" s="123" t="s">
        <v>17</v>
      </c>
      <c r="B87" s="116" t="str">
        <f>CHOOSE('Исходные данные'!$O$2,'Исходные данные'!$P$2,'Исходные данные'!$P$3,'Исходные данные'!$P$4,'Исходные данные'!$P$5)</f>
        <v>RUB</v>
      </c>
      <c r="C87" s="125">
        <f t="shared" ref="C87:N87" si="161">C46</f>
        <v>750000</v>
      </c>
      <c r="D87" s="125">
        <f t="shared" si="161"/>
        <v>0</v>
      </c>
      <c r="E87" s="125">
        <f t="shared" si="161"/>
        <v>0</v>
      </c>
      <c r="F87" s="125">
        <f t="shared" si="161"/>
        <v>0</v>
      </c>
      <c r="G87" s="125">
        <f t="shared" si="161"/>
        <v>0</v>
      </c>
      <c r="H87" s="125">
        <f t="shared" si="161"/>
        <v>0</v>
      </c>
      <c r="I87" s="125">
        <f t="shared" si="161"/>
        <v>0</v>
      </c>
      <c r="J87" s="125">
        <f t="shared" si="161"/>
        <v>0</v>
      </c>
      <c r="K87" s="125">
        <f t="shared" si="161"/>
        <v>0</v>
      </c>
      <c r="L87" s="125">
        <f t="shared" si="161"/>
        <v>0</v>
      </c>
      <c r="M87" s="125">
        <f t="shared" si="161"/>
        <v>0</v>
      </c>
      <c r="N87" s="125">
        <f t="shared" si="161"/>
        <v>0</v>
      </c>
      <c r="O87" s="83">
        <f>SUM(C87:N87)</f>
        <v>750000</v>
      </c>
      <c r="P87" s="83"/>
      <c r="Q87" s="125">
        <f t="shared" ref="Q87:AB87" si="162">Q46</f>
        <v>0</v>
      </c>
      <c r="R87" s="125">
        <f t="shared" si="162"/>
        <v>0</v>
      </c>
      <c r="S87" s="125">
        <f t="shared" si="162"/>
        <v>0</v>
      </c>
      <c r="T87" s="125">
        <f t="shared" si="162"/>
        <v>0</v>
      </c>
      <c r="U87" s="125">
        <f t="shared" si="162"/>
        <v>0</v>
      </c>
      <c r="V87" s="125">
        <f t="shared" si="162"/>
        <v>0</v>
      </c>
      <c r="W87" s="125">
        <f t="shared" si="162"/>
        <v>0</v>
      </c>
      <c r="X87" s="125">
        <f t="shared" si="162"/>
        <v>0</v>
      </c>
      <c r="Y87" s="125">
        <f t="shared" si="162"/>
        <v>0</v>
      </c>
      <c r="Z87" s="125">
        <f t="shared" si="162"/>
        <v>0</v>
      </c>
      <c r="AA87" s="125">
        <f t="shared" si="162"/>
        <v>0</v>
      </c>
      <c r="AB87" s="125">
        <f t="shared" si="162"/>
        <v>0</v>
      </c>
      <c r="AC87" s="83">
        <f>SUM(Q87:AB87)</f>
        <v>0</v>
      </c>
      <c r="AD87" s="83"/>
      <c r="AE87" s="125">
        <f t="shared" ref="AE87:AP87" si="163">AE46</f>
        <v>0</v>
      </c>
      <c r="AF87" s="125">
        <f t="shared" si="163"/>
        <v>0</v>
      </c>
      <c r="AG87" s="125">
        <f t="shared" si="163"/>
        <v>0</v>
      </c>
      <c r="AH87" s="125">
        <f t="shared" si="163"/>
        <v>0</v>
      </c>
      <c r="AI87" s="125">
        <f t="shared" si="163"/>
        <v>0</v>
      </c>
      <c r="AJ87" s="125">
        <f t="shared" si="163"/>
        <v>0</v>
      </c>
      <c r="AK87" s="125">
        <f t="shared" si="163"/>
        <v>0</v>
      </c>
      <c r="AL87" s="125">
        <f t="shared" si="163"/>
        <v>0</v>
      </c>
      <c r="AM87" s="125">
        <f t="shared" si="163"/>
        <v>0</v>
      </c>
      <c r="AN87" s="125">
        <f t="shared" si="163"/>
        <v>0</v>
      </c>
      <c r="AO87" s="125">
        <f t="shared" si="163"/>
        <v>0</v>
      </c>
      <c r="AP87" s="125">
        <f t="shared" si="163"/>
        <v>0</v>
      </c>
      <c r="AQ87" s="83">
        <f>SUM(AE87:AP87)</f>
        <v>0</v>
      </c>
      <c r="AR87" s="83"/>
      <c r="AS87" s="126">
        <f>O87+AC87+AQ87</f>
        <v>750000</v>
      </c>
    </row>
    <row r="88" spans="1:45" s="79" customFormat="1" ht="11.25">
      <c r="A88" s="123" t="s">
        <v>18</v>
      </c>
      <c r="B88" s="81" t="str">
        <f>CHOOSE('Исходные данные'!$O$2,'Исходные данные'!$P$2,'Исходные данные'!$P$3,'Исходные данные'!$P$4,'Исходные данные'!$P$5)</f>
        <v>RUB</v>
      </c>
      <c r="C88" s="82">
        <v>0</v>
      </c>
      <c r="D88" s="82">
        <f>C89</f>
        <v>20284.488674698863</v>
      </c>
      <c r="E88" s="82">
        <f t="shared" ref="E88:N88" si="164">D89</f>
        <v>106550.25879518082</v>
      </c>
      <c r="F88" s="82">
        <f t="shared" si="164"/>
        <v>258797.31036144588</v>
      </c>
      <c r="G88" s="82">
        <f t="shared" si="164"/>
        <v>477025.64337349427</v>
      </c>
      <c r="H88" s="82">
        <f t="shared" si="164"/>
        <v>761235.25783132552</v>
      </c>
      <c r="I88" s="82">
        <f t="shared" si="164"/>
        <v>1045444.8722891568</v>
      </c>
      <c r="J88" s="82">
        <f t="shared" si="164"/>
        <v>1329654.486746988</v>
      </c>
      <c r="K88" s="82">
        <f t="shared" si="164"/>
        <v>1613864.1012048193</v>
      </c>
      <c r="L88" s="82">
        <f t="shared" si="164"/>
        <v>1898073.7156626505</v>
      </c>
      <c r="M88" s="82">
        <f t="shared" si="164"/>
        <v>2182283.3301204816</v>
      </c>
      <c r="N88" s="82">
        <f t="shared" si="164"/>
        <v>2466492.9445783128</v>
      </c>
      <c r="O88" s="83">
        <f>C88</f>
        <v>0</v>
      </c>
      <c r="P88" s="83"/>
      <c r="Q88" s="82">
        <f>N89</f>
        <v>2750702.5590361441</v>
      </c>
      <c r="R88" s="82">
        <f t="shared" ref="R88:AB88" si="165">Q89</f>
        <v>3166874.736385542</v>
      </c>
      <c r="S88" s="82">
        <f t="shared" si="165"/>
        <v>3583046.9137349399</v>
      </c>
      <c r="T88" s="82">
        <f t="shared" si="165"/>
        <v>3999219.0910843378</v>
      </c>
      <c r="U88" s="82">
        <f t="shared" si="165"/>
        <v>4415391.2684337357</v>
      </c>
      <c r="V88" s="82">
        <f t="shared" si="165"/>
        <v>4831563.4457831336</v>
      </c>
      <c r="W88" s="82">
        <f t="shared" si="165"/>
        <v>5247735.6231325315</v>
      </c>
      <c r="X88" s="82">
        <f t="shared" si="165"/>
        <v>5663907.8004819294</v>
      </c>
      <c r="Y88" s="82">
        <f t="shared" si="165"/>
        <v>6080079.9778313274</v>
      </c>
      <c r="Z88" s="82">
        <f t="shared" si="165"/>
        <v>6496252.1551807253</v>
      </c>
      <c r="AA88" s="82">
        <f t="shared" si="165"/>
        <v>6912424.3325301232</v>
      </c>
      <c r="AB88" s="82">
        <f t="shared" si="165"/>
        <v>7328596.5098795211</v>
      </c>
      <c r="AC88" s="83">
        <f>Q88</f>
        <v>2750702.5590361441</v>
      </c>
      <c r="AD88" s="83"/>
      <c r="AE88" s="82">
        <f>AB89</f>
        <v>7744768.687228919</v>
      </c>
      <c r="AF88" s="82">
        <f t="shared" ref="AF88:AP88" si="166">AE89</f>
        <v>8292903.4274698831</v>
      </c>
      <c r="AG88" s="82">
        <f t="shared" si="166"/>
        <v>8841038.1677108482</v>
      </c>
      <c r="AH88" s="82">
        <f t="shared" si="166"/>
        <v>9389172.9079518132</v>
      </c>
      <c r="AI88" s="82">
        <f t="shared" si="166"/>
        <v>9937307.6481927782</v>
      </c>
      <c r="AJ88" s="82">
        <f t="shared" si="166"/>
        <v>10485442.388433743</v>
      </c>
      <c r="AK88" s="82">
        <f t="shared" si="166"/>
        <v>11033577.128674708</v>
      </c>
      <c r="AL88" s="82">
        <f t="shared" si="166"/>
        <v>11581711.868915673</v>
      </c>
      <c r="AM88" s="82">
        <f t="shared" si="166"/>
        <v>12129846.609156638</v>
      </c>
      <c r="AN88" s="82">
        <f t="shared" si="166"/>
        <v>12677981.349397603</v>
      </c>
      <c r="AO88" s="82">
        <f t="shared" si="166"/>
        <v>13226116.089638568</v>
      </c>
      <c r="AP88" s="82">
        <f t="shared" si="166"/>
        <v>13774250.829879533</v>
      </c>
      <c r="AQ88" s="83">
        <f>AE88</f>
        <v>7744768.687228919</v>
      </c>
      <c r="AR88" s="83"/>
      <c r="AS88" s="124">
        <f>O88</f>
        <v>0</v>
      </c>
    </row>
    <row r="89" spans="1:45" s="79" customFormat="1" ht="11.25">
      <c r="A89" s="123" t="s">
        <v>19</v>
      </c>
      <c r="B89" s="81" t="str">
        <f>CHOOSE('Исходные данные'!$O$2,'Исходные данные'!$P$2,'Исходные данные'!$P$3,'Исходные данные'!$P$4,'Исходные данные'!$P$5)</f>
        <v>RUB</v>
      </c>
      <c r="C89" s="82">
        <f>C85+C86+C87+C88</f>
        <v>20284.488674698863</v>
      </c>
      <c r="D89" s="82">
        <f>D85+D86+D87+D88</f>
        <v>106550.25879518082</v>
      </c>
      <c r="E89" s="82">
        <f t="shared" ref="E89:N89" si="167">E85+E86+E87+E88</f>
        <v>258797.31036144588</v>
      </c>
      <c r="F89" s="82">
        <f t="shared" si="167"/>
        <v>477025.64337349427</v>
      </c>
      <c r="G89" s="82">
        <f t="shared" si="167"/>
        <v>761235.25783132552</v>
      </c>
      <c r="H89" s="82">
        <f t="shared" si="167"/>
        <v>1045444.8722891568</v>
      </c>
      <c r="I89" s="82">
        <f t="shared" si="167"/>
        <v>1329654.486746988</v>
      </c>
      <c r="J89" s="82">
        <f t="shared" si="167"/>
        <v>1613864.1012048193</v>
      </c>
      <c r="K89" s="82">
        <f t="shared" si="167"/>
        <v>1898073.7156626505</v>
      </c>
      <c r="L89" s="82">
        <f t="shared" si="167"/>
        <v>2182283.3301204816</v>
      </c>
      <c r="M89" s="82">
        <f t="shared" si="167"/>
        <v>2466492.9445783128</v>
      </c>
      <c r="N89" s="82">
        <f t="shared" si="167"/>
        <v>2750702.5590361441</v>
      </c>
      <c r="O89" s="83">
        <f>N89</f>
        <v>2750702.5590361441</v>
      </c>
      <c r="P89" s="83"/>
      <c r="Q89" s="82">
        <f>Q85+Q86+Q87+Q88</f>
        <v>3166874.736385542</v>
      </c>
      <c r="R89" s="82">
        <f>R85+R86+R87+R88</f>
        <v>3583046.9137349399</v>
      </c>
      <c r="S89" s="82">
        <f t="shared" ref="S89:AB89" si="168">S85+S86+S87+S88</f>
        <v>3999219.0910843378</v>
      </c>
      <c r="T89" s="82">
        <f t="shared" si="168"/>
        <v>4415391.2684337357</v>
      </c>
      <c r="U89" s="82">
        <f t="shared" si="168"/>
        <v>4831563.4457831336</v>
      </c>
      <c r="V89" s="82">
        <f t="shared" si="168"/>
        <v>5247735.6231325315</v>
      </c>
      <c r="W89" s="82">
        <f t="shared" si="168"/>
        <v>5663907.8004819294</v>
      </c>
      <c r="X89" s="82">
        <f t="shared" si="168"/>
        <v>6080079.9778313274</v>
      </c>
      <c r="Y89" s="82">
        <f t="shared" si="168"/>
        <v>6496252.1551807253</v>
      </c>
      <c r="Z89" s="82">
        <f t="shared" si="168"/>
        <v>6912424.3325301232</v>
      </c>
      <c r="AA89" s="82">
        <f t="shared" si="168"/>
        <v>7328596.5098795211</v>
      </c>
      <c r="AB89" s="82">
        <f t="shared" si="168"/>
        <v>7744768.687228919</v>
      </c>
      <c r="AC89" s="83">
        <f>AB89</f>
        <v>7744768.687228919</v>
      </c>
      <c r="AD89" s="83"/>
      <c r="AE89" s="82">
        <f>AE85+AE86+AE87+AE88</f>
        <v>8292903.4274698831</v>
      </c>
      <c r="AF89" s="82">
        <f>AF85+AF86+AF87+AF88</f>
        <v>8841038.1677108482</v>
      </c>
      <c r="AG89" s="82">
        <f t="shared" ref="AG89:AP89" si="169">AG85+AG86+AG87+AG88</f>
        <v>9389172.9079518132</v>
      </c>
      <c r="AH89" s="82">
        <f t="shared" si="169"/>
        <v>9937307.6481927782</v>
      </c>
      <c r="AI89" s="82">
        <f t="shared" si="169"/>
        <v>10485442.388433743</v>
      </c>
      <c r="AJ89" s="82">
        <f t="shared" si="169"/>
        <v>11033577.128674708</v>
      </c>
      <c r="AK89" s="82">
        <f t="shared" si="169"/>
        <v>11581711.868915673</v>
      </c>
      <c r="AL89" s="82">
        <f t="shared" si="169"/>
        <v>12129846.609156638</v>
      </c>
      <c r="AM89" s="82">
        <f t="shared" si="169"/>
        <v>12677981.349397603</v>
      </c>
      <c r="AN89" s="82">
        <f t="shared" si="169"/>
        <v>13226116.089638568</v>
      </c>
      <c r="AO89" s="82">
        <f t="shared" si="169"/>
        <v>13774250.829879533</v>
      </c>
      <c r="AP89" s="82">
        <f t="shared" si="169"/>
        <v>14322385.570120499</v>
      </c>
      <c r="AQ89" s="83">
        <f>AP89</f>
        <v>14322385.570120499</v>
      </c>
      <c r="AR89" s="83"/>
      <c r="AS89" s="124">
        <f>AQ89</f>
        <v>14322385.570120499</v>
      </c>
    </row>
    <row r="90" spans="1:45" s="73" customFormat="1" ht="12" thickBot="1">
      <c r="O90" s="90"/>
      <c r="P90" s="90"/>
      <c r="AC90" s="90"/>
      <c r="AD90" s="90"/>
      <c r="AQ90" s="90"/>
      <c r="AR90" s="90"/>
    </row>
    <row r="91" spans="1:45" s="73" customFormat="1" thickTop="1" thickBot="1">
      <c r="A91" s="69" t="s">
        <v>20</v>
      </c>
      <c r="B91" s="70"/>
      <c r="C91" s="70" t="str">
        <f t="shared" ref="C91:AP91" si="170">C$5</f>
        <v>январь</v>
      </c>
      <c r="D91" s="70" t="str">
        <f t="shared" si="170"/>
        <v>февраль</v>
      </c>
      <c r="E91" s="70" t="str">
        <f t="shared" si="170"/>
        <v>март</v>
      </c>
      <c r="F91" s="70" t="str">
        <f t="shared" si="170"/>
        <v>апрель</v>
      </c>
      <c r="G91" s="70" t="str">
        <f t="shared" si="170"/>
        <v>май</v>
      </c>
      <c r="H91" s="70" t="str">
        <f t="shared" si="170"/>
        <v>июнь</v>
      </c>
      <c r="I91" s="70" t="str">
        <f t="shared" si="170"/>
        <v>июль</v>
      </c>
      <c r="J91" s="70" t="str">
        <f t="shared" si="170"/>
        <v>август</v>
      </c>
      <c r="K91" s="70" t="str">
        <f t="shared" si="170"/>
        <v>сентябрь</v>
      </c>
      <c r="L91" s="70" t="str">
        <f t="shared" si="170"/>
        <v>октябрь</v>
      </c>
      <c r="M91" s="70" t="str">
        <f t="shared" si="170"/>
        <v>ноябрь</v>
      </c>
      <c r="N91" s="70" t="str">
        <f t="shared" si="170"/>
        <v>декабрь</v>
      </c>
      <c r="O91" s="128"/>
      <c r="P91" s="128"/>
      <c r="Q91" s="70" t="str">
        <f t="shared" si="170"/>
        <v>январь</v>
      </c>
      <c r="R91" s="70" t="str">
        <f t="shared" si="170"/>
        <v>февраль</v>
      </c>
      <c r="S91" s="70" t="str">
        <f t="shared" si="170"/>
        <v>март</v>
      </c>
      <c r="T91" s="70" t="str">
        <f t="shared" si="170"/>
        <v>апрель</v>
      </c>
      <c r="U91" s="70" t="str">
        <f t="shared" si="170"/>
        <v>май</v>
      </c>
      <c r="V91" s="70" t="str">
        <f t="shared" si="170"/>
        <v>июнь</v>
      </c>
      <c r="W91" s="70" t="str">
        <f t="shared" si="170"/>
        <v>июль</v>
      </c>
      <c r="X91" s="70" t="str">
        <f t="shared" si="170"/>
        <v>август</v>
      </c>
      <c r="Y91" s="70" t="str">
        <f t="shared" si="170"/>
        <v>сентябрь</v>
      </c>
      <c r="Z91" s="70" t="str">
        <f t="shared" si="170"/>
        <v>октябрь</v>
      </c>
      <c r="AA91" s="70" t="str">
        <f t="shared" si="170"/>
        <v>ноябрь</v>
      </c>
      <c r="AB91" s="70" t="str">
        <f t="shared" si="170"/>
        <v>декабрь</v>
      </c>
      <c r="AC91" s="128"/>
      <c r="AD91" s="128"/>
      <c r="AE91" s="70" t="str">
        <f t="shared" si="170"/>
        <v>январь</v>
      </c>
      <c r="AF91" s="70" t="str">
        <f t="shared" si="170"/>
        <v>февраль</v>
      </c>
      <c r="AG91" s="70" t="str">
        <f t="shared" si="170"/>
        <v>март</v>
      </c>
      <c r="AH91" s="70" t="str">
        <f t="shared" si="170"/>
        <v>апрель</v>
      </c>
      <c r="AI91" s="70" t="str">
        <f t="shared" si="170"/>
        <v>май</v>
      </c>
      <c r="AJ91" s="70" t="str">
        <f t="shared" si="170"/>
        <v>июнь</v>
      </c>
      <c r="AK91" s="70" t="str">
        <f t="shared" si="170"/>
        <v>июль</v>
      </c>
      <c r="AL91" s="70" t="str">
        <f t="shared" si="170"/>
        <v>август</v>
      </c>
      <c r="AM91" s="70" t="str">
        <f t="shared" si="170"/>
        <v>сентябрь</v>
      </c>
      <c r="AN91" s="70" t="str">
        <f t="shared" si="170"/>
        <v>октябрь</v>
      </c>
      <c r="AO91" s="70" t="str">
        <f t="shared" si="170"/>
        <v>ноябрь</v>
      </c>
      <c r="AP91" s="70" t="str">
        <f t="shared" si="170"/>
        <v>декабрь</v>
      </c>
      <c r="AQ91" s="128"/>
      <c r="AR91" s="128"/>
      <c r="AS91" s="70"/>
    </row>
    <row r="92" spans="1:45" s="73" customFormat="1" ht="15" thickTop="1">
      <c r="A92" s="129"/>
      <c r="B92" s="130"/>
      <c r="C92" s="129"/>
      <c r="D92" s="129"/>
      <c r="E92" s="129"/>
      <c r="F92" s="129"/>
      <c r="G92" s="129"/>
      <c r="H92" s="129"/>
      <c r="I92" s="88"/>
      <c r="O92" s="90"/>
      <c r="P92" s="90"/>
      <c r="Q92" s="129"/>
      <c r="R92" s="129"/>
      <c r="S92" s="129"/>
      <c r="T92" s="129"/>
      <c r="U92" s="129"/>
      <c r="V92" s="129"/>
      <c r="W92" s="88"/>
      <c r="AC92" s="90"/>
      <c r="AD92" s="90"/>
      <c r="AE92" s="129"/>
      <c r="AF92" s="129"/>
      <c r="AG92" s="129"/>
      <c r="AH92" s="129"/>
      <c r="AI92" s="129"/>
      <c r="AJ92" s="129"/>
      <c r="AK92" s="88"/>
      <c r="AQ92" s="90"/>
      <c r="AR92" s="90"/>
      <c r="AS92" s="131"/>
    </row>
    <row r="93" spans="1:45" s="137" customFormat="1" ht="11.25">
      <c r="A93" s="132" t="s">
        <v>86</v>
      </c>
      <c r="B93" s="133">
        <f>'Исходные данные'!J36</f>
        <v>0.1</v>
      </c>
      <c r="C93" s="134">
        <f>1/POWER((1+$B$93/12),C94)</f>
        <v>1</v>
      </c>
      <c r="D93" s="134">
        <f t="shared" ref="D93:N93" si="171">1/POWER((1+$B$93/12),D94)</f>
        <v>0.99173553719008267</v>
      </c>
      <c r="E93" s="134">
        <f t="shared" si="171"/>
        <v>0.98353937572570183</v>
      </c>
      <c r="F93" s="134">
        <f t="shared" si="171"/>
        <v>0.97541095113292753</v>
      </c>
      <c r="G93" s="134">
        <f t="shared" si="171"/>
        <v>0.9673497036029034</v>
      </c>
      <c r="H93" s="134">
        <f t="shared" si="171"/>
        <v>0.95935507795329267</v>
      </c>
      <c r="I93" s="134">
        <f t="shared" si="171"/>
        <v>0.95142652359004232</v>
      </c>
      <c r="J93" s="134">
        <f t="shared" si="171"/>
        <v>0.94356349446946353</v>
      </c>
      <c r="K93" s="134">
        <f t="shared" si="171"/>
        <v>0.93576544906062498</v>
      </c>
      <c r="L93" s="134">
        <f t="shared" si="171"/>
        <v>0.9280318503080579</v>
      </c>
      <c r="M93" s="134">
        <f t="shared" si="171"/>
        <v>0.92036216559476813</v>
      </c>
      <c r="N93" s="134">
        <f t="shared" si="171"/>
        <v>0.91275586670555531</v>
      </c>
      <c r="O93" s="135"/>
      <c r="P93" s="135"/>
      <c r="Q93" s="134">
        <f t="shared" ref="Q93:AB93" si="172">1/POWER((1+$B$93/12),Q94)</f>
        <v>0.90521242979063321</v>
      </c>
      <c r="R93" s="134">
        <f t="shared" si="172"/>
        <v>0.89773133532955385</v>
      </c>
      <c r="S93" s="134">
        <f t="shared" si="172"/>
        <v>0.89031206809542529</v>
      </c>
      <c r="T93" s="134">
        <f t="shared" si="172"/>
        <v>0.88295411711943006</v>
      </c>
      <c r="U93" s="134">
        <f t="shared" si="172"/>
        <v>0.87565697565563305</v>
      </c>
      <c r="V93" s="134">
        <f t="shared" si="172"/>
        <v>0.86842014114608246</v>
      </c>
      <c r="W93" s="134">
        <f t="shared" si="172"/>
        <v>0.86124311518619745</v>
      </c>
      <c r="X93" s="134">
        <f t="shared" si="172"/>
        <v>0.85412540349044375</v>
      </c>
      <c r="Y93" s="134">
        <f t="shared" si="172"/>
        <v>0.84706651585829151</v>
      </c>
      <c r="Z93" s="134">
        <f t="shared" si="172"/>
        <v>0.84006596614045448</v>
      </c>
      <c r="AA93" s="134">
        <f t="shared" si="172"/>
        <v>0.83312327220540916</v>
      </c>
      <c r="AB93" s="134">
        <f t="shared" si="172"/>
        <v>0.82623795590619109</v>
      </c>
      <c r="AC93" s="135"/>
      <c r="AD93" s="135"/>
      <c r="AE93" s="134">
        <f t="shared" ref="AE93:AP93" si="173">1/POWER((1+$B$93/12),AE94)</f>
        <v>0.81940954304746227</v>
      </c>
      <c r="AF93" s="134">
        <f t="shared" si="173"/>
        <v>0.81263756335285531</v>
      </c>
      <c r="AG93" s="134">
        <f t="shared" si="173"/>
        <v>0.80592155043258373</v>
      </c>
      <c r="AH93" s="134">
        <f t="shared" si="173"/>
        <v>0.79926104175132262</v>
      </c>
      <c r="AI93" s="134">
        <f t="shared" si="173"/>
        <v>0.79265557859635305</v>
      </c>
      <c r="AJ93" s="134">
        <f t="shared" si="173"/>
        <v>0.78610470604597016</v>
      </c>
      <c r="AK93" s="134">
        <f t="shared" si="173"/>
        <v>0.77960797293815209</v>
      </c>
      <c r="AL93" s="134">
        <f t="shared" si="173"/>
        <v>0.77316493183948976</v>
      </c>
      <c r="AM93" s="134">
        <f t="shared" si="173"/>
        <v>0.76677513901437</v>
      </c>
      <c r="AN93" s="134">
        <f t="shared" si="173"/>
        <v>0.76043815439441664</v>
      </c>
      <c r="AO93" s="134">
        <f t="shared" si="173"/>
        <v>0.75415354154818171</v>
      </c>
      <c r="AP93" s="134">
        <f t="shared" si="173"/>
        <v>0.74792086765108945</v>
      </c>
      <c r="AQ93" s="135"/>
      <c r="AR93" s="135"/>
      <c r="AS93" s="136"/>
    </row>
    <row r="94" spans="1:45" s="142" customFormat="1" ht="11.25" hidden="1">
      <c r="A94" s="138"/>
      <c r="B94" s="133"/>
      <c r="C94" s="139">
        <v>0</v>
      </c>
      <c r="D94" s="139">
        <v>1</v>
      </c>
      <c r="E94" s="139">
        <v>2</v>
      </c>
      <c r="F94" s="139">
        <v>3</v>
      </c>
      <c r="G94" s="139">
        <v>4</v>
      </c>
      <c r="H94" s="139">
        <v>5</v>
      </c>
      <c r="I94" s="139">
        <v>6</v>
      </c>
      <c r="J94" s="139">
        <v>7</v>
      </c>
      <c r="K94" s="139">
        <v>8</v>
      </c>
      <c r="L94" s="139">
        <v>9</v>
      </c>
      <c r="M94" s="139">
        <v>10</v>
      </c>
      <c r="N94" s="139">
        <v>11</v>
      </c>
      <c r="O94" s="140"/>
      <c r="P94" s="140"/>
      <c r="Q94" s="139">
        <v>12</v>
      </c>
      <c r="R94" s="139">
        <v>13</v>
      </c>
      <c r="S94" s="139">
        <v>14</v>
      </c>
      <c r="T94" s="139">
        <v>15</v>
      </c>
      <c r="U94" s="139">
        <v>16</v>
      </c>
      <c r="V94" s="139">
        <v>17</v>
      </c>
      <c r="W94" s="139">
        <v>18</v>
      </c>
      <c r="X94" s="139">
        <v>19</v>
      </c>
      <c r="Y94" s="139">
        <v>20</v>
      </c>
      <c r="Z94" s="139">
        <v>21</v>
      </c>
      <c r="AA94" s="139">
        <v>22</v>
      </c>
      <c r="AB94" s="139">
        <v>23</v>
      </c>
      <c r="AC94" s="140"/>
      <c r="AD94" s="140"/>
      <c r="AE94" s="139">
        <v>24</v>
      </c>
      <c r="AF94" s="139">
        <v>25</v>
      </c>
      <c r="AG94" s="139">
        <v>26</v>
      </c>
      <c r="AH94" s="139">
        <v>27</v>
      </c>
      <c r="AI94" s="139">
        <v>28</v>
      </c>
      <c r="AJ94" s="139">
        <v>29</v>
      </c>
      <c r="AK94" s="139">
        <v>30</v>
      </c>
      <c r="AL94" s="139">
        <v>31</v>
      </c>
      <c r="AM94" s="139">
        <v>32</v>
      </c>
      <c r="AN94" s="139">
        <v>33</v>
      </c>
      <c r="AO94" s="139">
        <v>34</v>
      </c>
      <c r="AP94" s="139">
        <v>35</v>
      </c>
      <c r="AQ94" s="140"/>
      <c r="AR94" s="140"/>
      <c r="AS94" s="141"/>
    </row>
    <row r="95" spans="1:45" s="142" customFormat="1" ht="11.25">
      <c r="A95" s="122" t="str">
        <f>"Чистый денежный поток (NCF), "&amp;CHOOSE('Исходные данные'!$O$2,'Исходные данные'!$P$2,'Исходные данные'!$P$3,'Исходные данные'!$P$4,'Исходные данные'!$P$5)&amp;""</f>
        <v>Чистый денежный поток (NCF), RUB</v>
      </c>
      <c r="B95" s="133"/>
      <c r="C95" s="82">
        <f>C79</f>
        <v>20284.48867469898</v>
      </c>
      <c r="D95" s="82">
        <f t="shared" ref="D95:N95" si="174">D79</f>
        <v>86265.770120482077</v>
      </c>
      <c r="E95" s="82">
        <f t="shared" si="174"/>
        <v>152247.05156626506</v>
      </c>
      <c r="F95" s="82">
        <f t="shared" si="174"/>
        <v>218228.33301204839</v>
      </c>
      <c r="G95" s="82">
        <f t="shared" si="174"/>
        <v>284209.61445783125</v>
      </c>
      <c r="H95" s="82">
        <f t="shared" si="174"/>
        <v>284209.61445783125</v>
      </c>
      <c r="I95" s="82">
        <f t="shared" si="174"/>
        <v>284209.61445783125</v>
      </c>
      <c r="J95" s="82">
        <f t="shared" si="174"/>
        <v>284209.61445783125</v>
      </c>
      <c r="K95" s="82">
        <f t="shared" si="174"/>
        <v>284209.61445783125</v>
      </c>
      <c r="L95" s="82">
        <f t="shared" si="174"/>
        <v>284209.61445783125</v>
      </c>
      <c r="M95" s="82">
        <f t="shared" si="174"/>
        <v>284209.61445783125</v>
      </c>
      <c r="N95" s="82">
        <f t="shared" si="174"/>
        <v>284209.61445783125</v>
      </c>
      <c r="O95" s="140"/>
      <c r="P95" s="140"/>
      <c r="Q95" s="82">
        <f>Q79</f>
        <v>416172.17734939803</v>
      </c>
      <c r="R95" s="82">
        <f t="shared" ref="R95:AB95" si="175">R79</f>
        <v>416172.17734939803</v>
      </c>
      <c r="S95" s="82">
        <f t="shared" si="175"/>
        <v>416172.17734939803</v>
      </c>
      <c r="T95" s="82">
        <f t="shared" si="175"/>
        <v>416172.17734939803</v>
      </c>
      <c r="U95" s="82">
        <f t="shared" si="175"/>
        <v>416172.17734939803</v>
      </c>
      <c r="V95" s="82">
        <f t="shared" si="175"/>
        <v>416172.17734939803</v>
      </c>
      <c r="W95" s="82">
        <f t="shared" si="175"/>
        <v>416172.17734939803</v>
      </c>
      <c r="X95" s="82">
        <f t="shared" si="175"/>
        <v>416172.17734939803</v>
      </c>
      <c r="Y95" s="82">
        <f t="shared" si="175"/>
        <v>416172.17734939803</v>
      </c>
      <c r="Z95" s="82">
        <f t="shared" si="175"/>
        <v>416172.17734939803</v>
      </c>
      <c r="AA95" s="82">
        <f t="shared" si="175"/>
        <v>416172.17734939803</v>
      </c>
      <c r="AB95" s="82">
        <f t="shared" si="175"/>
        <v>416172.17734939803</v>
      </c>
      <c r="AC95" s="140"/>
      <c r="AD95" s="140"/>
      <c r="AE95" s="82">
        <f>AE79</f>
        <v>548134.74024096422</v>
      </c>
      <c r="AF95" s="82">
        <f t="shared" ref="AF95:AP95" si="176">AF79</f>
        <v>548134.74024096422</v>
      </c>
      <c r="AG95" s="82">
        <f t="shared" si="176"/>
        <v>548134.74024096422</v>
      </c>
      <c r="AH95" s="82">
        <f t="shared" si="176"/>
        <v>548134.74024096422</v>
      </c>
      <c r="AI95" s="82">
        <f t="shared" si="176"/>
        <v>548134.74024096422</v>
      </c>
      <c r="AJ95" s="82">
        <f t="shared" si="176"/>
        <v>548134.74024096422</v>
      </c>
      <c r="AK95" s="82">
        <f t="shared" si="176"/>
        <v>548134.74024096422</v>
      </c>
      <c r="AL95" s="82">
        <f t="shared" si="176"/>
        <v>548134.74024096422</v>
      </c>
      <c r="AM95" s="82">
        <f t="shared" si="176"/>
        <v>548134.74024096422</v>
      </c>
      <c r="AN95" s="82">
        <f t="shared" si="176"/>
        <v>548134.74024096422</v>
      </c>
      <c r="AO95" s="82">
        <f t="shared" si="176"/>
        <v>548134.74024096422</v>
      </c>
      <c r="AP95" s="82">
        <f t="shared" si="176"/>
        <v>548134.74024096422</v>
      </c>
      <c r="AQ95" s="140"/>
      <c r="AR95" s="140"/>
      <c r="AS95" s="141"/>
    </row>
    <row r="96" spans="1:45" s="142" customFormat="1" ht="11.25">
      <c r="A96" s="122" t="str">
        <f>"Чистый денежный поток (NCF) нарастающим итогом, "&amp;CHOOSE('Исходные данные'!$O$2,'Исходные данные'!$P$2,'Исходные данные'!$P$3,'Исходные данные'!$P$4,'Исходные данные'!$P$5)&amp;""</f>
        <v>Чистый денежный поток (NCF) нарастающим итогом, RUB</v>
      </c>
      <c r="B96" s="133"/>
      <c r="C96" s="82">
        <f>B96+C95</f>
        <v>20284.48867469898</v>
      </c>
      <c r="D96" s="82">
        <f t="shared" ref="D96:N96" si="177">C96+D95</f>
        <v>106550.25879518106</v>
      </c>
      <c r="E96" s="82">
        <f t="shared" si="177"/>
        <v>258797.31036144611</v>
      </c>
      <c r="F96" s="82">
        <f t="shared" si="177"/>
        <v>477025.6433734945</v>
      </c>
      <c r="G96" s="82">
        <f t="shared" si="177"/>
        <v>761235.25783132575</v>
      </c>
      <c r="H96" s="82">
        <f t="shared" si="177"/>
        <v>1045444.872289157</v>
      </c>
      <c r="I96" s="82">
        <f t="shared" si="177"/>
        <v>1329654.4867469883</v>
      </c>
      <c r="J96" s="82">
        <f t="shared" si="177"/>
        <v>1613864.1012048195</v>
      </c>
      <c r="K96" s="82">
        <f t="shared" si="177"/>
        <v>1898073.7156626508</v>
      </c>
      <c r="L96" s="82">
        <f t="shared" si="177"/>
        <v>2182283.330120482</v>
      </c>
      <c r="M96" s="82">
        <f t="shared" si="177"/>
        <v>2466492.9445783133</v>
      </c>
      <c r="N96" s="82">
        <f t="shared" si="177"/>
        <v>2750702.5590361445</v>
      </c>
      <c r="O96" s="140"/>
      <c r="P96" s="140"/>
      <c r="Q96" s="82">
        <f>N96+Q95</f>
        <v>3166874.7363855424</v>
      </c>
      <c r="R96" s="82">
        <f t="shared" ref="R96:AB96" si="178">Q96+R95</f>
        <v>3583046.9137349403</v>
      </c>
      <c r="S96" s="82">
        <f t="shared" si="178"/>
        <v>3999219.0910843383</v>
      </c>
      <c r="T96" s="82">
        <f t="shared" si="178"/>
        <v>4415391.2684337366</v>
      </c>
      <c r="U96" s="82">
        <f t="shared" si="178"/>
        <v>4831563.4457831345</v>
      </c>
      <c r="V96" s="82">
        <f t="shared" si="178"/>
        <v>5247735.6231325325</v>
      </c>
      <c r="W96" s="82">
        <f t="shared" si="178"/>
        <v>5663907.8004819304</v>
      </c>
      <c r="X96" s="82">
        <f t="shared" si="178"/>
        <v>6080079.9778313283</v>
      </c>
      <c r="Y96" s="82">
        <f t="shared" si="178"/>
        <v>6496252.1551807262</v>
      </c>
      <c r="Z96" s="82">
        <f t="shared" si="178"/>
        <v>6912424.3325301241</v>
      </c>
      <c r="AA96" s="82">
        <f t="shared" si="178"/>
        <v>7328596.509879522</v>
      </c>
      <c r="AB96" s="82">
        <f t="shared" si="178"/>
        <v>7744768.6872289199</v>
      </c>
      <c r="AC96" s="140"/>
      <c r="AD96" s="140"/>
      <c r="AE96" s="82">
        <f>AB96+AE95</f>
        <v>8292903.427469884</v>
      </c>
      <c r="AF96" s="82">
        <f t="shared" ref="AF96:AP96" si="179">AE96+AF95</f>
        <v>8841038.1677108482</v>
      </c>
      <c r="AG96" s="82">
        <f t="shared" si="179"/>
        <v>9389172.9079518132</v>
      </c>
      <c r="AH96" s="82">
        <f t="shared" si="179"/>
        <v>9937307.6481927782</v>
      </c>
      <c r="AI96" s="82">
        <f t="shared" si="179"/>
        <v>10485442.388433743</v>
      </c>
      <c r="AJ96" s="82">
        <f t="shared" si="179"/>
        <v>11033577.128674708</v>
      </c>
      <c r="AK96" s="82">
        <f t="shared" si="179"/>
        <v>11581711.868915673</v>
      </c>
      <c r="AL96" s="82">
        <f t="shared" si="179"/>
        <v>12129846.609156638</v>
      </c>
      <c r="AM96" s="82">
        <f t="shared" si="179"/>
        <v>12677981.349397603</v>
      </c>
      <c r="AN96" s="82">
        <f t="shared" si="179"/>
        <v>13226116.089638568</v>
      </c>
      <c r="AO96" s="82">
        <f t="shared" si="179"/>
        <v>13774250.829879533</v>
      </c>
      <c r="AP96" s="82">
        <f t="shared" si="179"/>
        <v>14322385.570120499</v>
      </c>
      <c r="AQ96" s="140"/>
      <c r="AR96" s="140"/>
      <c r="AS96" s="141"/>
    </row>
    <row r="97" spans="1:45" s="73" customFormat="1" ht="11.25">
      <c r="A97" s="118" t="str">
        <f>"Чистая приведенная стоимость (NPV), "&amp;CHOOSE('Исходные данные'!$O$2,'Исходные данные'!$P$2,'Исходные данные'!$P$3,'Исходные данные'!$P$4,'Исходные данные'!$P$5)&amp;""</f>
        <v>Чистая приведенная стоимость (NPV), RUB</v>
      </c>
      <c r="B97" s="89"/>
      <c r="C97" s="82">
        <f>IF(C95*C93&lt;0,C95,C95*C93)</f>
        <v>20284.48867469898</v>
      </c>
      <c r="D97" s="82">
        <f t="shared" ref="D97:N97" si="180">IF(D95*D93&lt;0,D95,D95*D93)</f>
        <v>85552.829871552472</v>
      </c>
      <c r="E97" s="82">
        <f t="shared" si="180"/>
        <v>149740.97005356307</v>
      </c>
      <c r="F97" s="82">
        <f t="shared" si="180"/>
        <v>212862.30586743535</v>
      </c>
      <c r="G97" s="82">
        <f t="shared" si="180"/>
        <v>274930.08630687848</v>
      </c>
      <c r="H97" s="82">
        <f t="shared" si="180"/>
        <v>272657.93683326797</v>
      </c>
      <c r="I97" s="82">
        <f t="shared" si="180"/>
        <v>270404.56545448065</v>
      </c>
      <c r="J97" s="82">
        <f t="shared" si="180"/>
        <v>268169.81697965023</v>
      </c>
      <c r="K97" s="82">
        <f>IF(K95*K93&lt;0,K95,K95*K93)</f>
        <v>265953.53750047955</v>
      </c>
      <c r="L97" s="82">
        <f t="shared" si="180"/>
        <v>263755.57438064093</v>
      </c>
      <c r="M97" s="82">
        <f t="shared" si="180"/>
        <v>261575.7762452637</v>
      </c>
      <c r="N97" s="82">
        <f t="shared" si="180"/>
        <v>259413.99297050948</v>
      </c>
      <c r="O97" s="83"/>
      <c r="P97" s="83"/>
      <c r="Q97" s="82">
        <f>IF(Q95*Q93&lt;0,Q95,Q95*Q93)</f>
        <v>376724.22786970693</v>
      </c>
      <c r="R97" s="82">
        <f t="shared" ref="R97:AB97" si="181">IF(R95*R93&lt;0,R95,R95*R93)</f>
        <v>373610.80449888302</v>
      </c>
      <c r="S97" s="82">
        <f t="shared" si="181"/>
        <v>370523.11189971864</v>
      </c>
      <c r="T97" s="82">
        <f t="shared" si="181"/>
        <v>367460.9374212086</v>
      </c>
      <c r="U97" s="82">
        <f t="shared" si="181"/>
        <v>364424.07016979362</v>
      </c>
      <c r="V97" s="82">
        <f t="shared" si="181"/>
        <v>361412.30099483673</v>
      </c>
      <c r="W97" s="82">
        <f t="shared" si="181"/>
        <v>358425.42247421818</v>
      </c>
      <c r="X97" s="82">
        <f t="shared" si="181"/>
        <v>355463.22890005109</v>
      </c>
      <c r="Y97" s="82">
        <f>IF(Y95*Y93&lt;0,Y95,Y95*Y93)</f>
        <v>352525.5162645136</v>
      </c>
      <c r="Z97" s="82">
        <f t="shared" si="181"/>
        <v>349612.08224579861</v>
      </c>
      <c r="AA97" s="82">
        <f t="shared" si="181"/>
        <v>346722.72619418037</v>
      </c>
      <c r="AB97" s="82">
        <f t="shared" si="181"/>
        <v>343857.24911819544</v>
      </c>
      <c r="AC97" s="83"/>
      <c r="AD97" s="83"/>
      <c r="AE97" s="82">
        <f>IF(AE95*AE93&lt;0,AE95,AE95*AE93)</f>
        <v>449146.83702928794</v>
      </c>
      <c r="AF97" s="82">
        <f t="shared" ref="AF97:AP97" si="182">IF(AF95*AF93&lt;0,AF95,AF95*AF93)</f>
        <v>445434.87969846744</v>
      </c>
      <c r="AG97" s="82">
        <f t="shared" si="182"/>
        <v>441753.59970095946</v>
      </c>
      <c r="AH97" s="82">
        <f t="shared" si="182"/>
        <v>438102.74350508366</v>
      </c>
      <c r="AI97" s="82">
        <f t="shared" si="182"/>
        <v>434482.05967446318</v>
      </c>
      <c r="AJ97" s="82">
        <f t="shared" si="182"/>
        <v>430891.29885070742</v>
      </c>
      <c r="AK97" s="82">
        <f t="shared" si="182"/>
        <v>427330.21373623866</v>
      </c>
      <c r="AL97" s="82">
        <f t="shared" si="182"/>
        <v>423798.55907726154</v>
      </c>
      <c r="AM97" s="82">
        <f>IF(AM95*AM93&lt;0,AM95,AM95*AM93)</f>
        <v>420296.09164687095</v>
      </c>
      <c r="AN97" s="82">
        <f t="shared" si="182"/>
        <v>416822.5702283018</v>
      </c>
      <c r="AO97" s="82">
        <f t="shared" si="182"/>
        <v>413377.75559831579</v>
      </c>
      <c r="AP97" s="82">
        <f t="shared" si="182"/>
        <v>409961.41051072651</v>
      </c>
      <c r="AQ97" s="143"/>
      <c r="AR97" s="143"/>
      <c r="AS97" s="83"/>
    </row>
    <row r="98" spans="1:45" s="73" customFormat="1" ht="11.25">
      <c r="A98" s="118" t="str">
        <f>"Чистая приведенная стоимость (NPV) нарастающим итогом, "&amp;CHOOSE('Исходные данные'!$O$2,'Исходные данные'!$P$2,'Исходные данные'!$P$3,'Исходные данные'!$P$4,'Исходные данные'!$P$5)&amp;""</f>
        <v>Чистая приведенная стоимость (NPV) нарастающим итогом, RUB</v>
      </c>
      <c r="B98" s="89"/>
      <c r="C98" s="82">
        <f>B98+C97</f>
        <v>20284.48867469898</v>
      </c>
      <c r="D98" s="82">
        <f t="shared" ref="D98:N98" si="183">C98+D97</f>
        <v>105837.31854625145</v>
      </c>
      <c r="E98" s="82">
        <f t="shared" si="183"/>
        <v>255578.28859981452</v>
      </c>
      <c r="F98" s="82">
        <f t="shared" si="183"/>
        <v>468440.59446724987</v>
      </c>
      <c r="G98" s="82">
        <f t="shared" si="183"/>
        <v>743370.6807741283</v>
      </c>
      <c r="H98" s="82">
        <f t="shared" si="183"/>
        <v>1016028.6176073963</v>
      </c>
      <c r="I98" s="82">
        <f t="shared" si="183"/>
        <v>1286433.183061877</v>
      </c>
      <c r="J98" s="82">
        <f t="shared" si="183"/>
        <v>1554603.0000415272</v>
      </c>
      <c r="K98" s="82">
        <f t="shared" si="183"/>
        <v>1820556.5375420067</v>
      </c>
      <c r="L98" s="82">
        <f t="shared" si="183"/>
        <v>2084312.1119226476</v>
      </c>
      <c r="M98" s="82">
        <f t="shared" si="183"/>
        <v>2345887.8881679112</v>
      </c>
      <c r="N98" s="82">
        <f t="shared" si="183"/>
        <v>2605301.8811384207</v>
      </c>
      <c r="O98" s="83"/>
      <c r="P98" s="83"/>
      <c r="Q98" s="82">
        <f>N98+Q97</f>
        <v>2982026.1090081278</v>
      </c>
      <c r="R98" s="82">
        <f t="shared" ref="R98:AB98" si="184">Q98+R97</f>
        <v>3355636.9135070108</v>
      </c>
      <c r="S98" s="82">
        <f t="shared" si="184"/>
        <v>3726160.0254067294</v>
      </c>
      <c r="T98" s="82">
        <f t="shared" si="184"/>
        <v>4093620.9628279381</v>
      </c>
      <c r="U98" s="82">
        <f t="shared" si="184"/>
        <v>4458045.0329977321</v>
      </c>
      <c r="V98" s="82">
        <f t="shared" si="184"/>
        <v>4819457.3339925688</v>
      </c>
      <c r="W98" s="82">
        <f t="shared" si="184"/>
        <v>5177882.7564667873</v>
      </c>
      <c r="X98" s="82">
        <f t="shared" si="184"/>
        <v>5533345.9853668381</v>
      </c>
      <c r="Y98" s="82">
        <f t="shared" si="184"/>
        <v>5885871.5016313512</v>
      </c>
      <c r="Z98" s="82">
        <f t="shared" si="184"/>
        <v>6235483.58387715</v>
      </c>
      <c r="AA98" s="82">
        <f t="shared" si="184"/>
        <v>6582206.3100713305</v>
      </c>
      <c r="AB98" s="82">
        <f t="shared" si="184"/>
        <v>6926063.5591895264</v>
      </c>
      <c r="AC98" s="83"/>
      <c r="AD98" s="83"/>
      <c r="AE98" s="82">
        <f>AB98+AE97</f>
        <v>7375210.396218814</v>
      </c>
      <c r="AF98" s="82">
        <f t="shared" ref="AF98:AP98" si="185">AE98+AF97</f>
        <v>7820645.2759172814</v>
      </c>
      <c r="AG98" s="82">
        <f t="shared" si="185"/>
        <v>8262398.8756182408</v>
      </c>
      <c r="AH98" s="82">
        <f t="shared" si="185"/>
        <v>8700501.6191233248</v>
      </c>
      <c r="AI98" s="82">
        <f t="shared" si="185"/>
        <v>9134983.6787977871</v>
      </c>
      <c r="AJ98" s="82">
        <f t="shared" si="185"/>
        <v>9565874.9776484948</v>
      </c>
      <c r="AK98" s="82">
        <f t="shared" si="185"/>
        <v>9993205.1913847327</v>
      </c>
      <c r="AL98" s="82">
        <f t="shared" si="185"/>
        <v>10417003.750461994</v>
      </c>
      <c r="AM98" s="82">
        <f t="shared" si="185"/>
        <v>10837299.842108864</v>
      </c>
      <c r="AN98" s="82">
        <f t="shared" si="185"/>
        <v>11254122.412337165</v>
      </c>
      <c r="AO98" s="82">
        <f t="shared" si="185"/>
        <v>11667500.167935481</v>
      </c>
      <c r="AP98" s="82">
        <f t="shared" si="185"/>
        <v>12077461.578446208</v>
      </c>
      <c r="AQ98" s="143"/>
      <c r="AR98" s="143"/>
      <c r="AS98" s="83"/>
    </row>
    <row r="99" spans="1:45" s="73" customFormat="1" ht="11.25">
      <c r="A99" s="122"/>
      <c r="B99" s="144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143"/>
      <c r="P99" s="143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143"/>
      <c r="AD99" s="143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143"/>
      <c r="AR99" s="143"/>
      <c r="AS99" s="145"/>
    </row>
    <row r="100" spans="1:45" s="73" customFormat="1" ht="11.25">
      <c r="A100" s="146" t="str">
        <f>"Чистая приведенная стоимость (NPV) на конец 3-го года, "&amp;CHOOSE('Исходные данные'!$O$2,'Исходные данные'!$P$2,'Исходные данные'!$P$3,'Исходные данные'!$P$4,'Исходные данные'!$P$5)&amp;""</f>
        <v>Чистая приведенная стоимость (NPV) на конец 3-го года, RUB</v>
      </c>
      <c r="B100" s="147">
        <f>AP98+AS86</f>
        <v>11327461.578446208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143"/>
      <c r="P100" s="143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143"/>
      <c r="AD100" s="143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143"/>
      <c r="AR100" s="143"/>
      <c r="AS100" s="145"/>
    </row>
    <row r="101" spans="1:45" s="73" customFormat="1" ht="11.25">
      <c r="A101" s="146" t="s">
        <v>21</v>
      </c>
      <c r="B101" s="147">
        <f>AP98/AS46</f>
        <v>16.103282104594943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143"/>
      <c r="P101" s="143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143"/>
      <c r="AD101" s="143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143"/>
      <c r="AR101" s="143"/>
      <c r="AS101" s="145"/>
    </row>
    <row r="102" spans="1:45" s="73" customFormat="1" ht="11.25">
      <c r="A102" s="146" t="s">
        <v>91</v>
      </c>
      <c r="B102" s="148">
        <f>AS107</f>
        <v>5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143"/>
      <c r="P102" s="143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143"/>
      <c r="AD102" s="143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143"/>
      <c r="AR102" s="143"/>
      <c r="AS102" s="145"/>
    </row>
    <row r="103" spans="1:45" s="9" customFormat="1" ht="11.25">
      <c r="A103" s="146" t="s">
        <v>46</v>
      </c>
      <c r="B103" s="148">
        <f>AS108</f>
        <v>1</v>
      </c>
      <c r="C103" s="108"/>
      <c r="D103" s="108"/>
      <c r="E103" s="149"/>
      <c r="F103" s="149"/>
      <c r="G103" s="149"/>
      <c r="H103" s="108"/>
      <c r="I103" s="108"/>
      <c r="J103" s="108"/>
      <c r="K103" s="108"/>
      <c r="L103" s="108"/>
      <c r="M103" s="108"/>
      <c r="N103" s="108"/>
      <c r="O103" s="110"/>
      <c r="P103" s="110"/>
      <c r="Q103" s="108"/>
      <c r="R103" s="108"/>
      <c r="S103" s="149"/>
      <c r="T103" s="149"/>
      <c r="U103" s="149"/>
      <c r="V103" s="108"/>
      <c r="W103" s="108"/>
      <c r="X103" s="108"/>
      <c r="Y103" s="108"/>
      <c r="Z103" s="108"/>
      <c r="AA103" s="108"/>
      <c r="AB103" s="108"/>
      <c r="AC103" s="110"/>
      <c r="AD103" s="110"/>
      <c r="AE103" s="108"/>
      <c r="AF103" s="108"/>
      <c r="AG103" s="149"/>
      <c r="AH103" s="149"/>
      <c r="AI103" s="149"/>
      <c r="AJ103" s="108"/>
      <c r="AK103" s="108"/>
      <c r="AL103" s="108"/>
      <c r="AM103" s="108"/>
      <c r="AN103" s="108"/>
      <c r="AO103" s="108"/>
      <c r="AP103" s="108"/>
      <c r="AQ103" s="110"/>
      <c r="AR103" s="110"/>
      <c r="AS103" s="108"/>
    </row>
    <row r="104" spans="1:45" s="73" customFormat="1" ht="11.65" customHeight="1">
      <c r="C104" s="150"/>
      <c r="E104" s="151"/>
      <c r="O104" s="90"/>
      <c r="P104" s="90"/>
      <c r="Q104" s="150"/>
      <c r="S104" s="151"/>
      <c r="AC104" s="90"/>
      <c r="AD104" s="90"/>
      <c r="AE104" s="150"/>
      <c r="AG104" s="151"/>
      <c r="AQ104" s="90"/>
      <c r="AR104" s="90"/>
    </row>
    <row r="105" spans="1:45" s="152" customFormat="1" ht="11.25" hidden="1">
      <c r="B105" s="152" t="s">
        <v>34</v>
      </c>
      <c r="C105" s="152">
        <f t="shared" ref="C105:N105" si="186">IF(C80&gt;0,0,1)</f>
        <v>1</v>
      </c>
      <c r="D105" s="152">
        <f t="shared" si="186"/>
        <v>1</v>
      </c>
      <c r="E105" s="152">
        <f t="shared" si="186"/>
        <v>1</v>
      </c>
      <c r="F105" s="152">
        <f t="shared" si="186"/>
        <v>1</v>
      </c>
      <c r="G105" s="152">
        <f t="shared" si="186"/>
        <v>0</v>
      </c>
      <c r="H105" s="152">
        <f t="shared" si="186"/>
        <v>0</v>
      </c>
      <c r="I105" s="152">
        <f t="shared" si="186"/>
        <v>0</v>
      </c>
      <c r="J105" s="152">
        <f t="shared" si="186"/>
        <v>0</v>
      </c>
      <c r="K105" s="152">
        <f t="shared" si="186"/>
        <v>0</v>
      </c>
      <c r="L105" s="152">
        <f t="shared" si="186"/>
        <v>0</v>
      </c>
      <c r="M105" s="152">
        <f t="shared" si="186"/>
        <v>0</v>
      </c>
      <c r="N105" s="152">
        <f t="shared" si="186"/>
        <v>0</v>
      </c>
      <c r="O105" s="153"/>
      <c r="P105" s="153"/>
      <c r="Q105" s="152">
        <f t="shared" ref="Q105:AB105" si="187">IF(Q80&gt;0,0,1)</f>
        <v>0</v>
      </c>
      <c r="R105" s="152">
        <f t="shared" si="187"/>
        <v>0</v>
      </c>
      <c r="S105" s="152">
        <f t="shared" si="187"/>
        <v>0</v>
      </c>
      <c r="T105" s="152">
        <f t="shared" si="187"/>
        <v>0</v>
      </c>
      <c r="U105" s="152">
        <f t="shared" si="187"/>
        <v>0</v>
      </c>
      <c r="V105" s="152">
        <f t="shared" si="187"/>
        <v>0</v>
      </c>
      <c r="W105" s="152">
        <f t="shared" si="187"/>
        <v>0</v>
      </c>
      <c r="X105" s="152">
        <f t="shared" si="187"/>
        <v>0</v>
      </c>
      <c r="Y105" s="152">
        <f t="shared" si="187"/>
        <v>0</v>
      </c>
      <c r="Z105" s="152">
        <f t="shared" si="187"/>
        <v>0</v>
      </c>
      <c r="AA105" s="152">
        <f t="shared" si="187"/>
        <v>0</v>
      </c>
      <c r="AB105" s="152">
        <f t="shared" si="187"/>
        <v>0</v>
      </c>
      <c r="AC105" s="153"/>
      <c r="AD105" s="153"/>
      <c r="AE105" s="152">
        <f t="shared" ref="AE105:AP105" si="188">IF(AE80&gt;0,0,1)</f>
        <v>0</v>
      </c>
      <c r="AF105" s="152">
        <f t="shared" si="188"/>
        <v>0</v>
      </c>
      <c r="AG105" s="152">
        <f t="shared" si="188"/>
        <v>0</v>
      </c>
      <c r="AH105" s="152">
        <f t="shared" si="188"/>
        <v>0</v>
      </c>
      <c r="AI105" s="152">
        <f t="shared" si="188"/>
        <v>0</v>
      </c>
      <c r="AJ105" s="152">
        <f t="shared" si="188"/>
        <v>0</v>
      </c>
      <c r="AK105" s="152">
        <f t="shared" si="188"/>
        <v>0</v>
      </c>
      <c r="AL105" s="152">
        <f t="shared" si="188"/>
        <v>0</v>
      </c>
      <c r="AM105" s="152">
        <f t="shared" si="188"/>
        <v>0</v>
      </c>
      <c r="AN105" s="152">
        <f t="shared" si="188"/>
        <v>0</v>
      </c>
      <c r="AO105" s="152">
        <f t="shared" si="188"/>
        <v>0</v>
      </c>
      <c r="AP105" s="152">
        <f t="shared" si="188"/>
        <v>0</v>
      </c>
      <c r="AQ105" s="153"/>
      <c r="AR105" s="153"/>
      <c r="AS105" s="152">
        <f>SUM(C105:AP105)</f>
        <v>4</v>
      </c>
    </row>
    <row r="106" spans="1:45" s="152" customFormat="1" ht="11.25" hidden="1">
      <c r="B106" s="152" t="s">
        <v>45</v>
      </c>
      <c r="C106" s="152">
        <f>IF(C79&gt;0,0,1)</f>
        <v>0</v>
      </c>
      <c r="D106" s="152">
        <f>IF(OR(D79&gt;0,C106=0),0,1)</f>
        <v>0</v>
      </c>
      <c r="E106" s="152">
        <f t="shared" ref="E106:N106" si="189">IF(OR(E79&gt;0,D106=0),0,1)</f>
        <v>0</v>
      </c>
      <c r="F106" s="152">
        <f t="shared" si="189"/>
        <v>0</v>
      </c>
      <c r="G106" s="152">
        <f t="shared" si="189"/>
        <v>0</v>
      </c>
      <c r="H106" s="152">
        <f t="shared" si="189"/>
        <v>0</v>
      </c>
      <c r="I106" s="152">
        <f>IF(OR(I79&gt;0,H106=0),0,1)</f>
        <v>0</v>
      </c>
      <c r="J106" s="152">
        <f t="shared" si="189"/>
        <v>0</v>
      </c>
      <c r="K106" s="152">
        <f t="shared" si="189"/>
        <v>0</v>
      </c>
      <c r="L106" s="152">
        <f>IF(OR(L79&gt;0,K106=0),0,1)</f>
        <v>0</v>
      </c>
      <c r="M106" s="152">
        <f t="shared" si="189"/>
        <v>0</v>
      </c>
      <c r="N106" s="152">
        <f t="shared" si="189"/>
        <v>0</v>
      </c>
      <c r="Q106" s="152">
        <f>IF(OR(Q79&gt;0,N106=0),0,1)</f>
        <v>0</v>
      </c>
      <c r="R106" s="152">
        <f t="shared" ref="R106:AB106" si="190">IF(OR(R79&gt;0,Q106=0),0,1)</f>
        <v>0</v>
      </c>
      <c r="S106" s="152">
        <f t="shared" si="190"/>
        <v>0</v>
      </c>
      <c r="T106" s="152">
        <f t="shared" si="190"/>
        <v>0</v>
      </c>
      <c r="U106" s="152">
        <f t="shared" si="190"/>
        <v>0</v>
      </c>
      <c r="V106" s="152">
        <f>IF(OR(V79&gt;0,U106=0),0,1)</f>
        <v>0</v>
      </c>
      <c r="W106" s="152">
        <f t="shared" si="190"/>
        <v>0</v>
      </c>
      <c r="X106" s="152">
        <f t="shared" si="190"/>
        <v>0</v>
      </c>
      <c r="Y106" s="152">
        <f>IF(OR(Y79&gt;0,X106=0),0,1)</f>
        <v>0</v>
      </c>
      <c r="Z106" s="152">
        <f t="shared" si="190"/>
        <v>0</v>
      </c>
      <c r="AA106" s="152">
        <f t="shared" si="190"/>
        <v>0</v>
      </c>
      <c r="AB106" s="152">
        <f t="shared" si="190"/>
        <v>0</v>
      </c>
      <c r="AE106" s="152">
        <f>IF(OR(AE79&gt;0,AB106=0),0,1)</f>
        <v>0</v>
      </c>
      <c r="AF106" s="152">
        <f t="shared" ref="AF106:AP106" si="191">IF(OR(AF79&gt;0,AE106=0),0,1)</f>
        <v>0</v>
      </c>
      <c r="AG106" s="152">
        <f t="shared" si="191"/>
        <v>0</v>
      </c>
      <c r="AH106" s="152">
        <f t="shared" si="191"/>
        <v>0</v>
      </c>
      <c r="AI106" s="152">
        <f t="shared" si="191"/>
        <v>0</v>
      </c>
      <c r="AJ106" s="152">
        <f>IF(OR(AJ79&gt;0,AI106=0),0,1)</f>
        <v>0</v>
      </c>
      <c r="AK106" s="152">
        <f t="shared" si="191"/>
        <v>0</v>
      </c>
      <c r="AL106" s="152">
        <f t="shared" si="191"/>
        <v>0</v>
      </c>
      <c r="AM106" s="152">
        <f>IF(OR(AM79&gt;0,AL106=0),0,1)</f>
        <v>0</v>
      </c>
      <c r="AN106" s="152">
        <f t="shared" si="191"/>
        <v>0</v>
      </c>
      <c r="AO106" s="152">
        <f t="shared" si="191"/>
        <v>0</v>
      </c>
      <c r="AP106" s="152">
        <f t="shared" si="191"/>
        <v>0</v>
      </c>
      <c r="AS106" s="152">
        <f>SUM(C106:AP106)</f>
        <v>0</v>
      </c>
    </row>
    <row r="107" spans="1:45" s="73" customFormat="1" ht="11.25" hidden="1">
      <c r="O107" s="90"/>
      <c r="P107" s="90"/>
      <c r="AC107" s="90"/>
      <c r="AD107" s="90"/>
      <c r="AQ107" s="90"/>
      <c r="AR107" s="90"/>
      <c r="AS107" s="73">
        <f>IF(AR79&lt;0,"проект не окупается",IF(AS105&lt;36,AS105+1,-AS78/AR79+37))</f>
        <v>5</v>
      </c>
    </row>
    <row r="108" spans="1:45" s="155" customFormat="1" ht="15" hidden="1">
      <c r="A108" s="73"/>
      <c r="B108" s="154"/>
      <c r="O108" s="156"/>
      <c r="P108" s="156"/>
      <c r="AC108" s="156"/>
      <c r="AD108" s="156"/>
      <c r="AQ108" s="156"/>
      <c r="AR108" s="156"/>
      <c r="AS108" s="155">
        <f>IF(AR79&lt;0,"проект не окупается",IF(AS106&lt;36,AS106+1,-AS78/AR79+37))</f>
        <v>1</v>
      </c>
    </row>
    <row r="109" spans="1:45" s="155" customFormat="1" ht="15">
      <c r="A109" s="73"/>
      <c r="B109" s="154"/>
      <c r="O109" s="156"/>
      <c r="P109" s="156"/>
      <c r="AC109" s="156"/>
      <c r="AD109" s="156"/>
      <c r="AQ109" s="156"/>
      <c r="AR109" s="156"/>
    </row>
    <row r="110" spans="1:45" s="160" customFormat="1" ht="15">
      <c r="A110" s="157"/>
      <c r="B110" s="157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9"/>
      <c r="P110" s="159"/>
      <c r="AC110" s="161"/>
      <c r="AD110" s="161"/>
      <c r="AQ110" s="161"/>
      <c r="AR110" s="161"/>
    </row>
    <row r="111" spans="1:45" s="160" customFormat="1" ht="15">
      <c r="A111" s="157"/>
      <c r="B111" s="157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9"/>
      <c r="P111" s="161"/>
      <c r="AC111" s="161"/>
      <c r="AD111" s="161"/>
      <c r="AQ111" s="161"/>
      <c r="AR111" s="161"/>
    </row>
    <row r="112" spans="1:45" s="160" customFormat="1" ht="15">
      <c r="A112" s="157"/>
      <c r="B112" s="157"/>
      <c r="O112" s="161"/>
      <c r="P112" s="161"/>
      <c r="AC112" s="161"/>
      <c r="AD112" s="161"/>
      <c r="AQ112" s="161"/>
      <c r="AR112" s="161"/>
    </row>
    <row r="113" spans="1:44" s="155" customFormat="1" ht="15">
      <c r="A113" s="73"/>
      <c r="B113" s="154"/>
      <c r="O113" s="156"/>
      <c r="P113" s="156"/>
      <c r="AC113" s="156"/>
      <c r="AD113" s="156"/>
      <c r="AQ113" s="156"/>
      <c r="AR113" s="156"/>
    </row>
    <row r="114" spans="1:44" s="155" customFormat="1" ht="15">
      <c r="A114" s="73"/>
      <c r="B114" s="154"/>
      <c r="O114" s="156"/>
      <c r="P114" s="156"/>
      <c r="AC114" s="156"/>
      <c r="AD114" s="156"/>
      <c r="AQ114" s="156"/>
      <c r="AR114" s="156"/>
    </row>
    <row r="115" spans="1:44" s="155" customFormat="1" ht="15">
      <c r="A115" s="73"/>
      <c r="B115" s="154"/>
      <c r="O115" s="156"/>
      <c r="P115" s="156"/>
      <c r="AC115" s="156"/>
      <c r="AD115" s="156"/>
      <c r="AQ115" s="156"/>
      <c r="AR115" s="156"/>
    </row>
    <row r="116" spans="1:44" s="155" customFormat="1" ht="15">
      <c r="A116" s="73"/>
      <c r="B116" s="154"/>
      <c r="O116" s="156"/>
      <c r="P116" s="156"/>
      <c r="AC116" s="156"/>
      <c r="AD116" s="156"/>
      <c r="AQ116" s="156"/>
      <c r="AR116" s="156"/>
    </row>
    <row r="117" spans="1:44" s="155" customFormat="1" ht="15">
      <c r="A117" s="73"/>
      <c r="B117" s="154"/>
      <c r="O117" s="156"/>
      <c r="P117" s="156"/>
      <c r="AC117" s="156"/>
      <c r="AD117" s="156"/>
      <c r="AQ117" s="156"/>
      <c r="AR117" s="156"/>
    </row>
    <row r="118" spans="1:44" s="155" customFormat="1" ht="15">
      <c r="A118" s="73"/>
      <c r="B118" s="154"/>
      <c r="O118" s="156"/>
      <c r="P118" s="156"/>
      <c r="AC118" s="156"/>
      <c r="AD118" s="156"/>
      <c r="AQ118" s="156"/>
      <c r="AR118" s="156"/>
    </row>
    <row r="119" spans="1:44" s="155" customFormat="1" ht="15">
      <c r="A119" s="73"/>
      <c r="B119" s="154"/>
      <c r="O119" s="156"/>
      <c r="P119" s="156"/>
      <c r="AC119" s="156"/>
      <c r="AD119" s="156"/>
      <c r="AQ119" s="156"/>
      <c r="AR119" s="156"/>
    </row>
    <row r="120" spans="1:44" s="155" customFormat="1" ht="15">
      <c r="A120" s="73"/>
      <c r="B120" s="154"/>
      <c r="O120" s="156"/>
      <c r="P120" s="156"/>
      <c r="AC120" s="156"/>
      <c r="AD120" s="156"/>
      <c r="AQ120" s="156"/>
      <c r="AR120" s="156"/>
    </row>
    <row r="121" spans="1:44" s="155" customFormat="1" ht="15">
      <c r="A121" s="73"/>
      <c r="B121" s="154"/>
      <c r="O121" s="156"/>
      <c r="P121" s="156"/>
      <c r="AC121" s="156"/>
      <c r="AD121" s="156"/>
      <c r="AQ121" s="156"/>
      <c r="AR121" s="156"/>
    </row>
  </sheetData>
  <mergeCells count="7">
    <mergeCell ref="AS14:AS15"/>
    <mergeCell ref="C4:P4"/>
    <mergeCell ref="C14:P14"/>
    <mergeCell ref="Q4:AD4"/>
    <mergeCell ref="Q14:AD14"/>
    <mergeCell ref="AE4:AR4"/>
    <mergeCell ref="AE14:AR14"/>
  </mergeCells>
  <conditionalFormatting sqref="C8:N9">
    <cfRule type="cellIs" dxfId="38" priority="93" operator="lessThan">
      <formula>1</formula>
    </cfRule>
    <cfRule type="cellIs" dxfId="37" priority="94" operator="greaterThan">
      <formula>1</formula>
    </cfRule>
  </conditionalFormatting>
  <conditionalFormatting sqref="C8:N8">
    <cfRule type="cellIs" dxfId="36" priority="95" operator="lessThan">
      <formula>1</formula>
    </cfRule>
  </conditionalFormatting>
  <conditionalFormatting sqref="Q6:AB6">
    <cfRule type="cellIs" dxfId="35" priority="80" operator="lessThan">
      <formula>1</formula>
    </cfRule>
    <cfRule type="cellIs" dxfId="34" priority="81" operator="greaterThan">
      <formula>1</formula>
    </cfRule>
  </conditionalFormatting>
  <conditionalFormatting sqref="Q8:AB8">
    <cfRule type="cellIs" dxfId="33" priority="79" operator="lessThan">
      <formula>1</formula>
    </cfRule>
  </conditionalFormatting>
  <conditionalFormatting sqref="Q8:AB9">
    <cfRule type="cellIs" dxfId="32" priority="77" operator="lessThan">
      <formula>1</formula>
    </cfRule>
    <cfRule type="cellIs" dxfId="31" priority="78" operator="greaterThan">
      <formula>1</formula>
    </cfRule>
  </conditionalFormatting>
  <conditionalFormatting sqref="AE6:AP6">
    <cfRule type="cellIs" dxfId="30" priority="62" operator="lessThan">
      <formula>1</formula>
    </cfRule>
    <cfRule type="cellIs" dxfId="29" priority="63" operator="greaterThan">
      <formula>1</formula>
    </cfRule>
  </conditionalFormatting>
  <conditionalFormatting sqref="AE8:AP8">
    <cfRule type="cellIs" dxfId="28" priority="61" operator="lessThan">
      <formula>1</formula>
    </cfRule>
  </conditionalFormatting>
  <conditionalFormatting sqref="AE8:AP9">
    <cfRule type="cellIs" dxfId="27" priority="59" operator="lessThan">
      <formula>1</formula>
    </cfRule>
    <cfRule type="cellIs" dxfId="26" priority="60" operator="greaterThan">
      <formula>1</formula>
    </cfRule>
  </conditionalFormatting>
  <conditionalFormatting sqref="C6:N6">
    <cfRule type="cellIs" dxfId="25" priority="35" operator="lessThan">
      <formula>1</formula>
    </cfRule>
    <cfRule type="cellIs" dxfId="24" priority="36" operator="greaterThan">
      <formula>1</formula>
    </cfRule>
  </conditionalFormatting>
  <conditionalFormatting sqref="C10:N11">
    <cfRule type="cellIs" dxfId="23" priority="32" operator="lessThan">
      <formula>1</formula>
    </cfRule>
    <cfRule type="cellIs" dxfId="22" priority="33" operator="greaterThan">
      <formula>1</formula>
    </cfRule>
  </conditionalFormatting>
  <conditionalFormatting sqref="C10:N10">
    <cfRule type="cellIs" dxfId="21" priority="34" operator="lessThan">
      <formula>1</formula>
    </cfRule>
  </conditionalFormatting>
  <conditionalFormatting sqref="AE10:AP10">
    <cfRule type="cellIs" dxfId="20" priority="28" operator="lessThan">
      <formula>1</formula>
    </cfRule>
  </conditionalFormatting>
  <conditionalFormatting sqref="AE10:AP11">
    <cfRule type="cellIs" dxfId="19" priority="26" operator="lessThan">
      <formula>1</formula>
    </cfRule>
    <cfRule type="cellIs" dxfId="18" priority="27" operator="greaterThan">
      <formula>1</formula>
    </cfRule>
  </conditionalFormatting>
  <conditionalFormatting sqref="Q10:AB10">
    <cfRule type="cellIs" dxfId="17" priority="31" operator="lessThan">
      <formula>1</formula>
    </cfRule>
  </conditionalFormatting>
  <conditionalFormatting sqref="Q10:AB11">
    <cfRule type="cellIs" dxfId="16" priority="29" operator="lessThan">
      <formula>1</formula>
    </cfRule>
    <cfRule type="cellIs" dxfId="15" priority="30" operator="greaterThan">
      <formula>1</formula>
    </cfRule>
  </conditionalFormatting>
  <conditionalFormatting sqref="C12:N12">
    <cfRule type="cellIs" dxfId="14" priority="23" operator="lessThan">
      <formula>1</formula>
    </cfRule>
    <cfRule type="cellIs" dxfId="13" priority="24" operator="greaterThan">
      <formula>1</formula>
    </cfRule>
  </conditionalFormatting>
  <conditionalFormatting sqref="C12:N12">
    <cfRule type="cellIs" dxfId="12" priority="25" operator="lessThan">
      <formula>1</formula>
    </cfRule>
  </conditionalFormatting>
  <conditionalFormatting sqref="AE12:AP12">
    <cfRule type="cellIs" dxfId="11" priority="19" operator="lessThan">
      <formula>1</formula>
    </cfRule>
  </conditionalFormatting>
  <conditionalFormatting sqref="AE12:AP12">
    <cfRule type="cellIs" dxfId="10" priority="17" operator="lessThan">
      <formula>1</formula>
    </cfRule>
    <cfRule type="cellIs" dxfId="9" priority="18" operator="greaterThan">
      <formula>1</formula>
    </cfRule>
  </conditionalFormatting>
  <conditionalFormatting sqref="Q12:AB12">
    <cfRule type="cellIs" dxfId="8" priority="22" operator="lessThan">
      <formula>1</formula>
    </cfRule>
  </conditionalFormatting>
  <conditionalFormatting sqref="Q12:AB12">
    <cfRule type="cellIs" dxfId="7" priority="20" operator="lessThan">
      <formula>1</formula>
    </cfRule>
    <cfRule type="cellIs" dxfId="6" priority="21" operator="greaterThan">
      <formula>1</formula>
    </cfRule>
  </conditionalFormatting>
  <conditionalFormatting sqref="C7:N7">
    <cfRule type="cellIs" dxfId="5" priority="13" operator="lessThan">
      <formula>1</formula>
    </cfRule>
    <cfRule type="cellIs" dxfId="4" priority="14" operator="greaterThan">
      <formula>1</formula>
    </cfRule>
  </conditionalFormatting>
  <conditionalFormatting sqref="Q7:AB7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AE7:AP7">
    <cfRule type="cellIs" dxfId="1" priority="1" operator="lessThan">
      <formula>1</formula>
    </cfRule>
    <cfRule type="cellIs" dxfId="0" priority="2" operator="greaterThan">
      <formula>1</formula>
    </cfRule>
  </conditionalFormatting>
  <pageMargins left="0.39370078740157483" right="0.39370078740157483" top="0.39370078740157483" bottom="0.39370078740157483" header="0.51181102362204722" footer="0.51181102362204722"/>
  <pageSetup paperSize="9" scale="49" fitToHeight="2" orientation="landscape" horizontalDpi="300" verticalDpi="300" r:id="rId1"/>
  <headerFooter alignWithMargins="0"/>
  <colBreaks count="2" manualBreakCount="2">
    <brk id="16" min="3" max="108" man="1"/>
    <brk id="30" min="3" max="108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2:M19"/>
  <sheetViews>
    <sheetView workbookViewId="0">
      <selection activeCell="S3" sqref="S3"/>
    </sheetView>
  </sheetViews>
  <sheetFormatPr defaultRowHeight="15"/>
  <cols>
    <col min="1" max="1" width="6" customWidth="1"/>
    <col min="2" max="2" width="2.5703125" customWidth="1"/>
    <col min="4" max="4" width="18.42578125" customWidth="1"/>
    <col min="6" max="6" width="13.140625" customWidth="1"/>
    <col min="7" max="7" width="12.28515625" customWidth="1"/>
    <col min="9" max="9" width="23.5703125" customWidth="1"/>
    <col min="10" max="10" width="20.28515625" customWidth="1"/>
    <col min="13" max="13" width="22" customWidth="1"/>
  </cols>
  <sheetData>
    <row r="2" spans="3:13" ht="64.5" customHeight="1">
      <c r="C2" s="294" t="s">
        <v>145</v>
      </c>
      <c r="D2" s="294"/>
      <c r="E2" s="249" t="s">
        <v>164</v>
      </c>
      <c r="F2" s="249"/>
      <c r="G2" s="279" t="s">
        <v>165</v>
      </c>
      <c r="H2" s="279" t="s">
        <v>167</v>
      </c>
      <c r="I2" s="279" t="s">
        <v>166</v>
      </c>
      <c r="J2" s="279" t="s">
        <v>168</v>
      </c>
      <c r="K2" s="309" t="s">
        <v>126</v>
      </c>
      <c r="L2" s="310"/>
      <c r="M2" s="311"/>
    </row>
    <row r="3" spans="3:13" ht="111.75" customHeight="1">
      <c r="C3" s="294"/>
      <c r="D3" s="294"/>
      <c r="E3" s="231" t="s">
        <v>60</v>
      </c>
      <c r="F3" s="231" t="e">
        <f>"В валюте, в которой производится расчет, "&amp;CHOOSE($J$2,$K$2,$K$3,$K$4,$K$5)&amp;""</f>
        <v>#VALUE!</v>
      </c>
      <c r="G3" s="280"/>
      <c r="H3" s="280"/>
      <c r="I3" s="280"/>
      <c r="J3" s="280"/>
      <c r="K3" s="231" t="s">
        <v>121</v>
      </c>
      <c r="L3" s="249" t="e">
        <f>"В валюте, в которой производится расчет, "&amp;CHOOSE($J$2,$K$2,$K$3,$K$4,$K$5)&amp;"/мес."</f>
        <v>#VALUE!</v>
      </c>
      <c r="M3" s="249"/>
    </row>
    <row r="4" spans="3:13" ht="26.25">
      <c r="C4" s="284" t="s">
        <v>157</v>
      </c>
      <c r="D4" s="284"/>
      <c r="E4" s="197">
        <v>237</v>
      </c>
      <c r="F4" s="232"/>
      <c r="G4" s="197">
        <v>33</v>
      </c>
      <c r="H4" s="281">
        <v>30</v>
      </c>
      <c r="I4" s="209">
        <f>H4*G4</f>
        <v>990</v>
      </c>
      <c r="J4" s="230">
        <v>0.34</v>
      </c>
      <c r="K4" s="232">
        <f t="shared" ref="K4:K10" si="0">E4*$B$10</f>
        <v>0</v>
      </c>
      <c r="L4" s="283">
        <f>E4*G4*H4</f>
        <v>234630</v>
      </c>
      <c r="M4" s="283"/>
    </row>
    <row r="5" spans="3:13" ht="26.25">
      <c r="C5" s="284" t="s">
        <v>158</v>
      </c>
      <c r="D5" s="284"/>
      <c r="E5" s="197">
        <v>298</v>
      </c>
      <c r="F5" s="232"/>
      <c r="G5" s="197">
        <v>32</v>
      </c>
      <c r="H5" s="282"/>
      <c r="I5" s="209">
        <f>G5*H4</f>
        <v>960</v>
      </c>
      <c r="J5" s="230">
        <v>0.34</v>
      </c>
      <c r="K5" s="232">
        <f t="shared" si="0"/>
        <v>0</v>
      </c>
      <c r="L5" s="283">
        <f>I5*E5</f>
        <v>286080</v>
      </c>
      <c r="M5" s="283"/>
    </row>
    <row r="6" spans="3:13" ht="26.25">
      <c r="C6" s="284" t="s">
        <v>159</v>
      </c>
      <c r="D6" s="284"/>
      <c r="E6" s="197">
        <v>308</v>
      </c>
      <c r="F6" s="232"/>
      <c r="G6" s="197">
        <v>110</v>
      </c>
      <c r="H6" s="282"/>
      <c r="I6" s="209">
        <f>G6*H4</f>
        <v>3300</v>
      </c>
      <c r="J6" s="230">
        <v>0.34</v>
      </c>
      <c r="K6" s="232">
        <f t="shared" si="0"/>
        <v>0</v>
      </c>
      <c r="L6" s="283">
        <f>E6*I6</f>
        <v>1016400</v>
      </c>
      <c r="M6" s="283"/>
    </row>
    <row r="7" spans="3:13" ht="26.25">
      <c r="C7" s="284" t="s">
        <v>160</v>
      </c>
      <c r="D7" s="284"/>
      <c r="E7" s="197">
        <v>193</v>
      </c>
      <c r="F7" s="232"/>
      <c r="G7" s="197">
        <v>65</v>
      </c>
      <c r="H7" s="282"/>
      <c r="I7" s="209">
        <f>G7*H4</f>
        <v>1950</v>
      </c>
      <c r="J7" s="230">
        <v>0.34</v>
      </c>
      <c r="K7" s="232">
        <f t="shared" si="0"/>
        <v>0</v>
      </c>
      <c r="L7" s="283">
        <f t="shared" ref="L7:L10" si="1">E7*I7</f>
        <v>376350</v>
      </c>
      <c r="M7" s="283"/>
    </row>
    <row r="8" spans="3:13" ht="26.25">
      <c r="C8" s="284" t="s">
        <v>161</v>
      </c>
      <c r="D8" s="284"/>
      <c r="E8" s="197">
        <v>130</v>
      </c>
      <c r="F8" s="232"/>
      <c r="G8" s="197">
        <v>40</v>
      </c>
      <c r="H8" s="282"/>
      <c r="I8" s="209">
        <f>G8*H4</f>
        <v>1200</v>
      </c>
      <c r="J8" s="230">
        <v>0.34</v>
      </c>
      <c r="K8" s="232">
        <f t="shared" si="0"/>
        <v>0</v>
      </c>
      <c r="L8" s="283">
        <f t="shared" si="1"/>
        <v>156000</v>
      </c>
      <c r="M8" s="283"/>
    </row>
    <row r="9" spans="3:13" s="229" customFormat="1" ht="26.25">
      <c r="C9" s="284" t="s">
        <v>162</v>
      </c>
      <c r="D9" s="284"/>
      <c r="E9" s="197">
        <v>126</v>
      </c>
      <c r="F9" s="232"/>
      <c r="G9" s="197">
        <v>36</v>
      </c>
      <c r="H9" s="282"/>
      <c r="I9" s="209">
        <f>G9*H4</f>
        <v>1080</v>
      </c>
      <c r="J9" s="230">
        <v>0.34</v>
      </c>
      <c r="K9" s="232">
        <f t="shared" si="0"/>
        <v>0</v>
      </c>
      <c r="L9" s="283">
        <f t="shared" si="1"/>
        <v>136080</v>
      </c>
      <c r="M9" s="283"/>
    </row>
    <row r="10" spans="3:13" ht="26.25">
      <c r="C10" s="285" t="s">
        <v>163</v>
      </c>
      <c r="D10" s="285"/>
      <c r="E10" s="233">
        <v>195</v>
      </c>
      <c r="F10" s="234"/>
      <c r="G10" s="233">
        <v>15</v>
      </c>
      <c r="H10" s="282"/>
      <c r="I10" s="209">
        <f>G10*H4</f>
        <v>450</v>
      </c>
      <c r="J10" s="230">
        <v>0.34</v>
      </c>
      <c r="K10" s="234">
        <f t="shared" si="0"/>
        <v>0</v>
      </c>
      <c r="L10" s="283">
        <f t="shared" si="1"/>
        <v>87750</v>
      </c>
      <c r="M10" s="283"/>
    </row>
    <row r="11" spans="3:13" ht="26.25">
      <c r="C11" s="287" t="s">
        <v>122</v>
      </c>
      <c r="D11" s="287"/>
      <c r="E11" s="209"/>
      <c r="F11" s="232"/>
      <c r="G11" s="209">
        <f>SUM(G4:G10)</f>
        <v>331</v>
      </c>
      <c r="H11" s="225"/>
      <c r="I11" s="209">
        <f>SUM(I4:I10)</f>
        <v>9930</v>
      </c>
      <c r="J11" s="226"/>
      <c r="K11" s="232">
        <f>SUM(K4:K10)</f>
        <v>0</v>
      </c>
      <c r="L11" s="283">
        <f>L4+L5+L6+L7+L8+L9+L10</f>
        <v>2293290</v>
      </c>
      <c r="M11" s="283"/>
    </row>
    <row r="19" s="229" customFormat="1"/>
  </sheetData>
  <mergeCells count="25">
    <mergeCell ref="C11:D11"/>
    <mergeCell ref="L11:M11"/>
    <mergeCell ref="L7:M7"/>
    <mergeCell ref="C8:D8"/>
    <mergeCell ref="L8:M8"/>
    <mergeCell ref="C9:D9"/>
    <mergeCell ref="L9:M9"/>
    <mergeCell ref="C10:D10"/>
    <mergeCell ref="L10:M10"/>
    <mergeCell ref="K2:M2"/>
    <mergeCell ref="L3:M3"/>
    <mergeCell ref="C4:D4"/>
    <mergeCell ref="H4:H10"/>
    <mergeCell ref="L4:M4"/>
    <mergeCell ref="C5:D5"/>
    <mergeCell ref="L5:M5"/>
    <mergeCell ref="C6:D6"/>
    <mergeCell ref="L6:M6"/>
    <mergeCell ref="C7:D7"/>
    <mergeCell ref="C2:D3"/>
    <mergeCell ref="E2:F2"/>
    <mergeCell ref="G2:G3"/>
    <mergeCell ref="H2:H3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Исходные данные</vt:lpstr>
      <vt:lpstr>Инвестиции</vt:lpstr>
      <vt:lpstr>Обобщенный расчет</vt:lpstr>
      <vt:lpstr>Детальный расчет</vt:lpstr>
      <vt:lpstr>Лист1</vt:lpstr>
      <vt:lpstr>'Детальный расчет'!Заголовки_для_печати</vt:lpstr>
      <vt:lpstr>Инвестиции!Заголовки_для_печати</vt:lpstr>
      <vt:lpstr>'Детальный расчет'!Область_печати</vt:lpstr>
      <vt:lpstr>Инвестиции!Область_печати</vt:lpstr>
      <vt:lpstr>'Исходные данные'!Область_печати</vt:lpstr>
      <vt:lpstr>'Обобщенный расчет'!Область_печати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Zazi;Franch.biz</dc:creator>
  <cp:lastModifiedBy>usrbuh</cp:lastModifiedBy>
  <cp:lastPrinted>2019-06-05T12:04:32Z</cp:lastPrinted>
  <dcterms:created xsi:type="dcterms:W3CDTF">2013-12-25T12:04:54Z</dcterms:created>
  <dcterms:modified xsi:type="dcterms:W3CDTF">2019-10-01T07:02:03Z</dcterms:modified>
</cp:coreProperties>
</file>