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drawings/drawing2.xml" ContentType="application/vnd.openxmlformats-officedocument.drawing+xml"/>
  <Override PartName="/xl/ctrlProps/ctrlProp4.xml" ContentType="application/vnd.ms-excel.controlproperti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727"/>
  <workbookPr defaultThemeVersion="124226"/>
  <mc:AlternateContent xmlns:mc="http://schemas.openxmlformats.org/markup-compatibility/2006">
    <mc:Choice Requires="x15">
      <x15ac:absPath xmlns:x15ac="http://schemas.microsoft.com/office/spreadsheetml/2010/11/ac" url="D:\Работа\Easy Meals\"/>
    </mc:Choice>
  </mc:AlternateContent>
  <xr:revisionPtr revIDLastSave="0" documentId="13_ncr:1_{34CE7FA2-7528-4813-B4B4-E5B5336BE402}" xr6:coauthVersionLast="43" xr6:coauthVersionMax="43" xr10:uidLastSave="{00000000-0000-0000-0000-000000000000}"/>
  <bookViews>
    <workbookView xWindow="-96" yWindow="-96" windowWidth="23232" windowHeight="12552" xr2:uid="{00000000-000D-0000-FFFF-FFFF00000000}"/>
  </bookViews>
  <sheets>
    <sheet name="Исходные данные" sheetId="6" r:id="rId1"/>
    <sheet name="Инвестиции" sheetId="8" r:id="rId2"/>
    <sheet name="Обобщенный расчет" sheetId="7" r:id="rId3"/>
    <sheet name="Детальный расчет" sheetId="4" r:id="rId4"/>
  </sheets>
  <externalReferences>
    <externalReference r:id="rId5"/>
    <externalReference r:id="rId6"/>
    <externalReference r:id="rId7"/>
  </externalReferences>
  <definedNames>
    <definedName name="About_AI" localSheetId="1">#REF!</definedName>
    <definedName name="About_AI" localSheetId="0">#REF!</definedName>
    <definedName name="About_AI" localSheetId="2">#REF!</definedName>
    <definedName name="About_AI">#REF!</definedName>
    <definedName name="About_AI_Summ" localSheetId="1">#REF!</definedName>
    <definedName name="About_AI_Summ" localSheetId="0">#REF!</definedName>
    <definedName name="About_AI_Summ" localSheetId="2">#REF!</definedName>
    <definedName name="About_AI_Summ">#REF!</definedName>
    <definedName name="AI_Version">[1]Опции!$B$5</definedName>
    <definedName name="CalcMethod">[1]Проект!$F$88</definedName>
    <definedName name="CUR_Foreign">[1]Проект!$B$12</definedName>
    <definedName name="CUR_I_Foreign">[1]Проект!$D$12</definedName>
    <definedName name="CUR_I_Main">[1]Проект!$D$11</definedName>
    <definedName name="CUR_I_Report">[1]Проект!$D$19</definedName>
    <definedName name="CUR_Main">[1]Проект!$B$11</definedName>
    <definedName name="CUR_Report">[1]Проект!$B$19</definedName>
    <definedName name="EST_DATA" localSheetId="0">[1]Проект!#REF!</definedName>
    <definedName name="EST_DATA" localSheetId="2">[1]Проект!#REF!</definedName>
    <definedName name="EST_DATA">[1]Проект!#REF!</definedName>
    <definedName name="EST_FROM" localSheetId="0">[1]Проект!#REF!</definedName>
    <definedName name="EST_FROM" localSheetId="2">[1]Проект!#REF!</definedName>
    <definedName name="EST_FROM">[1]Проект!#REF!</definedName>
    <definedName name="EST_NumStages" localSheetId="0">[1]Проект!#REF!</definedName>
    <definedName name="EST_NumStages" localSheetId="2">[1]Проект!#REF!</definedName>
    <definedName name="EST_NumStages">[1]Проект!#REF!</definedName>
    <definedName name="EST_Obj_1" localSheetId="0">[1]Проект!#REF!</definedName>
    <definedName name="EST_Obj_1" localSheetId="2">[1]Проект!#REF!</definedName>
    <definedName name="EST_Obj_1">[1]Проект!#REF!</definedName>
    <definedName name="EST_Obj_10" localSheetId="0">[1]Проект!#REF!</definedName>
    <definedName name="EST_Obj_10" localSheetId="2">[1]Проект!#REF!</definedName>
    <definedName name="EST_Obj_10">[1]Проект!#REF!</definedName>
    <definedName name="EST_Obj_2" localSheetId="0">[1]Проект!#REF!</definedName>
    <definedName name="EST_Obj_2" localSheetId="2">[1]Проект!#REF!</definedName>
    <definedName name="EST_Obj_2">[1]Проект!#REF!</definedName>
    <definedName name="EST_Obj_3" localSheetId="0">[1]Проект!#REF!</definedName>
    <definedName name="EST_Obj_3" localSheetId="2">[1]Проект!#REF!</definedName>
    <definedName name="EST_Obj_3">[1]Проект!#REF!</definedName>
    <definedName name="EST_Obj_4" localSheetId="0">[1]Проект!#REF!</definedName>
    <definedName name="EST_Obj_4" localSheetId="2">[1]Проект!#REF!</definedName>
    <definedName name="EST_Obj_4">[1]Проект!#REF!</definedName>
    <definedName name="EST_Obj_5" localSheetId="0">[1]Проект!#REF!</definedName>
    <definedName name="EST_Obj_5" localSheetId="2">[1]Проект!#REF!</definedName>
    <definedName name="EST_Obj_5">[1]Проект!#REF!</definedName>
    <definedName name="EST_Obj_6" localSheetId="0">[1]Проект!#REF!</definedName>
    <definedName name="EST_Obj_6" localSheetId="2">[1]Проект!#REF!</definedName>
    <definedName name="EST_Obj_6">[1]Проект!#REF!</definedName>
    <definedName name="EST_Obj_7" localSheetId="0">[1]Проект!#REF!</definedName>
    <definedName name="EST_Obj_7" localSheetId="2">[1]Проект!#REF!</definedName>
    <definedName name="EST_Obj_7">[1]Проект!#REF!</definedName>
    <definedName name="EST_Obj_8" localSheetId="0">[1]Проект!#REF!</definedName>
    <definedName name="EST_Obj_8" localSheetId="2">[1]Проект!#REF!</definedName>
    <definedName name="EST_Obj_8">[1]Проект!#REF!</definedName>
    <definedName name="EST_Obj_9" localSheetId="0">[1]Проект!#REF!</definedName>
    <definedName name="EST_Obj_9" localSheetId="2">[1]Проект!#REF!</definedName>
    <definedName name="EST_Obj_9">[1]Проект!#REF!</definedName>
    <definedName name="EST_ProdNum" localSheetId="0">[1]Проект!#REF!</definedName>
    <definedName name="EST_ProdNum" localSheetId="2">[1]Проект!#REF!</definedName>
    <definedName name="EST_ProdNum">[1]Проект!#REF!</definedName>
    <definedName name="IS_SUMM">[1]Опции!$B$10</definedName>
    <definedName name="LANGUAGE">[1]Проект!$D$17</definedName>
    <definedName name="NWC_T_Cr_AdvK">[1]Проект!$B$772</definedName>
    <definedName name="NWC_T_Cr_AdvT">[1]Проект!$C$772</definedName>
    <definedName name="NWC_T_Cr_CrdK">[1]Проект!$B$773</definedName>
    <definedName name="NWC_T_Cr_CrdT">[1]Проект!$C$773</definedName>
    <definedName name="NWC_T_Cycle">[1]Проект!$B$751</definedName>
    <definedName name="NWC_T_Db_AdvK">[1]Проект!$B$760</definedName>
    <definedName name="NWC_T_Db_AdvT">[1]Проект!$C$760</definedName>
    <definedName name="NWC_T_Db_CrdK">[1]Проект!$B$761</definedName>
    <definedName name="NWC_T_Db_CrdT">[1]Проект!$C$761</definedName>
    <definedName name="NWC_T_Goods">[1]Проект!$B$755</definedName>
    <definedName name="NWC_T_Mat">[1]Проект!$B$749</definedName>
    <definedName name="PeriodTitle">[1]Проект!$F$86:$L$86</definedName>
    <definedName name="PRJ_Len">[1]Проект!$D$8</definedName>
    <definedName name="PRJ_Protected">[1]Проект!$D$18</definedName>
    <definedName name="PRJ_StartDate">[1]Проект!$D$7</definedName>
    <definedName name="PRJ_StartMon">[1]Проект!$F$26</definedName>
    <definedName name="PRJ_StartYear">[1]Проект!$F$25</definedName>
    <definedName name="PRJ_Step">[1]Проект!$D$10</definedName>
    <definedName name="PRJ_Step_SName">[1]Проект!$E$9</definedName>
    <definedName name="PRJ_StepType">[1]Проект!$D$9</definedName>
    <definedName name="ProfitTax">[1]Проект!$B$945</definedName>
    <definedName name="ProfitTax_Period">[1]Проект!$B$946</definedName>
    <definedName name="season" localSheetId="0">'[2]1. Исходные данные'!#REF!</definedName>
    <definedName name="season" localSheetId="2">'[2]1. Исходные данные'!#REF!</definedName>
    <definedName name="season">'[2]1. Исходные данные'!#REF!</definedName>
    <definedName name="SENS_Parameter">[1]Анализ!$E$9</definedName>
    <definedName name="ShowRealDates">[1]Проект!$D$20</definedName>
    <definedName name="VAT">[1]Проект!$B$889</definedName>
    <definedName name="VAT_OnAssets">[1]Проект!$B$892</definedName>
    <definedName name="VAT_Period">[1]Проект!$B$890</definedName>
    <definedName name="VAT_Repay">[1]Проект!$B$891</definedName>
    <definedName name="апи" localSheetId="0">[3]Отчет!#REF!</definedName>
    <definedName name="апи" localSheetId="2">[3]Отчет!#REF!</definedName>
    <definedName name="апи">[3]Отчет!#REF!</definedName>
    <definedName name="длаодлаводло">[3]Отчет!#REF!</definedName>
    <definedName name="_xlnm.Print_Titles" localSheetId="3">'Детальный расчет'!$A:$B,'Детальный расчет'!$5:$5</definedName>
    <definedName name="_xlnm.Print_Titles" localSheetId="1">Инвестиции!$4:$4</definedName>
    <definedName name="и" localSheetId="1">[3]Отчет!#REF!</definedName>
    <definedName name="и" localSheetId="0">[3]Отчет!#REF!</definedName>
    <definedName name="и" localSheetId="2">[3]Отчет!#REF!</definedName>
    <definedName name="и">[3]Отчет!#REF!</definedName>
    <definedName name="_xlnm.Print_Area" localSheetId="3">'Детальный расчет'!$A$5:$AT$111</definedName>
    <definedName name="_xlnm.Print_Area" localSheetId="1">Инвестиции!$A$2:$E$134</definedName>
    <definedName name="_xlnm.Print_Area" localSheetId="0">'Исходные данные'!$A$2:$K$86</definedName>
    <definedName name="_xlnm.Print_Area" localSheetId="2">'Обобщенный расчет'!$A$1:$J$71</definedName>
    <definedName name="п" localSheetId="1">[3]Отчет!#REF!</definedName>
    <definedName name="п" localSheetId="0">[3]Отчет!#REF!</definedName>
    <definedName name="п" localSheetId="2">[3]Отчет!#REF!</definedName>
    <definedName name="п">[3]Отчет!#REF!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35" i="7" l="1"/>
  <c r="D81" i="6" l="1"/>
  <c r="D62" i="4" l="1"/>
  <c r="E3" i="4"/>
  <c r="E62" i="4" s="1"/>
  <c r="H73" i="6"/>
  <c r="H74" i="6" s="1"/>
  <c r="H68" i="6"/>
  <c r="A70" i="8"/>
  <c r="D134" i="8"/>
  <c r="E134" i="8" s="1"/>
  <c r="D133" i="8"/>
  <c r="E133" i="8" s="1"/>
  <c r="D132" i="8"/>
  <c r="E132" i="8" s="1"/>
  <c r="D131" i="8"/>
  <c r="E131" i="8" s="1"/>
  <c r="D130" i="8"/>
  <c r="E130" i="8" s="1"/>
  <c r="D129" i="8"/>
  <c r="E129" i="8" s="1"/>
  <c r="D128" i="8"/>
  <c r="E128" i="8" s="1"/>
  <c r="D127" i="8"/>
  <c r="E127" i="8" s="1"/>
  <c r="D126" i="8"/>
  <c r="E126" i="8" s="1"/>
  <c r="D125" i="8"/>
  <c r="E125" i="8" s="1"/>
  <c r="D124" i="8"/>
  <c r="E124" i="8" s="1"/>
  <c r="D123" i="8"/>
  <c r="E123" i="8" s="1"/>
  <c r="D122" i="8"/>
  <c r="E122" i="8" s="1"/>
  <c r="D121" i="8"/>
  <c r="E121" i="8" s="1"/>
  <c r="D120" i="8"/>
  <c r="E120" i="8" s="1"/>
  <c r="D119" i="8"/>
  <c r="E119" i="8" s="1"/>
  <c r="D118" i="8"/>
  <c r="E118" i="8" s="1"/>
  <c r="D117" i="8"/>
  <c r="E117" i="8" s="1"/>
  <c r="D116" i="8"/>
  <c r="E116" i="8" s="1"/>
  <c r="D115" i="8"/>
  <c r="E115" i="8" s="1"/>
  <c r="D114" i="8"/>
  <c r="E114" i="8" s="1"/>
  <c r="D113" i="8"/>
  <c r="E113" i="8" s="1"/>
  <c r="D112" i="8"/>
  <c r="E112" i="8" s="1"/>
  <c r="D111" i="8"/>
  <c r="E111" i="8" s="1"/>
  <c r="D110" i="8"/>
  <c r="E110" i="8" s="1"/>
  <c r="D109" i="8"/>
  <c r="E109" i="8" s="1"/>
  <c r="D108" i="8"/>
  <c r="E108" i="8" s="1"/>
  <c r="D107" i="8"/>
  <c r="E107" i="8" s="1"/>
  <c r="D106" i="8"/>
  <c r="E106" i="8" s="1"/>
  <c r="D105" i="8"/>
  <c r="E105" i="8" s="1"/>
  <c r="D104" i="8"/>
  <c r="E104" i="8" s="1"/>
  <c r="D103" i="8"/>
  <c r="E103" i="8" s="1"/>
  <c r="D102" i="8"/>
  <c r="E102" i="8" s="1"/>
  <c r="D101" i="8"/>
  <c r="E101" i="8" s="1"/>
  <c r="D100" i="8"/>
  <c r="E100" i="8" s="1"/>
  <c r="D99" i="8"/>
  <c r="E99" i="8" s="1"/>
  <c r="D98" i="8"/>
  <c r="E98" i="8" s="1"/>
  <c r="D97" i="8"/>
  <c r="E97" i="8" s="1"/>
  <c r="D96" i="8"/>
  <c r="E96" i="8" s="1"/>
  <c r="D95" i="8"/>
  <c r="E95" i="8" s="1"/>
  <c r="D94" i="8"/>
  <c r="E94" i="8" s="1"/>
  <c r="D93" i="8"/>
  <c r="E93" i="8" s="1"/>
  <c r="D92" i="8"/>
  <c r="E92" i="8" s="1"/>
  <c r="D91" i="8"/>
  <c r="E91" i="8" s="1"/>
  <c r="D90" i="8"/>
  <c r="E90" i="8" s="1"/>
  <c r="D89" i="8"/>
  <c r="E89" i="8" s="1"/>
  <c r="D88" i="8"/>
  <c r="E88" i="8" s="1"/>
  <c r="D87" i="8"/>
  <c r="E87" i="8" s="1"/>
  <c r="D86" i="8"/>
  <c r="E86" i="8" s="1"/>
  <c r="D85" i="8"/>
  <c r="E85" i="8" s="1"/>
  <c r="D84" i="8"/>
  <c r="E84" i="8" s="1"/>
  <c r="D83" i="8"/>
  <c r="E83" i="8" s="1"/>
  <c r="D82" i="8"/>
  <c r="E82" i="8" s="1"/>
  <c r="D81" i="8"/>
  <c r="E81" i="8" s="1"/>
  <c r="D80" i="8"/>
  <c r="E80" i="8" s="1"/>
  <c r="D79" i="8"/>
  <c r="E79" i="8" s="1"/>
  <c r="D78" i="8"/>
  <c r="E78" i="8" s="1"/>
  <c r="D77" i="8"/>
  <c r="E77" i="8" s="1"/>
  <c r="D76" i="8"/>
  <c r="E76" i="8" s="1"/>
  <c r="D75" i="8"/>
  <c r="E75" i="8" s="1"/>
  <c r="D74" i="8"/>
  <c r="E74" i="8" s="1"/>
  <c r="D73" i="8"/>
  <c r="E73" i="8" s="1"/>
  <c r="D72" i="8"/>
  <c r="E72" i="8" s="1"/>
  <c r="D71" i="8"/>
  <c r="E71" i="8" s="1"/>
  <c r="S16" i="7"/>
  <c r="R16" i="7"/>
  <c r="A46" i="4"/>
  <c r="A36" i="4"/>
  <c r="B44" i="4"/>
  <c r="A34" i="4"/>
  <c r="A33" i="4"/>
  <c r="A32" i="4"/>
  <c r="A31" i="4"/>
  <c r="A30" i="4"/>
  <c r="A29" i="4"/>
  <c r="A28" i="4"/>
  <c r="A23" i="4"/>
  <c r="A22" i="4"/>
  <c r="A21" i="4"/>
  <c r="A20" i="4"/>
  <c r="A19" i="4"/>
  <c r="A18" i="4"/>
  <c r="A17" i="4"/>
  <c r="B35" i="4"/>
  <c r="B34" i="4"/>
  <c r="B33" i="4"/>
  <c r="B32" i="4"/>
  <c r="B31" i="4"/>
  <c r="B30" i="4"/>
  <c r="B29" i="4"/>
  <c r="B28" i="4"/>
  <c r="A27" i="4"/>
  <c r="A26" i="4"/>
  <c r="I17" i="6"/>
  <c r="I16" i="6"/>
  <c r="I15" i="6"/>
  <c r="I14" i="6"/>
  <c r="I13" i="6"/>
  <c r="I12" i="6"/>
  <c r="I11" i="6"/>
  <c r="H10" i="6"/>
  <c r="H9" i="6"/>
  <c r="F9" i="6"/>
  <c r="G17" i="6"/>
  <c r="G16" i="6"/>
  <c r="G15" i="6"/>
  <c r="G14" i="6"/>
  <c r="G13" i="6"/>
  <c r="G12" i="6"/>
  <c r="G11" i="6"/>
  <c r="H82" i="6" l="1"/>
  <c r="F3" i="4"/>
  <c r="G3" i="4" s="1"/>
  <c r="H3" i="4" s="1"/>
  <c r="I3" i="4" s="1"/>
  <c r="J3" i="4" s="1"/>
  <c r="K3" i="4" s="1"/>
  <c r="L3" i="4" s="1"/>
  <c r="M3" i="4" s="1"/>
  <c r="N3" i="4" s="1"/>
  <c r="O3" i="4" s="1"/>
  <c r="R3" i="4" s="1"/>
  <c r="S3" i="4" s="1"/>
  <c r="R62" i="4"/>
  <c r="L62" i="4"/>
  <c r="H62" i="4"/>
  <c r="K62" i="4"/>
  <c r="G62" i="4"/>
  <c r="N62" i="4"/>
  <c r="J62" i="4"/>
  <c r="F62" i="4"/>
  <c r="M62" i="4"/>
  <c r="I62" i="4"/>
  <c r="E70" i="8"/>
  <c r="D70" i="8"/>
  <c r="D45" i="6" s="1"/>
  <c r="O62" i="4" l="1"/>
  <c r="T3" i="4"/>
  <c r="S62" i="4"/>
  <c r="D72" i="6"/>
  <c r="E55" i="6"/>
  <c r="U3" i="4" l="1"/>
  <c r="T62" i="4"/>
  <c r="V3" i="4" l="1"/>
  <c r="U62" i="4"/>
  <c r="D37" i="7"/>
  <c r="S35" i="7"/>
  <c r="R35" i="7"/>
  <c r="S34" i="7"/>
  <c r="E34" i="7" s="1"/>
  <c r="R34" i="7"/>
  <c r="A64" i="6"/>
  <c r="A38" i="7" s="1"/>
  <c r="A19" i="6"/>
  <c r="H37" i="7"/>
  <c r="H35" i="7"/>
  <c r="A37" i="7"/>
  <c r="A35" i="7"/>
  <c r="H32" i="7"/>
  <c r="H33" i="7"/>
  <c r="H31" i="7"/>
  <c r="G32" i="7"/>
  <c r="G33" i="7"/>
  <c r="G31" i="7"/>
  <c r="D32" i="7"/>
  <c r="D33" i="7"/>
  <c r="D31" i="7"/>
  <c r="A32" i="7"/>
  <c r="A33" i="7"/>
  <c r="A31" i="7"/>
  <c r="Q16" i="4"/>
  <c r="E9" i="7"/>
  <c r="E10" i="7"/>
  <c r="E11" i="7"/>
  <c r="E12" i="7"/>
  <c r="E13" i="7"/>
  <c r="E14" i="7"/>
  <c r="E8" i="7"/>
  <c r="S6" i="7"/>
  <c r="R6" i="7"/>
  <c r="A9" i="7"/>
  <c r="A10" i="7"/>
  <c r="A11" i="7"/>
  <c r="A12" i="7"/>
  <c r="A13" i="7"/>
  <c r="A14" i="7"/>
  <c r="A8" i="7"/>
  <c r="B42" i="4"/>
  <c r="B41" i="4"/>
  <c r="B40" i="4"/>
  <c r="B39" i="4"/>
  <c r="B38" i="4"/>
  <c r="B37" i="4"/>
  <c r="A43" i="4"/>
  <c r="A42" i="4"/>
  <c r="A41" i="4"/>
  <c r="A40" i="4"/>
  <c r="A39" i="4"/>
  <c r="A38" i="4"/>
  <c r="A37" i="4"/>
  <c r="D40" i="8"/>
  <c r="E40" i="8" s="1"/>
  <c r="D39" i="8"/>
  <c r="E39" i="8" s="1"/>
  <c r="D38" i="8"/>
  <c r="E38" i="8" s="1"/>
  <c r="D37" i="8"/>
  <c r="E37" i="8" s="1"/>
  <c r="D36" i="8"/>
  <c r="E36" i="8" s="1"/>
  <c r="D35" i="8"/>
  <c r="E35" i="8" s="1"/>
  <c r="D34" i="8"/>
  <c r="E34" i="8" s="1"/>
  <c r="D33" i="8"/>
  <c r="E33" i="8" s="1"/>
  <c r="D32" i="8"/>
  <c r="E32" i="8" s="1"/>
  <c r="D31" i="8"/>
  <c r="E31" i="8" s="1"/>
  <c r="D30" i="8"/>
  <c r="E30" i="8" s="1"/>
  <c r="D29" i="8"/>
  <c r="E29" i="8" s="1"/>
  <c r="D28" i="8"/>
  <c r="E28" i="8" s="1"/>
  <c r="D27" i="8"/>
  <c r="E27" i="8" s="1"/>
  <c r="D26" i="8"/>
  <c r="E26" i="8" s="1"/>
  <c r="D25" i="8"/>
  <c r="E25" i="8" s="1"/>
  <c r="D24" i="8"/>
  <c r="E24" i="8" s="1"/>
  <c r="D23" i="8"/>
  <c r="E23" i="8" s="1"/>
  <c r="D22" i="8"/>
  <c r="E22" i="8" s="1"/>
  <c r="D21" i="8"/>
  <c r="E21" i="8" s="1"/>
  <c r="D20" i="8"/>
  <c r="E20" i="8" s="1"/>
  <c r="D19" i="8"/>
  <c r="E19" i="8" s="1"/>
  <c r="D18" i="8"/>
  <c r="E18" i="8" s="1"/>
  <c r="D17" i="8"/>
  <c r="E17" i="8" s="1"/>
  <c r="D16" i="8"/>
  <c r="E16" i="8" s="1"/>
  <c r="D15" i="8"/>
  <c r="E15" i="8" s="1"/>
  <c r="D14" i="8"/>
  <c r="E14" i="8" s="1"/>
  <c r="D13" i="8"/>
  <c r="E13" i="8" s="1"/>
  <c r="H75" i="6"/>
  <c r="AF69" i="4" s="1"/>
  <c r="H69" i="6"/>
  <c r="H63" i="4" s="1"/>
  <c r="B69" i="6"/>
  <c r="E62" i="6"/>
  <c r="E61" i="6"/>
  <c r="D61" i="6"/>
  <c r="D36" i="7" s="1"/>
  <c r="W63" i="6"/>
  <c r="X63" i="6"/>
  <c r="E59" i="6"/>
  <c r="X59" i="6"/>
  <c r="W59" i="6"/>
  <c r="E58" i="6"/>
  <c r="AL69" i="4" l="1"/>
  <c r="W3" i="4"/>
  <c r="V62" i="4"/>
  <c r="F59" i="6"/>
  <c r="F62" i="6"/>
  <c r="O63" i="4"/>
  <c r="K63" i="4"/>
  <c r="G63" i="4"/>
  <c r="J69" i="4"/>
  <c r="N63" i="4"/>
  <c r="J63" i="4"/>
  <c r="F63" i="4"/>
  <c r="R69" i="4"/>
  <c r="M63" i="4"/>
  <c r="I63" i="4"/>
  <c r="E63" i="4"/>
  <c r="X69" i="4"/>
  <c r="D63" i="4"/>
  <c r="L63" i="4"/>
  <c r="D69" i="4"/>
  <c r="C7" i="7"/>
  <c r="E36" i="7"/>
  <c r="E15" i="7"/>
  <c r="F60" i="6"/>
  <c r="E35" i="7" s="1"/>
  <c r="F57" i="6"/>
  <c r="E33" i="7" s="1"/>
  <c r="K56" i="6"/>
  <c r="J32" i="7" s="1"/>
  <c r="K57" i="6"/>
  <c r="J33" i="7" s="1"/>
  <c r="K60" i="6"/>
  <c r="J35" i="7" s="1"/>
  <c r="K63" i="6"/>
  <c r="J37" i="7" s="1"/>
  <c r="K55" i="6"/>
  <c r="J31" i="7" s="1"/>
  <c r="X3" i="4" l="1"/>
  <c r="W62" i="4"/>
  <c r="H41" i="6"/>
  <c r="D18" i="7" s="1"/>
  <c r="B23" i="4"/>
  <c r="B22" i="4"/>
  <c r="B21" i="4"/>
  <c r="B20" i="4"/>
  <c r="B19" i="4"/>
  <c r="B18" i="4"/>
  <c r="B17" i="4"/>
  <c r="O7" i="4"/>
  <c r="N7" i="4"/>
  <c r="M7" i="4"/>
  <c r="L7" i="4"/>
  <c r="K7" i="4"/>
  <c r="J7" i="4"/>
  <c r="I7" i="4"/>
  <c r="H7" i="4"/>
  <c r="G7" i="4"/>
  <c r="F7" i="4"/>
  <c r="E7" i="4"/>
  <c r="D7" i="4"/>
  <c r="P16" i="4"/>
  <c r="J12" i="6"/>
  <c r="J13" i="6"/>
  <c r="J14" i="6"/>
  <c r="J15" i="6"/>
  <c r="J16" i="6"/>
  <c r="J17" i="6"/>
  <c r="E18" i="6"/>
  <c r="D12" i="6"/>
  <c r="C9" i="7" s="1"/>
  <c r="D13" i="6"/>
  <c r="C10" i="7" s="1"/>
  <c r="D14" i="6"/>
  <c r="C11" i="7" s="1"/>
  <c r="D15" i="6"/>
  <c r="C12" i="7" s="1"/>
  <c r="D16" i="6"/>
  <c r="C13" i="7" s="1"/>
  <c r="D17" i="6"/>
  <c r="C14" i="7" s="1"/>
  <c r="A18" i="6"/>
  <c r="A15" i="7" s="1"/>
  <c r="A9" i="6"/>
  <c r="A7" i="7" s="1"/>
  <c r="J11" i="6"/>
  <c r="P11" i="6" s="1"/>
  <c r="Y3" i="4" l="1"/>
  <c r="X62" i="4"/>
  <c r="K13" i="6"/>
  <c r="P13" i="6"/>
  <c r="K12" i="6"/>
  <c r="P12" i="6"/>
  <c r="K15" i="6"/>
  <c r="P15" i="6"/>
  <c r="K17" i="6"/>
  <c r="P17" i="6"/>
  <c r="K16" i="6"/>
  <c r="P16" i="6"/>
  <c r="K14" i="6"/>
  <c r="P14" i="6"/>
  <c r="J18" i="6"/>
  <c r="R17" i="6" s="1"/>
  <c r="A109" i="4"/>
  <c r="A110" i="4"/>
  <c r="A111" i="4"/>
  <c r="A101" i="4"/>
  <c r="A99" i="4"/>
  <c r="A97" i="4"/>
  <c r="A96" i="4"/>
  <c r="A95" i="4"/>
  <c r="A94" i="4"/>
  <c r="A93" i="4"/>
  <c r="A92" i="4"/>
  <c r="A91" i="4"/>
  <c r="A90" i="4"/>
  <c r="A80" i="4"/>
  <c r="A88" i="4"/>
  <c r="A87" i="4"/>
  <c r="A86" i="4"/>
  <c r="A85" i="4"/>
  <c r="A84" i="4"/>
  <c r="A83" i="4"/>
  <c r="A82" i="4"/>
  <c r="A81" i="4"/>
  <c r="A60" i="4"/>
  <c r="AT15" i="4"/>
  <c r="AS16" i="4"/>
  <c r="AS26" i="4" s="1"/>
  <c r="AR16" i="4"/>
  <c r="AR26" i="4" s="1"/>
  <c r="AE16" i="4"/>
  <c r="AE26" i="4" s="1"/>
  <c r="AD16" i="4"/>
  <c r="AD26" i="4" s="1"/>
  <c r="Q26" i="4"/>
  <c r="P26" i="4"/>
  <c r="A48" i="4"/>
  <c r="A24" i="4"/>
  <c r="A16" i="4"/>
  <c r="AF5" i="4"/>
  <c r="AF15" i="4" s="1"/>
  <c r="R5" i="4"/>
  <c r="R15" i="4" s="1"/>
  <c r="D5" i="4"/>
  <c r="D15" i="4" s="1"/>
  <c r="A6" i="4"/>
  <c r="A14" i="4"/>
  <c r="A13" i="4"/>
  <c r="A12" i="4"/>
  <c r="A11" i="4"/>
  <c r="A10" i="4"/>
  <c r="A9" i="4"/>
  <c r="A8" i="4"/>
  <c r="A7" i="4"/>
  <c r="A68" i="7"/>
  <c r="AX91" i="4"/>
  <c r="AW91" i="4"/>
  <c r="AX90" i="4"/>
  <c r="AW90" i="4"/>
  <c r="AX89" i="4"/>
  <c r="AW89" i="4"/>
  <c r="AX88" i="4"/>
  <c r="AW88" i="4"/>
  <c r="AX87" i="4"/>
  <c r="AW87" i="4"/>
  <c r="A70" i="7"/>
  <c r="A66" i="7"/>
  <c r="A64" i="7"/>
  <c r="A62" i="7"/>
  <c r="B41" i="7"/>
  <c r="B56" i="7"/>
  <c r="B42" i="7"/>
  <c r="B50" i="7"/>
  <c r="I61" i="7"/>
  <c r="I70" i="7"/>
  <c r="I68" i="7"/>
  <c r="G40" i="7"/>
  <c r="S24" i="7"/>
  <c r="R24" i="7"/>
  <c r="D40" i="7"/>
  <c r="B19" i="7"/>
  <c r="S19" i="7"/>
  <c r="R19" i="7"/>
  <c r="A16" i="7"/>
  <c r="A4" i="7"/>
  <c r="S15" i="7"/>
  <c r="R15" i="7"/>
  <c r="Q1" i="7"/>
  <c r="A1" i="7"/>
  <c r="Q2" i="7"/>
  <c r="A5" i="8"/>
  <c r="D4" i="8"/>
  <c r="C4" i="8"/>
  <c r="B4" i="8"/>
  <c r="A4" i="8"/>
  <c r="A2" i="8"/>
  <c r="I7" i="8"/>
  <c r="X10" i="6"/>
  <c r="H7" i="8"/>
  <c r="A86" i="6"/>
  <c r="B83" i="6"/>
  <c r="B84" i="6"/>
  <c r="B57" i="7" s="1"/>
  <c r="B85" i="6"/>
  <c r="B58" i="7" s="1"/>
  <c r="B82" i="6"/>
  <c r="H80" i="6"/>
  <c r="H79" i="6"/>
  <c r="B81" i="6"/>
  <c r="B55" i="7" s="1"/>
  <c r="B79" i="6"/>
  <c r="B54" i="7" s="1"/>
  <c r="B71" i="6"/>
  <c r="B72" i="6"/>
  <c r="B73" i="6"/>
  <c r="B74" i="6"/>
  <c r="B75" i="6"/>
  <c r="B76" i="6"/>
  <c r="B51" i="7" s="1"/>
  <c r="B77" i="6"/>
  <c r="B52" i="7" s="1"/>
  <c r="B78" i="6"/>
  <c r="B53" i="7" s="1"/>
  <c r="B70" i="6"/>
  <c r="B68" i="6"/>
  <c r="D67" i="6"/>
  <c r="D66" i="6"/>
  <c r="A65" i="6"/>
  <c r="A39" i="7" s="1"/>
  <c r="K53" i="6"/>
  <c r="I53" i="6"/>
  <c r="H53" i="6"/>
  <c r="E54" i="6"/>
  <c r="E53" i="6"/>
  <c r="D53" i="6"/>
  <c r="A53" i="6"/>
  <c r="A51" i="6"/>
  <c r="B43" i="6"/>
  <c r="B44" i="6"/>
  <c r="B45" i="6"/>
  <c r="B46" i="6"/>
  <c r="B47" i="6"/>
  <c r="B48" i="6"/>
  <c r="B49" i="6"/>
  <c r="B50" i="6"/>
  <c r="B27" i="7" s="1"/>
  <c r="B59" i="7" s="1"/>
  <c r="B42" i="6"/>
  <c r="B41" i="6"/>
  <c r="A39" i="6"/>
  <c r="A17" i="7" s="1"/>
  <c r="A38" i="6"/>
  <c r="J35" i="6"/>
  <c r="I35" i="6"/>
  <c r="H35" i="6"/>
  <c r="G35" i="6"/>
  <c r="F35" i="6"/>
  <c r="D35" i="6"/>
  <c r="C35" i="6"/>
  <c r="A37" i="6"/>
  <c r="A36" i="6"/>
  <c r="G21" i="6"/>
  <c r="H21" i="6"/>
  <c r="C21" i="6"/>
  <c r="A21" i="6"/>
  <c r="A20" i="6"/>
  <c r="J10" i="6"/>
  <c r="J9" i="6"/>
  <c r="E9" i="6"/>
  <c r="E7" i="7" s="1"/>
  <c r="C9" i="6"/>
  <c r="A8" i="6"/>
  <c r="A6" i="7" s="1"/>
  <c r="G3" i="6"/>
  <c r="A5" i="6"/>
  <c r="A4" i="6"/>
  <c r="A3" i="7" s="1"/>
  <c r="A3" i="6"/>
  <c r="A2" i="7" s="1"/>
  <c r="A2" i="6"/>
  <c r="A1" i="6"/>
  <c r="Z3" i="4" l="1"/>
  <c r="Y62" i="4"/>
  <c r="E30" i="7"/>
  <c r="H62" i="7"/>
  <c r="A103" i="4"/>
  <c r="A105" i="4"/>
  <c r="A35" i="4"/>
  <c r="A44" i="4" s="1"/>
  <c r="I7" i="7"/>
  <c r="E4" i="8"/>
  <c r="G7" i="7"/>
  <c r="A104" i="4"/>
  <c r="A106" i="4"/>
  <c r="J30" i="7"/>
  <c r="K58" i="6"/>
  <c r="K61" i="6" s="1"/>
  <c r="H30" i="7"/>
  <c r="I58" i="6"/>
  <c r="I61" i="6" s="1"/>
  <c r="A30" i="7"/>
  <c r="A58" i="6"/>
  <c r="A61" i="6" s="1"/>
  <c r="A108" i="4"/>
  <c r="J54" i="7"/>
  <c r="J50" i="7"/>
  <c r="J47" i="7"/>
  <c r="J58" i="7"/>
  <c r="J43" i="7"/>
  <c r="J57" i="7"/>
  <c r="J53" i="7"/>
  <c r="J49" i="7"/>
  <c r="J46" i="7"/>
  <c r="J42" i="7"/>
  <c r="J41" i="7"/>
  <c r="J56" i="7"/>
  <c r="J52" i="7"/>
  <c r="J45" i="7"/>
  <c r="H64" i="7"/>
  <c r="J59" i="7"/>
  <c r="J55" i="7"/>
  <c r="J51" i="7"/>
  <c r="J48" i="7"/>
  <c r="J44" i="7"/>
  <c r="H66" i="7"/>
  <c r="A78" i="4"/>
  <c r="A58" i="4"/>
  <c r="B66" i="4"/>
  <c r="A66" i="4"/>
  <c r="H72" i="6"/>
  <c r="X67" i="6"/>
  <c r="H67" i="6" s="1"/>
  <c r="X52" i="6"/>
  <c r="X18" i="6"/>
  <c r="W67" i="6"/>
  <c r="W52" i="6"/>
  <c r="R3" i="6"/>
  <c r="R4" i="6"/>
  <c r="R5" i="6"/>
  <c r="R6" i="6"/>
  <c r="R7" i="6"/>
  <c r="R8" i="6"/>
  <c r="R9" i="6"/>
  <c r="R10" i="6"/>
  <c r="R11" i="6"/>
  <c r="R12" i="6"/>
  <c r="R13" i="6"/>
  <c r="R2" i="6"/>
  <c r="F54" i="6" l="1"/>
  <c r="AA3" i="4"/>
  <c r="Z62" i="4"/>
  <c r="AQ66" i="4"/>
  <c r="AC66" i="4"/>
  <c r="AK66" i="4"/>
  <c r="W66" i="4"/>
  <c r="O66" i="4"/>
  <c r="I66" i="4"/>
  <c r="AB3" i="4" l="1"/>
  <c r="AA62" i="4"/>
  <c r="AR66" i="4"/>
  <c r="AS66" i="4" s="1"/>
  <c r="AD66" i="4"/>
  <c r="AE66" i="4" s="1"/>
  <c r="P66" i="4"/>
  <c r="W18" i="6"/>
  <c r="K10" i="6" s="1"/>
  <c r="W10" i="6"/>
  <c r="D10" i="6" s="1"/>
  <c r="G30" i="7"/>
  <c r="B68" i="4"/>
  <c r="B49" i="7"/>
  <c r="A68" i="4" s="1"/>
  <c r="J22" i="7"/>
  <c r="B22" i="7"/>
  <c r="A53" i="4" s="1"/>
  <c r="AC3" i="4" l="1"/>
  <c r="AB62" i="4"/>
  <c r="H40" i="6"/>
  <c r="G10" i="6"/>
  <c r="I10" i="6" s="1"/>
  <c r="AT66" i="4"/>
  <c r="Q66" i="4"/>
  <c r="G47" i="7" s="1"/>
  <c r="H81" i="6"/>
  <c r="H45" i="6"/>
  <c r="D64" i="8"/>
  <c r="E64" i="8" s="1"/>
  <c r="D63" i="8"/>
  <c r="E63" i="8" s="1"/>
  <c r="D62" i="8"/>
  <c r="E62" i="8" s="1"/>
  <c r="D61" i="8"/>
  <c r="E61" i="8" s="1"/>
  <c r="D66" i="8"/>
  <c r="E66" i="8" s="1"/>
  <c r="D65" i="8"/>
  <c r="E65" i="8" s="1"/>
  <c r="AC62" i="4" l="1"/>
  <c r="AF3" i="4"/>
  <c r="AP74" i="4"/>
  <c r="AL74" i="4"/>
  <c r="AH74" i="4"/>
  <c r="Z74" i="4"/>
  <c r="V74" i="4"/>
  <c r="R74" i="4"/>
  <c r="H74" i="4"/>
  <c r="L74" i="4"/>
  <c r="D74" i="4"/>
  <c r="AM74" i="4"/>
  <c r="AA74" i="4"/>
  <c r="S74" i="4"/>
  <c r="G74" i="4"/>
  <c r="AO74" i="4"/>
  <c r="AK74" i="4"/>
  <c r="AG74" i="4"/>
  <c r="AC74" i="4"/>
  <c r="Y74" i="4"/>
  <c r="U74" i="4"/>
  <c r="E74" i="4"/>
  <c r="I74" i="4"/>
  <c r="M74" i="4"/>
  <c r="W74" i="4"/>
  <c r="K74" i="4"/>
  <c r="AN74" i="4"/>
  <c r="AJ74" i="4"/>
  <c r="AF74" i="4"/>
  <c r="AB74" i="4"/>
  <c r="X74" i="4"/>
  <c r="T74" i="4"/>
  <c r="F74" i="4"/>
  <c r="J74" i="4"/>
  <c r="N74" i="4"/>
  <c r="AQ74" i="4"/>
  <c r="AI74" i="4"/>
  <c r="O74" i="4"/>
  <c r="D22" i="7"/>
  <c r="C53" i="4" s="1"/>
  <c r="D11" i="6"/>
  <c r="C8" i="7" s="1"/>
  <c r="A1" i="8"/>
  <c r="AG3" i="4" l="1"/>
  <c r="AF62" i="4"/>
  <c r="D69" i="8"/>
  <c r="E69" i="8" s="1"/>
  <c r="D68" i="8"/>
  <c r="E68" i="8" s="1"/>
  <c r="D67" i="8"/>
  <c r="E67" i="8" s="1"/>
  <c r="D60" i="8"/>
  <c r="D59" i="8"/>
  <c r="E59" i="8" s="1"/>
  <c r="D58" i="8"/>
  <c r="E58" i="8" s="1"/>
  <c r="D57" i="8"/>
  <c r="E57" i="8" s="1"/>
  <c r="D56" i="8"/>
  <c r="E56" i="8" s="1"/>
  <c r="D55" i="8"/>
  <c r="E55" i="8" s="1"/>
  <c r="D54" i="8"/>
  <c r="E54" i="8" s="1"/>
  <c r="D53" i="8"/>
  <c r="E53" i="8" s="1"/>
  <c r="D52" i="8"/>
  <c r="E52" i="8" s="1"/>
  <c r="D51" i="8"/>
  <c r="E51" i="8" s="1"/>
  <c r="D50" i="8"/>
  <c r="E50" i="8" s="1"/>
  <c r="D49" i="8"/>
  <c r="E49" i="8" s="1"/>
  <c r="D48" i="8"/>
  <c r="E48" i="8" s="1"/>
  <c r="D47" i="8"/>
  <c r="E47" i="8" s="1"/>
  <c r="D46" i="8"/>
  <c r="E46" i="8" s="1"/>
  <c r="D45" i="8"/>
  <c r="E45" i="8" s="1"/>
  <c r="D44" i="8"/>
  <c r="E44" i="8" s="1"/>
  <c r="D43" i="8"/>
  <c r="E43" i="8" s="1"/>
  <c r="D42" i="8"/>
  <c r="E42" i="8" s="1"/>
  <c r="D41" i="8"/>
  <c r="E41" i="8" s="1"/>
  <c r="D12" i="8"/>
  <c r="E12" i="8" s="1"/>
  <c r="D11" i="8"/>
  <c r="E11" i="8" s="1"/>
  <c r="D10" i="8"/>
  <c r="E10" i="8" s="1"/>
  <c r="D9" i="8"/>
  <c r="E9" i="8" s="1"/>
  <c r="D8" i="8"/>
  <c r="E8" i="8" s="1"/>
  <c r="D7" i="8"/>
  <c r="E7" i="8" s="1"/>
  <c r="D6" i="8"/>
  <c r="AH3" i="4" l="1"/>
  <c r="AG62" i="4"/>
  <c r="E60" i="8"/>
  <c r="E6" i="8"/>
  <c r="D5" i="8"/>
  <c r="D42" i="6" s="1"/>
  <c r="H42" i="6" s="1"/>
  <c r="AI3" i="4" l="1"/>
  <c r="AH62" i="4"/>
  <c r="D19" i="7"/>
  <c r="C50" i="4" s="1"/>
  <c r="E5" i="8"/>
  <c r="B18" i="7"/>
  <c r="AJ3" i="4" l="1"/>
  <c r="AI62" i="4"/>
  <c r="B63" i="4"/>
  <c r="AR53" i="4"/>
  <c r="AD53" i="4"/>
  <c r="B53" i="4"/>
  <c r="B48" i="7"/>
  <c r="B25" i="7"/>
  <c r="B26" i="7"/>
  <c r="B20" i="7"/>
  <c r="B21" i="7"/>
  <c r="B23" i="7"/>
  <c r="B24" i="7"/>
  <c r="P53" i="4"/>
  <c r="AK3" i="4" l="1"/>
  <c r="AJ62" i="4"/>
  <c r="AT53" i="4"/>
  <c r="AL3" i="4" l="1"/>
  <c r="AK62" i="4"/>
  <c r="D102" i="4"/>
  <c r="C82" i="4"/>
  <c r="C81" i="4"/>
  <c r="C91" i="4" s="1"/>
  <c r="AM3" i="4" l="1"/>
  <c r="AL62" i="4"/>
  <c r="C83" i="4"/>
  <c r="E102" i="4"/>
  <c r="F102" i="4" s="1"/>
  <c r="G102" i="4" s="1"/>
  <c r="H102" i="4" s="1"/>
  <c r="I102" i="4" s="1"/>
  <c r="J102" i="4" s="1"/>
  <c r="K102" i="4" s="1"/>
  <c r="L102" i="4" s="1"/>
  <c r="M102" i="4" s="1"/>
  <c r="N102" i="4" s="1"/>
  <c r="O102" i="4" s="1"/>
  <c r="R102" i="4" s="1"/>
  <c r="S102" i="4" s="1"/>
  <c r="T102" i="4" s="1"/>
  <c r="U102" i="4" s="1"/>
  <c r="V102" i="4" s="1"/>
  <c r="W102" i="4" s="1"/>
  <c r="X102" i="4" s="1"/>
  <c r="Y102" i="4" s="1"/>
  <c r="Z102" i="4" s="1"/>
  <c r="AA102" i="4" s="1"/>
  <c r="AB102" i="4" s="1"/>
  <c r="AC102" i="4" s="1"/>
  <c r="AF102" i="4" s="1"/>
  <c r="AG102" i="4" s="1"/>
  <c r="AH102" i="4" s="1"/>
  <c r="AI102" i="4" s="1"/>
  <c r="AJ102" i="4" s="1"/>
  <c r="AK102" i="4" s="1"/>
  <c r="AL102" i="4" s="1"/>
  <c r="AM102" i="4" s="1"/>
  <c r="AN102" i="4" s="1"/>
  <c r="AO102" i="4" s="1"/>
  <c r="AP102" i="4" s="1"/>
  <c r="AQ102" i="4" s="1"/>
  <c r="AN3" i="4" l="1"/>
  <c r="AM62" i="4"/>
  <c r="D3" i="7"/>
  <c r="B43" i="4"/>
  <c r="AT26" i="4"/>
  <c r="J18" i="7"/>
  <c r="F63" i="6"/>
  <c r="E37" i="7" s="1"/>
  <c r="F56" i="6"/>
  <c r="E32" i="7" s="1"/>
  <c r="AO3" i="4" l="1"/>
  <c r="AN62" i="4"/>
  <c r="K11" i="6"/>
  <c r="K18" i="6" s="1"/>
  <c r="AP3" i="4" l="1"/>
  <c r="AO62" i="4"/>
  <c r="A74" i="4"/>
  <c r="B74" i="4"/>
  <c r="AQ3" i="4" l="1"/>
  <c r="AQ62" i="4" s="1"/>
  <c r="AP62" i="4"/>
  <c r="H83" i="6"/>
  <c r="E75" i="4" l="1"/>
  <c r="I75" i="4"/>
  <c r="M75" i="4"/>
  <c r="H75" i="4"/>
  <c r="F75" i="4"/>
  <c r="J75" i="4"/>
  <c r="N75" i="4"/>
  <c r="D75" i="4"/>
  <c r="G75" i="4"/>
  <c r="K75" i="4"/>
  <c r="O75" i="4"/>
  <c r="L75" i="4"/>
  <c r="A69" i="4"/>
  <c r="B45" i="7"/>
  <c r="B46" i="7"/>
  <c r="B44" i="7"/>
  <c r="A63" i="4" s="1"/>
  <c r="AR69" i="4" l="1"/>
  <c r="AS69" i="4" s="1"/>
  <c r="AD69" i="4"/>
  <c r="AE69" i="4" s="1"/>
  <c r="P69" i="4"/>
  <c r="Q69" i="4" s="1"/>
  <c r="G50" i="7" s="1"/>
  <c r="AT69" i="4" l="1"/>
  <c r="H84" i="6"/>
  <c r="H85" i="6"/>
  <c r="H70" i="6"/>
  <c r="H71" i="6"/>
  <c r="H76" i="6"/>
  <c r="H77" i="6"/>
  <c r="H78" i="6"/>
  <c r="H43" i="6"/>
  <c r="H44" i="6"/>
  <c r="H46" i="6"/>
  <c r="H47" i="6"/>
  <c r="H49" i="6"/>
  <c r="F55" i="6"/>
  <c r="E31" i="7" s="1"/>
  <c r="E64" i="4" l="1"/>
  <c r="I64" i="4"/>
  <c r="M64" i="4"/>
  <c r="F64" i="4"/>
  <c r="J64" i="4"/>
  <c r="N64" i="4"/>
  <c r="L64" i="4"/>
  <c r="D64" i="4"/>
  <c r="G64" i="4"/>
  <c r="K64" i="4"/>
  <c r="O64" i="4"/>
  <c r="H64" i="4"/>
  <c r="AP77" i="4"/>
  <c r="AL77" i="4"/>
  <c r="AH77" i="4"/>
  <c r="Z77" i="4"/>
  <c r="V77" i="4"/>
  <c r="R77" i="4"/>
  <c r="F77" i="4"/>
  <c r="J77" i="4"/>
  <c r="N77" i="4"/>
  <c r="AI77" i="4"/>
  <c r="W77" i="4"/>
  <c r="AO77" i="4"/>
  <c r="AK77" i="4"/>
  <c r="AG77" i="4"/>
  <c r="AC77" i="4"/>
  <c r="Y77" i="4"/>
  <c r="U77" i="4"/>
  <c r="G77" i="4"/>
  <c r="K77" i="4"/>
  <c r="O77" i="4"/>
  <c r="AM77" i="4"/>
  <c r="E77" i="4"/>
  <c r="I77" i="4"/>
  <c r="M77" i="4"/>
  <c r="AN77" i="4"/>
  <c r="AJ77" i="4"/>
  <c r="AF77" i="4"/>
  <c r="AB77" i="4"/>
  <c r="X77" i="4"/>
  <c r="T77" i="4"/>
  <c r="H77" i="4"/>
  <c r="L77" i="4"/>
  <c r="D77" i="4"/>
  <c r="AQ77" i="4"/>
  <c r="AA77" i="4"/>
  <c r="S77" i="4"/>
  <c r="AP72" i="4"/>
  <c r="AL72" i="4"/>
  <c r="AH72" i="4"/>
  <c r="Z72" i="4"/>
  <c r="V72" i="4"/>
  <c r="R72" i="4"/>
  <c r="G72" i="4"/>
  <c r="K72" i="4"/>
  <c r="O72" i="4"/>
  <c r="AQ72" i="4"/>
  <c r="S72" i="4"/>
  <c r="J72" i="4"/>
  <c r="AO72" i="4"/>
  <c r="AK72" i="4"/>
  <c r="AG72" i="4"/>
  <c r="AC72" i="4"/>
  <c r="Y72" i="4"/>
  <c r="U72" i="4"/>
  <c r="H72" i="4"/>
  <c r="L72" i="4"/>
  <c r="D72" i="4"/>
  <c r="AM72" i="4"/>
  <c r="W72" i="4"/>
  <c r="F72" i="4"/>
  <c r="AN72" i="4"/>
  <c r="AJ72" i="4"/>
  <c r="AF72" i="4"/>
  <c r="AB72" i="4"/>
  <c r="X72" i="4"/>
  <c r="T72" i="4"/>
  <c r="E72" i="4"/>
  <c r="I72" i="4"/>
  <c r="M72" i="4"/>
  <c r="AI72" i="4"/>
  <c r="AA72" i="4"/>
  <c r="N72" i="4"/>
  <c r="AP70" i="4"/>
  <c r="AL70" i="4"/>
  <c r="AH70" i="4"/>
  <c r="Z70" i="4"/>
  <c r="V70" i="4"/>
  <c r="R70" i="4"/>
  <c r="F70" i="4"/>
  <c r="J70" i="4"/>
  <c r="N70" i="4"/>
  <c r="AQ70" i="4"/>
  <c r="AI70" i="4"/>
  <c r="W70" i="4"/>
  <c r="I70" i="4"/>
  <c r="AO70" i="4"/>
  <c r="AK70" i="4"/>
  <c r="AG70" i="4"/>
  <c r="AC70" i="4"/>
  <c r="Y70" i="4"/>
  <c r="U70" i="4"/>
  <c r="G70" i="4"/>
  <c r="K70" i="4"/>
  <c r="O70" i="4"/>
  <c r="S70" i="4"/>
  <c r="AN70" i="4"/>
  <c r="AJ70" i="4"/>
  <c r="AF70" i="4"/>
  <c r="AB70" i="4"/>
  <c r="X70" i="4"/>
  <c r="T70" i="4"/>
  <c r="H70" i="4"/>
  <c r="L70" i="4"/>
  <c r="D70" i="4"/>
  <c r="AM70" i="4"/>
  <c r="AA70" i="4"/>
  <c r="E70" i="4"/>
  <c r="M70" i="4"/>
  <c r="AN65" i="4"/>
  <c r="AJ65" i="4"/>
  <c r="AF65" i="4"/>
  <c r="AB65" i="4"/>
  <c r="X65" i="4"/>
  <c r="T65" i="4"/>
  <c r="F65" i="4"/>
  <c r="J65" i="4"/>
  <c r="N65" i="4"/>
  <c r="AK65" i="4"/>
  <c r="Y65" i="4"/>
  <c r="I65" i="4"/>
  <c r="AQ65" i="4"/>
  <c r="AM65" i="4"/>
  <c r="AI65" i="4"/>
  <c r="AA65" i="4"/>
  <c r="W65" i="4"/>
  <c r="S65" i="4"/>
  <c r="G65" i="4"/>
  <c r="K65" i="4"/>
  <c r="O65" i="4"/>
  <c r="AG65" i="4"/>
  <c r="U65" i="4"/>
  <c r="AP65" i="4"/>
  <c r="AL65" i="4"/>
  <c r="AH65" i="4"/>
  <c r="Z65" i="4"/>
  <c r="V65" i="4"/>
  <c r="R65" i="4"/>
  <c r="H65" i="4"/>
  <c r="L65" i="4"/>
  <c r="D65" i="4"/>
  <c r="AO65" i="4"/>
  <c r="AC65" i="4"/>
  <c r="E65" i="4"/>
  <c r="M65" i="4"/>
  <c r="H71" i="4"/>
  <c r="L71" i="4"/>
  <c r="D71" i="4"/>
  <c r="K71" i="4"/>
  <c r="E71" i="4"/>
  <c r="I71" i="4"/>
  <c r="M71" i="4"/>
  <c r="G71" i="4"/>
  <c r="F71" i="4"/>
  <c r="J71" i="4"/>
  <c r="N71" i="4"/>
  <c r="O71" i="4"/>
  <c r="AO76" i="4"/>
  <c r="AK76" i="4"/>
  <c r="AG76" i="4"/>
  <c r="AA76" i="4"/>
  <c r="W76" i="4"/>
  <c r="S76" i="4"/>
  <c r="H76" i="4"/>
  <c r="L76" i="4"/>
  <c r="D76" i="4"/>
  <c r="AH76" i="4"/>
  <c r="AB76" i="4"/>
  <c r="G76" i="4"/>
  <c r="AN76" i="4"/>
  <c r="AJ76" i="4"/>
  <c r="AF76" i="4"/>
  <c r="Z76" i="4"/>
  <c r="V76" i="4"/>
  <c r="R76" i="4"/>
  <c r="E76" i="4"/>
  <c r="I76" i="4"/>
  <c r="M76" i="4"/>
  <c r="AL76" i="4"/>
  <c r="X76" i="4"/>
  <c r="O76" i="4"/>
  <c r="AQ76" i="4"/>
  <c r="AM76" i="4"/>
  <c r="AI76" i="4"/>
  <c r="AC76" i="4"/>
  <c r="Y76" i="4"/>
  <c r="U76" i="4"/>
  <c r="F76" i="4"/>
  <c r="J76" i="4"/>
  <c r="N76" i="4"/>
  <c r="AP76" i="4"/>
  <c r="T76" i="4"/>
  <c r="K76" i="4"/>
  <c r="D24" i="7"/>
  <c r="C55" i="4" s="1"/>
  <c r="P55" i="4" s="1"/>
  <c r="D23" i="7"/>
  <c r="C54" i="4" s="1"/>
  <c r="P54" i="4" s="1"/>
  <c r="D26" i="7"/>
  <c r="C57" i="4" s="1"/>
  <c r="P57" i="4" s="1"/>
  <c r="D21" i="7"/>
  <c r="C52" i="4" s="1"/>
  <c r="P52" i="4" s="1"/>
  <c r="D20" i="7"/>
  <c r="C51" i="4" s="1"/>
  <c r="P51" i="4" s="1"/>
  <c r="C49" i="4"/>
  <c r="P50" i="4"/>
  <c r="D40" i="6"/>
  <c r="G23" i="6"/>
  <c r="G24" i="6"/>
  <c r="G25" i="6"/>
  <c r="G26" i="6"/>
  <c r="G27" i="6"/>
  <c r="G28" i="6"/>
  <c r="G29" i="6"/>
  <c r="G30" i="6"/>
  <c r="G31" i="6"/>
  <c r="G32" i="6"/>
  <c r="G33" i="6"/>
  <c r="G22" i="6"/>
  <c r="P63" i="4" l="1"/>
  <c r="Q63" i="4" s="1"/>
  <c r="G44" i="7" s="1"/>
  <c r="P64" i="4"/>
  <c r="Q64" i="4" s="1"/>
  <c r="G45" i="7" s="1"/>
  <c r="P71" i="4"/>
  <c r="Q71" i="4" s="1"/>
  <c r="G52" i="7" s="1"/>
  <c r="P77" i="4"/>
  <c r="Q77" i="4" s="1"/>
  <c r="G58" i="7" s="1"/>
  <c r="P70" i="4"/>
  <c r="Q70" i="4" s="1"/>
  <c r="G51" i="7" s="1"/>
  <c r="P76" i="4"/>
  <c r="Q76" i="4" s="1"/>
  <c r="G57" i="7" s="1"/>
  <c r="P72" i="4"/>
  <c r="Q72" i="4" s="1"/>
  <c r="G53" i="7" s="1"/>
  <c r="P65" i="4"/>
  <c r="Q65" i="4" s="1"/>
  <c r="G46" i="7" s="1"/>
  <c r="P49" i="4"/>
  <c r="P3" i="6"/>
  <c r="P74" i="4" l="1"/>
  <c r="Q74" i="4" s="1"/>
  <c r="G55" i="7" s="1"/>
  <c r="J21" i="7"/>
  <c r="J26" i="7"/>
  <c r="J24" i="7"/>
  <c r="B69" i="4"/>
  <c r="J25" i="7"/>
  <c r="J23" i="7"/>
  <c r="J27" i="7"/>
  <c r="J19" i="7"/>
  <c r="J20" i="7"/>
  <c r="A50" i="4"/>
  <c r="AG11" i="4"/>
  <c r="AH11" i="4"/>
  <c r="AI11" i="4"/>
  <c r="AJ11" i="4"/>
  <c r="AK11" i="4"/>
  <c r="AL11" i="4"/>
  <c r="AM11" i="4"/>
  <c r="AN11" i="4"/>
  <c r="AO11" i="4"/>
  <c r="AP11" i="4"/>
  <c r="AQ11" i="4"/>
  <c r="AG12" i="4"/>
  <c r="AH12" i="4"/>
  <c r="AI12" i="4"/>
  <c r="AJ12" i="4"/>
  <c r="AK12" i="4"/>
  <c r="AL12" i="4"/>
  <c r="AM12" i="4"/>
  <c r="AN12" i="4"/>
  <c r="AO12" i="4"/>
  <c r="AP12" i="4"/>
  <c r="AQ12" i="4"/>
  <c r="AG13" i="4"/>
  <c r="AH13" i="4"/>
  <c r="AI13" i="4"/>
  <c r="AJ13" i="4"/>
  <c r="AK13" i="4"/>
  <c r="AL13" i="4"/>
  <c r="AM13" i="4"/>
  <c r="AN13" i="4"/>
  <c r="AO13" i="4"/>
  <c r="AP13" i="4"/>
  <c r="AQ13" i="4"/>
  <c r="AF13" i="4"/>
  <c r="AF12" i="4"/>
  <c r="AF11" i="4"/>
  <c r="S11" i="4"/>
  <c r="T11" i="4"/>
  <c r="U11" i="4"/>
  <c r="V11" i="4"/>
  <c r="W11" i="4"/>
  <c r="X11" i="4"/>
  <c r="Y11" i="4"/>
  <c r="Z11" i="4"/>
  <c r="AA11" i="4"/>
  <c r="AB11" i="4"/>
  <c r="AC11" i="4"/>
  <c r="S12" i="4"/>
  <c r="T12" i="4"/>
  <c r="U12" i="4"/>
  <c r="V12" i="4"/>
  <c r="W12" i="4"/>
  <c r="X12" i="4"/>
  <c r="Y12" i="4"/>
  <c r="Z12" i="4"/>
  <c r="AA12" i="4"/>
  <c r="AB12" i="4"/>
  <c r="AC12" i="4"/>
  <c r="S13" i="4"/>
  <c r="T13" i="4"/>
  <c r="U13" i="4"/>
  <c r="V13" i="4"/>
  <c r="W13" i="4"/>
  <c r="X13" i="4"/>
  <c r="Y13" i="4"/>
  <c r="Z13" i="4"/>
  <c r="AA13" i="4"/>
  <c r="AB13" i="4"/>
  <c r="AC13" i="4"/>
  <c r="R13" i="4"/>
  <c r="R12" i="4"/>
  <c r="R11" i="4"/>
  <c r="R75" i="4" l="1"/>
  <c r="Z75" i="4"/>
  <c r="V75" i="4"/>
  <c r="AC71" i="4"/>
  <c r="Y71" i="4"/>
  <c r="U71" i="4"/>
  <c r="AB64" i="4"/>
  <c r="X64" i="4"/>
  <c r="T64" i="4"/>
  <c r="AF75" i="4"/>
  <c r="AN75" i="4"/>
  <c r="AJ75" i="4"/>
  <c r="AQ71" i="4"/>
  <c r="AM71" i="4"/>
  <c r="AI71" i="4"/>
  <c r="AP64" i="4"/>
  <c r="AL64" i="4"/>
  <c r="AH64" i="4"/>
  <c r="Y75" i="4"/>
  <c r="X71" i="4"/>
  <c r="S64" i="4"/>
  <c r="AI75" i="4"/>
  <c r="AL71" i="4"/>
  <c r="AK64" i="4"/>
  <c r="R64" i="4"/>
  <c r="X75" i="4"/>
  <c r="AA71" i="4"/>
  <c r="Z64" i="4"/>
  <c r="V64" i="4"/>
  <c r="AF64" i="4"/>
  <c r="AP75" i="4"/>
  <c r="AL75" i="4"/>
  <c r="AH75" i="4"/>
  <c r="AO71" i="4"/>
  <c r="AK71" i="4"/>
  <c r="AG71" i="4"/>
  <c r="AN64" i="4"/>
  <c r="AJ64" i="4"/>
  <c r="AC75" i="4"/>
  <c r="U75" i="4"/>
  <c r="AB71" i="4"/>
  <c r="T71" i="4"/>
  <c r="AA64" i="4"/>
  <c r="W64" i="4"/>
  <c r="AQ75" i="4"/>
  <c r="AM75" i="4"/>
  <c r="AP71" i="4"/>
  <c r="AH71" i="4"/>
  <c r="AO64" i="4"/>
  <c r="AG64" i="4"/>
  <c r="AB75" i="4"/>
  <c r="T75" i="4"/>
  <c r="W71" i="4"/>
  <c r="S71" i="4"/>
  <c r="R71" i="4"/>
  <c r="AA75" i="4"/>
  <c r="W75" i="4"/>
  <c r="S75" i="4"/>
  <c r="Z71" i="4"/>
  <c r="V71" i="4"/>
  <c r="AC64" i="4"/>
  <c r="Y64" i="4"/>
  <c r="U64" i="4"/>
  <c r="AF71" i="4"/>
  <c r="AO75" i="4"/>
  <c r="AK75" i="4"/>
  <c r="AG75" i="4"/>
  <c r="AN71" i="4"/>
  <c r="AJ71" i="4"/>
  <c r="AQ64" i="4"/>
  <c r="AM64" i="4"/>
  <c r="AI64" i="4"/>
  <c r="C78" i="4"/>
  <c r="C85" i="4" s="1"/>
  <c r="C87" i="4" s="1"/>
  <c r="C103" i="4" s="1"/>
  <c r="AT48" i="4"/>
  <c r="AS48" i="4"/>
  <c r="AR48" i="4"/>
  <c r="AD48" i="4"/>
  <c r="AE48" i="4"/>
  <c r="Q48" i="4"/>
  <c r="P48" i="4"/>
  <c r="Q60" i="4"/>
  <c r="P60" i="4"/>
  <c r="Q80" i="4"/>
  <c r="P80" i="4"/>
  <c r="Q90" i="4"/>
  <c r="P90" i="4"/>
  <c r="C92" i="4" l="1"/>
  <c r="C93" i="4" s="1"/>
  <c r="C104" i="4"/>
  <c r="D30" i="7"/>
  <c r="B101" i="4" l="1"/>
  <c r="AO101" i="4" l="1"/>
  <c r="C101" i="4"/>
  <c r="C105" i="4" s="1"/>
  <c r="C106" i="4" s="1"/>
  <c r="D101" i="4"/>
  <c r="J101" i="4"/>
  <c r="X101" i="4"/>
  <c r="AB101" i="4"/>
  <c r="N101" i="4"/>
  <c r="F101" i="4"/>
  <c r="AH101" i="4"/>
  <c r="T101" i="4"/>
  <c r="AL101" i="4"/>
  <c r="M101" i="4"/>
  <c r="I101" i="4"/>
  <c r="E101" i="4"/>
  <c r="U101" i="4"/>
  <c r="Y101" i="4"/>
  <c r="AC101" i="4"/>
  <c r="AI101" i="4"/>
  <c r="AM101" i="4"/>
  <c r="AQ101" i="4"/>
  <c r="L101" i="4"/>
  <c r="H101" i="4"/>
  <c r="R101" i="4"/>
  <c r="V101" i="4"/>
  <c r="Z101" i="4"/>
  <c r="AF101" i="4"/>
  <c r="AJ101" i="4"/>
  <c r="AN101" i="4"/>
  <c r="AP101" i="4"/>
  <c r="O101" i="4"/>
  <c r="K101" i="4"/>
  <c r="G101" i="4"/>
  <c r="S101" i="4"/>
  <c r="W101" i="4"/>
  <c r="AA101" i="4"/>
  <c r="AG101" i="4"/>
  <c r="AK101" i="4"/>
  <c r="AG7" i="4" l="1"/>
  <c r="AH7" i="4"/>
  <c r="AI7" i="4"/>
  <c r="AJ7" i="4"/>
  <c r="AK7" i="4"/>
  <c r="AL7" i="4"/>
  <c r="AM7" i="4"/>
  <c r="AN7" i="4"/>
  <c r="AO7" i="4"/>
  <c r="AP7" i="4"/>
  <c r="AQ7" i="4"/>
  <c r="AG9" i="4"/>
  <c r="AH9" i="4"/>
  <c r="AI9" i="4"/>
  <c r="AJ9" i="4"/>
  <c r="AK9" i="4"/>
  <c r="AL9" i="4"/>
  <c r="AM9" i="4"/>
  <c r="AN9" i="4"/>
  <c r="AO9" i="4"/>
  <c r="AP9" i="4"/>
  <c r="AQ9" i="4"/>
  <c r="AG10" i="4"/>
  <c r="AH10" i="4"/>
  <c r="AI10" i="4"/>
  <c r="AJ10" i="4"/>
  <c r="AK10" i="4"/>
  <c r="AL10" i="4"/>
  <c r="AM10" i="4"/>
  <c r="AN10" i="4"/>
  <c r="AO10" i="4"/>
  <c r="AP10" i="4"/>
  <c r="AQ10" i="4"/>
  <c r="AF10" i="4"/>
  <c r="AF9" i="4"/>
  <c r="AF7" i="4"/>
  <c r="S7" i="4"/>
  <c r="T7" i="4"/>
  <c r="U7" i="4"/>
  <c r="V7" i="4"/>
  <c r="W7" i="4"/>
  <c r="X7" i="4"/>
  <c r="Y7" i="4"/>
  <c r="Z7" i="4"/>
  <c r="AA7" i="4"/>
  <c r="AB7" i="4"/>
  <c r="AC7" i="4"/>
  <c r="S9" i="4"/>
  <c r="T9" i="4"/>
  <c r="U9" i="4"/>
  <c r="V9" i="4"/>
  <c r="W9" i="4"/>
  <c r="X9" i="4"/>
  <c r="Y9" i="4"/>
  <c r="Z9" i="4"/>
  <c r="AA9" i="4"/>
  <c r="AB9" i="4"/>
  <c r="AC9" i="4"/>
  <c r="S10" i="4"/>
  <c r="T10" i="4"/>
  <c r="U10" i="4"/>
  <c r="V10" i="4"/>
  <c r="W10" i="4"/>
  <c r="X10" i="4"/>
  <c r="Y10" i="4"/>
  <c r="Z10" i="4"/>
  <c r="AA10" i="4"/>
  <c r="AB10" i="4"/>
  <c r="AC10" i="4"/>
  <c r="R10" i="4"/>
  <c r="R9" i="4"/>
  <c r="R7" i="4"/>
  <c r="AP63" i="4" l="1"/>
  <c r="AL63" i="4"/>
  <c r="AH63" i="4"/>
  <c r="R63" i="4"/>
  <c r="Z63" i="4"/>
  <c r="V63" i="4"/>
  <c r="AF63" i="4"/>
  <c r="AN63" i="4"/>
  <c r="AJ63" i="4"/>
  <c r="AB63" i="4"/>
  <c r="X63" i="4"/>
  <c r="T63" i="4"/>
  <c r="AA63" i="4"/>
  <c r="W63" i="4"/>
  <c r="S63" i="4"/>
  <c r="AO63" i="4"/>
  <c r="AK63" i="4"/>
  <c r="AG63" i="4"/>
  <c r="AC63" i="4"/>
  <c r="Y63" i="4"/>
  <c r="U63" i="4"/>
  <c r="AQ63" i="4"/>
  <c r="AM63" i="4"/>
  <c r="AI63" i="4"/>
  <c r="A73" i="4"/>
  <c r="A62" i="4"/>
  <c r="A61" i="4"/>
  <c r="A57" i="4"/>
  <c r="A56" i="4"/>
  <c r="A55" i="4"/>
  <c r="A54" i="4"/>
  <c r="A52" i="4"/>
  <c r="A51" i="4"/>
  <c r="D2" i="4"/>
  <c r="D8" i="4" s="1"/>
  <c r="A77" i="4"/>
  <c r="A76" i="4"/>
  <c r="A75" i="4"/>
  <c r="A72" i="4"/>
  <c r="A71" i="4"/>
  <c r="A70" i="4"/>
  <c r="A67" i="4"/>
  <c r="A65" i="4"/>
  <c r="A64" i="4"/>
  <c r="AR55" i="4"/>
  <c r="AR52" i="4"/>
  <c r="AR51" i="4"/>
  <c r="AD55" i="4"/>
  <c r="AD52" i="4"/>
  <c r="AD51" i="4"/>
  <c r="A49" i="4"/>
  <c r="P5" i="6"/>
  <c r="P4" i="6"/>
  <c r="AR50" i="4"/>
  <c r="AD50" i="4"/>
  <c r="AD49" i="4"/>
  <c r="AR49" i="4"/>
  <c r="AT60" i="4"/>
  <c r="AT80" i="4" s="1"/>
  <c r="AT90" i="4" s="1"/>
  <c r="AS60" i="4"/>
  <c r="AS80" i="4" s="1"/>
  <c r="AS90" i="4" s="1"/>
  <c r="AR60" i="4"/>
  <c r="AR80" i="4" s="1"/>
  <c r="AR90" i="4" s="1"/>
  <c r="AE60" i="4"/>
  <c r="AE80" i="4" s="1"/>
  <c r="AE90" i="4" s="1"/>
  <c r="AD60" i="4"/>
  <c r="AD80" i="4" s="1"/>
  <c r="AD90" i="4" s="1"/>
  <c r="D1" i="4"/>
  <c r="AD56" i="4"/>
  <c r="AR56" i="4"/>
  <c r="AD63" i="4" l="1"/>
  <c r="AE63" i="4" s="1"/>
  <c r="D33" i="4"/>
  <c r="D32" i="4"/>
  <c r="D31" i="4"/>
  <c r="D34" i="4"/>
  <c r="D29" i="4"/>
  <c r="D17" i="4"/>
  <c r="D30" i="4"/>
  <c r="D37" i="4"/>
  <c r="D39" i="4"/>
  <c r="D42" i="4"/>
  <c r="D41" i="4"/>
  <c r="D40" i="4"/>
  <c r="D43" i="4"/>
  <c r="D38" i="4"/>
  <c r="D28" i="4"/>
  <c r="AR63" i="4"/>
  <c r="AS63" i="4" s="1"/>
  <c r="D21" i="4"/>
  <c r="D20" i="4"/>
  <c r="D22" i="4"/>
  <c r="D19" i="4"/>
  <c r="D18" i="4"/>
  <c r="D23" i="4"/>
  <c r="C2" i="4"/>
  <c r="C6" i="4" s="1"/>
  <c r="AR74" i="4"/>
  <c r="AS74" i="4" s="1"/>
  <c r="AD74" i="4"/>
  <c r="B46" i="4"/>
  <c r="B65" i="4"/>
  <c r="AT50" i="4"/>
  <c r="B57" i="4"/>
  <c r="B94" i="4"/>
  <c r="D6" i="4"/>
  <c r="B81" i="4"/>
  <c r="B50" i="4"/>
  <c r="B85" i="4"/>
  <c r="B58" i="4"/>
  <c r="B92" i="4"/>
  <c r="B97" i="4"/>
  <c r="B24" i="4"/>
  <c r="B52" i="4"/>
  <c r="B62" i="4"/>
  <c r="B67" i="4"/>
  <c r="B82" i="4"/>
  <c r="B86" i="4"/>
  <c r="B93" i="4"/>
  <c r="B70" i="4"/>
  <c r="B71" i="4"/>
  <c r="B54" i="4"/>
  <c r="B76" i="4"/>
  <c r="B83" i="4"/>
  <c r="B87" i="4"/>
  <c r="B95" i="4"/>
  <c r="B51" i="4"/>
  <c r="B75" i="4"/>
  <c r="B88" i="4"/>
  <c r="B77" i="4"/>
  <c r="B49" i="4"/>
  <c r="B56" i="4"/>
  <c r="B64" i="4"/>
  <c r="B78" i="4"/>
  <c r="B84" i="4"/>
  <c r="B91" i="4"/>
  <c r="B96" i="4"/>
  <c r="B72" i="4"/>
  <c r="B55" i="4"/>
  <c r="B61" i="4"/>
  <c r="D2" i="7"/>
  <c r="AT52" i="4"/>
  <c r="AT51" i="4"/>
  <c r="AT55" i="4"/>
  <c r="B73" i="4"/>
  <c r="E2" i="4"/>
  <c r="D35" i="4" l="1"/>
  <c r="AT63" i="4"/>
  <c r="D44" i="4"/>
  <c r="D24" i="4"/>
  <c r="D99" i="4"/>
  <c r="D16" i="4"/>
  <c r="E8" i="4"/>
  <c r="C16" i="4"/>
  <c r="C99" i="4"/>
  <c r="C60" i="4"/>
  <c r="C26" i="4"/>
  <c r="C90" i="4"/>
  <c r="C80" i="4"/>
  <c r="C48" i="4"/>
  <c r="AE74" i="4"/>
  <c r="AT74" i="4"/>
  <c r="D90" i="4"/>
  <c r="D26" i="4"/>
  <c r="D60" i="4"/>
  <c r="D48" i="4"/>
  <c r="D80" i="4"/>
  <c r="F2" i="4"/>
  <c r="E6" i="4"/>
  <c r="AR65" i="4"/>
  <c r="AS65" i="4" s="1"/>
  <c r="AR71" i="4"/>
  <c r="AS71" i="4" s="1"/>
  <c r="AD64" i="4"/>
  <c r="AE64" i="4" s="1"/>
  <c r="AD70" i="4"/>
  <c r="AR64" i="4"/>
  <c r="AS64" i="4" s="1"/>
  <c r="AR72" i="4"/>
  <c r="AS72" i="4" s="1"/>
  <c r="AR77" i="4"/>
  <c r="AS77" i="4" s="1"/>
  <c r="AR70" i="4"/>
  <c r="AS70" i="4" s="1"/>
  <c r="AT49" i="4"/>
  <c r="D58" i="4"/>
  <c r="D95" i="4" s="1"/>
  <c r="AD77" i="4"/>
  <c r="AE77" i="4" s="1"/>
  <c r="AR76" i="4"/>
  <c r="AS76" i="4" s="1"/>
  <c r="AD76" i="4"/>
  <c r="AE76" i="4" s="1"/>
  <c r="AD71" i="4"/>
  <c r="AE71" i="4" s="1"/>
  <c r="AD65" i="4"/>
  <c r="AE65" i="4" s="1"/>
  <c r="AD72" i="4"/>
  <c r="AE72" i="4" s="1"/>
  <c r="D46" i="4" l="1"/>
  <c r="E30" i="4"/>
  <c r="E31" i="4"/>
  <c r="E42" i="4"/>
  <c r="E41" i="4"/>
  <c r="E34" i="4"/>
  <c r="E29" i="4"/>
  <c r="E28" i="4"/>
  <c r="E40" i="4"/>
  <c r="E38" i="4"/>
  <c r="E37" i="4"/>
  <c r="E39" i="4"/>
  <c r="E33" i="4"/>
  <c r="E32" i="4"/>
  <c r="E43" i="4"/>
  <c r="D68" i="4"/>
  <c r="D61" i="4"/>
  <c r="D73" i="4"/>
  <c r="D67" i="4"/>
  <c r="E21" i="4"/>
  <c r="E20" i="4"/>
  <c r="E17" i="4"/>
  <c r="E22" i="4"/>
  <c r="E19" i="4"/>
  <c r="E18" i="4"/>
  <c r="E23" i="4"/>
  <c r="E26" i="4"/>
  <c r="E16" i="4"/>
  <c r="F8" i="4"/>
  <c r="AT72" i="4"/>
  <c r="E48" i="4"/>
  <c r="E99" i="4"/>
  <c r="E80" i="4"/>
  <c r="E90" i="4"/>
  <c r="E60" i="4"/>
  <c r="G2" i="4"/>
  <c r="F6" i="4"/>
  <c r="D94" i="4"/>
  <c r="D84" i="4"/>
  <c r="AE70" i="4"/>
  <c r="AT70" i="4"/>
  <c r="AT77" i="4"/>
  <c r="AT64" i="4"/>
  <c r="AT71" i="4"/>
  <c r="AT76" i="4"/>
  <c r="AT65" i="4"/>
  <c r="F31" i="4" l="1"/>
  <c r="F39" i="4"/>
  <c r="F33" i="4"/>
  <c r="F41" i="4"/>
  <c r="F40" i="4"/>
  <c r="F43" i="4"/>
  <c r="F38" i="4"/>
  <c r="F37" i="4"/>
  <c r="F34" i="4"/>
  <c r="F29" i="4"/>
  <c r="F30" i="4"/>
  <c r="F32" i="4"/>
  <c r="F42" i="4"/>
  <c r="F28" i="4"/>
  <c r="E35" i="4"/>
  <c r="E44" i="4"/>
  <c r="F17" i="4"/>
  <c r="F22" i="4"/>
  <c r="F21" i="4"/>
  <c r="F18" i="4"/>
  <c r="F23" i="4"/>
  <c r="F19" i="4"/>
  <c r="F20" i="4"/>
  <c r="E24" i="4"/>
  <c r="G8" i="4"/>
  <c r="F26" i="4"/>
  <c r="F16" i="4"/>
  <c r="G6" i="4"/>
  <c r="H2" i="4"/>
  <c r="F90" i="4"/>
  <c r="F99" i="4"/>
  <c r="F60" i="4"/>
  <c r="F80" i="4"/>
  <c r="F48" i="4"/>
  <c r="E46" i="4" l="1"/>
  <c r="F35" i="4"/>
  <c r="G28" i="4"/>
  <c r="G29" i="4"/>
  <c r="G30" i="4"/>
  <c r="G38" i="4"/>
  <c r="G32" i="4"/>
  <c r="G33" i="4"/>
  <c r="G34" i="4"/>
  <c r="G42" i="4"/>
  <c r="G37" i="4"/>
  <c r="G31" i="4"/>
  <c r="G39" i="4"/>
  <c r="G41" i="4"/>
  <c r="G40" i="4"/>
  <c r="G43" i="4"/>
  <c r="F44" i="4"/>
  <c r="E73" i="4"/>
  <c r="E68" i="4"/>
  <c r="E67" i="4"/>
  <c r="E61" i="4"/>
  <c r="G23" i="4"/>
  <c r="G21" i="4"/>
  <c r="G18" i="4"/>
  <c r="G22" i="4"/>
  <c r="G17" i="4"/>
  <c r="G19" i="4"/>
  <c r="G20" i="4"/>
  <c r="F24" i="4"/>
  <c r="H8" i="4"/>
  <c r="G26" i="4"/>
  <c r="G16" i="4"/>
  <c r="I2" i="4"/>
  <c r="H6" i="4"/>
  <c r="G99" i="4"/>
  <c r="G60" i="4"/>
  <c r="G80" i="4"/>
  <c r="G48" i="4"/>
  <c r="G90" i="4"/>
  <c r="G35" i="4" l="1"/>
  <c r="H42" i="4"/>
  <c r="H37" i="4"/>
  <c r="H40" i="4"/>
  <c r="H29" i="4"/>
  <c r="H34" i="4"/>
  <c r="H41" i="4"/>
  <c r="H43" i="4"/>
  <c r="H31" i="4"/>
  <c r="H33" i="4"/>
  <c r="H28" i="4"/>
  <c r="H30" i="4"/>
  <c r="H39" i="4"/>
  <c r="H38" i="4"/>
  <c r="H32" i="4"/>
  <c r="F46" i="4"/>
  <c r="G44" i="4"/>
  <c r="G46" i="4" s="1"/>
  <c r="F67" i="4"/>
  <c r="F73" i="4"/>
  <c r="F68" i="4"/>
  <c r="F61" i="4"/>
  <c r="H23" i="4"/>
  <c r="H21" i="4"/>
  <c r="H18" i="4"/>
  <c r="H17" i="4"/>
  <c r="H20" i="4"/>
  <c r="H22" i="4"/>
  <c r="H19" i="4"/>
  <c r="G24" i="4"/>
  <c r="H26" i="4"/>
  <c r="H16" i="4"/>
  <c r="I8" i="4"/>
  <c r="H48" i="4"/>
  <c r="H99" i="4"/>
  <c r="H60" i="4"/>
  <c r="H80" i="4"/>
  <c r="H90" i="4"/>
  <c r="J2" i="4"/>
  <c r="I6" i="4"/>
  <c r="H35" i="4" l="1"/>
  <c r="H44" i="4"/>
  <c r="I39" i="4"/>
  <c r="I38" i="4"/>
  <c r="I32" i="4"/>
  <c r="I43" i="4"/>
  <c r="I42" i="4"/>
  <c r="I37" i="4"/>
  <c r="I33" i="4"/>
  <c r="I40" i="4"/>
  <c r="I30" i="4"/>
  <c r="I29" i="4"/>
  <c r="I31" i="4"/>
  <c r="I41" i="4"/>
  <c r="I34" i="4"/>
  <c r="I28" i="4"/>
  <c r="G73" i="4"/>
  <c r="G67" i="4"/>
  <c r="G68" i="4"/>
  <c r="G61" i="4"/>
  <c r="I23" i="4"/>
  <c r="I22" i="4"/>
  <c r="I17" i="4"/>
  <c r="I19" i="4"/>
  <c r="I20" i="4"/>
  <c r="I18" i="4"/>
  <c r="I21" i="4"/>
  <c r="H24" i="4"/>
  <c r="I26" i="4"/>
  <c r="I16" i="4"/>
  <c r="J8" i="4"/>
  <c r="I99" i="4"/>
  <c r="I48" i="4"/>
  <c r="I60" i="4"/>
  <c r="I80" i="4"/>
  <c r="I90" i="4"/>
  <c r="K2" i="4"/>
  <c r="J6" i="4"/>
  <c r="J28" i="4" l="1"/>
  <c r="J43" i="4"/>
  <c r="J38" i="4"/>
  <c r="J30" i="4"/>
  <c r="J32" i="4"/>
  <c r="J42" i="4"/>
  <c r="J40" i="4"/>
  <c r="J33" i="4"/>
  <c r="J37" i="4"/>
  <c r="J31" i="4"/>
  <c r="J34" i="4"/>
  <c r="J29" i="4"/>
  <c r="J41" i="4"/>
  <c r="J39" i="4"/>
  <c r="H46" i="4"/>
  <c r="I35" i="4"/>
  <c r="I44" i="4"/>
  <c r="I24" i="4"/>
  <c r="H73" i="4"/>
  <c r="H68" i="4"/>
  <c r="H67" i="4"/>
  <c r="H61" i="4"/>
  <c r="J17" i="4"/>
  <c r="J21" i="4"/>
  <c r="J18" i="4"/>
  <c r="J22" i="4"/>
  <c r="J19" i="4"/>
  <c r="J23" i="4"/>
  <c r="J20" i="4"/>
  <c r="J26" i="4"/>
  <c r="J16" i="4"/>
  <c r="K8" i="4"/>
  <c r="J48" i="4"/>
  <c r="J99" i="4"/>
  <c r="J90" i="4"/>
  <c r="J60" i="4"/>
  <c r="J80" i="4"/>
  <c r="K6" i="4"/>
  <c r="L2" i="4"/>
  <c r="K37" i="4" l="1"/>
  <c r="K29" i="4"/>
  <c r="K39" i="4"/>
  <c r="K41" i="4"/>
  <c r="K33" i="4"/>
  <c r="K43" i="4"/>
  <c r="K32" i="4"/>
  <c r="K34" i="4"/>
  <c r="K28" i="4"/>
  <c r="K31" i="4"/>
  <c r="K30" i="4"/>
  <c r="K42" i="4"/>
  <c r="K40" i="4"/>
  <c r="K38" i="4"/>
  <c r="J44" i="4"/>
  <c r="I46" i="4"/>
  <c r="J35" i="4"/>
  <c r="I73" i="4"/>
  <c r="I68" i="4"/>
  <c r="I67" i="4"/>
  <c r="I61" i="4"/>
  <c r="K21" i="4"/>
  <c r="K17" i="4"/>
  <c r="K18" i="4"/>
  <c r="K22" i="4"/>
  <c r="K19" i="4"/>
  <c r="K23" i="4"/>
  <c r="K20" i="4"/>
  <c r="J24" i="4"/>
  <c r="L8" i="4"/>
  <c r="K26" i="4"/>
  <c r="K16" i="4"/>
  <c r="L6" i="4"/>
  <c r="M2" i="4"/>
  <c r="K90" i="4"/>
  <c r="K48" i="4"/>
  <c r="K99" i="4"/>
  <c r="K60" i="4"/>
  <c r="K80" i="4"/>
  <c r="E58" i="4"/>
  <c r="E95" i="4" s="1"/>
  <c r="L33" i="4" l="1"/>
  <c r="L32" i="4"/>
  <c r="L40" i="4"/>
  <c r="L43" i="4"/>
  <c r="L38" i="4"/>
  <c r="L37" i="4"/>
  <c r="L30" i="4"/>
  <c r="L29" i="4"/>
  <c r="L31" i="4"/>
  <c r="L39" i="4"/>
  <c r="L42" i="4"/>
  <c r="L41" i="4"/>
  <c r="L34" i="4"/>
  <c r="L28" i="4"/>
  <c r="J46" i="4"/>
  <c r="K35" i="4"/>
  <c r="K44" i="4"/>
  <c r="J67" i="4"/>
  <c r="J73" i="4"/>
  <c r="J68" i="4"/>
  <c r="J61" i="4"/>
  <c r="K24" i="4"/>
  <c r="L19" i="4"/>
  <c r="L23" i="4"/>
  <c r="L18" i="4"/>
  <c r="L20" i="4"/>
  <c r="L22" i="4"/>
  <c r="L21" i="4"/>
  <c r="L17" i="4"/>
  <c r="M8" i="4"/>
  <c r="L26" i="4"/>
  <c r="L16" i="4"/>
  <c r="N2" i="4"/>
  <c r="M6" i="4"/>
  <c r="L99" i="4"/>
  <c r="L60" i="4"/>
  <c r="L80" i="4"/>
  <c r="L90" i="4"/>
  <c r="L48" i="4"/>
  <c r="E94" i="4"/>
  <c r="E84" i="4"/>
  <c r="K46" i="4" l="1"/>
  <c r="L35" i="4"/>
  <c r="L44" i="4"/>
  <c r="M39" i="4"/>
  <c r="M33" i="4"/>
  <c r="M32" i="4"/>
  <c r="M43" i="4"/>
  <c r="M38" i="4"/>
  <c r="M37" i="4"/>
  <c r="M34" i="4"/>
  <c r="M30" i="4"/>
  <c r="M31" i="4"/>
  <c r="M42" i="4"/>
  <c r="M41" i="4"/>
  <c r="M29" i="4"/>
  <c r="M28" i="4"/>
  <c r="M40" i="4"/>
  <c r="K73" i="4"/>
  <c r="K67" i="4"/>
  <c r="K68" i="4"/>
  <c r="K61" i="4"/>
  <c r="M19" i="4"/>
  <c r="M18" i="4"/>
  <c r="M21" i="4"/>
  <c r="M23" i="4"/>
  <c r="M20" i="4"/>
  <c r="M22" i="4"/>
  <c r="M17" i="4"/>
  <c r="L24" i="4"/>
  <c r="M26" i="4"/>
  <c r="M16" i="4"/>
  <c r="N8" i="4"/>
  <c r="G58" i="4"/>
  <c r="G95" i="4" s="1"/>
  <c r="M48" i="4"/>
  <c r="M60" i="4"/>
  <c r="M99" i="4"/>
  <c r="M90" i="4"/>
  <c r="M80" i="4"/>
  <c r="O2" i="4"/>
  <c r="N6" i="4"/>
  <c r="L46" i="4" l="1"/>
  <c r="N31" i="4"/>
  <c r="N39" i="4"/>
  <c r="N29" i="4"/>
  <c r="N41" i="4"/>
  <c r="N40" i="4"/>
  <c r="N43" i="4"/>
  <c r="N33" i="4"/>
  <c r="N37" i="4"/>
  <c r="N42" i="4"/>
  <c r="N30" i="4"/>
  <c r="N28" i="4"/>
  <c r="N38" i="4"/>
  <c r="N34" i="4"/>
  <c r="N32" i="4"/>
  <c r="M35" i="4"/>
  <c r="M44" i="4"/>
  <c r="L73" i="4"/>
  <c r="L68" i="4"/>
  <c r="L67" i="4"/>
  <c r="L61" i="4"/>
  <c r="N20" i="4"/>
  <c r="N23" i="4"/>
  <c r="N19" i="4"/>
  <c r="N17" i="4"/>
  <c r="N22" i="4"/>
  <c r="N21" i="4"/>
  <c r="N18" i="4"/>
  <c r="M24" i="4"/>
  <c r="O8" i="4"/>
  <c r="N26" i="4"/>
  <c r="N16" i="4"/>
  <c r="G94" i="4"/>
  <c r="G84" i="4"/>
  <c r="O6" i="4"/>
  <c r="R2" i="4"/>
  <c r="N80" i="4"/>
  <c r="N48" i="4"/>
  <c r="N90" i="4"/>
  <c r="N99" i="4"/>
  <c r="N60" i="4"/>
  <c r="H58" i="4"/>
  <c r="H95" i="4" s="1"/>
  <c r="I58" i="4"/>
  <c r="I95" i="4" s="1"/>
  <c r="O28" i="4" l="1"/>
  <c r="O29" i="4"/>
  <c r="P29" i="4" s="1"/>
  <c r="O30" i="4"/>
  <c r="P30" i="4" s="1"/>
  <c r="O42" i="4"/>
  <c r="O43" i="4"/>
  <c r="O32" i="4"/>
  <c r="P32" i="4" s="1"/>
  <c r="O33" i="4"/>
  <c r="P33" i="4" s="1"/>
  <c r="O34" i="4"/>
  <c r="P34" i="4" s="1"/>
  <c r="O38" i="4"/>
  <c r="O41" i="4"/>
  <c r="O37" i="4"/>
  <c r="O31" i="4"/>
  <c r="P31" i="4" s="1"/>
  <c r="O39" i="4"/>
  <c r="O40" i="4"/>
  <c r="M46" i="4"/>
  <c r="N35" i="4"/>
  <c r="N44" i="4"/>
  <c r="M73" i="4"/>
  <c r="M68" i="4"/>
  <c r="M67" i="4"/>
  <c r="M61" i="4"/>
  <c r="O21" i="4"/>
  <c r="O20" i="4"/>
  <c r="O17" i="4"/>
  <c r="O22" i="4"/>
  <c r="O18" i="4"/>
  <c r="O23" i="4"/>
  <c r="O19" i="4"/>
  <c r="N24" i="4"/>
  <c r="O26" i="4"/>
  <c r="O16" i="4"/>
  <c r="R8" i="4"/>
  <c r="S2" i="4"/>
  <c r="R6" i="4"/>
  <c r="R26" i="4" s="1"/>
  <c r="O90" i="4"/>
  <c r="O60" i="4"/>
  <c r="O48" i="4"/>
  <c r="O99" i="4"/>
  <c r="O80" i="4"/>
  <c r="I94" i="4"/>
  <c r="I84" i="4"/>
  <c r="H84" i="4"/>
  <c r="H94" i="4"/>
  <c r="J58" i="4"/>
  <c r="J95" i="4" s="1"/>
  <c r="P40" i="4" l="1"/>
  <c r="P42" i="4"/>
  <c r="Q42" i="4" s="1"/>
  <c r="O35" i="4"/>
  <c r="R43" i="4"/>
  <c r="R39" i="4"/>
  <c r="R33" i="4"/>
  <c r="R28" i="4"/>
  <c r="R42" i="4"/>
  <c r="R38" i="4"/>
  <c r="R32" i="4"/>
  <c r="R30" i="4"/>
  <c r="R41" i="4"/>
  <c r="R37" i="4"/>
  <c r="R31" i="4"/>
  <c r="R40" i="4"/>
  <c r="R34" i="4"/>
  <c r="R29" i="4"/>
  <c r="Q31" i="4"/>
  <c r="Q34" i="4"/>
  <c r="O44" i="4"/>
  <c r="O46" i="4" s="1"/>
  <c r="Q33" i="4"/>
  <c r="Q30" i="4"/>
  <c r="P39" i="4"/>
  <c r="Q39" i="4" s="1"/>
  <c r="N46" i="4"/>
  <c r="P38" i="4"/>
  <c r="Q38" i="4" s="1"/>
  <c r="P28" i="4"/>
  <c r="Q28" i="4" s="1"/>
  <c r="Q32" i="4"/>
  <c r="Q29" i="4"/>
  <c r="P37" i="4"/>
  <c r="Q37" i="4" s="1"/>
  <c r="P23" i="4"/>
  <c r="Q23" i="4" s="1"/>
  <c r="P17" i="4"/>
  <c r="Q17" i="4" s="1"/>
  <c r="P19" i="4"/>
  <c r="Q19" i="4" s="1"/>
  <c r="P22" i="4"/>
  <c r="Q22" i="4" s="1"/>
  <c r="N67" i="4"/>
  <c r="N68" i="4"/>
  <c r="N73" i="4"/>
  <c r="N61" i="4"/>
  <c r="P21" i="4"/>
  <c r="Q21" i="4" s="1"/>
  <c r="P41" i="4"/>
  <c r="Q41" i="4" s="1"/>
  <c r="P18" i="4"/>
  <c r="Q18" i="4" s="1"/>
  <c r="P20" i="4"/>
  <c r="Q20" i="4" s="1"/>
  <c r="R19" i="4"/>
  <c r="R17" i="4"/>
  <c r="R23" i="4"/>
  <c r="R22" i="4"/>
  <c r="R18" i="4"/>
  <c r="R20" i="4"/>
  <c r="R21" i="4"/>
  <c r="Q40" i="4"/>
  <c r="O24" i="4"/>
  <c r="S8" i="4"/>
  <c r="R60" i="4"/>
  <c r="R90" i="4"/>
  <c r="R16" i="4"/>
  <c r="R99" i="4"/>
  <c r="R80" i="4"/>
  <c r="R48" i="4"/>
  <c r="T2" i="4"/>
  <c r="S6" i="4"/>
  <c r="S26" i="4" s="1"/>
  <c r="J94" i="4"/>
  <c r="J84" i="4"/>
  <c r="K58" i="4"/>
  <c r="K95" i="4" s="1"/>
  <c r="R44" i="4" l="1"/>
  <c r="Q35" i="4"/>
  <c r="I12" i="7"/>
  <c r="I13" i="7"/>
  <c r="P35" i="4"/>
  <c r="S41" i="4"/>
  <c r="S37" i="4"/>
  <c r="S28" i="4"/>
  <c r="S40" i="4"/>
  <c r="S34" i="4"/>
  <c r="S31" i="4"/>
  <c r="S43" i="4"/>
  <c r="S39" i="4"/>
  <c r="S33" i="4"/>
  <c r="S30" i="4"/>
  <c r="S32" i="4"/>
  <c r="S29" i="4"/>
  <c r="S42" i="4"/>
  <c r="S38" i="4"/>
  <c r="I11" i="7"/>
  <c r="I10" i="7"/>
  <c r="I8" i="7"/>
  <c r="I9" i="7"/>
  <c r="R35" i="4"/>
  <c r="P24" i="4"/>
  <c r="G12" i="7"/>
  <c r="G13" i="7"/>
  <c r="G11" i="7"/>
  <c r="G9" i="7"/>
  <c r="G14" i="7"/>
  <c r="O73" i="4"/>
  <c r="O67" i="4"/>
  <c r="O68" i="4"/>
  <c r="O61" i="4"/>
  <c r="R24" i="4"/>
  <c r="G10" i="7"/>
  <c r="G8" i="7"/>
  <c r="S23" i="4"/>
  <c r="S19" i="4"/>
  <c r="S22" i="4"/>
  <c r="S18" i="4"/>
  <c r="S21" i="4"/>
  <c r="S17" i="4"/>
  <c r="S20" i="4"/>
  <c r="Q24" i="4"/>
  <c r="T8" i="4"/>
  <c r="U2" i="4"/>
  <c r="T6" i="4"/>
  <c r="T26" i="4" s="1"/>
  <c r="S48" i="4"/>
  <c r="S80" i="4"/>
  <c r="S90" i="4"/>
  <c r="S60" i="4"/>
  <c r="S16" i="4"/>
  <c r="S99" i="4"/>
  <c r="L58" i="4"/>
  <c r="L95" i="4" s="1"/>
  <c r="K94" i="4"/>
  <c r="K84" i="4"/>
  <c r="R46" i="4" l="1"/>
  <c r="S35" i="4"/>
  <c r="T41" i="4"/>
  <c r="T37" i="4"/>
  <c r="T31" i="4"/>
  <c r="T40" i="4"/>
  <c r="T34" i="4"/>
  <c r="T30" i="4"/>
  <c r="T43" i="4"/>
  <c r="T39" i="4"/>
  <c r="T33" i="4"/>
  <c r="T29" i="4"/>
  <c r="T42" i="4"/>
  <c r="T38" i="4"/>
  <c r="T32" i="4"/>
  <c r="T28" i="4"/>
  <c r="S44" i="4"/>
  <c r="R73" i="4"/>
  <c r="R68" i="4"/>
  <c r="R67" i="4"/>
  <c r="R61" i="4"/>
  <c r="T22" i="4"/>
  <c r="T20" i="4"/>
  <c r="T18" i="4"/>
  <c r="T19" i="4"/>
  <c r="T21" i="4"/>
  <c r="T23" i="4"/>
  <c r="T17" i="4"/>
  <c r="S24" i="4"/>
  <c r="U8" i="4"/>
  <c r="T48" i="4"/>
  <c r="T80" i="4"/>
  <c r="T99" i="4"/>
  <c r="T60" i="4"/>
  <c r="T16" i="4"/>
  <c r="T90" i="4"/>
  <c r="V2" i="4"/>
  <c r="U6" i="4"/>
  <c r="U26" i="4" s="1"/>
  <c r="M58" i="4"/>
  <c r="M95" i="4" s="1"/>
  <c r="L84" i="4"/>
  <c r="L94" i="4"/>
  <c r="T35" i="4" l="1"/>
  <c r="S46" i="4"/>
  <c r="U30" i="4"/>
  <c r="U29" i="4"/>
  <c r="U33" i="4"/>
  <c r="U41" i="4"/>
  <c r="U42" i="4"/>
  <c r="U40" i="4"/>
  <c r="U28" i="4"/>
  <c r="U37" i="4"/>
  <c r="U38" i="4"/>
  <c r="U43" i="4"/>
  <c r="U34" i="4"/>
  <c r="U32" i="4"/>
  <c r="U39" i="4"/>
  <c r="U31" i="4"/>
  <c r="T44" i="4"/>
  <c r="T46" i="4" s="1"/>
  <c r="S68" i="4"/>
  <c r="S67" i="4"/>
  <c r="S73" i="4"/>
  <c r="S61" i="4"/>
  <c r="T24" i="4"/>
  <c r="U21" i="4"/>
  <c r="U19" i="4"/>
  <c r="U23" i="4"/>
  <c r="U17" i="4"/>
  <c r="U22" i="4"/>
  <c r="U20" i="4"/>
  <c r="U18" i="4"/>
  <c r="V8" i="4"/>
  <c r="V6" i="4"/>
  <c r="V26" i="4" s="1"/>
  <c r="W2" i="4"/>
  <c r="U80" i="4"/>
  <c r="U16" i="4"/>
  <c r="U99" i="4"/>
  <c r="U48" i="4"/>
  <c r="U90" i="4"/>
  <c r="U60" i="4"/>
  <c r="N58" i="4"/>
  <c r="N95" i="4" s="1"/>
  <c r="M94" i="4"/>
  <c r="M84" i="4"/>
  <c r="U35" i="4" l="1"/>
  <c r="V43" i="4"/>
  <c r="V39" i="4"/>
  <c r="V33" i="4"/>
  <c r="V28" i="4"/>
  <c r="V42" i="4"/>
  <c r="V38" i="4"/>
  <c r="V32" i="4"/>
  <c r="V30" i="4"/>
  <c r="V41" i="4"/>
  <c r="V37" i="4"/>
  <c r="V31" i="4"/>
  <c r="V29" i="4"/>
  <c r="V34" i="4"/>
  <c r="V40" i="4"/>
  <c r="U44" i="4"/>
  <c r="T68" i="4"/>
  <c r="T67" i="4"/>
  <c r="T73" i="4"/>
  <c r="T61" i="4"/>
  <c r="V17" i="4"/>
  <c r="V18" i="4"/>
  <c r="V20" i="4"/>
  <c r="V23" i="4"/>
  <c r="V19" i="4"/>
  <c r="V21" i="4"/>
  <c r="V22" i="4"/>
  <c r="U24" i="4"/>
  <c r="W8" i="4"/>
  <c r="X2" i="4"/>
  <c r="W6" i="4"/>
  <c r="W26" i="4" s="1"/>
  <c r="V48" i="4"/>
  <c r="V80" i="4"/>
  <c r="V60" i="4"/>
  <c r="V16" i="4"/>
  <c r="V99" i="4"/>
  <c r="V90" i="4"/>
  <c r="N84" i="4"/>
  <c r="N94" i="4"/>
  <c r="U46" i="4" l="1"/>
  <c r="V44" i="4"/>
  <c r="V35" i="4"/>
  <c r="W43" i="4"/>
  <c r="W39" i="4"/>
  <c r="W33" i="4"/>
  <c r="W30" i="4"/>
  <c r="W42" i="4"/>
  <c r="W38" i="4"/>
  <c r="W32" i="4"/>
  <c r="W29" i="4"/>
  <c r="W41" i="4"/>
  <c r="W37" i="4"/>
  <c r="W31" i="4"/>
  <c r="W34" i="4"/>
  <c r="W28" i="4"/>
  <c r="W40" i="4"/>
  <c r="U73" i="4"/>
  <c r="U67" i="4"/>
  <c r="U68" i="4"/>
  <c r="U61" i="4"/>
  <c r="V24" i="4"/>
  <c r="W23" i="4"/>
  <c r="W19" i="4"/>
  <c r="W22" i="4"/>
  <c r="W18" i="4"/>
  <c r="W21" i="4"/>
  <c r="W17" i="4"/>
  <c r="W20" i="4"/>
  <c r="X8" i="4"/>
  <c r="W80" i="4"/>
  <c r="W16" i="4"/>
  <c r="W99" i="4"/>
  <c r="W60" i="4"/>
  <c r="W48" i="4"/>
  <c r="W90" i="4"/>
  <c r="Y2" i="4"/>
  <c r="X6" i="4"/>
  <c r="X26" i="4" s="1"/>
  <c r="O58" i="4"/>
  <c r="O95" i="4" s="1"/>
  <c r="V46" i="4" l="1"/>
  <c r="X43" i="4"/>
  <c r="X39" i="4"/>
  <c r="X33" i="4"/>
  <c r="X29" i="4"/>
  <c r="X42" i="4"/>
  <c r="X38" i="4"/>
  <c r="X32" i="4"/>
  <c r="X28" i="4"/>
  <c r="X41" i="4"/>
  <c r="X37" i="4"/>
  <c r="X31" i="4"/>
  <c r="X40" i="4"/>
  <c r="X34" i="4"/>
  <c r="X30" i="4"/>
  <c r="W44" i="4"/>
  <c r="W35" i="4"/>
  <c r="V73" i="4"/>
  <c r="V68" i="4"/>
  <c r="V67" i="4"/>
  <c r="V61" i="4"/>
  <c r="X18" i="4"/>
  <c r="X20" i="4"/>
  <c r="X23" i="4"/>
  <c r="X19" i="4"/>
  <c r="X21" i="4"/>
  <c r="X22" i="4"/>
  <c r="X17" i="4"/>
  <c r="W24" i="4"/>
  <c r="Y8" i="4"/>
  <c r="Z2" i="4"/>
  <c r="Y6" i="4"/>
  <c r="Y26" i="4" s="1"/>
  <c r="X60" i="4"/>
  <c r="X16" i="4"/>
  <c r="X48" i="4"/>
  <c r="X80" i="4"/>
  <c r="X99" i="4"/>
  <c r="X90" i="4"/>
  <c r="R58" i="4"/>
  <c r="R95" i="4" s="1"/>
  <c r="S58" i="4"/>
  <c r="S95" i="4" s="1"/>
  <c r="O94" i="4"/>
  <c r="O84" i="4"/>
  <c r="W46" i="4" l="1"/>
  <c r="X35" i="4"/>
  <c r="X44" i="4"/>
  <c r="Y42" i="4"/>
  <c r="Y43" i="4"/>
  <c r="Y31" i="4"/>
  <c r="Y29" i="4"/>
  <c r="Y38" i="4"/>
  <c r="Y39" i="4"/>
  <c r="Y28" i="4"/>
  <c r="Y37" i="4"/>
  <c r="Y32" i="4"/>
  <c r="Y33" i="4"/>
  <c r="Y40" i="4"/>
  <c r="Y41" i="4"/>
  <c r="Y30" i="4"/>
  <c r="Y34" i="4"/>
  <c r="W68" i="4"/>
  <c r="W67" i="4"/>
  <c r="W73" i="4"/>
  <c r="W61" i="4"/>
  <c r="Y23" i="4"/>
  <c r="Y19" i="4"/>
  <c r="Y21" i="4"/>
  <c r="Y22" i="4"/>
  <c r="Y17" i="4"/>
  <c r="Y18" i="4"/>
  <c r="Y20" i="4"/>
  <c r="X24" i="4"/>
  <c r="Z8" i="4"/>
  <c r="Y48" i="4"/>
  <c r="Y99" i="4"/>
  <c r="Y60" i="4"/>
  <c r="Y90" i="4"/>
  <c r="Y80" i="4"/>
  <c r="Y16" i="4"/>
  <c r="Z6" i="4"/>
  <c r="Z26" i="4" s="1"/>
  <c r="AA2" i="4"/>
  <c r="R84" i="4"/>
  <c r="R94" i="4"/>
  <c r="S84" i="4"/>
  <c r="S94" i="4"/>
  <c r="X46" i="4" l="1"/>
  <c r="Y44" i="4"/>
  <c r="Z41" i="4"/>
  <c r="Z37" i="4"/>
  <c r="Z31" i="4"/>
  <c r="Z40" i="4"/>
  <c r="Z34" i="4"/>
  <c r="Z30" i="4"/>
  <c r="Z43" i="4"/>
  <c r="Z39" i="4"/>
  <c r="Z33" i="4"/>
  <c r="Z29" i="4"/>
  <c r="Z32" i="4"/>
  <c r="Z28" i="4"/>
  <c r="Z42" i="4"/>
  <c r="Z38" i="4"/>
  <c r="Y35" i="4"/>
  <c r="X68" i="4"/>
  <c r="X67" i="4"/>
  <c r="X73" i="4"/>
  <c r="X61" i="4"/>
  <c r="Z22" i="4"/>
  <c r="Z20" i="4"/>
  <c r="Z18" i="4"/>
  <c r="Z19" i="4"/>
  <c r="Z23" i="4"/>
  <c r="Z21" i="4"/>
  <c r="Z17" i="4"/>
  <c r="Y24" i="4"/>
  <c r="AA8" i="4"/>
  <c r="Z16" i="4"/>
  <c r="Z99" i="4"/>
  <c r="Z80" i="4"/>
  <c r="Z90" i="4"/>
  <c r="Z60" i="4"/>
  <c r="Z48" i="4"/>
  <c r="AB2" i="4"/>
  <c r="AA6" i="4"/>
  <c r="AA26" i="4" s="1"/>
  <c r="T58" i="4"/>
  <c r="T95" i="4" s="1"/>
  <c r="U58" i="4"/>
  <c r="U95" i="4" s="1"/>
  <c r="Y46" i="4" l="1"/>
  <c r="AA41" i="4"/>
  <c r="AA37" i="4"/>
  <c r="AA31" i="4"/>
  <c r="AA40" i="4"/>
  <c r="AA34" i="4"/>
  <c r="AA29" i="4"/>
  <c r="AA43" i="4"/>
  <c r="AA39" i="4"/>
  <c r="AA33" i="4"/>
  <c r="AA28" i="4"/>
  <c r="AA38" i="4"/>
  <c r="AA32" i="4"/>
  <c r="AA30" i="4"/>
  <c r="AA42" i="4"/>
  <c r="Z44" i="4"/>
  <c r="Z35" i="4"/>
  <c r="Y73" i="4"/>
  <c r="Y67" i="4"/>
  <c r="Y68" i="4"/>
  <c r="Y61" i="4"/>
  <c r="Z24" i="4"/>
  <c r="AA22" i="4"/>
  <c r="AA18" i="4"/>
  <c r="AA21" i="4"/>
  <c r="AA17" i="4"/>
  <c r="AA20" i="4"/>
  <c r="AA23" i="4"/>
  <c r="AA19" i="4"/>
  <c r="AB8" i="4"/>
  <c r="AC2" i="4"/>
  <c r="AB6" i="4"/>
  <c r="AB26" i="4" s="1"/>
  <c r="AA90" i="4"/>
  <c r="AA80" i="4"/>
  <c r="AA60" i="4"/>
  <c r="AA48" i="4"/>
  <c r="AA99" i="4"/>
  <c r="AA16" i="4"/>
  <c r="U84" i="4"/>
  <c r="U94" i="4"/>
  <c r="T94" i="4"/>
  <c r="T84" i="4"/>
  <c r="Z46" i="4" l="1"/>
  <c r="AA35" i="4"/>
  <c r="AA44" i="4"/>
  <c r="AB41" i="4"/>
  <c r="AB37" i="4"/>
  <c r="AB31" i="4"/>
  <c r="AB40" i="4"/>
  <c r="AB34" i="4"/>
  <c r="AB30" i="4"/>
  <c r="AB43" i="4"/>
  <c r="AB39" i="4"/>
  <c r="AB33" i="4"/>
  <c r="AB29" i="4"/>
  <c r="AB28" i="4"/>
  <c r="AB32" i="4"/>
  <c r="AB42" i="4"/>
  <c r="AB38" i="4"/>
  <c r="Z73" i="4"/>
  <c r="Z68" i="4"/>
  <c r="Z67" i="4"/>
  <c r="Z61" i="4"/>
  <c r="AB17" i="4"/>
  <c r="AB19" i="4"/>
  <c r="AB23" i="4"/>
  <c r="AB22" i="4"/>
  <c r="AB20" i="4"/>
  <c r="AB18" i="4"/>
  <c r="AB21" i="4"/>
  <c r="AA24" i="4"/>
  <c r="AC8" i="4"/>
  <c r="AB80" i="4"/>
  <c r="AB48" i="4"/>
  <c r="AB99" i="4"/>
  <c r="AB60" i="4"/>
  <c r="AB90" i="4"/>
  <c r="AB16" i="4"/>
  <c r="AF2" i="4"/>
  <c r="AC6" i="4"/>
  <c r="AC26" i="4" s="1"/>
  <c r="V58" i="4"/>
  <c r="V95" i="4" s="1"/>
  <c r="W58" i="4"/>
  <c r="W95" i="4" s="1"/>
  <c r="AC39" i="4" l="1"/>
  <c r="AC29" i="4"/>
  <c r="AD29" i="4" s="1"/>
  <c r="AC37" i="4"/>
  <c r="AC38" i="4"/>
  <c r="AC33" i="4"/>
  <c r="AD33" i="4" s="1"/>
  <c r="AC40" i="4"/>
  <c r="AC31" i="4"/>
  <c r="AD31" i="4" s="1"/>
  <c r="AC28" i="4"/>
  <c r="AC34" i="4"/>
  <c r="AD34" i="4" s="1"/>
  <c r="AC30" i="4"/>
  <c r="AD30" i="4" s="1"/>
  <c r="AC32" i="4"/>
  <c r="AD32" i="4" s="1"/>
  <c r="AC43" i="4"/>
  <c r="AC41" i="4"/>
  <c r="AC42" i="4"/>
  <c r="AB44" i="4"/>
  <c r="AB35" i="4"/>
  <c r="AA46" i="4"/>
  <c r="AA68" i="4"/>
  <c r="AA67" i="4"/>
  <c r="AA73" i="4"/>
  <c r="AA61" i="4"/>
  <c r="AB24" i="4"/>
  <c r="AC23" i="4"/>
  <c r="AC18" i="4"/>
  <c r="AC20" i="4"/>
  <c r="AC21" i="4"/>
  <c r="AD41" i="4" s="1"/>
  <c r="AC19" i="4"/>
  <c r="AC17" i="4"/>
  <c r="AC22" i="4"/>
  <c r="AF8" i="4"/>
  <c r="AF6" i="4"/>
  <c r="AF26" i="4" s="1"/>
  <c r="AG2" i="4"/>
  <c r="AC80" i="4"/>
  <c r="AC90" i="4"/>
  <c r="AC16" i="4"/>
  <c r="AC48" i="4"/>
  <c r="AC60" i="4"/>
  <c r="AC99" i="4"/>
  <c r="V94" i="4"/>
  <c r="V84" i="4"/>
  <c r="W84" i="4"/>
  <c r="W94" i="4"/>
  <c r="X58" i="4"/>
  <c r="X95" i="4" s="1"/>
  <c r="AD42" i="4" l="1"/>
  <c r="AD40" i="4"/>
  <c r="AD39" i="4"/>
  <c r="AE39" i="4" s="1"/>
  <c r="AB46" i="4"/>
  <c r="AC35" i="4"/>
  <c r="AE32" i="4"/>
  <c r="AE31" i="4"/>
  <c r="AC44" i="4"/>
  <c r="AF41" i="4"/>
  <c r="AF37" i="4"/>
  <c r="AF31" i="4"/>
  <c r="AF40" i="4"/>
  <c r="AF34" i="4"/>
  <c r="AF30" i="4"/>
  <c r="AF43" i="4"/>
  <c r="AF39" i="4"/>
  <c r="AF33" i="4"/>
  <c r="AF29" i="4"/>
  <c r="AF28" i="4"/>
  <c r="AF32" i="4"/>
  <c r="AF42" i="4"/>
  <c r="AF38" i="4"/>
  <c r="AD28" i="4"/>
  <c r="AE28" i="4" s="1"/>
  <c r="AE30" i="4"/>
  <c r="AE29" i="4"/>
  <c r="AE34" i="4"/>
  <c r="AE33" i="4"/>
  <c r="AD23" i="4"/>
  <c r="AE23" i="4" s="1"/>
  <c r="AD20" i="4"/>
  <c r="AE20" i="4" s="1"/>
  <c r="AD19" i="4"/>
  <c r="AE19" i="4" s="1"/>
  <c r="AD37" i="4"/>
  <c r="AB68" i="4"/>
  <c r="AB67" i="4"/>
  <c r="AB73" i="4"/>
  <c r="AB61" i="4"/>
  <c r="AD21" i="4"/>
  <c r="AE21" i="4" s="1"/>
  <c r="AD17" i="4"/>
  <c r="AE17" i="4" s="1"/>
  <c r="AD22" i="4"/>
  <c r="AE22" i="4" s="1"/>
  <c r="AD18" i="4"/>
  <c r="AE18" i="4" s="1"/>
  <c r="AD38" i="4"/>
  <c r="AE38" i="4" s="1"/>
  <c r="AF21" i="4"/>
  <c r="AF18" i="4"/>
  <c r="AF20" i="4"/>
  <c r="AF17" i="4"/>
  <c r="AF23" i="4"/>
  <c r="AF19" i="4"/>
  <c r="AF22" i="4"/>
  <c r="AC24" i="4"/>
  <c r="AE42" i="4"/>
  <c r="AE40" i="4"/>
  <c r="AE41" i="4"/>
  <c r="AG8" i="4"/>
  <c r="AG6" i="4"/>
  <c r="AG26" i="4" s="1"/>
  <c r="AH2" i="4"/>
  <c r="AF90" i="4"/>
  <c r="AF99" i="4"/>
  <c r="AF60" i="4"/>
  <c r="AF48" i="4"/>
  <c r="AF16" i="4"/>
  <c r="AF80" i="4"/>
  <c r="X94" i="4"/>
  <c r="X84" i="4"/>
  <c r="Y58" i="4"/>
  <c r="Y95" i="4" s="1"/>
  <c r="AC46" i="4" l="1"/>
  <c r="AE35" i="4"/>
  <c r="AF35" i="4"/>
  <c r="AD35" i="4"/>
  <c r="AF44" i="4"/>
  <c r="AG43" i="4"/>
  <c r="AG39" i="4"/>
  <c r="AG33" i="4"/>
  <c r="AG29" i="4"/>
  <c r="AG42" i="4"/>
  <c r="AG38" i="4"/>
  <c r="AG32" i="4"/>
  <c r="AG28" i="4"/>
  <c r="AG41" i="4"/>
  <c r="AG37" i="4"/>
  <c r="AG31" i="4"/>
  <c r="AG40" i="4"/>
  <c r="AG30" i="4"/>
  <c r="AG34" i="4"/>
  <c r="AE37" i="4"/>
  <c r="AD24" i="4"/>
  <c r="AC73" i="4"/>
  <c r="AC68" i="4"/>
  <c r="AC67" i="4"/>
  <c r="AC61" i="4"/>
  <c r="AG23" i="4"/>
  <c r="AG20" i="4"/>
  <c r="AG21" i="4"/>
  <c r="AG22" i="4"/>
  <c r="AG19" i="4"/>
  <c r="AG18" i="4"/>
  <c r="AG17" i="4"/>
  <c r="AF24" i="4"/>
  <c r="AE24" i="4"/>
  <c r="AH8" i="4"/>
  <c r="AI2" i="4"/>
  <c r="AH6" i="4"/>
  <c r="AH26" i="4" s="1"/>
  <c r="AG99" i="4"/>
  <c r="AG48" i="4"/>
  <c r="AG60" i="4"/>
  <c r="AG16" i="4"/>
  <c r="AG80" i="4"/>
  <c r="AG90" i="4"/>
  <c r="Y84" i="4"/>
  <c r="Y94" i="4"/>
  <c r="Z58" i="4"/>
  <c r="Z95" i="4" s="1"/>
  <c r="AG35" i="4" l="1"/>
  <c r="AF46" i="4"/>
  <c r="AH43" i="4"/>
  <c r="AH39" i="4"/>
  <c r="AH33" i="4"/>
  <c r="AH29" i="4"/>
  <c r="AH42" i="4"/>
  <c r="AH38" i="4"/>
  <c r="AH32" i="4"/>
  <c r="AH28" i="4"/>
  <c r="AH41" i="4"/>
  <c r="AH37" i="4"/>
  <c r="AH31" i="4"/>
  <c r="AH34" i="4"/>
  <c r="AH40" i="4"/>
  <c r="AH30" i="4"/>
  <c r="AG44" i="4"/>
  <c r="AG46" i="4" s="1"/>
  <c r="AF73" i="4"/>
  <c r="AF68" i="4"/>
  <c r="AF67" i="4"/>
  <c r="AF61" i="4"/>
  <c r="AH18" i="4"/>
  <c r="AH21" i="4"/>
  <c r="AH23" i="4"/>
  <c r="AH22" i="4"/>
  <c r="AH19" i="4"/>
  <c r="AH20" i="4"/>
  <c r="AH17" i="4"/>
  <c r="AG24" i="4"/>
  <c r="AI8" i="4"/>
  <c r="AD57" i="4"/>
  <c r="AH80" i="4"/>
  <c r="AH90" i="4"/>
  <c r="AH16" i="4"/>
  <c r="AH60" i="4"/>
  <c r="AH48" i="4"/>
  <c r="AH99" i="4"/>
  <c r="AJ2" i="4"/>
  <c r="AI6" i="4"/>
  <c r="AI26" i="4" s="1"/>
  <c r="Z84" i="4"/>
  <c r="Z94" i="4"/>
  <c r="AA58" i="4"/>
  <c r="AA95" i="4" s="1"/>
  <c r="AH44" i="4" l="1"/>
  <c r="AI39" i="4"/>
  <c r="AI34" i="4"/>
  <c r="AI31" i="4"/>
  <c r="AI28" i="4"/>
  <c r="AI33" i="4"/>
  <c r="AI30" i="4"/>
  <c r="AI42" i="4"/>
  <c r="AI29" i="4"/>
  <c r="AI41" i="4"/>
  <c r="AI38" i="4"/>
  <c r="AI32" i="4"/>
  <c r="AI43" i="4"/>
  <c r="AI40" i="4"/>
  <c r="AI37" i="4"/>
  <c r="AH35" i="4"/>
  <c r="AG68" i="4"/>
  <c r="AG67" i="4"/>
  <c r="AG73" i="4"/>
  <c r="AG61" i="4"/>
  <c r="AH24" i="4"/>
  <c r="AI22" i="4"/>
  <c r="AI18" i="4"/>
  <c r="AI21" i="4"/>
  <c r="AI20" i="4"/>
  <c r="AI23" i="4"/>
  <c r="AI19" i="4"/>
  <c r="AI17" i="4"/>
  <c r="AJ8" i="4"/>
  <c r="AJ6" i="4"/>
  <c r="AJ26" i="4" s="1"/>
  <c r="AK2" i="4"/>
  <c r="AI99" i="4"/>
  <c r="AI60" i="4"/>
  <c r="AI80" i="4"/>
  <c r="AI16" i="4"/>
  <c r="AI90" i="4"/>
  <c r="AI48" i="4"/>
  <c r="AA84" i="4"/>
  <c r="AA94" i="4"/>
  <c r="AB58" i="4"/>
  <c r="AB95" i="4" s="1"/>
  <c r="AH46" i="4" l="1"/>
  <c r="AJ41" i="4"/>
  <c r="AJ37" i="4"/>
  <c r="AJ31" i="4"/>
  <c r="AJ40" i="4"/>
  <c r="AJ34" i="4"/>
  <c r="AJ30" i="4"/>
  <c r="AJ43" i="4"/>
  <c r="AJ39" i="4"/>
  <c r="AJ33" i="4"/>
  <c r="AJ29" i="4"/>
  <c r="AJ42" i="4"/>
  <c r="AJ28" i="4"/>
  <c r="AJ38" i="4"/>
  <c r="AJ32" i="4"/>
  <c r="AI35" i="4"/>
  <c r="AI44" i="4"/>
  <c r="AH68" i="4"/>
  <c r="AH67" i="4"/>
  <c r="AH73" i="4"/>
  <c r="AH61" i="4"/>
  <c r="AJ22" i="4"/>
  <c r="AJ18" i="4"/>
  <c r="AJ21" i="4"/>
  <c r="AJ20" i="4"/>
  <c r="AJ23" i="4"/>
  <c r="AJ19" i="4"/>
  <c r="AJ17" i="4"/>
  <c r="AI24" i="4"/>
  <c r="AK8" i="4"/>
  <c r="AL2" i="4"/>
  <c r="AK6" i="4"/>
  <c r="AK26" i="4" s="1"/>
  <c r="AJ90" i="4"/>
  <c r="AJ99" i="4"/>
  <c r="AJ16" i="4"/>
  <c r="AJ60" i="4"/>
  <c r="AJ80" i="4"/>
  <c r="AJ48" i="4"/>
  <c r="AB94" i="4"/>
  <c r="AB84" i="4"/>
  <c r="AJ35" i="4" l="1"/>
  <c r="AK41" i="4"/>
  <c r="AK37" i="4"/>
  <c r="AK31" i="4"/>
  <c r="AK40" i="4"/>
  <c r="AK34" i="4"/>
  <c r="AK30" i="4"/>
  <c r="AK43" i="4"/>
  <c r="AK39" i="4"/>
  <c r="AK33" i="4"/>
  <c r="AK29" i="4"/>
  <c r="AK28" i="4"/>
  <c r="AK42" i="4"/>
  <c r="AK38" i="4"/>
  <c r="AK32" i="4"/>
  <c r="AJ44" i="4"/>
  <c r="AI46" i="4"/>
  <c r="AI73" i="4"/>
  <c r="AI67" i="4"/>
  <c r="AI68" i="4"/>
  <c r="AI61" i="4"/>
  <c r="AJ24" i="4"/>
  <c r="AK20" i="4"/>
  <c r="AK18" i="4"/>
  <c r="AK23" i="4"/>
  <c r="AK17" i="4"/>
  <c r="AK19" i="4"/>
  <c r="AK22" i="4"/>
  <c r="AK21" i="4"/>
  <c r="AL8" i="4"/>
  <c r="AK90" i="4"/>
  <c r="AK80" i="4"/>
  <c r="AK48" i="4"/>
  <c r="AK99" i="4"/>
  <c r="AK60" i="4"/>
  <c r="AK16" i="4"/>
  <c r="AM2" i="4"/>
  <c r="AL6" i="4"/>
  <c r="AL26" i="4" s="1"/>
  <c r="AC58" i="4"/>
  <c r="AC95" i="4" s="1"/>
  <c r="AD54" i="4"/>
  <c r="AJ46" i="4" l="1"/>
  <c r="AK35" i="4"/>
  <c r="AL41" i="4"/>
  <c r="AL37" i="4"/>
  <c r="AL31" i="4"/>
  <c r="AL40" i="4"/>
  <c r="AL34" i="4"/>
  <c r="AL30" i="4"/>
  <c r="AL43" i="4"/>
  <c r="AL39" i="4"/>
  <c r="AL33" i="4"/>
  <c r="AL29" i="4"/>
  <c r="AL38" i="4"/>
  <c r="AL42" i="4"/>
  <c r="AL32" i="4"/>
  <c r="AL28" i="4"/>
  <c r="AK44" i="4"/>
  <c r="AJ73" i="4"/>
  <c r="AJ68" i="4"/>
  <c r="AJ67" i="4"/>
  <c r="AJ61" i="4"/>
  <c r="AK24" i="4"/>
  <c r="AL23" i="4"/>
  <c r="AL18" i="4"/>
  <c r="AL21" i="4"/>
  <c r="AL17" i="4"/>
  <c r="AL19" i="4"/>
  <c r="AL20" i="4"/>
  <c r="AL22" i="4"/>
  <c r="AM8" i="4"/>
  <c r="AN2" i="4"/>
  <c r="AM6" i="4"/>
  <c r="AM26" i="4" s="1"/>
  <c r="AL99" i="4"/>
  <c r="AL80" i="4"/>
  <c r="AL48" i="4"/>
  <c r="AL60" i="4"/>
  <c r="AL16" i="4"/>
  <c r="AL90" i="4"/>
  <c r="AG58" i="4"/>
  <c r="AG95" i="4" s="1"/>
  <c r="AF58" i="4"/>
  <c r="AF95" i="4" s="1"/>
  <c r="AC84" i="4"/>
  <c r="AC94" i="4"/>
  <c r="AD58" i="4"/>
  <c r="AK46" i="4" l="1"/>
  <c r="AL35" i="4"/>
  <c r="AL44" i="4"/>
  <c r="AM33" i="4"/>
  <c r="AM43" i="4"/>
  <c r="AM32" i="4"/>
  <c r="AM40" i="4"/>
  <c r="AM41" i="4"/>
  <c r="AM29" i="4"/>
  <c r="AM28" i="4"/>
  <c r="AM34" i="4"/>
  <c r="AM37" i="4"/>
  <c r="AM42" i="4"/>
  <c r="AM39" i="4"/>
  <c r="AM38" i="4"/>
  <c r="AM31" i="4"/>
  <c r="AM30" i="4"/>
  <c r="AK68" i="4"/>
  <c r="AK67" i="4"/>
  <c r="AK73" i="4"/>
  <c r="AK61" i="4"/>
  <c r="AM21" i="4"/>
  <c r="AM17" i="4"/>
  <c r="AM20" i="4"/>
  <c r="AM23" i="4"/>
  <c r="AM19" i="4"/>
  <c r="AM22" i="4"/>
  <c r="AM18" i="4"/>
  <c r="AL24" i="4"/>
  <c r="AN8" i="4"/>
  <c r="AM48" i="4"/>
  <c r="AM60" i="4"/>
  <c r="AM99" i="4"/>
  <c r="AM16" i="4"/>
  <c r="AM90" i="4"/>
  <c r="AM80" i="4"/>
  <c r="AN6" i="4"/>
  <c r="AN26" i="4" s="1"/>
  <c r="AO2" i="4"/>
  <c r="AH58" i="4"/>
  <c r="AH95" i="4" s="1"/>
  <c r="AG94" i="4"/>
  <c r="AG84" i="4"/>
  <c r="AF84" i="4"/>
  <c r="AF94" i="4"/>
  <c r="AD84" i="4"/>
  <c r="AD95" i="4"/>
  <c r="AD94" i="4"/>
  <c r="AN43" i="4" l="1"/>
  <c r="AN39" i="4"/>
  <c r="AN33" i="4"/>
  <c r="AN29" i="4"/>
  <c r="AN42" i="4"/>
  <c r="AN38" i="4"/>
  <c r="AN32" i="4"/>
  <c r="AN28" i="4"/>
  <c r="AN41" i="4"/>
  <c r="AN37" i="4"/>
  <c r="AN31" i="4"/>
  <c r="AN40" i="4"/>
  <c r="AN34" i="4"/>
  <c r="AN30" i="4"/>
  <c r="AM44" i="4"/>
  <c r="AM35" i="4"/>
  <c r="AL46" i="4"/>
  <c r="AL68" i="4"/>
  <c r="AL67" i="4"/>
  <c r="AL73" i="4"/>
  <c r="AL61" i="4"/>
  <c r="AN22" i="4"/>
  <c r="AN18" i="4"/>
  <c r="AN21" i="4"/>
  <c r="AN17" i="4"/>
  <c r="AN20" i="4"/>
  <c r="AN23" i="4"/>
  <c r="AN19" i="4"/>
  <c r="AM24" i="4"/>
  <c r="AO8" i="4"/>
  <c r="AN80" i="4"/>
  <c r="AN90" i="4"/>
  <c r="AN99" i="4"/>
  <c r="AN16" i="4"/>
  <c r="AN48" i="4"/>
  <c r="AN60" i="4"/>
  <c r="AP2" i="4"/>
  <c r="AO6" i="4"/>
  <c r="AO26" i="4" s="1"/>
  <c r="AH94" i="4"/>
  <c r="AH84" i="4"/>
  <c r="AI58" i="4"/>
  <c r="AI95" i="4" s="1"/>
  <c r="AM46" i="4" l="1"/>
  <c r="AN35" i="4"/>
  <c r="AN44" i="4"/>
  <c r="AO43" i="4"/>
  <c r="AO39" i="4"/>
  <c r="AO33" i="4"/>
  <c r="AO29" i="4"/>
  <c r="AO42" i="4"/>
  <c r="AO38" i="4"/>
  <c r="AO32" i="4"/>
  <c r="AO28" i="4"/>
  <c r="AO41" i="4"/>
  <c r="AO37" i="4"/>
  <c r="AO31" i="4"/>
  <c r="AO30" i="4"/>
  <c r="AO34" i="4"/>
  <c r="AO40" i="4"/>
  <c r="AM73" i="4"/>
  <c r="AM68" i="4"/>
  <c r="AM67" i="4"/>
  <c r="AM61" i="4"/>
  <c r="AO18" i="4"/>
  <c r="AO17" i="4"/>
  <c r="AO20" i="4"/>
  <c r="AO23" i="4"/>
  <c r="AO21" i="4"/>
  <c r="AO22" i="4"/>
  <c r="AO19" i="4"/>
  <c r="AN24" i="4"/>
  <c r="AP8" i="4"/>
  <c r="AO99" i="4"/>
  <c r="AO48" i="4"/>
  <c r="AO80" i="4"/>
  <c r="AO16" i="4"/>
  <c r="AO60" i="4"/>
  <c r="AO90" i="4"/>
  <c r="AQ2" i="4"/>
  <c r="AP6" i="4"/>
  <c r="AP26" i="4" s="1"/>
  <c r="AJ58" i="4"/>
  <c r="AJ95" i="4" s="1"/>
  <c r="AI94" i="4"/>
  <c r="AI84" i="4"/>
  <c r="AN46" i="4" l="1"/>
  <c r="AO44" i="4"/>
  <c r="AP43" i="4"/>
  <c r="AP39" i="4"/>
  <c r="AP33" i="4"/>
  <c r="AP29" i="4"/>
  <c r="AP42" i="4"/>
  <c r="AP38" i="4"/>
  <c r="AP32" i="4"/>
  <c r="AP28" i="4"/>
  <c r="AP41" i="4"/>
  <c r="AP37" i="4"/>
  <c r="AP31" i="4"/>
  <c r="AP40" i="4"/>
  <c r="AP34" i="4"/>
  <c r="AP30" i="4"/>
  <c r="AO35" i="4"/>
  <c r="AN73" i="4"/>
  <c r="AN68" i="4"/>
  <c r="AN67" i="4"/>
  <c r="AN61" i="4"/>
  <c r="AP22" i="4"/>
  <c r="AP20" i="4"/>
  <c r="AP21" i="4"/>
  <c r="AP23" i="4"/>
  <c r="AP18" i="4"/>
  <c r="AP17" i="4"/>
  <c r="AP19" i="4"/>
  <c r="AO24" i="4"/>
  <c r="AQ8" i="4"/>
  <c r="AQ6" i="4"/>
  <c r="AP80" i="4"/>
  <c r="AP60" i="4"/>
  <c r="AP99" i="4"/>
  <c r="AP48" i="4"/>
  <c r="AP16" i="4"/>
  <c r="AP90" i="4"/>
  <c r="AJ94" i="4"/>
  <c r="AJ84" i="4"/>
  <c r="AK58" i="4"/>
  <c r="AK95" i="4" s="1"/>
  <c r="AO46" i="4" l="1"/>
  <c r="AP35" i="4"/>
  <c r="AP44" i="4"/>
  <c r="AP46" i="4" s="1"/>
  <c r="AQ37" i="4"/>
  <c r="AQ42" i="4"/>
  <c r="AQ34" i="4"/>
  <c r="AR34" i="4" s="1"/>
  <c r="AQ29" i="4"/>
  <c r="AR29" i="4" s="1"/>
  <c r="AQ31" i="4"/>
  <c r="AR31" i="4" s="1"/>
  <c r="AQ38" i="4"/>
  <c r="AQ43" i="4"/>
  <c r="AQ40" i="4"/>
  <c r="AQ32" i="4"/>
  <c r="AR32" i="4" s="1"/>
  <c r="AQ39" i="4"/>
  <c r="AQ28" i="4"/>
  <c r="AR28" i="4" s="1"/>
  <c r="AQ33" i="4"/>
  <c r="AR33" i="4" s="1"/>
  <c r="AQ41" i="4"/>
  <c r="AQ30" i="4"/>
  <c r="AR30" i="4" s="1"/>
  <c r="AO68" i="4"/>
  <c r="AO67" i="4"/>
  <c r="AO73" i="4"/>
  <c r="AO61" i="4"/>
  <c r="AP24" i="4"/>
  <c r="AQ20" i="4"/>
  <c r="AQ23" i="4"/>
  <c r="AQ19" i="4"/>
  <c r="AR39" i="4" s="1"/>
  <c r="AQ22" i="4"/>
  <c r="AQ18" i="4"/>
  <c r="AQ21" i="4"/>
  <c r="AQ17" i="4"/>
  <c r="AQ16" i="4"/>
  <c r="AQ26" i="4"/>
  <c r="AQ60" i="4"/>
  <c r="AQ80" i="4"/>
  <c r="AQ90" i="4"/>
  <c r="AQ99" i="4"/>
  <c r="AQ48" i="4"/>
  <c r="AK94" i="4"/>
  <c r="AK84" i="4"/>
  <c r="AL58" i="4"/>
  <c r="AL95" i="4" s="1"/>
  <c r="AR41" i="4" l="1"/>
  <c r="AT41" i="4" s="1"/>
  <c r="AR42" i="4"/>
  <c r="AT42" i="4" s="1"/>
  <c r="AR38" i="4"/>
  <c r="AT38" i="4" s="1"/>
  <c r="AQ35" i="4"/>
  <c r="AS34" i="4"/>
  <c r="AT34" i="4"/>
  <c r="AS30" i="4"/>
  <c r="AT30" i="4"/>
  <c r="AS33" i="4"/>
  <c r="AT33" i="4"/>
  <c r="AS29" i="4"/>
  <c r="AT29" i="4"/>
  <c r="AR40" i="4"/>
  <c r="AT40" i="4" s="1"/>
  <c r="AS32" i="4"/>
  <c r="AT32" i="4"/>
  <c r="AS31" i="4"/>
  <c r="AT31" i="4"/>
  <c r="AQ44" i="4"/>
  <c r="AS28" i="4"/>
  <c r="AR35" i="4"/>
  <c r="AT28" i="4"/>
  <c r="AR23" i="4"/>
  <c r="AS23" i="4" s="1"/>
  <c r="AR20" i="4"/>
  <c r="AS20" i="4" s="1"/>
  <c r="AR18" i="4"/>
  <c r="AS18" i="4" s="1"/>
  <c r="AR19" i="4"/>
  <c r="AS19" i="4" s="1"/>
  <c r="AR21" i="4"/>
  <c r="AS21" i="4" s="1"/>
  <c r="AR22" i="4"/>
  <c r="AT22" i="4" s="1"/>
  <c r="AR17" i="4"/>
  <c r="AT17" i="4" s="1"/>
  <c r="AP68" i="4"/>
  <c r="AP67" i="4"/>
  <c r="AP73" i="4"/>
  <c r="AP61" i="4"/>
  <c r="AR37" i="4"/>
  <c r="AS41" i="4"/>
  <c r="AS38" i="4"/>
  <c r="AS40" i="4"/>
  <c r="AS42" i="4"/>
  <c r="AQ24" i="4"/>
  <c r="AS39" i="4"/>
  <c r="AT39" i="4"/>
  <c r="AM58" i="4"/>
  <c r="AM95" i="4" s="1"/>
  <c r="AL94" i="4"/>
  <c r="AL84" i="4"/>
  <c r="AS35" i="4" l="1"/>
  <c r="AT35" i="4"/>
  <c r="AT23" i="4"/>
  <c r="AQ46" i="4"/>
  <c r="AT20" i="4"/>
  <c r="AT37" i="4"/>
  <c r="AT18" i="4"/>
  <c r="AS17" i="4"/>
  <c r="AT19" i="4"/>
  <c r="AS37" i="4"/>
  <c r="AT21" i="4"/>
  <c r="AS22" i="4"/>
  <c r="AR24" i="4"/>
  <c r="AQ73" i="4"/>
  <c r="AQ68" i="4"/>
  <c r="AQ67" i="4"/>
  <c r="AQ61" i="4"/>
  <c r="AM94" i="4"/>
  <c r="AM84" i="4"/>
  <c r="AN58" i="4"/>
  <c r="AN95" i="4" s="1"/>
  <c r="AS24" i="4" l="1"/>
  <c r="AT24" i="4"/>
  <c r="AR57" i="4"/>
  <c r="AT57" i="4" s="1"/>
  <c r="AO58" i="4"/>
  <c r="AO95" i="4" s="1"/>
  <c r="AN94" i="4"/>
  <c r="AN84" i="4"/>
  <c r="AO94" i="4" l="1"/>
  <c r="AO84" i="4"/>
  <c r="AP58" i="4"/>
  <c r="AP95" i="4" s="1"/>
  <c r="AP94" i="4" l="1"/>
  <c r="AP84" i="4"/>
  <c r="AQ58" i="4" l="1"/>
  <c r="AQ95" i="4" s="1"/>
  <c r="AR54" i="4"/>
  <c r="AR58" i="4" l="1"/>
  <c r="AT54" i="4"/>
  <c r="AQ94" i="4"/>
  <c r="AQ84" i="4"/>
  <c r="AR95" i="4" l="1"/>
  <c r="AR94" i="4"/>
  <c r="AR84" i="4"/>
  <c r="F58" i="4" l="1"/>
  <c r="F94" i="4" s="1"/>
  <c r="P94" i="4" s="1"/>
  <c r="AT94" i="4" s="1"/>
  <c r="F84" i="4" l="1"/>
  <c r="P84" i="4" s="1"/>
  <c r="AT84" i="4" s="1"/>
  <c r="F95" i="4"/>
  <c r="P95" i="4" s="1"/>
  <c r="AT95" i="4" s="1"/>
  <c r="AG82" i="4" l="1"/>
  <c r="AN82" i="4"/>
  <c r="AI82" i="4"/>
  <c r="V82" i="4"/>
  <c r="U82" i="4"/>
  <c r="S82" i="4"/>
  <c r="X82" i="4"/>
  <c r="AC82" i="4"/>
  <c r="W82" i="4"/>
  <c r="Y82" i="4"/>
  <c r="G82" i="4"/>
  <c r="K82" i="4"/>
  <c r="AQ82" i="4"/>
  <c r="M82" i="4"/>
  <c r="AJ82" i="4"/>
  <c r="J82" i="4"/>
  <c r="I82" i="4"/>
  <c r="D47" i="7"/>
  <c r="AN81" i="4" l="1"/>
  <c r="AN91" i="4" s="1"/>
  <c r="AJ81" i="4"/>
  <c r="AJ91" i="4" s="1"/>
  <c r="U81" i="4"/>
  <c r="U91" i="4" s="1"/>
  <c r="AC81" i="4"/>
  <c r="AC83" i="4" s="1"/>
  <c r="K81" i="4"/>
  <c r="K91" i="4" s="1"/>
  <c r="D45" i="7"/>
  <c r="E82" i="4"/>
  <c r="AR75" i="4"/>
  <c r="AS75" i="4" s="1"/>
  <c r="AO81" i="4"/>
  <c r="AO91" i="4" s="1"/>
  <c r="P75" i="4"/>
  <c r="Q75" i="4" s="1"/>
  <c r="G56" i="7" s="1"/>
  <c r="AD75" i="4"/>
  <c r="AE75" i="4" s="1"/>
  <c r="F82" i="4"/>
  <c r="O82" i="4"/>
  <c r="AO82" i="4"/>
  <c r="O81" i="4"/>
  <c r="O91" i="4" s="1"/>
  <c r="E81" i="4"/>
  <c r="N82" i="4"/>
  <c r="R81" i="4"/>
  <c r="T82" i="4"/>
  <c r="G81" i="4"/>
  <c r="J81" i="4"/>
  <c r="L82" i="4"/>
  <c r="D50" i="7"/>
  <c r="D52" i="7"/>
  <c r="D51" i="7"/>
  <c r="D58" i="7"/>
  <c r="D44" i="7"/>
  <c r="D55" i="7"/>
  <c r="D57" i="7"/>
  <c r="G15" i="7"/>
  <c r="D46" i="7"/>
  <c r="D53" i="7"/>
  <c r="AK82" i="4"/>
  <c r="D81" i="4"/>
  <c r="AA82" i="4"/>
  <c r="Z82" i="4"/>
  <c r="AB81" i="4"/>
  <c r="AB82" i="4"/>
  <c r="AG81" i="4"/>
  <c r="S81" i="4"/>
  <c r="AM82" i="4"/>
  <c r="F81" i="4"/>
  <c r="AL82" i="4"/>
  <c r="AP82" i="4"/>
  <c r="V81" i="4"/>
  <c r="H82" i="4"/>
  <c r="AL81" i="4"/>
  <c r="D82" i="4"/>
  <c r="P43" i="4"/>
  <c r="M81" i="4"/>
  <c r="Y81" i="4"/>
  <c r="I81" i="4"/>
  <c r="AH82" i="4"/>
  <c r="X81" i="4"/>
  <c r="P44" i="4" l="1"/>
  <c r="P46" i="4" s="1"/>
  <c r="AC91" i="4"/>
  <c r="U83" i="4"/>
  <c r="K83" i="4"/>
  <c r="AN83" i="4"/>
  <c r="F78" i="4"/>
  <c r="F85" i="4" s="1"/>
  <c r="E78" i="4"/>
  <c r="E85" i="4" s="1"/>
  <c r="AJ78" i="4"/>
  <c r="AJ85" i="4" s="1"/>
  <c r="AN78" i="4"/>
  <c r="AN92" i="4" s="1"/>
  <c r="AN93" i="4" s="1"/>
  <c r="AG78" i="4"/>
  <c r="AG85" i="4" s="1"/>
  <c r="AO78" i="4"/>
  <c r="AO85" i="4" s="1"/>
  <c r="J78" i="4"/>
  <c r="J92" i="4" s="1"/>
  <c r="AJ83" i="4"/>
  <c r="G78" i="4"/>
  <c r="G92" i="4" s="1"/>
  <c r="AL78" i="4"/>
  <c r="AL92" i="4" s="1"/>
  <c r="D56" i="7"/>
  <c r="K78" i="4"/>
  <c r="K92" i="4" s="1"/>
  <c r="K93" i="4" s="1"/>
  <c r="X78" i="4"/>
  <c r="X85" i="4" s="1"/>
  <c r="O78" i="4"/>
  <c r="O85" i="4" s="1"/>
  <c r="AC78" i="4"/>
  <c r="AC85" i="4" s="1"/>
  <c r="AC87" i="4" s="1"/>
  <c r="U78" i="4"/>
  <c r="U85" i="4" s="1"/>
  <c r="I78" i="4"/>
  <c r="I85" i="4" s="1"/>
  <c r="AB78" i="4"/>
  <c r="AB92" i="4" s="1"/>
  <c r="S78" i="4"/>
  <c r="S92" i="4" s="1"/>
  <c r="V78" i="4"/>
  <c r="V92" i="4" s="1"/>
  <c r="Y78" i="4"/>
  <c r="Y92" i="4" s="1"/>
  <c r="M78" i="4"/>
  <c r="M92" i="4" s="1"/>
  <c r="P82" i="4"/>
  <c r="Q82" i="4" s="1"/>
  <c r="AO83" i="4"/>
  <c r="AT75" i="4"/>
  <c r="AI81" i="4"/>
  <c r="AI91" i="4" s="1"/>
  <c r="W81" i="4"/>
  <c r="O83" i="4"/>
  <c r="AH81" i="4"/>
  <c r="H81" i="4"/>
  <c r="D78" i="4"/>
  <c r="N81" i="4"/>
  <c r="Q43" i="4"/>
  <c r="AL91" i="4"/>
  <c r="AL83" i="4"/>
  <c r="V91" i="4"/>
  <c r="V83" i="4"/>
  <c r="AB91" i="4"/>
  <c r="AB83" i="4"/>
  <c r="AR43" i="4"/>
  <c r="AF82" i="4"/>
  <c r="AR82" i="4" s="1"/>
  <c r="AS82" i="4" s="1"/>
  <c r="L81" i="4"/>
  <c r="J83" i="4"/>
  <c r="J91" i="4"/>
  <c r="R91" i="4"/>
  <c r="R78" i="4"/>
  <c r="Y91" i="4"/>
  <c r="Y83" i="4"/>
  <c r="AP81" i="4"/>
  <c r="F83" i="4"/>
  <c r="F91" i="4"/>
  <c r="AM81" i="4"/>
  <c r="Z81" i="4"/>
  <c r="G91" i="4"/>
  <c r="G83" i="4"/>
  <c r="T81" i="4"/>
  <c r="X83" i="4"/>
  <c r="X91" i="4"/>
  <c r="I83" i="4"/>
  <c r="I91" i="4"/>
  <c r="M91" i="4"/>
  <c r="M83" i="4"/>
  <c r="AQ81" i="4"/>
  <c r="AD43" i="4"/>
  <c r="S83" i="4"/>
  <c r="S91" i="4"/>
  <c r="AG83" i="4"/>
  <c r="AG91" i="4"/>
  <c r="AA81" i="4"/>
  <c r="AF81" i="4"/>
  <c r="D91" i="4"/>
  <c r="D83" i="4"/>
  <c r="AK81" i="4"/>
  <c r="E91" i="4"/>
  <c r="E83" i="4"/>
  <c r="Q44" i="4" l="1"/>
  <c r="Q46" i="4" s="1"/>
  <c r="I14" i="7"/>
  <c r="AD44" i="4"/>
  <c r="AD46" i="4" s="1"/>
  <c r="AR44" i="4"/>
  <c r="AR46" i="4" s="1"/>
  <c r="G41" i="7"/>
  <c r="I15" i="7"/>
  <c r="O92" i="4"/>
  <c r="O93" i="4" s="1"/>
  <c r="G85" i="4"/>
  <c r="G86" i="4" s="1"/>
  <c r="AG92" i="4"/>
  <c r="AG93" i="4" s="1"/>
  <c r="F92" i="4"/>
  <c r="F93" i="4" s="1"/>
  <c r="U92" i="4"/>
  <c r="U93" i="4" s="1"/>
  <c r="K85" i="4"/>
  <c r="K87" i="4" s="1"/>
  <c r="K103" i="4" s="1"/>
  <c r="K105" i="4" s="1"/>
  <c r="U87" i="4"/>
  <c r="U103" i="4" s="1"/>
  <c r="U105" i="4" s="1"/>
  <c r="AO86" i="4"/>
  <c r="AB85" i="4"/>
  <c r="AB87" i="4" s="1"/>
  <c r="AJ92" i="4"/>
  <c r="AJ93" i="4" s="1"/>
  <c r="E92" i="4"/>
  <c r="E93" i="4" s="1"/>
  <c r="AN85" i="4"/>
  <c r="AN86" i="4" s="1"/>
  <c r="AJ86" i="4"/>
  <c r="M85" i="4"/>
  <c r="M86" i="4" s="1"/>
  <c r="J85" i="4"/>
  <c r="J86" i="4" s="1"/>
  <c r="O87" i="4"/>
  <c r="O103" i="4" s="1"/>
  <c r="O105" i="4" s="1"/>
  <c r="AD61" i="4"/>
  <c r="AE61" i="4" s="1"/>
  <c r="AO92" i="4"/>
  <c r="AO93" i="4" s="1"/>
  <c r="I92" i="4"/>
  <c r="I93" i="4" s="1"/>
  <c r="AL85" i="4"/>
  <c r="AL87" i="4" s="1"/>
  <c r="X92" i="4"/>
  <c r="X93" i="4" s="1"/>
  <c r="L78" i="4"/>
  <c r="L92" i="4" s="1"/>
  <c r="Y85" i="4"/>
  <c r="Y87" i="4" s="1"/>
  <c r="AM78" i="4"/>
  <c r="AM92" i="4" s="1"/>
  <c r="AI78" i="4"/>
  <c r="AI92" i="4" s="1"/>
  <c r="AI93" i="4" s="1"/>
  <c r="AH78" i="4"/>
  <c r="AH85" i="4" s="1"/>
  <c r="AK78" i="4"/>
  <c r="AK92" i="4" s="1"/>
  <c r="AQ78" i="4"/>
  <c r="AQ85" i="4" s="1"/>
  <c r="AP78" i="4"/>
  <c r="AP85" i="4" s="1"/>
  <c r="AA78" i="4"/>
  <c r="AA92" i="4" s="1"/>
  <c r="H78" i="4"/>
  <c r="H92" i="4" s="1"/>
  <c r="AR67" i="4"/>
  <c r="AS67" i="4" s="1"/>
  <c r="AC92" i="4"/>
  <c r="AC93" i="4" s="1"/>
  <c r="P67" i="4"/>
  <c r="AR68" i="4"/>
  <c r="AS68" i="4" s="1"/>
  <c r="V85" i="4"/>
  <c r="V86" i="4" s="1"/>
  <c r="S85" i="4"/>
  <c r="S86" i="4" s="1"/>
  <c r="P68" i="4"/>
  <c r="Q68" i="4" s="1"/>
  <c r="AD68" i="4"/>
  <c r="AE68" i="4" s="1"/>
  <c r="Y93" i="4"/>
  <c r="AD67" i="4"/>
  <c r="AE67" i="4" s="1"/>
  <c r="P61" i="4"/>
  <c r="Q61" i="4" s="1"/>
  <c r="M93" i="4"/>
  <c r="T78" i="4"/>
  <c r="T92" i="4" s="1"/>
  <c r="Z78" i="4"/>
  <c r="Z92" i="4" s="1"/>
  <c r="N78" i="4"/>
  <c r="N92" i="4" s="1"/>
  <c r="AI83" i="4"/>
  <c r="S93" i="4"/>
  <c r="AD81" i="4"/>
  <c r="AE81" i="4" s="1"/>
  <c r="P81" i="4"/>
  <c r="Q81" i="4" s="1"/>
  <c r="AD73" i="4"/>
  <c r="AE73" i="4" s="1"/>
  <c r="G93" i="4"/>
  <c r="O86" i="4"/>
  <c r="P62" i="4"/>
  <c r="Q62" i="4" s="1"/>
  <c r="G43" i="7" s="1"/>
  <c r="P73" i="4"/>
  <c r="Q73" i="4" s="1"/>
  <c r="G54" i="7" s="1"/>
  <c r="AD62" i="4"/>
  <c r="AE62" i="4" s="1"/>
  <c r="AR62" i="4"/>
  <c r="AS62" i="4" s="1"/>
  <c r="AL93" i="4"/>
  <c r="AO87" i="4"/>
  <c r="AO103" i="4" s="1"/>
  <c r="AO105" i="4" s="1"/>
  <c r="AR73" i="4"/>
  <c r="AS73" i="4" s="1"/>
  <c r="AC86" i="4"/>
  <c r="AB93" i="4"/>
  <c r="V93" i="4"/>
  <c r="J93" i="4"/>
  <c r="W91" i="4"/>
  <c r="W83" i="4"/>
  <c r="W78" i="4"/>
  <c r="U86" i="4"/>
  <c r="AC103" i="4"/>
  <c r="AC105" i="4" s="1"/>
  <c r="AS43" i="4"/>
  <c r="N83" i="4"/>
  <c r="N91" i="4"/>
  <c r="AF78" i="4"/>
  <c r="AR61" i="4"/>
  <c r="AR81" i="4"/>
  <c r="AS81" i="4" s="1"/>
  <c r="AF91" i="4"/>
  <c r="AF83" i="4"/>
  <c r="R82" i="4"/>
  <c r="T83" i="4"/>
  <c r="T91" i="4"/>
  <c r="AJ87" i="4"/>
  <c r="AP91" i="4"/>
  <c r="AP83" i="4"/>
  <c r="D85" i="4"/>
  <c r="D92" i="4"/>
  <c r="H91" i="4"/>
  <c r="H83" i="4"/>
  <c r="AH91" i="4"/>
  <c r="AH83" i="4"/>
  <c r="E86" i="4"/>
  <c r="E87" i="4"/>
  <c r="Z83" i="4"/>
  <c r="Z91" i="4"/>
  <c r="AM91" i="4"/>
  <c r="AM83" i="4"/>
  <c r="F87" i="4"/>
  <c r="F86" i="4"/>
  <c r="I87" i="4"/>
  <c r="I86" i="4"/>
  <c r="AG87" i="4"/>
  <c r="AG86" i="4"/>
  <c r="AE43" i="4"/>
  <c r="X86" i="4"/>
  <c r="X87" i="4"/>
  <c r="AK83" i="4"/>
  <c r="AK91" i="4"/>
  <c r="AA83" i="4"/>
  <c r="AA91" i="4"/>
  <c r="AQ83" i="4"/>
  <c r="AQ91" i="4"/>
  <c r="R92" i="4"/>
  <c r="R85" i="4"/>
  <c r="L91" i="4"/>
  <c r="L83" i="4"/>
  <c r="AT43" i="4"/>
  <c r="AE44" i="4" l="1"/>
  <c r="AE46" i="4" s="1"/>
  <c r="AS44" i="4"/>
  <c r="AS46" i="4" s="1"/>
  <c r="AT44" i="4"/>
  <c r="AT46" i="4" s="1"/>
  <c r="G49" i="7"/>
  <c r="D49" i="7" s="1"/>
  <c r="Y86" i="4"/>
  <c r="K86" i="4"/>
  <c r="G87" i="4"/>
  <c r="G103" i="4" s="1"/>
  <c r="G105" i="4" s="1"/>
  <c r="AK85" i="4"/>
  <c r="AK87" i="4" s="1"/>
  <c r="J87" i="4"/>
  <c r="J103" i="4" s="1"/>
  <c r="J105" i="4" s="1"/>
  <c r="AB86" i="4"/>
  <c r="AT61" i="4"/>
  <c r="AN87" i="4"/>
  <c r="AN103" i="4" s="1"/>
  <c r="AN105" i="4" s="1"/>
  <c r="AL86" i="4"/>
  <c r="AH92" i="4"/>
  <c r="AH93" i="4" s="1"/>
  <c r="M87" i="4"/>
  <c r="M103" i="4" s="1"/>
  <c r="M105" i="4" s="1"/>
  <c r="AA85" i="4"/>
  <c r="AA87" i="4" s="1"/>
  <c r="L85" i="4"/>
  <c r="L86" i="4" s="1"/>
  <c r="AQ92" i="4"/>
  <c r="AQ93" i="4" s="1"/>
  <c r="AM85" i="4"/>
  <c r="AM87" i="4" s="1"/>
  <c r="AI85" i="4"/>
  <c r="AI87" i="4" s="1"/>
  <c r="AI103" i="4" s="1"/>
  <c r="AI105" i="4" s="1"/>
  <c r="H85" i="4"/>
  <c r="AP92" i="4"/>
  <c r="AP93" i="4" s="1"/>
  <c r="Z85" i="4"/>
  <c r="Z87" i="4" s="1"/>
  <c r="AT67" i="4"/>
  <c r="N85" i="4"/>
  <c r="N86" i="4" s="1"/>
  <c r="D54" i="7"/>
  <c r="D43" i="7"/>
  <c r="Q67" i="4"/>
  <c r="V87" i="4"/>
  <c r="V103" i="4" s="1"/>
  <c r="V105" i="4" s="1"/>
  <c r="T85" i="4"/>
  <c r="T86" i="4" s="1"/>
  <c r="S87" i="4"/>
  <c r="S103" i="4" s="1"/>
  <c r="S105" i="4" s="1"/>
  <c r="P92" i="4"/>
  <c r="Q92" i="4" s="1"/>
  <c r="AE78" i="4"/>
  <c r="AT68" i="4"/>
  <c r="AD78" i="4"/>
  <c r="P78" i="4"/>
  <c r="AT81" i="4"/>
  <c r="P83" i="4"/>
  <c r="Q83" i="4" s="1"/>
  <c r="P91" i="4"/>
  <c r="Q91" i="4" s="1"/>
  <c r="AM93" i="4"/>
  <c r="AK93" i="4"/>
  <c r="AT62" i="4"/>
  <c r="AT73" i="4"/>
  <c r="AA93" i="4"/>
  <c r="Z93" i="4"/>
  <c r="AD91" i="4"/>
  <c r="AE91" i="4" s="1"/>
  <c r="R93" i="4"/>
  <c r="T93" i="4"/>
  <c r="L93" i="4"/>
  <c r="H93" i="4"/>
  <c r="N93" i="4"/>
  <c r="W85" i="4"/>
  <c r="W87" i="4" s="1"/>
  <c r="W103" i="4" s="1"/>
  <c r="W105" i="4" s="1"/>
  <c r="W92" i="4"/>
  <c r="W93" i="4" s="1"/>
  <c r="D93" i="4"/>
  <c r="Y103" i="4"/>
  <c r="Y105" i="4" s="1"/>
  <c r="I103" i="4"/>
  <c r="I105" i="4" s="1"/>
  <c r="AR83" i="4"/>
  <c r="AS83" i="4" s="1"/>
  <c r="AF85" i="4"/>
  <c r="AF92" i="4"/>
  <c r="G42" i="7"/>
  <c r="D42" i="7" s="1"/>
  <c r="D41" i="7"/>
  <c r="AJ103" i="4"/>
  <c r="AJ105" i="4" s="1"/>
  <c r="AR91" i="4"/>
  <c r="AS91" i="4" s="1"/>
  <c r="D87" i="4"/>
  <c r="AH86" i="4"/>
  <c r="AH87" i="4"/>
  <c r="E103" i="4"/>
  <c r="E105" i="4" s="1"/>
  <c r="AL103" i="4"/>
  <c r="AL105" i="4" s="1"/>
  <c r="AP87" i="4"/>
  <c r="AP86" i="4"/>
  <c r="AD82" i="4"/>
  <c r="R83" i="4"/>
  <c r="AG103" i="4"/>
  <c r="AG105" i="4" s="1"/>
  <c r="AQ86" i="4"/>
  <c r="AQ87" i="4"/>
  <c r="X103" i="4"/>
  <c r="X105" i="4" s="1"/>
  <c r="AB103" i="4"/>
  <c r="AB105" i="4" s="1"/>
  <c r="F103" i="4"/>
  <c r="F105" i="4" s="1"/>
  <c r="AR78" i="4"/>
  <c r="AS61" i="4"/>
  <c r="AS78" i="4" s="1"/>
  <c r="D86" i="4"/>
  <c r="Q78" i="4" l="1"/>
  <c r="G48" i="7"/>
  <c r="D48" i="7" s="1"/>
  <c r="D59" i="7" s="1"/>
  <c r="AK86" i="4"/>
  <c r="AA86" i="4"/>
  <c r="AR92" i="4"/>
  <c r="AS92" i="4" s="1"/>
  <c r="L87" i="4"/>
  <c r="L103" i="4" s="1"/>
  <c r="L105" i="4" s="1"/>
  <c r="N87" i="4"/>
  <c r="N103" i="4" s="1"/>
  <c r="N105" i="4" s="1"/>
  <c r="AR85" i="4"/>
  <c r="AS85" i="4" s="1"/>
  <c r="AM86" i="4"/>
  <c r="Z86" i="4"/>
  <c r="P85" i="4"/>
  <c r="Q85" i="4" s="1"/>
  <c r="H87" i="4"/>
  <c r="H86" i="4"/>
  <c r="P86" i="4" s="1"/>
  <c r="AI86" i="4"/>
  <c r="T87" i="4"/>
  <c r="T103" i="4" s="1"/>
  <c r="T105" i="4" s="1"/>
  <c r="AT78" i="4"/>
  <c r="AD93" i="4"/>
  <c r="AE93" i="4" s="1"/>
  <c r="AD92" i="4"/>
  <c r="AE92" i="4" s="1"/>
  <c r="AD85" i="4"/>
  <c r="AE85" i="4" s="1"/>
  <c r="AF93" i="4"/>
  <c r="AR93" i="4" s="1"/>
  <c r="AS93" i="4" s="1"/>
  <c r="P93" i="4"/>
  <c r="Q93" i="4" s="1"/>
  <c r="AF87" i="4"/>
  <c r="AF103" i="4" s="1"/>
  <c r="AF105" i="4" s="1"/>
  <c r="AT91" i="4"/>
  <c r="W86" i="4"/>
  <c r="AE82" i="4"/>
  <c r="AT82" i="4"/>
  <c r="AP103" i="4"/>
  <c r="AP105" i="4" s="1"/>
  <c r="AH103" i="4"/>
  <c r="AH105" i="4" s="1"/>
  <c r="AF86" i="4"/>
  <c r="AK103" i="4"/>
  <c r="AK105" i="4" s="1"/>
  <c r="Z103" i="4"/>
  <c r="Z105" i="4" s="1"/>
  <c r="AM103" i="4"/>
  <c r="AM105" i="4" s="1"/>
  <c r="AQ103" i="4"/>
  <c r="AQ105" i="4" s="1"/>
  <c r="R87" i="4"/>
  <c r="R86" i="4"/>
  <c r="AD83" i="4"/>
  <c r="D114" i="4"/>
  <c r="D103" i="4"/>
  <c r="AA103" i="4"/>
  <c r="AA105" i="4" s="1"/>
  <c r="P87" i="4" l="1"/>
  <c r="Q87" i="4" s="1"/>
  <c r="I62" i="7" s="1"/>
  <c r="M1" i="7" s="1"/>
  <c r="H103" i="4"/>
  <c r="H105" i="4" s="1"/>
  <c r="G59" i="7"/>
  <c r="AT92" i="4"/>
  <c r="AT85" i="4"/>
  <c r="AR87" i="4"/>
  <c r="AS87" i="4" s="1"/>
  <c r="D66" i="7" s="1"/>
  <c r="L3" i="7" s="1"/>
  <c r="E114" i="4"/>
  <c r="F114" i="4" s="1"/>
  <c r="G114" i="4" s="1"/>
  <c r="H114" i="4" s="1"/>
  <c r="I114" i="4" s="1"/>
  <c r="J114" i="4" s="1"/>
  <c r="K114" i="4" s="1"/>
  <c r="L114" i="4" s="1"/>
  <c r="M114" i="4" s="1"/>
  <c r="N114" i="4" s="1"/>
  <c r="O114" i="4" s="1"/>
  <c r="R114" i="4" s="1"/>
  <c r="S114" i="4" s="1"/>
  <c r="T114" i="4" s="1"/>
  <c r="U114" i="4" s="1"/>
  <c r="V114" i="4" s="1"/>
  <c r="W114" i="4" s="1"/>
  <c r="X114" i="4" s="1"/>
  <c r="Y114" i="4" s="1"/>
  <c r="Z114" i="4" s="1"/>
  <c r="AA114" i="4" s="1"/>
  <c r="AB114" i="4" s="1"/>
  <c r="AC114" i="4" s="1"/>
  <c r="AF114" i="4" s="1"/>
  <c r="AG114" i="4" s="1"/>
  <c r="AH114" i="4" s="1"/>
  <c r="AI114" i="4" s="1"/>
  <c r="AJ114" i="4" s="1"/>
  <c r="AK114" i="4" s="1"/>
  <c r="AL114" i="4" s="1"/>
  <c r="AM114" i="4" s="1"/>
  <c r="AN114" i="4" s="1"/>
  <c r="AO114" i="4" s="1"/>
  <c r="AP114" i="4" s="1"/>
  <c r="AQ114" i="4" s="1"/>
  <c r="AD87" i="4"/>
  <c r="AE87" i="4" s="1"/>
  <c r="R103" i="4"/>
  <c r="R105" i="4" s="1"/>
  <c r="Q86" i="4"/>
  <c r="D104" i="4"/>
  <c r="E104" i="4" s="1"/>
  <c r="F104" i="4" s="1"/>
  <c r="G104" i="4" s="1"/>
  <c r="H104" i="4" s="1"/>
  <c r="I104" i="4" s="1"/>
  <c r="J104" i="4" s="1"/>
  <c r="K104" i="4" s="1"/>
  <c r="L104" i="4" s="1"/>
  <c r="M104" i="4" s="1"/>
  <c r="N104" i="4" s="1"/>
  <c r="O104" i="4" s="1"/>
  <c r="D105" i="4"/>
  <c r="D106" i="4" s="1"/>
  <c r="E106" i="4" s="1"/>
  <c r="F106" i="4" s="1"/>
  <c r="G106" i="4" s="1"/>
  <c r="AE83" i="4"/>
  <c r="AT83" i="4"/>
  <c r="AD86" i="4"/>
  <c r="AE86" i="4" s="1"/>
  <c r="AT93" i="4"/>
  <c r="AR86" i="4"/>
  <c r="AS86" i="4" s="1"/>
  <c r="R104" i="4" l="1"/>
  <c r="S104" i="4" s="1"/>
  <c r="T104" i="4" s="1"/>
  <c r="U104" i="4" s="1"/>
  <c r="V104" i="4" s="1"/>
  <c r="W104" i="4" s="1"/>
  <c r="X104" i="4" s="1"/>
  <c r="Y104" i="4" s="1"/>
  <c r="Z104" i="4" s="1"/>
  <c r="AA104" i="4" s="1"/>
  <c r="AB104" i="4" s="1"/>
  <c r="AC104" i="4" s="1"/>
  <c r="AF104" i="4" s="1"/>
  <c r="AG104" i="4" s="1"/>
  <c r="AH104" i="4" s="1"/>
  <c r="AI104" i="4" s="1"/>
  <c r="AJ104" i="4" s="1"/>
  <c r="AK104" i="4" s="1"/>
  <c r="AL104" i="4" s="1"/>
  <c r="AM104" i="4" s="1"/>
  <c r="AN104" i="4" s="1"/>
  <c r="AO104" i="4" s="1"/>
  <c r="AP104" i="4" s="1"/>
  <c r="AQ104" i="4" s="1"/>
  <c r="D62" i="7"/>
  <c r="L1" i="7" s="1"/>
  <c r="H106" i="4"/>
  <c r="I106" i="4" s="1"/>
  <c r="J106" i="4" s="1"/>
  <c r="K106" i="4" s="1"/>
  <c r="L106" i="4" s="1"/>
  <c r="M106" i="4" s="1"/>
  <c r="N106" i="4" s="1"/>
  <c r="O106" i="4" s="1"/>
  <c r="R106" i="4" s="1"/>
  <c r="S106" i="4" s="1"/>
  <c r="T106" i="4" s="1"/>
  <c r="U106" i="4" s="1"/>
  <c r="V106" i="4" s="1"/>
  <c r="W106" i="4" s="1"/>
  <c r="X106" i="4" s="1"/>
  <c r="Y106" i="4" s="1"/>
  <c r="Z106" i="4" s="1"/>
  <c r="AA106" i="4" s="1"/>
  <c r="AB106" i="4" s="1"/>
  <c r="AC106" i="4" s="1"/>
  <c r="AF106" i="4" s="1"/>
  <c r="AG106" i="4" s="1"/>
  <c r="AH106" i="4" s="1"/>
  <c r="AI106" i="4" s="1"/>
  <c r="AJ106" i="4" s="1"/>
  <c r="AK106" i="4" s="1"/>
  <c r="AL106" i="4" s="1"/>
  <c r="AM106" i="4" s="1"/>
  <c r="AN106" i="4" s="1"/>
  <c r="AO106" i="4" s="1"/>
  <c r="AP106" i="4" s="1"/>
  <c r="AQ106" i="4" s="1"/>
  <c r="AT114" i="4"/>
  <c r="AT116" i="4" s="1"/>
  <c r="B111" i="4" s="1"/>
  <c r="D68" i="7" s="1"/>
  <c r="L4" i="7" s="1"/>
  <c r="I66" i="7"/>
  <c r="M3" i="7" s="1"/>
  <c r="AT86" i="4"/>
  <c r="I64" i="7"/>
  <c r="M2" i="7" s="1"/>
  <c r="D64" i="7"/>
  <c r="L2" i="7" s="1"/>
  <c r="B108" i="4" l="1"/>
  <c r="H48" i="6" l="1"/>
  <c r="D25" i="7" s="1"/>
  <c r="D50" i="6"/>
  <c r="H50" i="6" l="1"/>
  <c r="L6" i="7"/>
  <c r="D27" i="7"/>
  <c r="L7" i="7" s="1"/>
  <c r="C56" i="4"/>
  <c r="P56" i="4" l="1"/>
  <c r="C58" i="4"/>
  <c r="C84" i="4" l="1"/>
  <c r="C86" i="4" s="1"/>
  <c r="C88" i="4" s="1"/>
  <c r="D88" i="4" s="1"/>
  <c r="C95" i="4"/>
  <c r="C94" i="4"/>
  <c r="P58" i="4"/>
  <c r="AT58" i="4" s="1"/>
  <c r="B109" i="4" s="1"/>
  <c r="AT56" i="4"/>
  <c r="D113" i="4" l="1"/>
  <c r="E88" i="4"/>
  <c r="C97" i="4"/>
  <c r="D96" i="4" s="1"/>
  <c r="F88" i="4" l="1"/>
  <c r="E113" i="4"/>
  <c r="D97" i="4"/>
  <c r="E96" i="4" s="1"/>
  <c r="E97" i="4" s="1"/>
  <c r="F96" i="4" s="1"/>
  <c r="F97" i="4" s="1"/>
  <c r="G96" i="4" s="1"/>
  <c r="G97" i="4" s="1"/>
  <c r="H96" i="4" s="1"/>
  <c r="H97" i="4" s="1"/>
  <c r="I96" i="4" s="1"/>
  <c r="I97" i="4" s="1"/>
  <c r="J96" i="4" s="1"/>
  <c r="J97" i="4" s="1"/>
  <c r="K96" i="4" s="1"/>
  <c r="K97" i="4" s="1"/>
  <c r="L96" i="4" s="1"/>
  <c r="L97" i="4" s="1"/>
  <c r="M96" i="4" s="1"/>
  <c r="M97" i="4" s="1"/>
  <c r="N96" i="4" s="1"/>
  <c r="N97" i="4" s="1"/>
  <c r="O96" i="4" s="1"/>
  <c r="O97" i="4" s="1"/>
  <c r="P96" i="4"/>
  <c r="AT96" i="4" s="1"/>
  <c r="P97" i="4" l="1"/>
  <c r="R96" i="4"/>
  <c r="G88" i="4"/>
  <c r="F113" i="4"/>
  <c r="G113" i="4" l="1"/>
  <c r="H88" i="4"/>
  <c r="R97" i="4"/>
  <c r="S96" i="4" s="1"/>
  <c r="S97" i="4" s="1"/>
  <c r="T96" i="4" s="1"/>
  <c r="T97" i="4" s="1"/>
  <c r="U96" i="4" s="1"/>
  <c r="U97" i="4" s="1"/>
  <c r="V96" i="4" s="1"/>
  <c r="V97" i="4" s="1"/>
  <c r="W96" i="4" s="1"/>
  <c r="W97" i="4" s="1"/>
  <c r="X96" i="4" s="1"/>
  <c r="X97" i="4" s="1"/>
  <c r="Y96" i="4" s="1"/>
  <c r="Y97" i="4" s="1"/>
  <c r="Z96" i="4" s="1"/>
  <c r="Z97" i="4" s="1"/>
  <c r="AA96" i="4" s="1"/>
  <c r="AA97" i="4" s="1"/>
  <c r="AB96" i="4" s="1"/>
  <c r="AB97" i="4" s="1"/>
  <c r="AC96" i="4" s="1"/>
  <c r="AC97" i="4" s="1"/>
  <c r="AD96" i="4"/>
  <c r="I88" i="4" l="1"/>
  <c r="H113" i="4"/>
  <c r="AF96" i="4"/>
  <c r="AD97" i="4"/>
  <c r="AF97" i="4" l="1"/>
  <c r="AG96" i="4" s="1"/>
  <c r="AG97" i="4" s="1"/>
  <c r="AH96" i="4" s="1"/>
  <c r="AH97" i="4" s="1"/>
  <c r="AI96" i="4" s="1"/>
  <c r="AI97" i="4" s="1"/>
  <c r="AJ96" i="4" s="1"/>
  <c r="AJ97" i="4" s="1"/>
  <c r="AK96" i="4" s="1"/>
  <c r="AK97" i="4" s="1"/>
  <c r="AL96" i="4" s="1"/>
  <c r="AL97" i="4" s="1"/>
  <c r="AM96" i="4" s="1"/>
  <c r="AM97" i="4" s="1"/>
  <c r="AN96" i="4" s="1"/>
  <c r="AN97" i="4" s="1"/>
  <c r="AO96" i="4" s="1"/>
  <c r="AO97" i="4" s="1"/>
  <c r="AP96" i="4" s="1"/>
  <c r="AP97" i="4" s="1"/>
  <c r="AQ96" i="4" s="1"/>
  <c r="AQ97" i="4" s="1"/>
  <c r="AR97" i="4" s="1"/>
  <c r="AT97" i="4" s="1"/>
  <c r="AR96" i="4"/>
  <c r="I113" i="4"/>
  <c r="J88" i="4"/>
  <c r="K88" i="4" l="1"/>
  <c r="J113" i="4"/>
  <c r="K113" i="4" l="1"/>
  <c r="L88" i="4"/>
  <c r="M88" i="4" l="1"/>
  <c r="L113" i="4"/>
  <c r="M113" i="4" l="1"/>
  <c r="N88" i="4"/>
  <c r="O88" i="4" l="1"/>
  <c r="N113" i="4"/>
  <c r="R88" i="4" l="1"/>
  <c r="P88" i="4"/>
  <c r="O113" i="4"/>
  <c r="R113" i="4" l="1"/>
  <c r="S88" i="4"/>
  <c r="S113" i="4" l="1"/>
  <c r="T88" i="4"/>
  <c r="T113" i="4" l="1"/>
  <c r="U88" i="4"/>
  <c r="U113" i="4" l="1"/>
  <c r="V88" i="4"/>
  <c r="V113" i="4" l="1"/>
  <c r="W88" i="4"/>
  <c r="W113" i="4" l="1"/>
  <c r="X88" i="4"/>
  <c r="X113" i="4" l="1"/>
  <c r="Y88" i="4"/>
  <c r="Y113" i="4" l="1"/>
  <c r="Z88" i="4"/>
  <c r="Z113" i="4" l="1"/>
  <c r="AA88" i="4"/>
  <c r="AA113" i="4" l="1"/>
  <c r="AB88" i="4"/>
  <c r="AB113" i="4" l="1"/>
  <c r="AC88" i="4"/>
  <c r="AF88" i="4" l="1"/>
  <c r="AD88" i="4"/>
  <c r="AC113" i="4"/>
  <c r="AF113" i="4" l="1"/>
  <c r="AG88" i="4"/>
  <c r="AH88" i="4" l="1"/>
  <c r="AG113" i="4"/>
  <c r="AH113" i="4" l="1"/>
  <c r="AI88" i="4"/>
  <c r="AJ88" i="4" l="1"/>
  <c r="AI113" i="4"/>
  <c r="AJ113" i="4" l="1"/>
  <c r="AK88" i="4"/>
  <c r="AL88" i="4" l="1"/>
  <c r="AK113" i="4"/>
  <c r="AL113" i="4" l="1"/>
  <c r="AM88" i="4"/>
  <c r="AN88" i="4" l="1"/>
  <c r="AM113" i="4"/>
  <c r="AN113" i="4" l="1"/>
  <c r="AO88" i="4"/>
  <c r="AP88" i="4" l="1"/>
  <c r="AO113" i="4"/>
  <c r="AP113" i="4" l="1"/>
  <c r="AQ88" i="4"/>
  <c r="AR88" i="4" l="1"/>
  <c r="AQ113" i="4"/>
  <c r="AT113" i="4" s="1"/>
  <c r="AT115" i="4" s="1"/>
  <c r="B110" i="4" s="1"/>
  <c r="D70" i="7" l="1"/>
  <c r="L5" i="7" s="1"/>
  <c r="E1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Яна Мирская</author>
  </authors>
  <commentList>
    <comment ref="A86" authorId="0" shapeId="0" xr:uid="{24B7B550-0AAC-4301-978B-38E2461BFEDE}">
      <text>
        <r>
          <rPr>
            <b/>
            <sz val="9"/>
            <color indexed="81"/>
            <rFont val="Tahoma"/>
            <family val="2"/>
            <charset val="204"/>
          </rPr>
          <t>Выручка - себестоимость - текущие затраты  - инвестиции , т.е. чистая прибыль - инвестиции</t>
        </r>
      </text>
    </comment>
    <comment ref="A87" authorId="0" shapeId="0" xr:uid="{F4B2F411-F4E1-4E8E-B26B-445188111C77}">
      <text>
        <r>
          <rPr>
            <b/>
            <sz val="9"/>
            <color indexed="81"/>
            <rFont val="Tahoma"/>
            <family val="2"/>
            <charset val="204"/>
          </rPr>
          <t>Выручка - себестоимость - текущие затраты = чистая прибыль</t>
        </r>
      </text>
    </comment>
    <comment ref="A88" authorId="0" shapeId="0" xr:uid="{02DD58DB-1A27-4469-8446-F00FA5C677AC}">
      <text>
        <r>
          <rPr>
            <b/>
            <sz val="9"/>
            <color indexed="81"/>
            <rFont val="Tahoma"/>
            <family val="2"/>
            <charset val="204"/>
          </rPr>
          <t>Чистая прибыль суммарно за каждый месяц - инвестиции.
Показывает с какого месяца проект окупился.</t>
        </r>
      </text>
    </comment>
    <comment ref="A91" authorId="0" shapeId="0" xr:uid="{9A14C7FF-07A7-4DE6-AE24-869DBCB2856E}">
      <text>
        <r>
          <rPr>
            <b/>
            <sz val="9"/>
            <color indexed="81"/>
            <rFont val="Tahoma"/>
            <family val="2"/>
            <charset val="204"/>
          </rPr>
          <t>Выручка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2" authorId="0" shapeId="0" xr:uid="{D8685AF7-E2BF-42CF-A574-A0E5240C60F6}">
      <text>
        <r>
          <rPr>
            <b/>
            <sz val="9"/>
            <color indexed="81"/>
            <rFont val="Tahoma"/>
            <family val="2"/>
            <charset val="204"/>
          </rPr>
          <t>Себестоимость + текущие затраты</t>
        </r>
      </text>
    </comment>
    <comment ref="A93" authorId="0" shapeId="0" xr:uid="{583E2909-0E63-4DEB-A60F-0D944E8FB106}">
      <text>
        <r>
          <rPr>
            <b/>
            <sz val="9"/>
            <color indexed="81"/>
            <rFont val="Tahoma"/>
            <family val="2"/>
            <charset val="204"/>
          </rPr>
          <t>чистая прибыль</t>
        </r>
      </text>
    </comment>
    <comment ref="A94" authorId="0" shapeId="0" xr:uid="{95EE7183-187C-4FC5-88EC-C98BAA2F0142}">
      <text>
        <r>
          <rPr>
            <b/>
            <sz val="9"/>
            <color indexed="81"/>
            <rFont val="Tahoma"/>
            <family val="2"/>
            <charset val="204"/>
          </rPr>
          <t>инвестиции</t>
        </r>
      </text>
    </comment>
    <comment ref="A95" authorId="0" shapeId="0" xr:uid="{CDBD52B2-DD49-497E-9578-AC89EC35E65D}">
      <text>
        <r>
          <rPr>
            <b/>
            <sz val="9"/>
            <color indexed="81"/>
            <rFont val="Tahoma"/>
            <family val="2"/>
            <charset val="204"/>
          </rPr>
          <t>привлечение средств для осуществления инвестиций</t>
        </r>
      </text>
    </comment>
    <comment ref="A96" authorId="0" shapeId="0" xr:uid="{7395C29F-0F11-4A6B-97F7-5EA511C110E2}">
      <text>
        <r>
          <rPr>
            <b/>
            <sz val="9"/>
            <color indexed="81"/>
            <rFont val="Tahoma"/>
            <family val="2"/>
            <charset val="204"/>
          </rPr>
          <t>Деньги на начало месяца (накопленная чистая прибыль за прошлые месяцы)</t>
        </r>
      </text>
    </comment>
    <comment ref="A97" authorId="0" shapeId="0" xr:uid="{FFF5FB8B-F4EA-408B-BC06-371FD91F01D6}">
      <text>
        <r>
          <rPr>
            <b/>
            <sz val="9"/>
            <color indexed="81"/>
            <rFont val="Tahoma"/>
            <family val="2"/>
            <charset val="204"/>
          </rPr>
          <t>Деньги на конец месяца (накопленная чистая прибыль за прошлые месяцы с учетом текущего месяца)</t>
        </r>
      </text>
    </comment>
    <comment ref="A101" authorId="0" shapeId="0" xr:uid="{1653C1A5-7888-4B53-A28B-954507B5F795}">
      <text>
        <r>
          <rPr>
            <b/>
            <sz val="9"/>
            <color indexed="81"/>
            <rFont val="Tahoma"/>
            <family val="2"/>
            <charset val="204"/>
          </rPr>
          <t>коэффициент обесценивания денег</t>
        </r>
      </text>
    </comment>
    <comment ref="A103" authorId="0" shapeId="0" xr:uid="{F16484C2-A4FA-4FB3-993A-F199F11B1F98}">
      <text>
        <r>
          <rPr>
            <b/>
            <sz val="9"/>
            <color indexed="81"/>
            <rFont val="Tahoma"/>
            <family val="2"/>
            <charset val="204"/>
          </rPr>
          <t>чистая прибыль помесячно</t>
        </r>
      </text>
    </comment>
    <comment ref="A104" authorId="0" shapeId="0" xr:uid="{BB94159C-B5F7-4F75-BF2C-D67633786CCE}">
      <text>
        <r>
          <rPr>
            <b/>
            <sz val="9"/>
            <color indexed="81"/>
            <rFont val="Tahoma"/>
            <family val="2"/>
            <charset val="204"/>
          </rPr>
          <t>чистая прибыль суммарно за каждый месяц</t>
        </r>
      </text>
    </comment>
    <comment ref="A105" authorId="0" shapeId="0" xr:uid="{E44F176C-3DDF-4E0D-A726-C6D4C142AF9B}">
      <text>
        <r>
          <rPr>
            <b/>
            <sz val="9"/>
            <color indexed="81"/>
            <rFont val="Tahoma"/>
            <family val="2"/>
            <charset val="204"/>
          </rPr>
          <t>чистая прибыль помесячно с учетом применения дисконтрования (обесценивания денег)</t>
        </r>
      </text>
    </comment>
    <comment ref="A106" authorId="0" shapeId="0" xr:uid="{FA469599-B311-47D9-BBB3-DA3F015F09E9}">
      <text>
        <r>
          <rPr>
            <b/>
            <sz val="9"/>
            <color indexed="81"/>
            <rFont val="Tahoma"/>
            <family val="2"/>
            <charset val="204"/>
          </rPr>
          <t>чистая прибыль суммарно за каждый месяц  с учетом применения дисконтрования (обесценивания денег)</t>
        </r>
      </text>
    </comment>
    <comment ref="A108" authorId="0" shapeId="0" xr:uid="{57BEF8F9-08C6-4F77-8C52-27A8ACCACA49}">
      <text>
        <r>
          <rPr>
            <b/>
            <sz val="9"/>
            <color indexed="81"/>
            <rFont val="Tahoma"/>
            <family val="2"/>
            <charset val="204"/>
          </rPr>
          <t>Дисконтированная чистая прибыль суммарно за 3 года - инвестиции</t>
        </r>
      </text>
    </comment>
    <comment ref="A109" authorId="0" shapeId="0" xr:uid="{25DAA6AE-F2FA-4F6C-837C-F10DA2968DAD}">
      <text>
        <r>
          <rPr>
            <b/>
            <sz val="9"/>
            <color indexed="81"/>
            <rFont val="Tahoma"/>
            <family val="2"/>
            <charset val="204"/>
          </rPr>
          <t>Во сколько раз дисконтированная чистая прибыль суммарно за 3 года превышает инвестиции. Должен быль больше 1</t>
        </r>
      </text>
    </comment>
    <comment ref="A110" authorId="0" shapeId="0" xr:uid="{AFE05D10-8360-4EC8-880D-6BFABE426C42}">
      <text>
        <r>
          <rPr>
            <b/>
            <sz val="9"/>
            <color indexed="81"/>
            <rFont val="Tahoma"/>
            <family val="2"/>
            <charset val="204"/>
          </rPr>
          <t xml:space="preserve">Количество месяцев, за которые накопленная (суммарная) чистая прибыль превысит размер инвестиций </t>
        </r>
      </text>
    </comment>
    <comment ref="A111" authorId="0" shapeId="0" xr:uid="{13BC99F4-F359-4B31-B7B2-DA10E03CE413}">
      <text>
        <r>
          <rPr>
            <b/>
            <sz val="9"/>
            <color indexed="81"/>
            <rFont val="Tahoma"/>
            <family val="2"/>
            <charset val="204"/>
          </rPr>
          <t>Количество месяцев, за которые появится чистая прибыль, т.е выручка - текущие затраты &gt;0</t>
        </r>
      </text>
    </comment>
  </commentList>
</comments>
</file>

<file path=xl/sharedStrings.xml><?xml version="1.0" encoding="utf-8"?>
<sst xmlns="http://schemas.openxmlformats.org/spreadsheetml/2006/main" count="420" uniqueCount="393">
  <si>
    <t>Итого:</t>
  </si>
  <si>
    <t>Текущие затраты</t>
  </si>
  <si>
    <t>Прочее</t>
  </si>
  <si>
    <t>Итого</t>
  </si>
  <si>
    <t>мес.</t>
  </si>
  <si>
    <t>Изменения можно вносить только в ячейки, окрашенные в серый цвет</t>
  </si>
  <si>
    <t>ЗАГРУЗКА</t>
  </si>
  <si>
    <t>ДИНАМИКА ПРОДАЖ</t>
  </si>
  <si>
    <t>ТЕКУЩИЕ ЗАТРАТЫ</t>
  </si>
  <si>
    <t>ОТЧЕТ О ПРИБЫЛЯХ И УБЫТКАХ</t>
  </si>
  <si>
    <t>Выручка</t>
  </si>
  <si>
    <t>Валовая прибыль</t>
  </si>
  <si>
    <t>ДВИЖЕНИЕ ДЕНЕЖНЫХ СРЕДСТВ (КЭШ-ФЛО)</t>
  </si>
  <si>
    <t>Поступления от основной деятельности</t>
  </si>
  <si>
    <t>Кэш-фло от оперативной деятельности</t>
  </si>
  <si>
    <t>Кэш-фло от инвестиционной деятельности</t>
  </si>
  <si>
    <t>Кэш-фло от финансовой деятельности</t>
  </si>
  <si>
    <t>Баланс наличности на начало периода</t>
  </si>
  <si>
    <t>Баланс наличности на конец периода</t>
  </si>
  <si>
    <t>ОКУПАЕМОСТЬ ПРОЕКТА</t>
  </si>
  <si>
    <t>Индекс прибыльности проекта (PI)</t>
  </si>
  <si>
    <t>Паушальный взнос</t>
  </si>
  <si>
    <t>Месяц, с которого начинается работа</t>
  </si>
  <si>
    <t>январь</t>
  </si>
  <si>
    <t>февраль</t>
  </si>
  <si>
    <t>июль</t>
  </si>
  <si>
    <t>август</t>
  </si>
  <si>
    <t>сентябрь</t>
  </si>
  <si>
    <t>октябрь</t>
  </si>
  <si>
    <t>ноябрь</t>
  </si>
  <si>
    <t>декабрь</t>
  </si>
  <si>
    <t>1-й год работы</t>
  </si>
  <si>
    <t>2-й год работы</t>
  </si>
  <si>
    <t>прибыль</t>
  </si>
  <si>
    <t>3-й год работы</t>
  </si>
  <si>
    <t>Итого за 1-й год</t>
  </si>
  <si>
    <t>Среднемесячно за 1-й год</t>
  </si>
  <si>
    <t>Среднемесячно за 2-й год</t>
  </si>
  <si>
    <t>Итого за 2-й год</t>
  </si>
  <si>
    <t>Итого за 3-й год</t>
  </si>
  <si>
    <t>Среднемесячно за 3-й год</t>
  </si>
  <si>
    <t>Итого за три года</t>
  </si>
  <si>
    <t>Ремонт помещения</t>
  </si>
  <si>
    <t>Местная реклама (буклеты, печатная продукция и т.д.)</t>
  </si>
  <si>
    <t>Зарплата персонала</t>
  </si>
  <si>
    <t>самоокупаемость</t>
  </si>
  <si>
    <t>Срок выхода на самоокупаемость проекта, мес.:</t>
  </si>
  <si>
    <t>Валюта, в которой производится расчет</t>
  </si>
  <si>
    <t>Финансовые параметры</t>
  </si>
  <si>
    <t>март</t>
  </si>
  <si>
    <t>апрель</t>
  </si>
  <si>
    <t>май</t>
  </si>
  <si>
    <t>Сигнализация (охранная и пожарная)</t>
  </si>
  <si>
    <t>Инвестиции в открытие</t>
  </si>
  <si>
    <t>Видеонаблюдение</t>
  </si>
  <si>
    <t>Аренда</t>
  </si>
  <si>
    <t>Коммунальные платежи</t>
  </si>
  <si>
    <t>USD</t>
  </si>
  <si>
    <t>EUR</t>
  </si>
  <si>
    <t>RUB</t>
  </si>
  <si>
    <t>Рекламная кампания</t>
  </si>
  <si>
    <t>Персонал</t>
  </si>
  <si>
    <t>Должностные единицы</t>
  </si>
  <si>
    <t>Услуги связи и интернет</t>
  </si>
  <si>
    <t>Охрана</t>
  </si>
  <si>
    <t>Удельный вес в объеме выручки за 1-й год работы</t>
  </si>
  <si>
    <t>Налоги</t>
  </si>
  <si>
    <t>июнь</t>
  </si>
  <si>
    <t>Выход продаж на плановые показатели и дальнейший рост объемов*</t>
  </si>
  <si>
    <t>Рост арендной платы*</t>
  </si>
  <si>
    <t>Рост заработной платы (фиксированного оклада)*</t>
  </si>
  <si>
    <t xml:space="preserve"> * - по сравнения с данными, указанными на странице "Исходные данные".</t>
  </si>
  <si>
    <t>Среднемесячная сумма затрат за 1-й год работы</t>
  </si>
  <si>
    <t>Формат сотрудничества</t>
  </si>
  <si>
    <t>ИНВЕСТИЦИИ</t>
  </si>
  <si>
    <t>Базовый размер бонуса, % от базы начисления*</t>
  </si>
  <si>
    <t xml:space="preserve"> * - База начисления бонуса</t>
  </si>
  <si>
    <t>Среднемесячная сумма затрат</t>
  </si>
  <si>
    <t>Банковское обслуживание</t>
  </si>
  <si>
    <t>Процент выхода продаж на плановые показатели*, %</t>
  </si>
  <si>
    <t>Рост заработной платы (фиксированного оклада)**, %</t>
  </si>
  <si>
    <t>Рост арендной платы**, %</t>
  </si>
  <si>
    <t>Порядковый месяц от начала работы</t>
  </si>
  <si>
    <t>Коэффициент дисконтирования, % годовых</t>
  </si>
  <si>
    <t>Ведение бухгалтерского учета</t>
  </si>
  <si>
    <t>Рентабельность (чистая прибыль/выручка), %</t>
  </si>
  <si>
    <t>% от выручки, который проходит по безналичному расчету</t>
  </si>
  <si>
    <t>Срок окупаемости проекта с учетом инвестиций, мес.:</t>
  </si>
  <si>
    <t>Среднемесячная чистая прибыль 
за 1-й год работы</t>
  </si>
  <si>
    <t>Среднемесячная чистая прибыль 
за 2-й год работы</t>
  </si>
  <si>
    <t>Среднемесячная чистая прибыль 
за 3-й год работы</t>
  </si>
  <si>
    <t>Процент роста выручки*, %</t>
  </si>
  <si>
    <t>Рост коммунальных платежей**, %</t>
  </si>
  <si>
    <t>Рост затрат на услуги связи и интернет**, %</t>
  </si>
  <si>
    <t>Рост затрат на налоги**, %</t>
  </si>
  <si>
    <t>Рост коммунальных платежей*</t>
  </si>
  <si>
    <t>Рост затрат на услуги связи и интернет*</t>
  </si>
  <si>
    <t>Рост затрат на налоги*</t>
  </si>
  <si>
    <t>ДИНАМИКА СЕБЕСТОИМОСТИ</t>
  </si>
  <si>
    <t>Параметры сезонности и выхода продаж на плановые показатели и дальнейший рост объемов продаж</t>
  </si>
  <si>
    <t>Процент влияния сезона на плановые показатели по выручке*, %</t>
  </si>
  <si>
    <t>Название месяца</t>
  </si>
  <si>
    <t>Процент влияния сезонности на плановые показатели по выручке*</t>
  </si>
  <si>
    <t xml:space="preserve"> * - процент по отношению к данным о среднем чеке и количеству чеков, указанным в блоке "Финансовые параметры" на странице "Исходные данные".
 ** - по сравнения с данными, указанными в блоке "Персонал" и "Текущие затраты" на странице "Исходные данные".</t>
  </si>
  <si>
    <t>Униформа персонала</t>
  </si>
  <si>
    <t>Себестоимость</t>
  </si>
  <si>
    <t>% от общей выручки</t>
  </si>
  <si>
    <t>фиксированная сумма</t>
  </si>
  <si>
    <t>Вид налогообложения</t>
  </si>
  <si>
    <t>Общее количество сотрудников, чел.</t>
  </si>
  <si>
    <t>Хозяйственные нужды</t>
  </si>
  <si>
    <t>общая выручка</t>
  </si>
  <si>
    <t>Площадь заведения</t>
  </si>
  <si>
    <t>Наименование</t>
  </si>
  <si>
    <t>Количество, шт.</t>
  </si>
  <si>
    <t>Стоимость единицы, UAH</t>
  </si>
  <si>
    <t>Общая стоимость, UAH</t>
  </si>
  <si>
    <t>Язык</t>
  </si>
  <si>
    <t>Русский</t>
  </si>
  <si>
    <t>Українська</t>
  </si>
  <si>
    <t>UAH</t>
  </si>
  <si>
    <t>UAH/мес.</t>
  </si>
  <si>
    <t>UAH/мес.* или %</t>
  </si>
  <si>
    <t>Відеоспостереження</t>
  </si>
  <si>
    <t>Авансовый платеж по аренде</t>
  </si>
  <si>
    <t>Списания</t>
  </si>
  <si>
    <t>Питание сотрудников</t>
  </si>
  <si>
    <t>Налоги на зарплату сотрудников</t>
  </si>
  <si>
    <t>Выручка (товарооборот)</t>
  </si>
  <si>
    <t>Себестоимость (в т.ч. упаковка)</t>
  </si>
  <si>
    <t>Среднее количество чеков в месяц за 1-й год работы**, чек/мес.</t>
  </si>
  <si>
    <t>Количество рабочих дней в месяц у каждого сотрудника, дней/мес.</t>
  </si>
  <si>
    <t>Курс валют (1 единица валюты = указанному количеству гривен)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</si>
  <si>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</si>
  <si>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</si>
  <si>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</si>
  <si>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</si>
  <si>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</si>
  <si>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</si>
  <si>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</si>
  <si>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серпень</t>
  </si>
  <si>
    <t>вересень</t>
  </si>
  <si>
    <t>жовтень</t>
  </si>
  <si>
    <t>листопад</t>
  </si>
  <si>
    <t>грудень</t>
  </si>
  <si>
    <t>размер банковской комиссии, %</t>
  </si>
  <si>
    <t>Зміни необхідно вносити тільки в комірки, які окрашені в сірий колір</t>
  </si>
  <si>
    <t>Валюта, в якій виконується розрахунок</t>
  </si>
  <si>
    <t>Місяць, з якого починається робота</t>
  </si>
  <si>
    <t>Курс валют (1 одиниця валюти = вказаній кількості гривень)</t>
  </si>
  <si>
    <t>Мова</t>
  </si>
  <si>
    <t>Фінансові параметри</t>
  </si>
  <si>
    <t>Загальна планова середньомісячна виручка (товарообіг)*</t>
  </si>
  <si>
    <t>Общая плановая среднемесячная выручка (товарооборот)*</t>
  </si>
  <si>
    <t>UAH/міс.</t>
  </si>
  <si>
    <t>Параметри сезонності та виходу продажів на планові показники та подальший ріст обсягів продажів</t>
  </si>
  <si>
    <t>Порядковий номер місяцю від початку роботи</t>
  </si>
  <si>
    <t>Відсоток виходу продажів на планові показники*, %</t>
  </si>
  <si>
    <t>Процент впливу сезону на планові показники по виручці*, %</t>
  </si>
  <si>
    <t>Назва місяцю</t>
  </si>
  <si>
    <t>2-й рік роботи</t>
  </si>
  <si>
    <t>3-й рік роботи</t>
  </si>
  <si>
    <t>Відсоток росту виручки*, %</t>
  </si>
  <si>
    <t>Ріст заробітної плати (фіксованого окладу)**, %</t>
  </si>
  <si>
    <t>Ріст орендної плати**, %</t>
  </si>
  <si>
    <t>Ріст комунальних платежів**, %</t>
  </si>
  <si>
    <t>Ріст витрат на послуги зв'язку та інтернет**, %</t>
  </si>
  <si>
    <t>Ріст витрат на податки**, %</t>
  </si>
  <si>
    <t>Коефіцієнт дисконтування, % річних</t>
  </si>
  <si>
    <t xml:space="preserve"> * - відсоток по відношенню до даних про середній чек та кількість чеків, вказаних в розділі "Фінансові параметри" на сторінці "Вхідні дані".
 ** - по відношенню до даних, вказаних в розділах "Персонал" та "Поточні витрати" на сторінці "Вхідні дані".</t>
  </si>
  <si>
    <t>Інвестиції у відкриття</t>
  </si>
  <si>
    <t>Площа закладу</t>
  </si>
  <si>
    <t>Сигналізація (охоронна та пожежна)</t>
  </si>
  <si>
    <t>Ремонт приміщення</t>
  </si>
  <si>
    <t>Авансовий платіж по оренді</t>
  </si>
  <si>
    <t>Паушальний внесок</t>
  </si>
  <si>
    <t>Інше</t>
  </si>
  <si>
    <t>Разом:</t>
  </si>
  <si>
    <t>Рекламна кампанія</t>
  </si>
  <si>
    <t>Посадові одиниці</t>
  </si>
  <si>
    <t>Загальна кількість співробітників, чол.</t>
  </si>
  <si>
    <t>Кількість робочих днів на місяць у кожного співробітника, днів/міс.</t>
  </si>
  <si>
    <t>Базовий розмір бонусу, % від бази нарахування*</t>
  </si>
  <si>
    <t xml:space="preserve"> * - База нарахування бонусу</t>
  </si>
  <si>
    <t>загальна виручка</t>
  </si>
  <si>
    <t>Поточні витрати</t>
  </si>
  <si>
    <t>Середньомісячна сума витрат</t>
  </si>
  <si>
    <t>UAH/міс.* або %</t>
  </si>
  <si>
    <t>% від загальної виручки</t>
  </si>
  <si>
    <t>Роялті</t>
  </si>
  <si>
    <t>Оренда</t>
  </si>
  <si>
    <t>Комунальні платежі</t>
  </si>
  <si>
    <t>Господарські потреби</t>
  </si>
  <si>
    <t>Списання</t>
  </si>
  <si>
    <t>Харчування співробітників</t>
  </si>
  <si>
    <t>Охорона</t>
  </si>
  <si>
    <t>Послуги зв'язку та інтернет</t>
  </si>
  <si>
    <t>Ведення бухгалтерського обліку</t>
  </si>
  <si>
    <t>Банковське обслуговування</t>
  </si>
  <si>
    <t>Сервісне обслуговування техніки та обладнання*</t>
  </si>
  <si>
    <t>Сервисное обслуживание техники и оборудования*</t>
  </si>
  <si>
    <t>Сервисное обслуживание техники и оборудования</t>
  </si>
  <si>
    <t>% виручки, який проходить по безготівковому розрахунку</t>
  </si>
  <si>
    <t>розмір банківської комісії,%</t>
  </si>
  <si>
    <t>Податки на зарплату співробітників</t>
  </si>
  <si>
    <t>Локальна реклама (буклети, друкована продукція і т.п.)</t>
  </si>
  <si>
    <t>Найменування</t>
  </si>
  <si>
    <t>Кількість, од.</t>
  </si>
  <si>
    <t>Вартість одиниці, UAH</t>
  </si>
  <si>
    <t>Загальна вартість, UAH</t>
  </si>
  <si>
    <t>фікована сума</t>
  </si>
  <si>
    <t>Формат співробітництва</t>
  </si>
  <si>
    <t>Вид оподаткування</t>
  </si>
  <si>
    <t xml:space="preserve"> * - без учета динамики выхода продаж на плановые показатели, которые указываются на странице "Исходные данные" в разделе "Параметры сезонности и выхода продаж на плановые показатели и дальнейший рост объемов продаж".
 ** - с учетом динамики выхода продаж на плановые показатели, которые указываются на странице "Исходные данные" в разделе "Параметры сезонности и выхода продаж на плановые показатели и дальнейший рост объемов продаж".</t>
  </si>
  <si>
    <t>Середня кількість чеків на місяць за 1-й рік роботи**, чеків/міс.</t>
  </si>
  <si>
    <t xml:space="preserve"> * - без врахування динаміки виходу продажів на планові показники, які вказуються на сторінці "Вхідні дані" в розділі "Параметри сезонності та виходу продажів на планові показники та подальший ріст обсягів продажів".
 ** - з врахування динаміки виходу продажів на планові показники, які вказуються на сторінці "Вхідні дані" в розділі "Параметри сезонності та виходу продажів на планові показники та подальший ріст обсягів продажів".</t>
  </si>
  <si>
    <t>Собівартість</t>
  </si>
  <si>
    <t>Зарплата персоналу</t>
  </si>
  <si>
    <t>Питома вага в обсязі виручки за 1-й рік роботи</t>
  </si>
  <si>
    <t>Середньомісячна сума витрат за 1-й рік роботи</t>
  </si>
  <si>
    <t>міс.</t>
  </si>
  <si>
    <t>Рентабельність (чистаий прибуток/виручка), %</t>
  </si>
  <si>
    <t>Уніформа персоналу</t>
  </si>
  <si>
    <t>Податки</t>
  </si>
  <si>
    <t>Середньомісячний чистий прибуток 
за 1-й рік роботи</t>
  </si>
  <si>
    <t>Середньомісячний чистий прибуток 
за 2-й рік роботи</t>
  </si>
  <si>
    <t>Середньомісячний чистий прибуток 
за 3-й рік роботи</t>
  </si>
  <si>
    <t>Вихід на самоокупність з</t>
  </si>
  <si>
    <t>Окупність інвестицій</t>
  </si>
  <si>
    <t>Выход на самоокупаемость с</t>
  </si>
  <si>
    <t>Окупаемость инвестиций</t>
  </si>
  <si>
    <t>- Себестоимость</t>
  </si>
  <si>
    <t>- Инвестиции</t>
  </si>
  <si>
    <t>- Текущие затраты</t>
  </si>
  <si>
    <t xml:space="preserve">Чистая прибыль (убыток) с учетом инвестиций </t>
  </si>
  <si>
    <t>Чистая прибыль (убыток) без учета инвестиций</t>
  </si>
  <si>
    <t>- Прибыль (убытки) накопительным итогом</t>
  </si>
  <si>
    <t>ЗАВАНТАЖЕННЯ</t>
  </si>
  <si>
    <t>Вихід продажів на планові показники та подальше збільшення обсягів*</t>
  </si>
  <si>
    <t>Ріст заробітної плати (фіксованого окладу)*</t>
  </si>
  <si>
    <t>Ріст орендної плати*</t>
  </si>
  <si>
    <t>Ріст комунальних платежів*</t>
  </si>
  <si>
    <t>Ріст витрат на послуги зв'язку та інтернет*</t>
  </si>
  <si>
    <t>Ріст витрат на податки*</t>
  </si>
  <si>
    <t xml:space="preserve"> * - по відношенню до даних, що вказані на сторінці "Вхідні дані".</t>
  </si>
  <si>
    <t>Процент впливу сезону на планові показники по виручці*</t>
  </si>
  <si>
    <t>1-й рік роботи</t>
  </si>
  <si>
    <t>Разом за 1-й рік</t>
  </si>
  <si>
    <t>Середньомісячно за 1-й рік</t>
  </si>
  <si>
    <t>Разом за 2-й рік</t>
  </si>
  <si>
    <t>Разом за 3-й рік</t>
  </si>
  <si>
    <t>Середньомісячно за 2-й рік</t>
  </si>
  <si>
    <t>Середньомісячно за 3-й рік</t>
  </si>
  <si>
    <t>Разом за три роки</t>
  </si>
  <si>
    <t>ДИНАМІКА ПРОДАЖІВ</t>
  </si>
  <si>
    <t>Виручка</t>
  </si>
  <si>
    <t>Разом</t>
  </si>
  <si>
    <t>Виручка (товарообіг)</t>
  </si>
  <si>
    <t>ДИНАМІКА СОБІВАРТОСТІ</t>
  </si>
  <si>
    <t>Собівартсть (в т.ч. упаковка)</t>
  </si>
  <si>
    <t>ІНВЕСТИЦІЇ</t>
  </si>
  <si>
    <t>ПОТОЧНІ ВИТРАТИ</t>
  </si>
  <si>
    <t>ЗВІТ ПРО ПРИБУТКИ ТА ЗБИТКИ</t>
  </si>
  <si>
    <t>- Собівартість</t>
  </si>
  <si>
    <t>Валовий прибуток</t>
  </si>
  <si>
    <t>- Інвестиції</t>
  </si>
  <si>
    <t>- Поточні витрати</t>
  </si>
  <si>
    <t xml:space="preserve">Чистаий прибуток (збиток) з урахуванням інвестицій </t>
  </si>
  <si>
    <t xml:space="preserve">Чистаий прибуток (збиток) без урахуванням інвестицій </t>
  </si>
  <si>
    <t>- Прибуток (збиток) накопичувальним підсумком</t>
  </si>
  <si>
    <t>РУХ ГРОШОВИХ КОШТІВ (КЕШ-ФЛО)</t>
  </si>
  <si>
    <t>Надходження від основної діяльності</t>
  </si>
  <si>
    <t>Кеш-фло від оперативної діяльності</t>
  </si>
  <si>
    <t>Кеш-фло від інвестиційної діяльності</t>
  </si>
  <si>
    <t>Кеш-фло від фінансової діяльності</t>
  </si>
  <si>
    <t>Баланс готівки на початок періоду</t>
  </si>
  <si>
    <t>Баланс готівки на кінець періоду</t>
  </si>
  <si>
    <t>ОКУПНІСТЬ ПРОЕКТУ</t>
  </si>
  <si>
    <t>Індекс прибутковості проекту (PI)</t>
  </si>
  <si>
    <t>Строк окупності проекту з урахуванням інвестицій, міс.:</t>
  </si>
  <si>
    <t>Строк виходу на самоокупність проекту, міс.:</t>
  </si>
  <si>
    <t>Исходные данные для финансовой модели франшизы "Easy Meals"</t>
  </si>
  <si>
    <t>Вхідні дані для фінансової моделі франшизи "Easy Meals"</t>
  </si>
  <si>
    <t>Инвестиции для запуска франчайзинговой точки "Easy Meals"</t>
  </si>
  <si>
    <t>Івестиції для запуску франчайзингової точки "Easy Meals"</t>
  </si>
  <si>
    <t>Финансовая модель франшизы "Easy Meals"</t>
  </si>
  <si>
    <t>Фінансова модель франшизи "Easy Meals"</t>
  </si>
  <si>
    <t>Группы товаров</t>
  </si>
  <si>
    <t>Товарні групи</t>
  </si>
  <si>
    <t>Средняя стоимость товарной группы</t>
  </si>
  <si>
    <t>Середня вартість товарної групи</t>
  </si>
  <si>
    <t>Среднее количество проданных рационов/обедов в месяц*, шт./мес.</t>
  </si>
  <si>
    <t>Середня кількість проданих раціонів/обідів на місяць*, шт./міс.</t>
  </si>
  <si>
    <t>Detox</t>
  </si>
  <si>
    <t>Light Woman</t>
  </si>
  <si>
    <t>Light Man</t>
  </si>
  <si>
    <t>Balance Woman</t>
  </si>
  <si>
    <t>Balance Man</t>
  </si>
  <si>
    <t>Набір ваги</t>
  </si>
  <si>
    <t>Обіди</t>
  </si>
  <si>
    <t>ИТОГО:</t>
  </si>
  <si>
    <t>РАЗОМ:</t>
  </si>
  <si>
    <t>Мебель и оборудование*</t>
  </si>
  <si>
    <t>Меблі та обладнання*</t>
  </si>
  <si>
    <t>Мебель и оборудование</t>
  </si>
  <si>
    <t>Меблі та обладнання</t>
  </si>
  <si>
    <t>Повар (раціон)</t>
  </si>
  <si>
    <t>Повар (обід)</t>
  </si>
  <si>
    <t>Менеджер</t>
  </si>
  <si>
    <t>Закупщик товарів</t>
  </si>
  <si>
    <t>Кур'єр</t>
  </si>
  <si>
    <t>UAH/рацион</t>
  </si>
  <si>
    <t>UAH/раціон</t>
  </si>
  <si>
    <t>UAH/1 доставка</t>
  </si>
  <si>
    <t>Униформа персонала*</t>
  </si>
  <si>
    <t>Уніформа персоналу*</t>
  </si>
  <si>
    <t xml:space="preserve"> * - затраты на "Сервисное обслуживание техники и оборудования" и на "Униформу персонала" осуществляются в указанной сумме раз в 6 месяцев.
 ** - налог, который применяется в расчете, выбирается на странице "Обобщенный расчет".</t>
  </si>
  <si>
    <t xml:space="preserve"> * - витрати на "Сервісне обслуговування техніки та обладнання" і на "Уніформу персоналу" здійснюються у вказаній сумі раз на 6 місяців.
 ** - податок, який використовується в розрахунку, вибирається на сторінці "Узагальнений розрахунок".</t>
  </si>
  <si>
    <t>Налоги**, % от общей выручки</t>
  </si>
  <si>
    <t>Налоги**, фиксированная сумма</t>
  </si>
  <si>
    <t>Податки**, % від загальної виручки</t>
  </si>
  <si>
    <t>Податки**, фіксована сума</t>
  </si>
  <si>
    <t>Среднее количество доставок в месяц*, шт./мес.</t>
  </si>
  <si>
    <t xml:space="preserve"> * - без учета динамики выхода продаж на плановые показатели, которые указываются на странице "Исходные данные" в разделе "Параметры сезонности и выхода продаж на плановые показатели и дальнейший рост объемов продаж".</t>
  </si>
  <si>
    <t xml:space="preserve"> * - без врахування динаміки виходу продажів на планові показники, які вказуються на сторінці "Вхідні дані" в розділі "Параметри сезонності та виходу продажів на планові показники та подальший ріст обсягів продажів".</t>
  </si>
  <si>
    <t>Фиксированный оклад за одну доставку</t>
  </si>
  <si>
    <t>Фіксований оклад за одну доставку</t>
  </si>
  <si>
    <t>Фіксований оклад за один раціон</t>
  </si>
  <si>
    <t>Фиксированный оклад за один рацион</t>
  </si>
  <si>
    <t>40-45</t>
  </si>
  <si>
    <t>30% максим ватысть</t>
  </si>
  <si>
    <t>в инвестициях</t>
  </si>
  <si>
    <t>фикс сумма больнше контер мендж 3500</t>
  </si>
  <si>
    <t>Средняя себестоимость единицы товарной группы (упаковка)</t>
  </si>
  <si>
    <r>
      <t>Средняя себестоимость единицы товарной группы (</t>
    </r>
    <r>
      <rPr>
        <u/>
        <sz val="11"/>
        <color rgb="FF0070C0"/>
        <rFont val="Calibri"/>
        <family val="2"/>
        <charset val="204"/>
        <scheme val="minor"/>
      </rPr>
      <t>продукты</t>
    </r>
    <r>
      <rPr>
        <sz val="11"/>
        <color rgb="FF0070C0"/>
        <rFont val="Calibri"/>
        <family val="2"/>
        <charset val="204"/>
        <scheme val="minor"/>
      </rPr>
      <t>)</t>
    </r>
  </si>
  <si>
    <r>
      <t>Середня собівартість одиниці товарної групи (</t>
    </r>
    <r>
      <rPr>
        <u/>
        <sz val="11"/>
        <color rgb="FF0070C0"/>
        <rFont val="Calibri"/>
        <family val="2"/>
        <charset val="204"/>
        <scheme val="minor"/>
      </rPr>
      <t>продукти</t>
    </r>
    <r>
      <rPr>
        <sz val="11"/>
        <color rgb="FF0070C0"/>
        <rFont val="Calibri"/>
        <family val="2"/>
        <charset val="204"/>
        <scheme val="minor"/>
      </rPr>
      <t>)</t>
    </r>
  </si>
  <si>
    <t>Продукты</t>
  </si>
  <si>
    <t>Продукти</t>
  </si>
  <si>
    <t>Упаковка</t>
  </si>
  <si>
    <t>Итого себестоимость</t>
  </si>
  <si>
    <t>Разом собівартість</t>
  </si>
  <si>
    <t>Первоначальная закупка товара и прочее</t>
  </si>
  <si>
    <t>Первісний закуп товару та інше*</t>
  </si>
  <si>
    <t>Первоначальная закупка товара и прочее*</t>
  </si>
  <si>
    <t xml:space="preserve"> * - инвестиции в "Мебель и оборудование" и "Первоначальная закупка товара и прочее" указываются на странице "Инвестиции".</t>
  </si>
  <si>
    <t xml:space="preserve"> * - інвестиції в "Меблі та обладнання" та "Первісний закуп товару та інше" вказуються на сторінці "Інвестиції".</t>
  </si>
  <si>
    <t>Первісний закуп товару та інше</t>
  </si>
  <si>
    <t>UAH/день(смену)</t>
  </si>
  <si>
    <t>UAH/день(зміну)</t>
  </si>
  <si>
    <t>Фиксированный оклад в день (смену)</t>
  </si>
  <si>
    <t>Фіксований оклад в день (зміну)</t>
  </si>
  <si>
    <t>Середня кількість доставок в місяць*, од./міс.</t>
  </si>
  <si>
    <t>Роялті, кількість місяців відстрочки</t>
  </si>
  <si>
    <t>Роялти, количество месяцев отсрочки</t>
  </si>
  <si>
    <t>поряд. Мес.</t>
  </si>
  <si>
    <t>Середня собівартість одиниці товарної групи (упаковка)</t>
  </si>
  <si>
    <t>Пароконвектомат U nox Stefania (3 рівні)</t>
  </si>
  <si>
    <t>Стіл холодильний</t>
  </si>
  <si>
    <t>Холодильник</t>
  </si>
  <si>
    <t>Морозильна камера (вертикальна)</t>
  </si>
  <si>
    <t>Електро м'ясорубка</t>
  </si>
  <si>
    <t>Блендер для смузі</t>
  </si>
  <si>
    <t>Блендер ручний</t>
  </si>
  <si>
    <t>Електро-гриль Tefal gc241d38</t>
  </si>
  <si>
    <t>Стіл нердавійка</t>
  </si>
  <si>
    <t>Раковина (мийка) нержавійка подвійна</t>
  </si>
  <si>
    <t>Миска нержавійка</t>
  </si>
  <si>
    <t>Каструлі 8-12л</t>
  </si>
  <si>
    <t>Газова поверхня або індукційна плита</t>
  </si>
  <si>
    <t>Каструлі 5-8л</t>
  </si>
  <si>
    <t>Каструлі 3-5л</t>
  </si>
  <si>
    <t>Сковорідка антипргарна</t>
  </si>
  <si>
    <t>Полиця нержавійка</t>
  </si>
  <si>
    <t>Набір нодів (10 шт)</t>
  </si>
  <si>
    <t>Столові прибори (вилка, ложка)</t>
  </si>
  <si>
    <t>Дрібний кухонний інвентар (віник, лопатка, черпак, терка, часникодавка, щіточка кулінарна, шумовка)</t>
  </si>
  <si>
    <t>Протевень гллибока</t>
  </si>
  <si>
    <t>Піднос нержавійка (прямокутний)</t>
  </si>
  <si>
    <t>Витяжний зонд і комплектуючі</t>
  </si>
  <si>
    <t>Ящики пластмасові для спецій та крупів (3-5л)</t>
  </si>
  <si>
    <t>Ящики пластмасові для овочів та фруктів 30л</t>
  </si>
  <si>
    <t>Форма для поварів</t>
  </si>
  <si>
    <t>Форма для кур'єрів</t>
  </si>
  <si>
    <t>Фірмовий пакет (крафт)</t>
  </si>
  <si>
    <t>Фірмовий пакет (поліетилен)</t>
  </si>
  <si>
    <t>Фірмова термосумка (12л)</t>
  </si>
  <si>
    <t>Фірмова термосумка (велика)</t>
  </si>
  <si>
    <t>Контейнери одноразові</t>
  </si>
  <si>
    <t>Фірмові наліпки</t>
  </si>
  <si>
    <t>Мобільний телефон</t>
  </si>
  <si>
    <t>Принтер НР</t>
  </si>
  <si>
    <t>Канцелярія (степлер, папір, ножиці, ручки)</t>
  </si>
  <si>
    <t>Бутилки одноразові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</si>
</sst>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-* #,##0.00_р_._-;\-* #,##0.00_р_._-;_-* &quot;-&quot;??_р_._-;_-@_-"/>
    <numFmt numFmtId="165" formatCode="#,##0.0"/>
    <numFmt numFmtId="166" formatCode="#,##0.0000"/>
    <numFmt numFmtId="167" formatCode="0.0%"/>
    <numFmt numFmtId="168" formatCode="#,##0_ ;[Red]\-#,##0\ "/>
    <numFmt numFmtId="169" formatCode="[$-419]0%"/>
    <numFmt numFmtId="170" formatCode="[$-419]#,##0"/>
    <numFmt numFmtId="171" formatCode="[$-419]#,##0.0"/>
  </numFmts>
  <fonts count="71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28"/>
      <color theme="6" tint="-0.499984740745262"/>
      <name val="Calibri"/>
      <family val="2"/>
      <charset val="204"/>
      <scheme val="minor"/>
    </font>
    <font>
      <b/>
      <sz val="48"/>
      <color theme="6" tint="-0.499984740745262"/>
      <name val="Calibri"/>
      <family val="2"/>
      <charset val="204"/>
      <scheme val="minor"/>
    </font>
    <font>
      <b/>
      <sz val="20"/>
      <color theme="6" tint="-0.499984740745262"/>
      <name val="Calibri"/>
      <family val="2"/>
      <charset val="204"/>
      <scheme val="minor"/>
    </font>
    <font>
      <b/>
      <sz val="16"/>
      <color theme="6" tint="-0.499984740745262"/>
      <name val="Calibri"/>
      <family val="2"/>
      <charset val="204"/>
      <scheme val="minor"/>
    </font>
    <font>
      <b/>
      <sz val="14"/>
      <color theme="6" tint="-0.499984740745262"/>
      <name val="Calibri"/>
      <family val="2"/>
      <charset val="204"/>
      <scheme val="minor"/>
    </font>
    <font>
      <sz val="10"/>
      <name val="Arial Cyr"/>
      <family val="2"/>
      <charset val="204"/>
    </font>
    <font>
      <b/>
      <sz val="9"/>
      <name val="Arial Cyr"/>
      <family val="2"/>
      <charset val="204"/>
    </font>
    <font>
      <b/>
      <sz val="9"/>
      <name val="Arial"/>
      <family val="2"/>
      <charset val="204"/>
    </font>
    <font>
      <sz val="8"/>
      <name val="Arial Cyr"/>
      <family val="2"/>
      <charset val="204"/>
    </font>
    <font>
      <sz val="8"/>
      <color indexed="9"/>
      <name val="Arial Cyr"/>
      <family val="2"/>
      <charset val="204"/>
    </font>
    <font>
      <i/>
      <sz val="8"/>
      <color indexed="9"/>
      <name val="Arial Cyr"/>
      <family val="2"/>
      <charset val="204"/>
    </font>
    <font>
      <b/>
      <i/>
      <sz val="8"/>
      <name val="Arial Cyr"/>
      <family val="2"/>
      <charset val="204"/>
    </font>
    <font>
      <sz val="11"/>
      <color indexed="8"/>
      <name val="Calibri"/>
      <family val="2"/>
      <charset val="204"/>
    </font>
    <font>
      <b/>
      <sz val="8"/>
      <name val="Arial Cyr"/>
      <charset val="204"/>
    </font>
    <font>
      <b/>
      <sz val="8"/>
      <name val="Arial Cyr"/>
      <family val="2"/>
      <charset val="204"/>
    </font>
    <font>
      <sz val="11"/>
      <color indexed="8"/>
      <name val="Arial Cyr"/>
      <family val="2"/>
      <charset val="204"/>
    </font>
    <font>
      <sz val="8"/>
      <color indexed="8"/>
      <name val="Arial Cyr"/>
      <family val="2"/>
      <charset val="204"/>
    </font>
    <font>
      <b/>
      <sz val="9"/>
      <name val="Arial Cyr"/>
      <charset val="204"/>
    </font>
    <font>
      <sz val="8"/>
      <name val="Arial Cyr"/>
      <charset val="204"/>
    </font>
    <font>
      <b/>
      <sz val="46"/>
      <color theme="6" tint="-0.499984740745262"/>
      <name val="Calibri"/>
      <family val="2"/>
      <charset val="204"/>
      <scheme val="minor"/>
    </font>
    <font>
      <sz val="11"/>
      <color theme="4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b/>
      <sz val="24"/>
      <color theme="6" tint="-0.499984740745262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b/>
      <sz val="18"/>
      <color theme="6" tint="-0.499984740745262"/>
      <name val="Calibri"/>
      <family val="2"/>
      <charset val="204"/>
      <scheme val="minor"/>
    </font>
    <font>
      <sz val="12"/>
      <color rgb="FF0070C0"/>
      <name val="Calibri"/>
      <family val="2"/>
      <charset val="204"/>
      <scheme val="minor"/>
    </font>
    <font>
      <sz val="10"/>
      <color rgb="FF0070C0"/>
      <name val="Arial Cyr"/>
      <family val="2"/>
      <charset val="204"/>
    </font>
    <font>
      <b/>
      <sz val="10"/>
      <name val="Arial Cyr"/>
      <charset val="204"/>
    </font>
    <font>
      <sz val="11"/>
      <color rgb="FF0070C0"/>
      <name val="Calibri"/>
      <family val="2"/>
      <charset val="204"/>
      <scheme val="minor"/>
    </font>
    <font>
      <b/>
      <sz val="10"/>
      <name val="Arial Cyr"/>
      <family val="2"/>
      <charset val="204"/>
    </font>
    <font>
      <b/>
      <sz val="10"/>
      <color rgb="FF0070C0"/>
      <name val="Arial Cyr"/>
      <family val="2"/>
      <charset val="204"/>
    </font>
    <font>
      <b/>
      <sz val="8"/>
      <color indexed="9"/>
      <name val="Arial Cyr"/>
      <family val="2"/>
      <charset val="204"/>
    </font>
    <font>
      <b/>
      <sz val="11"/>
      <color indexed="8"/>
      <name val="Arial Cyr"/>
      <family val="2"/>
      <charset val="204"/>
    </font>
    <font>
      <sz val="8"/>
      <color theme="3"/>
      <name val="Arial Cyr"/>
      <family val="2"/>
      <charset val="204"/>
    </font>
    <font>
      <b/>
      <sz val="8"/>
      <color theme="3"/>
      <name val="Arial Cyr"/>
      <family val="2"/>
      <charset val="204"/>
    </font>
    <font>
      <sz val="14"/>
      <color theme="1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8"/>
      <color rgb="FF0070C0"/>
      <name val="Arial Cyr"/>
      <charset val="204"/>
    </font>
    <font>
      <sz val="8"/>
      <color rgb="FF0070C0"/>
      <name val="Arial Cyr"/>
      <charset val="204"/>
    </font>
    <font>
      <b/>
      <i/>
      <sz val="8"/>
      <color rgb="FF0070C0"/>
      <name val="Arial Cyr"/>
      <charset val="204"/>
    </font>
    <font>
      <b/>
      <sz val="14"/>
      <name val="Calibri"/>
      <family val="2"/>
      <charset val="204"/>
      <scheme val="minor"/>
    </font>
    <font>
      <b/>
      <sz val="16"/>
      <color theme="1" tint="0.34998626667073579"/>
      <name val="Calibri"/>
      <family val="2"/>
      <charset val="204"/>
      <scheme val="minor"/>
    </font>
    <font>
      <b/>
      <sz val="20"/>
      <color theme="1" tint="0.34998626667073579"/>
      <name val="Calibri"/>
      <family val="2"/>
      <charset val="204"/>
      <scheme val="minor"/>
    </font>
    <font>
      <sz val="8"/>
      <color rgb="FF0070C0"/>
      <name val="Times New Roman"/>
      <family val="1"/>
      <charset val="204"/>
    </font>
    <font>
      <sz val="11"/>
      <color rgb="FFFF0000"/>
      <name val="Calibri"/>
      <family val="2"/>
      <charset val="204"/>
      <scheme val="minor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8"/>
      <color rgb="FF0070C0"/>
      <name val="Arial Cyr"/>
      <family val="2"/>
      <charset val="204"/>
    </font>
    <font>
      <b/>
      <sz val="8"/>
      <color rgb="FF0070C0"/>
      <name val="Arial Cyr"/>
      <family val="2"/>
      <charset val="204"/>
    </font>
    <font>
      <sz val="11"/>
      <color rgb="FF0070C0"/>
      <name val="Arial Cyr"/>
      <family val="2"/>
      <charset val="204"/>
    </font>
    <font>
      <b/>
      <sz val="11"/>
      <color rgb="FF0070C0"/>
      <name val="Arial Cyr"/>
      <family val="2"/>
      <charset val="204"/>
    </font>
    <font>
      <sz val="14"/>
      <name val="Calibri"/>
      <family val="2"/>
      <charset val="204"/>
      <scheme val="minor"/>
    </font>
    <font>
      <b/>
      <sz val="8"/>
      <color indexed="9"/>
      <name val="Arial Cyr"/>
      <charset val="204"/>
    </font>
    <font>
      <sz val="11"/>
      <color theme="1"/>
      <name val="Arial"/>
      <family val="2"/>
      <charset val="204"/>
    </font>
    <font>
      <sz val="12"/>
      <color theme="1"/>
      <name val="Times New Roman"/>
      <family val="2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Arial"/>
      <family val="2"/>
      <charset val="204"/>
    </font>
    <font>
      <sz val="11"/>
      <color rgb="FF000000"/>
      <name val="Calibri"/>
      <family val="2"/>
      <charset val="204"/>
    </font>
    <font>
      <b/>
      <sz val="16"/>
      <color rgb="FF4F6228"/>
      <name val="Calibri"/>
      <family val="2"/>
      <charset val="204"/>
    </font>
    <font>
      <b/>
      <sz val="18"/>
      <color theme="1" tint="0.34998626667073579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u/>
      <sz val="11"/>
      <color rgb="FF0070C0"/>
      <name val="Calibri"/>
      <family val="2"/>
      <charset val="204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EB613D"/>
      </patternFill>
    </fill>
    <fill>
      <patternFill patternType="solid">
        <fgColor rgb="FFFFFFFF"/>
        <bgColor rgb="FFFFFFFF"/>
      </patternFill>
    </fill>
    <fill>
      <patternFill patternType="solid">
        <fgColor rgb="FFD9D9D9"/>
        <bgColor rgb="FFD9D9D9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8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1" fillId="0" borderId="0"/>
    <xf numFmtId="9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59" fillId="0" borderId="0"/>
    <xf numFmtId="169" fontId="63" fillId="0" borderId="0"/>
  </cellStyleXfs>
  <cellXfs count="378">
    <xf numFmtId="0" fontId="0" fillId="0" borderId="0" xfId="0"/>
    <xf numFmtId="0" fontId="26" fillId="6" borderId="0" xfId="0" applyFont="1" applyFill="1" applyProtection="1">
      <protection locked="0"/>
    </xf>
    <xf numFmtId="166" fontId="8" fillId="2" borderId="1" xfId="2" applyNumberFormat="1" applyFont="1" applyFill="1" applyBorder="1" applyAlignment="1" applyProtection="1">
      <alignment horizontal="center" vertical="center"/>
      <protection locked="0"/>
    </xf>
    <xf numFmtId="0" fontId="4" fillId="0" borderId="1" xfId="0" applyFont="1" applyBorder="1" applyAlignment="1" applyProtection="1">
      <alignment horizontal="center" vertical="center" wrapText="1"/>
    </xf>
    <xf numFmtId="0" fontId="14" fillId="6" borderId="0" xfId="3" applyFont="1" applyFill="1" applyBorder="1" applyAlignment="1" applyProtection="1">
      <alignment horizontal="left" vertical="center"/>
    </xf>
    <xf numFmtId="0" fontId="14" fillId="6" borderId="0" xfId="3" applyFont="1" applyFill="1" applyBorder="1" applyAlignment="1" applyProtection="1">
      <alignment horizontal="center" vertical="center"/>
    </xf>
    <xf numFmtId="9" fontId="14" fillId="6" borderId="0" xfId="3" applyNumberFormat="1" applyFont="1" applyFill="1" applyBorder="1" applyAlignment="1" applyProtection="1">
      <alignment horizontal="center" vertical="center"/>
    </xf>
    <xf numFmtId="9" fontId="20" fillId="6" borderId="0" xfId="3" applyNumberFormat="1" applyFont="1" applyFill="1" applyBorder="1" applyAlignment="1" applyProtection="1">
      <alignment horizontal="center" vertical="center"/>
    </xf>
    <xf numFmtId="0" fontId="14" fillId="6" borderId="0" xfId="3" applyFont="1" applyFill="1" applyProtection="1"/>
    <xf numFmtId="0" fontId="14" fillId="0" borderId="0" xfId="3" applyFont="1" applyProtection="1"/>
    <xf numFmtId="0" fontId="11" fillId="6" borderId="0" xfId="3" applyFont="1" applyFill="1" applyProtection="1"/>
    <xf numFmtId="0" fontId="6" fillId="0" borderId="0" xfId="0" applyFont="1" applyAlignment="1" applyProtection="1">
      <alignment horizontal="center" vertical="center" wrapText="1"/>
    </xf>
    <xf numFmtId="0" fontId="26" fillId="0" borderId="0" xfId="0" applyFont="1" applyProtection="1"/>
    <xf numFmtId="0" fontId="34" fillId="0" borderId="0" xfId="0" applyFont="1" applyProtection="1"/>
    <xf numFmtId="0" fontId="0" fillId="0" borderId="0" xfId="0" applyProtection="1"/>
    <xf numFmtId="0" fontId="27" fillId="0" borderId="5" xfId="0" applyFont="1" applyBorder="1" applyAlignment="1" applyProtection="1">
      <alignment horizontal="center" vertical="center"/>
    </xf>
    <xf numFmtId="0" fontId="25" fillId="0" borderId="0" xfId="0" applyFont="1" applyAlignment="1" applyProtection="1">
      <alignment horizontal="center" vertical="center"/>
    </xf>
    <xf numFmtId="0" fontId="27" fillId="0" borderId="0" xfId="0" applyFont="1" applyAlignment="1" applyProtection="1">
      <alignment horizontal="left" vertical="center"/>
    </xf>
    <xf numFmtId="0" fontId="5" fillId="6" borderId="0" xfId="0" applyFont="1" applyFill="1" applyAlignment="1" applyProtection="1">
      <alignment vertical="center"/>
    </xf>
    <xf numFmtId="0" fontId="27" fillId="0" borderId="0" xfId="0" applyFont="1" applyBorder="1" applyAlignment="1" applyProtection="1">
      <alignment horizontal="center" vertical="center"/>
    </xf>
    <xf numFmtId="0" fontId="27" fillId="0" borderId="0" xfId="0" applyFont="1" applyBorder="1" applyAlignment="1" applyProtection="1">
      <alignment vertical="center"/>
    </xf>
    <xf numFmtId="0" fontId="29" fillId="0" borderId="0" xfId="0" applyFont="1" applyAlignment="1" applyProtection="1">
      <alignment vertical="center"/>
    </xf>
    <xf numFmtId="0" fontId="0" fillId="0" borderId="0" xfId="0" applyBorder="1" applyProtection="1"/>
    <xf numFmtId="0" fontId="0" fillId="0" borderId="0" xfId="0" applyAlignment="1" applyProtection="1">
      <alignment vertical="center"/>
    </xf>
    <xf numFmtId="0" fontId="2" fillId="0" borderId="0" xfId="0" applyFont="1" applyAlignment="1" applyProtection="1">
      <alignment horizontal="center" vertical="center"/>
    </xf>
    <xf numFmtId="0" fontId="26" fillId="0" borderId="0" xfId="0" applyFont="1" applyAlignment="1" applyProtection="1">
      <alignment vertical="center"/>
    </xf>
    <xf numFmtId="0" fontId="34" fillId="0" borderId="0" xfId="0" applyFont="1" applyAlignment="1" applyProtection="1">
      <alignment vertical="center"/>
    </xf>
    <xf numFmtId="0" fontId="26" fillId="0" borderId="0" xfId="0" applyFont="1" applyAlignment="1" applyProtection="1">
      <alignment vertical="center" wrapText="1"/>
    </xf>
    <xf numFmtId="0" fontId="29" fillId="6" borderId="0" xfId="0" applyFont="1" applyFill="1" applyAlignment="1" applyProtection="1">
      <alignment vertical="center"/>
    </xf>
    <xf numFmtId="0" fontId="0" fillId="0" borderId="0" xfId="0" applyAlignment="1" applyProtection="1">
      <alignment horizontal="left" indent="1"/>
    </xf>
    <xf numFmtId="0" fontId="0" fillId="6" borderId="0" xfId="0" applyFill="1" applyBorder="1" applyProtection="1"/>
    <xf numFmtId="0" fontId="4" fillId="0" borderId="0" xfId="0" applyFont="1" applyBorder="1" applyAlignment="1" applyProtection="1">
      <alignment vertical="center" wrapText="1"/>
    </xf>
    <xf numFmtId="3" fontId="9" fillId="6" borderId="0" xfId="1" applyNumberFormat="1" applyFont="1" applyFill="1" applyBorder="1" applyAlignment="1" applyProtection="1">
      <alignment vertical="center"/>
    </xf>
    <xf numFmtId="0" fontId="31" fillId="0" borderId="0" xfId="0" applyFont="1" applyProtection="1"/>
    <xf numFmtId="0" fontId="2" fillId="6" borderId="0" xfId="0" applyFont="1" applyFill="1" applyBorder="1" applyProtection="1"/>
    <xf numFmtId="3" fontId="0" fillId="0" borderId="0" xfId="0" applyNumberFormat="1" applyProtection="1"/>
    <xf numFmtId="0" fontId="41" fillId="6" borderId="0" xfId="0" applyFont="1" applyFill="1" applyBorder="1" applyAlignment="1" applyProtection="1">
      <alignment horizontal="left" wrapText="1"/>
    </xf>
    <xf numFmtId="9" fontId="31" fillId="0" borderId="0" xfId="0" applyNumberFormat="1" applyFont="1" applyAlignment="1" applyProtection="1">
      <alignment vertical="center"/>
    </xf>
    <xf numFmtId="0" fontId="31" fillId="0" borderId="0" xfId="0" applyFont="1" applyAlignment="1" applyProtection="1">
      <alignment vertical="center"/>
    </xf>
    <xf numFmtId="0" fontId="2" fillId="0" borderId="0" xfId="0" applyFont="1" applyBorder="1" applyAlignment="1" applyProtection="1">
      <alignment vertical="center" wrapText="1"/>
    </xf>
    <xf numFmtId="3" fontId="10" fillId="6" borderId="0" xfId="1" applyNumberFormat="1" applyFont="1" applyFill="1" applyBorder="1" applyAlignment="1" applyProtection="1">
      <alignment vertical="center"/>
    </xf>
    <xf numFmtId="0" fontId="5" fillId="0" borderId="0" xfId="0" applyFont="1" applyBorder="1" applyAlignment="1" applyProtection="1">
      <alignment vertical="center"/>
    </xf>
    <xf numFmtId="9" fontId="10" fillId="0" borderId="0" xfId="2" applyFont="1" applyBorder="1" applyAlignment="1" applyProtection="1">
      <alignment horizontal="left" vertical="center" wrapText="1"/>
    </xf>
    <xf numFmtId="3" fontId="8" fillId="6" borderId="0" xfId="1" applyNumberFormat="1" applyFont="1" applyFill="1" applyBorder="1" applyAlignment="1" applyProtection="1">
      <alignment horizontal="center" vertical="center"/>
    </xf>
    <xf numFmtId="9" fontId="9" fillId="6" borderId="0" xfId="2" applyFont="1" applyFill="1" applyBorder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4" fillId="0" borderId="7" xfId="0" applyFont="1" applyBorder="1" applyAlignment="1" applyProtection="1">
      <alignment vertical="center" wrapText="1"/>
    </xf>
    <xf numFmtId="0" fontId="4" fillId="0" borderId="3" xfId="0" applyFont="1" applyBorder="1" applyAlignment="1" applyProtection="1">
      <alignment vertical="center" wrapText="1"/>
    </xf>
    <xf numFmtId="0" fontId="0" fillId="6" borderId="0" xfId="0" applyFill="1" applyProtection="1"/>
    <xf numFmtId="0" fontId="0" fillId="0" borderId="0" xfId="0" applyBorder="1" applyAlignment="1" applyProtection="1"/>
    <xf numFmtId="0" fontId="0" fillId="0" borderId="0" xfId="0" applyBorder="1" applyAlignment="1" applyProtection="1">
      <alignment horizontal="left" indent="1"/>
    </xf>
    <xf numFmtId="9" fontId="10" fillId="0" borderId="0" xfId="2" applyFont="1" applyBorder="1" applyAlignment="1" applyProtection="1">
      <alignment horizontal="left" vertical="center" indent="1"/>
    </xf>
    <xf numFmtId="0" fontId="0" fillId="0" borderId="5" xfId="0" applyBorder="1" applyAlignment="1" applyProtection="1">
      <alignment vertical="center"/>
    </xf>
    <xf numFmtId="0" fontId="0" fillId="0" borderId="5" xfId="0" applyBorder="1" applyProtection="1"/>
    <xf numFmtId="0" fontId="0" fillId="0" borderId="5" xfId="0" applyBorder="1" applyAlignment="1" applyProtection="1">
      <alignment horizontal="left" indent="1"/>
    </xf>
    <xf numFmtId="0" fontId="26" fillId="0" borderId="0" xfId="0" applyFont="1" applyProtection="1">
      <protection locked="0"/>
    </xf>
    <xf numFmtId="0" fontId="34" fillId="0" borderId="0" xfId="0" applyFont="1" applyProtection="1">
      <protection locked="0"/>
    </xf>
    <xf numFmtId="0" fontId="11" fillId="0" borderId="0" xfId="3" applyFont="1" applyProtection="1"/>
    <xf numFmtId="0" fontId="12" fillId="3" borderId="0" xfId="3" applyFont="1" applyFill="1" applyBorder="1" applyAlignment="1" applyProtection="1">
      <alignment vertical="center"/>
    </xf>
    <xf numFmtId="0" fontId="12" fillId="3" borderId="0" xfId="3" applyFont="1" applyFill="1" applyBorder="1" applyAlignment="1" applyProtection="1">
      <alignment vertical="center" wrapText="1"/>
    </xf>
    <xf numFmtId="0" fontId="12" fillId="3" borderId="0" xfId="3" applyFont="1" applyFill="1" applyBorder="1" applyAlignment="1" applyProtection="1">
      <alignment horizontal="right" vertical="center"/>
    </xf>
    <xf numFmtId="1" fontId="23" fillId="3" borderId="0" xfId="3" applyNumberFormat="1" applyFont="1" applyFill="1" applyBorder="1" applyAlignment="1" applyProtection="1">
      <alignment horizontal="left" vertical="center"/>
    </xf>
    <xf numFmtId="0" fontId="13" fillId="3" borderId="0" xfId="3" applyFont="1" applyFill="1" applyBorder="1" applyAlignment="1" applyProtection="1">
      <alignment vertical="center" wrapText="1"/>
    </xf>
    <xf numFmtId="0" fontId="11" fillId="3" borderId="0" xfId="3" applyFont="1" applyFill="1" applyProtection="1"/>
    <xf numFmtId="0" fontId="35" fillId="3" borderId="0" xfId="3" applyFont="1" applyFill="1" applyProtection="1"/>
    <xf numFmtId="0" fontId="23" fillId="3" borderId="0" xfId="3" applyFont="1" applyFill="1" applyBorder="1" applyAlignment="1" applyProtection="1">
      <alignment horizontal="left" vertical="center"/>
    </xf>
    <xf numFmtId="0" fontId="32" fillId="0" borderId="0" xfId="3" applyFont="1" applyProtection="1"/>
    <xf numFmtId="0" fontId="36" fillId="0" borderId="0" xfId="3" applyFont="1" applyProtection="1"/>
    <xf numFmtId="0" fontId="14" fillId="6" borderId="0" xfId="3" applyFont="1" applyFill="1" applyBorder="1" applyProtection="1"/>
    <xf numFmtId="0" fontId="11" fillId="6" borderId="0" xfId="3" applyFont="1" applyFill="1" applyBorder="1" applyProtection="1"/>
    <xf numFmtId="0" fontId="35" fillId="6" borderId="0" xfId="3" applyFont="1" applyFill="1" applyBorder="1" applyProtection="1"/>
    <xf numFmtId="0" fontId="11" fillId="0" borderId="0" xfId="3" applyFont="1" applyBorder="1" applyAlignment="1" applyProtection="1">
      <alignment horizontal="left" vertical="center" wrapText="1"/>
    </xf>
    <xf numFmtId="0" fontId="15" fillId="4" borderId="6" xfId="3" applyFont="1" applyFill="1" applyBorder="1" applyAlignment="1" applyProtection="1">
      <alignment vertical="center"/>
    </xf>
    <xf numFmtId="0" fontId="15" fillId="4" borderId="9" xfId="3" applyFont="1" applyFill="1" applyBorder="1" applyAlignment="1" applyProtection="1">
      <alignment horizontal="center" vertical="center"/>
    </xf>
    <xf numFmtId="0" fontId="37" fillId="4" borderId="9" xfId="3" applyFont="1" applyFill="1" applyBorder="1" applyAlignment="1" applyProtection="1">
      <alignment horizontal="center" vertical="center" wrapText="1"/>
    </xf>
    <xf numFmtId="165" fontId="16" fillId="4" borderId="6" xfId="3" applyNumberFormat="1" applyFont="1" applyFill="1" applyBorder="1" applyAlignment="1" applyProtection="1">
      <alignment horizontal="center" vertical="center"/>
    </xf>
    <xf numFmtId="0" fontId="20" fillId="0" borderId="0" xfId="3" applyFont="1" applyProtection="1"/>
    <xf numFmtId="0" fontId="15" fillId="4" borderId="6" xfId="0" applyFont="1" applyFill="1" applyBorder="1" applyAlignment="1" applyProtection="1">
      <alignment vertical="center"/>
    </xf>
    <xf numFmtId="0" fontId="15" fillId="4" borderId="6" xfId="0" applyFont="1" applyFill="1" applyBorder="1" applyAlignment="1" applyProtection="1">
      <alignment horizontal="center" vertical="center"/>
    </xf>
    <xf numFmtId="0" fontId="15" fillId="4" borderId="9" xfId="0" applyFont="1" applyFill="1" applyBorder="1" applyAlignment="1" applyProtection="1">
      <alignment horizontal="center" vertical="center"/>
    </xf>
    <xf numFmtId="0" fontId="37" fillId="4" borderId="9" xfId="0" applyFont="1" applyFill="1" applyBorder="1" applyAlignment="1" applyProtection="1">
      <alignment horizontal="center" vertical="center" wrapText="1"/>
    </xf>
    <xf numFmtId="0" fontId="14" fillId="0" borderId="0" xfId="0" applyFont="1" applyProtection="1"/>
    <xf numFmtId="0" fontId="14" fillId="5" borderId="0" xfId="0" applyFont="1" applyFill="1" applyBorder="1" applyAlignment="1" applyProtection="1">
      <alignment horizontal="center" vertical="center"/>
    </xf>
    <xf numFmtId="3" fontId="14" fillId="5" borderId="0" xfId="0" applyNumberFormat="1" applyFont="1" applyFill="1" applyBorder="1" applyAlignment="1" applyProtection="1">
      <alignment vertical="center"/>
    </xf>
    <xf numFmtId="3" fontId="20" fillId="5" borderId="0" xfId="0" applyNumberFormat="1" applyFont="1" applyFill="1" applyBorder="1" applyAlignment="1" applyProtection="1">
      <alignment vertical="center"/>
    </xf>
    <xf numFmtId="3" fontId="17" fillId="6" borderId="0" xfId="0" applyNumberFormat="1" applyFont="1" applyFill="1" applyBorder="1" applyAlignment="1" applyProtection="1">
      <alignment vertical="center"/>
    </xf>
    <xf numFmtId="3" fontId="14" fillId="0" borderId="0" xfId="4" applyNumberFormat="1" applyFont="1" applyProtection="1"/>
    <xf numFmtId="3" fontId="14" fillId="0" borderId="0" xfId="0" applyNumberFormat="1" applyFont="1" applyProtection="1"/>
    <xf numFmtId="0" fontId="14" fillId="0" borderId="0" xfId="0" applyFont="1" applyFill="1" applyBorder="1" applyAlignment="1" applyProtection="1">
      <alignment horizontal="center" vertical="center"/>
    </xf>
    <xf numFmtId="3" fontId="14" fillId="0" borderId="0" xfId="0" applyNumberFormat="1" applyFont="1" applyFill="1" applyBorder="1" applyAlignment="1" applyProtection="1">
      <alignment vertical="center"/>
    </xf>
    <xf numFmtId="3" fontId="20" fillId="0" borderId="0" xfId="0" applyNumberFormat="1" applyFont="1" applyFill="1" applyBorder="1" applyAlignment="1" applyProtection="1">
      <alignment vertical="center"/>
    </xf>
    <xf numFmtId="3" fontId="14" fillId="0" borderId="0" xfId="4" applyNumberFormat="1" applyFont="1" applyFill="1" applyProtection="1"/>
    <xf numFmtId="3" fontId="14" fillId="0" borderId="0" xfId="0" applyNumberFormat="1" applyFont="1" applyFill="1" applyProtection="1"/>
    <xf numFmtId="0" fontId="19" fillId="0" borderId="7" xfId="0" applyFont="1" applyFill="1" applyBorder="1" applyAlignment="1" applyProtection="1">
      <alignment vertical="center"/>
    </xf>
    <xf numFmtId="0" fontId="14" fillId="0" borderId="7" xfId="0" applyFont="1" applyFill="1" applyBorder="1" applyAlignment="1" applyProtection="1">
      <alignment horizontal="center" vertical="center"/>
    </xf>
    <xf numFmtId="3" fontId="19" fillId="0" borderId="7" xfId="0" applyNumberFormat="1" applyFont="1" applyFill="1" applyBorder="1" applyAlignment="1" applyProtection="1">
      <alignment vertical="center"/>
    </xf>
    <xf numFmtId="9" fontId="14" fillId="0" borderId="0" xfId="4" applyFont="1" applyFill="1" applyProtection="1"/>
    <xf numFmtId="0" fontId="14" fillId="0" borderId="0" xfId="0" applyFont="1" applyFill="1" applyProtection="1"/>
    <xf numFmtId="0" fontId="14" fillId="0" borderId="0" xfId="0" applyFont="1" applyAlignment="1" applyProtection="1">
      <alignment vertical="center"/>
    </xf>
    <xf numFmtId="0" fontId="14" fillId="0" borderId="0" xfId="0" applyFont="1" applyAlignment="1" applyProtection="1">
      <alignment horizontal="center" vertical="center"/>
    </xf>
    <xf numFmtId="4" fontId="14" fillId="0" borderId="0" xfId="0" applyNumberFormat="1" applyFont="1" applyAlignment="1" applyProtection="1">
      <alignment vertical="center"/>
    </xf>
    <xf numFmtId="0" fontId="20" fillId="0" borderId="0" xfId="0" applyFont="1" applyProtection="1"/>
    <xf numFmtId="0" fontId="15" fillId="4" borderId="6" xfId="3" applyFont="1" applyFill="1" applyBorder="1" applyAlignment="1" applyProtection="1">
      <alignment horizontal="center" vertical="center"/>
    </xf>
    <xf numFmtId="0" fontId="37" fillId="4" borderId="6" xfId="0" applyFont="1" applyFill="1" applyBorder="1" applyAlignment="1" applyProtection="1">
      <alignment horizontal="center" vertical="center" wrapText="1"/>
    </xf>
    <xf numFmtId="9" fontId="14" fillId="0" borderId="0" xfId="0" applyNumberFormat="1" applyFont="1" applyFill="1" applyBorder="1" applyAlignment="1" applyProtection="1">
      <alignment horizontal="left" vertical="center"/>
    </xf>
    <xf numFmtId="9" fontId="14" fillId="5" borderId="0" xfId="0" applyNumberFormat="1" applyFont="1" applyFill="1" applyBorder="1" applyAlignment="1" applyProtection="1">
      <alignment horizontal="left" vertical="center"/>
    </xf>
    <xf numFmtId="3" fontId="19" fillId="6" borderId="7" xfId="0" applyNumberFormat="1" applyFont="1" applyFill="1" applyBorder="1" applyAlignment="1" applyProtection="1">
      <alignment vertical="center"/>
    </xf>
    <xf numFmtId="0" fontId="43" fillId="6" borderId="0" xfId="3" applyFont="1" applyFill="1" applyBorder="1" applyAlignment="1" applyProtection="1">
      <alignment horizontal="left" vertical="center"/>
    </xf>
    <xf numFmtId="0" fontId="44" fillId="6" borderId="0" xfId="3" applyFont="1" applyFill="1" applyBorder="1" applyAlignment="1" applyProtection="1">
      <alignment horizontal="center" vertical="center"/>
    </xf>
    <xf numFmtId="4" fontId="43" fillId="6" borderId="0" xfId="3" applyNumberFormat="1" applyFont="1" applyFill="1" applyBorder="1" applyAlignment="1" applyProtection="1">
      <alignment vertical="center"/>
    </xf>
    <xf numFmtId="4" fontId="45" fillId="6" borderId="0" xfId="0" applyNumberFormat="1" applyFont="1" applyFill="1" applyBorder="1" applyAlignment="1" applyProtection="1">
      <alignment vertical="center"/>
    </xf>
    <xf numFmtId="0" fontId="44" fillId="6" borderId="0" xfId="3" applyFont="1" applyFill="1" applyProtection="1"/>
    <xf numFmtId="0" fontId="20" fillId="6" borderId="7" xfId="3" applyFont="1" applyFill="1" applyBorder="1" applyAlignment="1" applyProtection="1">
      <alignment horizontal="left" vertical="center"/>
    </xf>
    <xf numFmtId="0" fontId="14" fillId="6" borderId="7" xfId="3" applyFont="1" applyFill="1" applyBorder="1" applyAlignment="1" applyProtection="1">
      <alignment horizontal="center" vertical="center"/>
    </xf>
    <xf numFmtId="3" fontId="20" fillId="6" borderId="7" xfId="3" applyNumberFormat="1" applyFont="1" applyFill="1" applyBorder="1" applyAlignment="1" applyProtection="1">
      <alignment vertical="center"/>
    </xf>
    <xf numFmtId="0" fontId="14" fillId="0" borderId="0" xfId="3" applyFont="1" applyBorder="1" applyAlignment="1" applyProtection="1">
      <alignment vertical="center"/>
    </xf>
    <xf numFmtId="0" fontId="14" fillId="0" borderId="0" xfId="3" applyFont="1" applyBorder="1" applyAlignment="1" applyProtection="1">
      <alignment horizontal="center" vertical="center"/>
    </xf>
    <xf numFmtId="0" fontId="14" fillId="0" borderId="0" xfId="3" applyFont="1" applyFill="1" applyBorder="1" applyAlignment="1" applyProtection="1">
      <alignment vertical="center"/>
    </xf>
    <xf numFmtId="0" fontId="20" fillId="0" borderId="0" xfId="3" applyFont="1" applyBorder="1" applyAlignment="1" applyProtection="1">
      <alignment vertical="center"/>
    </xf>
    <xf numFmtId="0" fontId="20" fillId="0" borderId="0" xfId="0" applyFont="1" applyFill="1" applyBorder="1" applyAlignment="1" applyProtection="1">
      <alignment horizontal="left" vertical="center"/>
    </xf>
    <xf numFmtId="168" fontId="14" fillId="0" borderId="0" xfId="0" applyNumberFormat="1" applyFont="1" applyFill="1" applyBorder="1" applyAlignment="1" applyProtection="1">
      <alignment vertical="center"/>
    </xf>
    <xf numFmtId="168" fontId="20" fillId="0" borderId="0" xfId="0" applyNumberFormat="1" applyFont="1" applyFill="1" applyBorder="1" applyAlignment="1" applyProtection="1">
      <alignment vertical="center"/>
    </xf>
    <xf numFmtId="168" fontId="17" fillId="6" borderId="0" xfId="3" applyNumberFormat="1" applyFont="1" applyFill="1" applyBorder="1" applyAlignment="1" applyProtection="1">
      <alignment vertical="center"/>
    </xf>
    <xf numFmtId="0" fontId="14" fillId="0" borderId="0" xfId="0" applyFont="1" applyFill="1" applyBorder="1" applyAlignment="1" applyProtection="1">
      <alignment horizontal="left" vertical="center"/>
    </xf>
    <xf numFmtId="0" fontId="24" fillId="6" borderId="0" xfId="0" applyFont="1" applyFill="1" applyBorder="1" applyAlignment="1" applyProtection="1">
      <alignment horizontal="left" vertical="center"/>
    </xf>
    <xf numFmtId="0" fontId="14" fillId="6" borderId="0" xfId="0" applyFont="1" applyFill="1" applyBorder="1" applyAlignment="1" applyProtection="1">
      <alignment horizontal="center" vertical="center"/>
    </xf>
    <xf numFmtId="168" fontId="14" fillId="6" borderId="0" xfId="0" applyNumberFormat="1" applyFont="1" applyFill="1" applyBorder="1" applyAlignment="1" applyProtection="1">
      <alignment vertical="center"/>
    </xf>
    <xf numFmtId="0" fontId="14" fillId="6" borderId="0" xfId="0" applyFont="1" applyFill="1" applyProtection="1"/>
    <xf numFmtId="168" fontId="17" fillId="0" borderId="0" xfId="3" applyNumberFormat="1" applyFont="1" applyFill="1" applyBorder="1" applyAlignment="1" applyProtection="1">
      <alignment vertical="center"/>
    </xf>
    <xf numFmtId="0" fontId="14" fillId="6" borderId="0" xfId="0" applyFont="1" applyFill="1" applyBorder="1" applyAlignment="1" applyProtection="1">
      <alignment horizontal="left" vertical="center"/>
    </xf>
    <xf numFmtId="3" fontId="14" fillId="6" borderId="0" xfId="0" applyNumberFormat="1" applyFont="1" applyFill="1" applyBorder="1" applyAlignment="1" applyProtection="1">
      <alignment horizontal="left" vertical="center"/>
    </xf>
    <xf numFmtId="3" fontId="17" fillId="0" borderId="0" xfId="3" applyNumberFormat="1" applyFont="1" applyFill="1" applyBorder="1" applyAlignment="1" applyProtection="1">
      <alignment vertical="center"/>
    </xf>
    <xf numFmtId="3" fontId="14" fillId="0" borderId="0" xfId="0" applyNumberFormat="1" applyFont="1" applyBorder="1" applyAlignment="1" applyProtection="1">
      <alignment vertical="center"/>
    </xf>
    <xf numFmtId="3" fontId="14" fillId="6" borderId="0" xfId="0" applyNumberFormat="1" applyFont="1" applyFill="1" applyBorder="1" applyAlignment="1" applyProtection="1">
      <alignment vertical="center"/>
    </xf>
    <xf numFmtId="3" fontId="17" fillId="6" borderId="0" xfId="3" applyNumberFormat="1" applyFont="1" applyFill="1" applyBorder="1" applyAlignment="1" applyProtection="1">
      <alignment vertical="center"/>
    </xf>
    <xf numFmtId="3" fontId="14" fillId="6" borderId="0" xfId="0" applyNumberFormat="1" applyFont="1" applyFill="1" applyProtection="1"/>
    <xf numFmtId="3" fontId="20" fillId="0" borderId="0" xfId="0" applyNumberFormat="1" applyFont="1" applyBorder="1" applyAlignment="1" applyProtection="1">
      <alignment vertical="center"/>
    </xf>
    <xf numFmtId="0" fontId="37" fillId="4" borderId="6" xfId="0" applyFont="1" applyFill="1" applyBorder="1" applyAlignment="1" applyProtection="1">
      <alignment horizontal="center" vertical="center"/>
    </xf>
    <xf numFmtId="0" fontId="21" fillId="0" borderId="0" xfId="0" applyFont="1" applyBorder="1" applyAlignment="1" applyProtection="1">
      <alignment horizontal="left" vertical="center" wrapText="1"/>
    </xf>
    <xf numFmtId="0" fontId="22" fillId="0" borderId="0" xfId="0" applyFont="1" applyBorder="1" applyAlignment="1" applyProtection="1">
      <alignment horizontal="left" vertical="center" wrapText="1"/>
    </xf>
    <xf numFmtId="0" fontId="14" fillId="0" borderId="0" xfId="0" applyFont="1" applyBorder="1" applyAlignment="1" applyProtection="1">
      <alignment vertical="center"/>
    </xf>
    <xf numFmtId="10" fontId="17" fillId="0" borderId="0" xfId="0" applyNumberFormat="1" applyFont="1" applyBorder="1" applyAlignment="1" applyProtection="1">
      <alignment vertical="center"/>
    </xf>
    <xf numFmtId="166" fontId="14" fillId="0" borderId="0" xfId="0" applyNumberFormat="1" applyFont="1" applyFill="1" applyBorder="1" applyAlignment="1" applyProtection="1">
      <alignment horizontal="left" vertical="center"/>
    </xf>
    <xf numFmtId="9" fontId="14" fillId="6" borderId="0" xfId="2" applyFont="1" applyFill="1" applyBorder="1" applyAlignment="1" applyProtection="1">
      <alignment horizontal="center" vertical="center"/>
    </xf>
    <xf numFmtId="9" fontId="14" fillId="6" borderId="0" xfId="2" applyFont="1" applyFill="1" applyBorder="1" applyAlignment="1" applyProtection="1">
      <alignment vertical="center"/>
    </xf>
    <xf numFmtId="166" fontId="20" fillId="0" borderId="0" xfId="0" applyNumberFormat="1" applyFont="1" applyFill="1" applyBorder="1" applyAlignment="1" applyProtection="1">
      <alignment vertical="center"/>
    </xf>
    <xf numFmtId="166" fontId="17" fillId="0" borderId="0" xfId="0" applyNumberFormat="1" applyFont="1" applyFill="1" applyBorder="1" applyAlignment="1" applyProtection="1">
      <alignment vertical="center"/>
    </xf>
    <xf numFmtId="166" fontId="14" fillId="0" borderId="0" xfId="0" applyNumberFormat="1" applyFont="1" applyProtection="1"/>
    <xf numFmtId="166" fontId="14" fillId="6" borderId="0" xfId="0" applyNumberFormat="1" applyFont="1" applyFill="1" applyBorder="1" applyAlignment="1" applyProtection="1">
      <alignment horizontal="left" vertical="center"/>
    </xf>
    <xf numFmtId="168" fontId="49" fillId="6" borderId="0" xfId="0" applyNumberFormat="1" applyFont="1" applyFill="1" applyProtection="1"/>
    <xf numFmtId="166" fontId="20" fillId="6" borderId="0" xfId="0" applyNumberFormat="1" applyFont="1" applyFill="1" applyBorder="1" applyAlignment="1" applyProtection="1">
      <alignment vertical="center"/>
    </xf>
    <xf numFmtId="166" fontId="17" fillId="6" borderId="0" xfId="0" applyNumberFormat="1" applyFont="1" applyFill="1" applyBorder="1" applyAlignment="1" applyProtection="1">
      <alignment vertical="center"/>
    </xf>
    <xf numFmtId="166" fontId="14" fillId="6" borderId="0" xfId="0" applyNumberFormat="1" applyFont="1" applyFill="1" applyProtection="1"/>
    <xf numFmtId="4" fontId="14" fillId="0" borderId="0" xfId="0" applyNumberFormat="1" applyFont="1" applyFill="1" applyBorder="1" applyAlignment="1" applyProtection="1">
      <alignment vertical="center"/>
    </xf>
    <xf numFmtId="4" fontId="20" fillId="0" borderId="0" xfId="0" applyNumberFormat="1" applyFont="1" applyFill="1" applyBorder="1" applyAlignment="1" applyProtection="1">
      <alignment vertical="center"/>
    </xf>
    <xf numFmtId="4" fontId="14" fillId="0" borderId="0" xfId="0" applyNumberFormat="1" applyFont="1" applyFill="1" applyBorder="1" applyAlignment="1" applyProtection="1">
      <alignment horizontal="center" vertical="center"/>
    </xf>
    <xf numFmtId="4" fontId="17" fillId="0" borderId="0" xfId="0" applyNumberFormat="1" applyFont="1" applyFill="1" applyBorder="1" applyAlignment="1" applyProtection="1">
      <alignment vertical="center"/>
    </xf>
    <xf numFmtId="0" fontId="20" fillId="6" borderId="0" xfId="0" applyFont="1" applyFill="1" applyBorder="1" applyAlignment="1" applyProtection="1">
      <alignment horizontal="right"/>
    </xf>
    <xf numFmtId="4" fontId="20" fillId="0" borderId="1" xfId="0" applyNumberFormat="1" applyFont="1" applyFill="1" applyBorder="1" applyAlignment="1" applyProtection="1">
      <alignment vertical="center"/>
    </xf>
    <xf numFmtId="1" fontId="20" fillId="0" borderId="1" xfId="0" applyNumberFormat="1" applyFont="1" applyFill="1" applyBorder="1" applyProtection="1"/>
    <xf numFmtId="4" fontId="14" fillId="0" borderId="0" xfId="3" applyNumberFormat="1" applyFont="1" applyFill="1" applyBorder="1" applyAlignment="1" applyProtection="1">
      <alignment vertical="center"/>
    </xf>
    <xf numFmtId="4" fontId="14" fillId="0" borderId="0" xfId="0" applyNumberFormat="1" applyFont="1" applyFill="1" applyProtection="1"/>
    <xf numFmtId="4" fontId="19" fillId="0" borderId="0" xfId="0" applyNumberFormat="1" applyFont="1" applyProtection="1"/>
    <xf numFmtId="0" fontId="39" fillId="0" borderId="0" xfId="0" applyFont="1" applyProtection="1"/>
    <xf numFmtId="0" fontId="39" fillId="0" borderId="0" xfId="0" applyFont="1" applyFill="1" applyProtection="1"/>
    <xf numFmtId="0" fontId="40" fillId="0" borderId="0" xfId="0" applyFont="1" applyFill="1" applyProtection="1"/>
    <xf numFmtId="0" fontId="22" fillId="0" borderId="0" xfId="0" applyFont="1" applyProtection="1"/>
    <xf numFmtId="0" fontId="21" fillId="0" borderId="0" xfId="0" applyFont="1" applyProtection="1"/>
    <xf numFmtId="0" fontId="38" fillId="0" borderId="0" xfId="0" applyFont="1" applyProtection="1"/>
    <xf numFmtId="0" fontId="53" fillId="0" borderId="0" xfId="0" applyFont="1" applyProtection="1"/>
    <xf numFmtId="3" fontId="53" fillId="0" borderId="0" xfId="0" applyNumberFormat="1" applyFont="1" applyBorder="1" applyAlignment="1" applyProtection="1">
      <alignment vertical="center"/>
    </xf>
    <xf numFmtId="168" fontId="54" fillId="0" borderId="0" xfId="0" applyNumberFormat="1" applyFont="1" applyFill="1" applyBorder="1" applyAlignment="1" applyProtection="1">
      <alignment vertical="center"/>
    </xf>
    <xf numFmtId="0" fontId="55" fillId="0" borderId="0" xfId="0" applyFont="1" applyProtection="1"/>
    <xf numFmtId="0" fontId="56" fillId="0" borderId="0" xfId="0" applyFont="1" applyProtection="1"/>
    <xf numFmtId="0" fontId="35" fillId="0" borderId="0" xfId="3" applyFont="1" applyProtection="1"/>
    <xf numFmtId="0" fontId="2" fillId="6" borderId="0" xfId="0" applyFont="1" applyFill="1" applyBorder="1" applyAlignment="1" applyProtection="1"/>
    <xf numFmtId="0" fontId="27" fillId="0" borderId="0" xfId="0" applyFont="1" applyAlignment="1" applyProtection="1">
      <alignment vertical="center"/>
    </xf>
    <xf numFmtId="0" fontId="34" fillId="6" borderId="0" xfId="0" applyFont="1" applyFill="1" applyProtection="1"/>
    <xf numFmtId="0" fontId="3" fillId="6" borderId="0" xfId="0" applyFont="1" applyFill="1" applyProtection="1"/>
    <xf numFmtId="0" fontId="27" fillId="0" borderId="0" xfId="0" applyFont="1" applyAlignment="1" applyProtection="1">
      <alignment horizontal="right" vertical="center"/>
    </xf>
    <xf numFmtId="9" fontId="10" fillId="6" borderId="0" xfId="2" applyFont="1" applyFill="1" applyBorder="1" applyAlignment="1" applyProtection="1">
      <alignment horizontal="left" vertical="center" indent="1"/>
    </xf>
    <xf numFmtId="10" fontId="26" fillId="0" borderId="0" xfId="2" applyNumberFormat="1" applyFont="1" applyProtection="1"/>
    <xf numFmtId="14" fontId="0" fillId="0" borderId="0" xfId="0" applyNumberFormat="1" applyProtection="1"/>
    <xf numFmtId="0" fontId="27" fillId="0" borderId="13" xfId="0" applyFont="1" applyBorder="1" applyAlignment="1" applyProtection="1">
      <alignment horizontal="center" vertical="center"/>
    </xf>
    <xf numFmtId="0" fontId="27" fillId="0" borderId="15" xfId="0" applyFont="1" applyBorder="1" applyAlignment="1" applyProtection="1">
      <alignment horizontal="center" vertical="center"/>
    </xf>
    <xf numFmtId="0" fontId="0" fillId="6" borderId="0" xfId="0" applyFill="1" applyAlignment="1" applyProtection="1">
      <alignment vertical="center"/>
    </xf>
    <xf numFmtId="0" fontId="0" fillId="0" borderId="0" xfId="0" applyProtection="1"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6" fillId="0" borderId="0" xfId="0" applyFont="1" applyAlignment="1" applyProtection="1">
      <alignment vertical="center"/>
      <protection locked="0"/>
    </xf>
    <xf numFmtId="0" fontId="34" fillId="0" borderId="0" xfId="0" applyFont="1" applyAlignment="1" applyProtection="1">
      <alignment vertical="center"/>
      <protection locked="0"/>
    </xf>
    <xf numFmtId="0" fontId="31" fillId="0" borderId="0" xfId="0" applyFont="1" applyProtection="1">
      <protection locked="0"/>
    </xf>
    <xf numFmtId="10" fontId="26" fillId="0" borderId="0" xfId="2" applyNumberFormat="1" applyFont="1" applyProtection="1">
      <protection locked="0"/>
    </xf>
    <xf numFmtId="0" fontId="27" fillId="2" borderId="1" xfId="0" applyFont="1" applyFill="1" applyBorder="1" applyAlignment="1" applyProtection="1">
      <alignment horizontal="center" vertical="center"/>
      <protection locked="0"/>
    </xf>
    <xf numFmtId="0" fontId="37" fillId="4" borderId="9" xfId="0" applyFont="1" applyFill="1" applyBorder="1" applyAlignment="1" applyProtection="1">
      <alignment horizontal="center" vertical="center" wrapText="1"/>
    </xf>
    <xf numFmtId="3" fontId="8" fillId="6" borderId="1" xfId="2" applyNumberFormat="1" applyFont="1" applyFill="1" applyBorder="1" applyAlignment="1" applyProtection="1">
      <alignment horizontal="center" vertical="center"/>
      <protection locked="0"/>
    </xf>
    <xf numFmtId="165" fontId="58" fillId="4" borderId="6" xfId="3" applyNumberFormat="1" applyFont="1" applyFill="1" applyBorder="1" applyAlignment="1" applyProtection="1">
      <alignment horizontal="center" vertical="center" wrapText="1"/>
    </xf>
    <xf numFmtId="165" fontId="58" fillId="4" borderId="6" xfId="0" applyNumberFormat="1" applyFont="1" applyFill="1" applyBorder="1" applyAlignment="1" applyProtection="1">
      <alignment horizontal="center" vertical="center" wrapText="1"/>
    </xf>
    <xf numFmtId="10" fontId="8" fillId="2" borderId="1" xfId="2" applyNumberFormat="1" applyFont="1" applyFill="1" applyBorder="1" applyAlignment="1" applyProtection="1">
      <alignment horizontal="center" vertical="center"/>
      <protection locked="0"/>
    </xf>
    <xf numFmtId="3" fontId="48" fillId="6" borderId="1" xfId="1" applyNumberFormat="1" applyFont="1" applyFill="1" applyBorder="1" applyAlignment="1" applyProtection="1">
      <alignment horizontal="center" vertical="center"/>
    </xf>
    <xf numFmtId="0" fontId="6" fillId="0" borderId="0" xfId="0" applyFont="1" applyAlignment="1" applyProtection="1">
      <alignment horizontal="center" vertical="center" wrapText="1"/>
    </xf>
    <xf numFmtId="1" fontId="20" fillId="0" borderId="0" xfId="0" applyNumberFormat="1" applyFont="1" applyFill="1" applyBorder="1" applyProtection="1"/>
    <xf numFmtId="0" fontId="14" fillId="0" borderId="0" xfId="0" applyFont="1" applyFill="1" applyBorder="1" applyAlignment="1" applyProtection="1">
      <alignment horizontal="right" vertical="center"/>
    </xf>
    <xf numFmtId="3" fontId="50" fillId="0" borderId="0" xfId="0" applyNumberFormat="1" applyFont="1" applyProtection="1">
      <protection locked="0"/>
    </xf>
    <xf numFmtId="9" fontId="50" fillId="0" borderId="0" xfId="0" applyNumberFormat="1" applyFont="1" applyProtection="1">
      <protection locked="0"/>
    </xf>
    <xf numFmtId="0" fontId="50" fillId="0" borderId="0" xfId="0" applyFont="1" applyProtection="1">
      <protection locked="0"/>
    </xf>
    <xf numFmtId="0" fontId="0" fillId="0" borderId="0" xfId="0" applyAlignment="1" applyProtection="1">
      <alignment vertical="center"/>
      <protection locked="0"/>
    </xf>
    <xf numFmtId="3" fontId="0" fillId="0" borderId="0" xfId="0" applyNumberFormat="1" applyProtection="1">
      <protection locked="0"/>
    </xf>
    <xf numFmtId="3" fontId="9" fillId="6" borderId="0" xfId="1" applyNumberFormat="1" applyFont="1" applyFill="1" applyBorder="1" applyAlignment="1" applyProtection="1">
      <alignment vertical="center"/>
      <protection locked="0"/>
    </xf>
    <xf numFmtId="9" fontId="31" fillId="0" borderId="0" xfId="0" applyNumberFormat="1" applyFont="1" applyAlignment="1" applyProtection="1">
      <alignment vertical="center"/>
      <protection locked="0"/>
    </xf>
    <xf numFmtId="0" fontId="31" fillId="0" borderId="0" xfId="0" applyFont="1" applyAlignment="1" applyProtection="1">
      <alignment vertical="center"/>
      <protection locked="0"/>
    </xf>
    <xf numFmtId="0" fontId="0" fillId="6" borderId="0" xfId="0" applyFill="1" applyBorder="1" applyProtection="1">
      <protection locked="0"/>
    </xf>
    <xf numFmtId="3" fontId="48" fillId="2" borderId="1" xfId="1" applyNumberFormat="1" applyFont="1" applyFill="1" applyBorder="1" applyAlignment="1" applyProtection="1">
      <alignment horizontal="center" vertical="center"/>
      <protection locked="0"/>
    </xf>
    <xf numFmtId="3" fontId="48" fillId="6" borderId="2" xfId="1" applyNumberFormat="1" applyFont="1" applyFill="1" applyBorder="1" applyAlignment="1" applyProtection="1">
      <alignment horizontal="center" vertical="center"/>
    </xf>
    <xf numFmtId="0" fontId="46" fillId="0" borderId="1" xfId="0" applyFont="1" applyBorder="1" applyAlignment="1" applyProtection="1">
      <alignment horizontal="center" vertical="center" wrapText="1"/>
    </xf>
    <xf numFmtId="3" fontId="48" fillId="2" borderId="1" xfId="1" applyNumberFormat="1" applyFont="1" applyFill="1" applyBorder="1" applyAlignment="1" applyProtection="1">
      <alignment horizontal="center" vertical="center"/>
      <protection locked="0"/>
    </xf>
    <xf numFmtId="0" fontId="37" fillId="4" borderId="9" xfId="0" applyFont="1" applyFill="1" applyBorder="1" applyAlignment="1" applyProtection="1">
      <alignment horizontal="center" vertical="center" wrapText="1"/>
    </xf>
    <xf numFmtId="0" fontId="62" fillId="8" borderId="1" xfId="6" applyFont="1" applyFill="1" applyBorder="1" applyAlignment="1">
      <alignment wrapText="1"/>
    </xf>
    <xf numFmtId="3" fontId="9" fillId="6" borderId="1" xfId="2" applyNumberFormat="1" applyFont="1" applyFill="1" applyBorder="1" applyAlignment="1" applyProtection="1">
      <alignment horizontal="center" vertical="center"/>
      <protection locked="0"/>
    </xf>
    <xf numFmtId="170" fontId="64" fillId="9" borderId="1" xfId="7" applyNumberFormat="1" applyFont="1" applyFill="1" applyBorder="1" applyAlignment="1" applyProtection="1">
      <alignment horizontal="center" vertical="center"/>
      <protection locked="0"/>
    </xf>
    <xf numFmtId="3" fontId="8" fillId="2" borderId="1" xfId="2" applyNumberFormat="1" applyFont="1" applyFill="1" applyBorder="1" applyAlignment="1" applyProtection="1">
      <alignment horizontal="center" vertical="center"/>
      <protection locked="0"/>
    </xf>
    <xf numFmtId="0" fontId="5" fillId="0" borderId="1" xfId="0" applyFont="1" applyBorder="1" applyAlignment="1" applyProtection="1">
      <alignment horizontal="center" vertical="center" wrapText="1"/>
    </xf>
    <xf numFmtId="0" fontId="27" fillId="0" borderId="1" xfId="0" applyFont="1" applyBorder="1" applyAlignment="1" applyProtection="1">
      <alignment horizontal="center" vertical="center" wrapText="1"/>
    </xf>
    <xf numFmtId="0" fontId="34" fillId="0" borderId="1" xfId="0" applyFont="1" applyBorder="1" applyAlignment="1" applyProtection="1">
      <alignment vertical="top" wrapText="1"/>
    </xf>
    <xf numFmtId="0" fontId="34" fillId="0" borderId="1" xfId="0" applyFont="1" applyBorder="1" applyAlignment="1"/>
    <xf numFmtId="0" fontId="26" fillId="0" borderId="1" xfId="0" applyFont="1" applyBorder="1" applyProtection="1"/>
    <xf numFmtId="0" fontId="26" fillId="0" borderId="1" xfId="0" applyFont="1" applyBorder="1" applyAlignment="1" applyProtection="1">
      <alignment wrapText="1"/>
    </xf>
    <xf numFmtId="0" fontId="32" fillId="0" borderId="1" xfId="3" applyFont="1" applyBorder="1" applyProtection="1"/>
    <xf numFmtId="0" fontId="53" fillId="0" borderId="1" xfId="3" applyFont="1" applyBorder="1" applyProtection="1"/>
    <xf numFmtId="0" fontId="53" fillId="6" borderId="1" xfId="3" applyFont="1" applyFill="1" applyBorder="1" applyProtection="1"/>
    <xf numFmtId="0" fontId="32" fillId="6" borderId="1" xfId="3" applyFont="1" applyFill="1" applyBorder="1" applyProtection="1"/>
    <xf numFmtId="0" fontId="19" fillId="6" borderId="0" xfId="0" applyFont="1" applyFill="1" applyBorder="1" applyAlignment="1" applyProtection="1">
      <alignment horizontal="left" vertical="center" wrapText="1"/>
    </xf>
    <xf numFmtId="0" fontId="19" fillId="6" borderId="0" xfId="0" applyFont="1" applyFill="1" applyBorder="1" applyAlignment="1" applyProtection="1">
      <alignment horizontal="left" vertical="center"/>
    </xf>
    <xf numFmtId="3" fontId="48" fillId="6" borderId="2" xfId="1" applyNumberFormat="1" applyFont="1" applyFill="1" applyBorder="1" applyAlignment="1" applyProtection="1">
      <alignment horizontal="center" vertical="center"/>
    </xf>
    <xf numFmtId="0" fontId="46" fillId="0" borderId="1" xfId="0" applyFont="1" applyBorder="1" applyAlignment="1" applyProtection="1">
      <alignment horizontal="center" vertical="center" wrapText="1"/>
    </xf>
    <xf numFmtId="0" fontId="41" fillId="6" borderId="1" xfId="0" applyFont="1" applyFill="1" applyBorder="1" applyAlignment="1" applyProtection="1">
      <alignment horizontal="center" vertical="center" wrapText="1"/>
    </xf>
    <xf numFmtId="0" fontId="4" fillId="0" borderId="10" xfId="0" applyFont="1" applyBorder="1" applyAlignment="1" applyProtection="1">
      <alignment horizontal="center" vertical="center"/>
    </xf>
    <xf numFmtId="9" fontId="14" fillId="6" borderId="0" xfId="0" applyNumberFormat="1" applyFont="1" applyFill="1" applyBorder="1" applyAlignment="1" applyProtection="1">
      <alignment horizontal="left" vertical="center"/>
    </xf>
    <xf numFmtId="3" fontId="20" fillId="6" borderId="0" xfId="0" applyNumberFormat="1" applyFont="1" applyFill="1" applyBorder="1" applyAlignment="1" applyProtection="1">
      <alignment vertical="center"/>
    </xf>
    <xf numFmtId="3" fontId="14" fillId="6" borderId="0" xfId="4" applyNumberFormat="1" applyFont="1" applyFill="1" applyProtection="1"/>
    <xf numFmtId="165" fontId="64" fillId="9" borderId="1" xfId="7" applyNumberFormat="1" applyFont="1" applyFill="1" applyBorder="1" applyAlignment="1" applyProtection="1">
      <alignment vertical="center" wrapText="1"/>
      <protection locked="0"/>
    </xf>
    <xf numFmtId="0" fontId="34" fillId="0" borderId="1" xfId="0" applyFont="1" applyBorder="1" applyAlignment="1" applyProtection="1">
      <alignment vertical="top"/>
    </xf>
    <xf numFmtId="0" fontId="41" fillId="6" borderId="1" xfId="0" applyFont="1" applyFill="1" applyBorder="1" applyAlignment="1" applyProtection="1">
      <alignment vertical="center" wrapText="1"/>
    </xf>
    <xf numFmtId="3" fontId="48" fillId="6" borderId="1" xfId="1" applyNumberFormat="1" applyFont="1" applyFill="1" applyBorder="1" applyAlignment="1" applyProtection="1">
      <alignment horizontal="center" vertical="center"/>
      <protection locked="0"/>
    </xf>
    <xf numFmtId="0" fontId="66" fillId="0" borderId="1" xfId="0" applyFont="1" applyBorder="1" applyAlignment="1" applyProtection="1">
      <alignment horizontal="center" vertical="center" wrapText="1"/>
    </xf>
    <xf numFmtId="0" fontId="66" fillId="0" borderId="2" xfId="0" applyFont="1" applyBorder="1" applyAlignment="1" applyProtection="1">
      <alignment horizontal="center" vertical="center" wrapText="1"/>
    </xf>
    <xf numFmtId="168" fontId="14" fillId="0" borderId="0" xfId="0" applyNumberFormat="1" applyFont="1" applyFill="1" applyBorder="1" applyAlignment="1" applyProtection="1">
      <alignment horizontal="right" vertical="center"/>
    </xf>
    <xf numFmtId="0" fontId="4" fillId="0" borderId="1" xfId="0" applyFont="1" applyBorder="1" applyAlignment="1" applyProtection="1">
      <alignment horizontal="center" vertical="center" wrapText="1"/>
    </xf>
    <xf numFmtId="3" fontId="8" fillId="6" borderId="1" xfId="2" applyNumberFormat="1" applyFont="1" applyFill="1" applyBorder="1" applyAlignment="1" applyProtection="1">
      <alignment horizontal="center" vertical="center"/>
    </xf>
    <xf numFmtId="3" fontId="8" fillId="6" borderId="1" xfId="2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left" vertical="center"/>
    </xf>
    <xf numFmtId="0" fontId="67" fillId="0" borderId="0" xfId="0" applyFont="1" applyAlignment="1" applyProtection="1">
      <alignment horizontal="center" vertical="center"/>
    </xf>
    <xf numFmtId="0" fontId="68" fillId="0" borderId="0" xfId="0" applyFont="1" applyAlignment="1" applyProtection="1">
      <alignment vertical="center"/>
    </xf>
    <xf numFmtId="0" fontId="69" fillId="6" borderId="0" xfId="2" applyNumberFormat="1" applyFont="1" applyFill="1" applyBorder="1" applyAlignment="1" applyProtection="1">
      <alignment horizontal="left" vertical="center" indent="1"/>
    </xf>
    <xf numFmtId="0" fontId="68" fillId="0" borderId="0" xfId="0" applyFont="1" applyProtection="1"/>
    <xf numFmtId="0" fontId="8" fillId="2" borderId="1" xfId="2" applyNumberFormat="1" applyFont="1" applyFill="1" applyBorder="1" applyAlignment="1" applyProtection="1">
      <alignment horizontal="center" vertical="center"/>
    </xf>
    <xf numFmtId="0" fontId="66" fillId="6" borderId="1" xfId="0" applyFont="1" applyFill="1" applyBorder="1" applyAlignment="1" applyProtection="1">
      <alignment horizontal="center" vertical="center" wrapText="1"/>
    </xf>
    <xf numFmtId="171" fontId="64" fillId="9" borderId="1" xfId="7" applyNumberFormat="1" applyFont="1" applyFill="1" applyBorder="1" applyAlignment="1" applyProtection="1">
      <alignment horizontal="center" vertical="center"/>
      <protection locked="0"/>
    </xf>
    <xf numFmtId="171" fontId="62" fillId="8" borderId="1" xfId="6" applyNumberFormat="1" applyFont="1" applyFill="1" applyBorder="1" applyAlignment="1">
      <alignment wrapText="1"/>
    </xf>
    <xf numFmtId="9" fontId="47" fillId="2" borderId="1" xfId="2" applyFont="1" applyFill="1" applyBorder="1" applyAlignment="1" applyProtection="1">
      <alignment vertical="center" wrapText="1"/>
      <protection locked="0"/>
    </xf>
    <xf numFmtId="9" fontId="9" fillId="6" borderId="1" xfId="2" applyFont="1" applyFill="1" applyBorder="1" applyAlignment="1" applyProtection="1">
      <alignment horizontal="left" vertical="center" wrapText="1"/>
    </xf>
    <xf numFmtId="9" fontId="9" fillId="6" borderId="2" xfId="2" applyFont="1" applyFill="1" applyBorder="1" applyAlignment="1" applyProtection="1">
      <alignment horizontal="left" vertical="center" wrapText="1"/>
    </xf>
    <xf numFmtId="0" fontId="46" fillId="6" borderId="1" xfId="0" applyFont="1" applyFill="1" applyBorder="1" applyAlignment="1" applyProtection="1">
      <alignment horizontal="center" vertical="center" wrapText="1"/>
    </xf>
    <xf numFmtId="166" fontId="46" fillId="0" borderId="1" xfId="0" applyNumberFormat="1" applyFont="1" applyBorder="1" applyAlignment="1" applyProtection="1">
      <alignment horizontal="center" vertical="center" wrapText="1"/>
    </xf>
    <xf numFmtId="3" fontId="8" fillId="6" borderId="1" xfId="1" applyNumberFormat="1" applyFont="1" applyFill="1" applyBorder="1" applyAlignment="1" applyProtection="1">
      <alignment horizontal="center" vertical="center"/>
    </xf>
    <xf numFmtId="3" fontId="8" fillId="2" borderId="1" xfId="1" applyNumberFormat="1" applyFont="1" applyFill="1" applyBorder="1" applyAlignment="1" applyProtection="1">
      <alignment horizontal="center" vertical="center"/>
      <protection locked="0"/>
    </xf>
    <xf numFmtId="0" fontId="46" fillId="0" borderId="1" xfId="0" applyFont="1" applyBorder="1" applyAlignment="1" applyProtection="1">
      <alignment horizontal="center" vertical="center" wrapText="1"/>
    </xf>
    <xf numFmtId="0" fontId="46" fillId="0" borderId="2" xfId="0" applyFont="1" applyBorder="1" applyAlignment="1" applyProtection="1">
      <alignment horizontal="center" vertical="center" wrapText="1"/>
    </xf>
    <xf numFmtId="0" fontId="46" fillId="0" borderId="4" xfId="0" applyFont="1" applyBorder="1" applyAlignment="1" applyProtection="1">
      <alignment horizontal="center" vertical="center" wrapText="1"/>
    </xf>
    <xf numFmtId="3" fontId="8" fillId="6" borderId="1" xfId="1" applyNumberFormat="1" applyFont="1" applyFill="1" applyBorder="1" applyAlignment="1" applyProtection="1">
      <alignment horizontal="center" vertical="center"/>
      <protection locked="0"/>
    </xf>
    <xf numFmtId="3" fontId="28" fillId="6" borderId="1" xfId="1" applyNumberFormat="1" applyFont="1" applyFill="1" applyBorder="1" applyAlignment="1" applyProtection="1">
      <alignment horizontal="center" vertical="center"/>
    </xf>
    <xf numFmtId="10" fontId="48" fillId="2" borderId="1" xfId="2" applyNumberFormat="1" applyFont="1" applyFill="1" applyBorder="1" applyAlignment="1" applyProtection="1">
      <alignment horizontal="center" vertical="center"/>
      <protection locked="0"/>
    </xf>
    <xf numFmtId="9" fontId="9" fillId="6" borderId="0" xfId="2" applyFont="1" applyFill="1" applyBorder="1" applyAlignment="1" applyProtection="1">
      <alignment vertical="center" wrapText="1"/>
    </xf>
    <xf numFmtId="10" fontId="8" fillId="2" borderId="1" xfId="2" applyNumberFormat="1" applyFont="1" applyFill="1" applyBorder="1" applyAlignment="1" applyProtection="1">
      <alignment horizontal="center" vertical="center"/>
      <protection locked="0"/>
    </xf>
    <xf numFmtId="0" fontId="4" fillId="0" borderId="1" xfId="0" applyFont="1" applyBorder="1" applyAlignment="1" applyProtection="1">
      <alignment horizontal="center" vertical="center" wrapText="1"/>
    </xf>
    <xf numFmtId="10" fontId="8" fillId="2" borderId="14" xfId="2" applyNumberFormat="1" applyFont="1" applyFill="1" applyBorder="1" applyAlignment="1" applyProtection="1">
      <alignment horizontal="center" vertical="center"/>
      <protection locked="0"/>
    </xf>
    <xf numFmtId="10" fontId="8" fillId="2" borderId="16" xfId="2" applyNumberFormat="1" applyFont="1" applyFill="1" applyBorder="1" applyAlignment="1" applyProtection="1">
      <alignment horizontal="center" vertical="center"/>
      <protection locked="0"/>
    </xf>
    <xf numFmtId="10" fontId="8" fillId="2" borderId="17" xfId="2" applyNumberFormat="1" applyFont="1" applyFill="1" applyBorder="1" applyAlignment="1" applyProtection="1">
      <alignment horizontal="center" vertical="center"/>
      <protection locked="0"/>
    </xf>
    <xf numFmtId="10" fontId="8" fillId="2" borderId="2" xfId="2" applyNumberFormat="1" applyFont="1" applyFill="1" applyBorder="1" applyAlignment="1" applyProtection="1">
      <alignment horizontal="center" vertical="center"/>
      <protection locked="0"/>
    </xf>
    <xf numFmtId="10" fontId="8" fillId="2" borderId="3" xfId="2" applyNumberFormat="1" applyFont="1" applyFill="1" applyBorder="1" applyAlignment="1" applyProtection="1">
      <alignment horizontal="center" vertical="center"/>
      <protection locked="0"/>
    </xf>
    <xf numFmtId="165" fontId="9" fillId="2" borderId="1" xfId="2" applyNumberFormat="1" applyFont="1" applyFill="1" applyBorder="1" applyAlignment="1" applyProtection="1">
      <alignment vertical="center" wrapText="1"/>
    </xf>
    <xf numFmtId="0" fontId="41" fillId="6" borderId="5" xfId="0" applyFont="1" applyFill="1" applyBorder="1" applyAlignment="1" applyProtection="1">
      <alignment horizontal="left" vertical="center" wrapText="1"/>
    </xf>
    <xf numFmtId="0" fontId="41" fillId="6" borderId="1" xfId="0" applyFont="1" applyFill="1" applyBorder="1" applyAlignment="1" applyProtection="1">
      <alignment horizontal="center" vertical="center" wrapText="1"/>
    </xf>
    <xf numFmtId="0" fontId="5" fillId="0" borderId="11" xfId="0" applyFont="1" applyBorder="1" applyAlignment="1" applyProtection="1">
      <alignment horizontal="center" vertical="center" wrapText="1"/>
    </xf>
    <xf numFmtId="0" fontId="5" fillId="0" borderId="12" xfId="0" applyFont="1" applyBorder="1" applyAlignment="1" applyProtection="1">
      <alignment horizontal="center" vertical="center" wrapText="1"/>
    </xf>
    <xf numFmtId="10" fontId="8" fillId="2" borderId="18" xfId="2" applyNumberFormat="1" applyFont="1" applyFill="1" applyBorder="1" applyAlignment="1" applyProtection="1">
      <alignment horizontal="center" vertical="center"/>
      <protection locked="0"/>
    </xf>
    <xf numFmtId="10" fontId="8" fillId="2" borderId="20" xfId="2" applyNumberFormat="1" applyFont="1" applyFill="1" applyBorder="1" applyAlignment="1" applyProtection="1">
      <alignment horizontal="center" vertical="center"/>
      <protection locked="0"/>
    </xf>
    <xf numFmtId="0" fontId="57" fillId="6" borderId="5" xfId="0" applyFont="1" applyFill="1" applyBorder="1" applyAlignment="1" applyProtection="1">
      <alignment horizontal="left" vertical="center" wrapText="1"/>
    </xf>
    <xf numFmtId="9" fontId="9" fillId="0" borderId="0" xfId="2" applyFont="1" applyBorder="1" applyAlignment="1" applyProtection="1">
      <alignment vertical="center" wrapText="1"/>
    </xf>
    <xf numFmtId="9" fontId="9" fillId="0" borderId="0" xfId="2" applyFont="1" applyBorder="1" applyAlignment="1" applyProtection="1">
      <alignment horizontal="left" vertical="center" wrapText="1"/>
    </xf>
    <xf numFmtId="0" fontId="30" fillId="6" borderId="13" xfId="2" applyNumberFormat="1" applyFont="1" applyFill="1" applyBorder="1" applyAlignment="1" applyProtection="1">
      <alignment horizontal="center" vertical="center" wrapText="1"/>
    </xf>
    <xf numFmtId="0" fontId="30" fillId="6" borderId="1" xfId="2" applyNumberFormat="1" applyFont="1" applyFill="1" applyBorder="1" applyAlignment="1" applyProtection="1">
      <alignment horizontal="center" vertical="center" wrapText="1"/>
    </xf>
    <xf numFmtId="0" fontId="2" fillId="0" borderId="0" xfId="0" applyFont="1" applyBorder="1" applyAlignment="1" applyProtection="1">
      <alignment horizontal="center" vertical="center" wrapText="1"/>
    </xf>
    <xf numFmtId="0" fontId="0" fillId="0" borderId="3" xfId="0" applyFont="1" applyBorder="1" applyAlignment="1" applyProtection="1">
      <alignment horizontal="left" vertical="center"/>
    </xf>
    <xf numFmtId="0" fontId="42" fillId="2" borderId="0" xfId="0" applyFont="1" applyFill="1" applyAlignment="1" applyProtection="1">
      <alignment horizontal="center" vertical="center"/>
    </xf>
    <xf numFmtId="0" fontId="6" fillId="0" borderId="0" xfId="0" applyFont="1" applyAlignment="1" applyProtection="1">
      <alignment horizontal="center" vertical="center" wrapText="1"/>
    </xf>
    <xf numFmtId="0" fontId="5" fillId="0" borderId="1" xfId="0" applyFont="1" applyBorder="1" applyAlignment="1" applyProtection="1">
      <alignment horizontal="center" vertical="center" wrapText="1"/>
    </xf>
    <xf numFmtId="0" fontId="27" fillId="0" borderId="0" xfId="0" applyFont="1" applyAlignment="1" applyProtection="1">
      <alignment horizontal="left" vertical="center" wrapText="1"/>
    </xf>
    <xf numFmtId="0" fontId="27" fillId="0" borderId="8" xfId="0" applyFont="1" applyBorder="1" applyAlignment="1" applyProtection="1">
      <alignment horizontal="left" vertical="center" wrapText="1"/>
    </xf>
    <xf numFmtId="0" fontId="4" fillId="0" borderId="10" xfId="0" applyFont="1" applyBorder="1" applyAlignment="1" applyProtection="1">
      <alignment horizontal="center" vertical="center" wrapText="1"/>
    </xf>
    <xf numFmtId="0" fontId="4" fillId="0" borderId="11" xfId="0" applyFont="1" applyBorder="1" applyAlignment="1" applyProtection="1">
      <alignment horizontal="center" vertical="center" wrapText="1"/>
    </xf>
    <xf numFmtId="0" fontId="27" fillId="2" borderId="2" xfId="0" applyFont="1" applyFill="1" applyBorder="1" applyAlignment="1" applyProtection="1">
      <alignment horizontal="center" vertical="center"/>
      <protection locked="0"/>
    </xf>
    <xf numFmtId="0" fontId="27" fillId="2" borderId="4" xfId="0" applyFont="1" applyFill="1" applyBorder="1" applyAlignment="1" applyProtection="1">
      <alignment horizontal="center" vertical="center"/>
      <protection locked="0"/>
    </xf>
    <xf numFmtId="9" fontId="9" fillId="0" borderId="1" xfId="2" applyFont="1" applyBorder="1" applyAlignment="1" applyProtection="1">
      <alignment horizontal="left" vertical="center" wrapText="1"/>
    </xf>
    <xf numFmtId="9" fontId="9" fillId="0" borderId="2" xfId="2" applyFont="1" applyBorder="1" applyAlignment="1" applyProtection="1">
      <alignment horizontal="left" vertical="center" wrapText="1"/>
    </xf>
    <xf numFmtId="0" fontId="9" fillId="6" borderId="1" xfId="2" applyNumberFormat="1" applyFont="1" applyFill="1" applyBorder="1" applyAlignment="1" applyProtection="1">
      <alignment vertical="center" wrapText="1"/>
    </xf>
    <xf numFmtId="0" fontId="30" fillId="6" borderId="15" xfId="2" applyNumberFormat="1" applyFont="1" applyFill="1" applyBorder="1" applyAlignment="1" applyProtection="1">
      <alignment horizontal="center" vertical="center" wrapText="1"/>
    </xf>
    <xf numFmtId="0" fontId="30" fillId="6" borderId="16" xfId="2" applyNumberFormat="1" applyFont="1" applyFill="1" applyBorder="1" applyAlignment="1" applyProtection="1">
      <alignment horizontal="center" vertical="center" wrapText="1"/>
    </xf>
    <xf numFmtId="0" fontId="29" fillId="0" borderId="1" xfId="0" applyFont="1" applyBorder="1" applyAlignment="1" applyProtection="1">
      <alignment horizontal="center" vertical="center"/>
    </xf>
    <xf numFmtId="0" fontId="41" fillId="6" borderId="0" xfId="0" applyFont="1" applyFill="1" applyBorder="1" applyAlignment="1" applyProtection="1">
      <alignment horizontal="left" vertical="center" wrapText="1"/>
    </xf>
    <xf numFmtId="0" fontId="46" fillId="6" borderId="2" xfId="0" applyFont="1" applyFill="1" applyBorder="1" applyAlignment="1" applyProtection="1">
      <alignment horizontal="center" vertical="center" wrapText="1"/>
    </xf>
    <xf numFmtId="0" fontId="46" fillId="6" borderId="3" xfId="0" applyFont="1" applyFill="1" applyBorder="1" applyAlignment="1" applyProtection="1">
      <alignment horizontal="center" vertical="center" wrapText="1"/>
    </xf>
    <xf numFmtId="0" fontId="46" fillId="6" borderId="4" xfId="0" applyFont="1" applyFill="1" applyBorder="1" applyAlignment="1" applyProtection="1">
      <alignment horizontal="center" vertical="center" wrapText="1"/>
    </xf>
    <xf numFmtId="3" fontId="48" fillId="6" borderId="2" xfId="1" applyNumberFormat="1" applyFont="1" applyFill="1" applyBorder="1" applyAlignment="1" applyProtection="1">
      <alignment horizontal="center" vertical="center"/>
    </xf>
    <xf numFmtId="3" fontId="48" fillId="6" borderId="4" xfId="1" applyNumberFormat="1" applyFont="1" applyFill="1" applyBorder="1" applyAlignment="1" applyProtection="1">
      <alignment horizontal="center" vertical="center"/>
    </xf>
    <xf numFmtId="167" fontId="8" fillId="2" borderId="1" xfId="2" applyNumberFormat="1" applyFont="1" applyFill="1" applyBorder="1" applyAlignment="1" applyProtection="1">
      <alignment horizontal="center" vertical="center"/>
      <protection locked="0"/>
    </xf>
    <xf numFmtId="3" fontId="8" fillId="2" borderId="2" xfId="1" applyNumberFormat="1" applyFont="1" applyFill="1" applyBorder="1" applyAlignment="1" applyProtection="1">
      <alignment horizontal="center" vertical="center"/>
      <protection locked="0"/>
    </xf>
    <xf numFmtId="3" fontId="8" fillId="2" borderId="3" xfId="1" applyNumberFormat="1" applyFont="1" applyFill="1" applyBorder="1" applyAlignment="1" applyProtection="1">
      <alignment horizontal="center" vertical="center"/>
      <protection locked="0"/>
    </xf>
    <xf numFmtId="3" fontId="8" fillId="2" borderId="4" xfId="1" applyNumberFormat="1" applyFont="1" applyFill="1" applyBorder="1" applyAlignment="1" applyProtection="1">
      <alignment horizontal="center" vertical="center"/>
      <protection locked="0"/>
    </xf>
    <xf numFmtId="9" fontId="8" fillId="2" borderId="1" xfId="2" applyFont="1" applyFill="1" applyBorder="1" applyAlignment="1" applyProtection="1">
      <alignment horizontal="center" vertical="center"/>
      <protection locked="0"/>
    </xf>
    <xf numFmtId="0" fontId="0" fillId="0" borderId="7" xfId="0" applyFont="1" applyBorder="1" applyAlignment="1" applyProtection="1">
      <alignment horizontal="left" vertical="center"/>
    </xf>
    <xf numFmtId="0" fontId="4" fillId="0" borderId="19" xfId="0" applyFont="1" applyBorder="1" applyAlignment="1" applyProtection="1">
      <alignment horizontal="center" vertical="center" wrapText="1"/>
    </xf>
    <xf numFmtId="165" fontId="9" fillId="6" borderId="1" xfId="2" applyNumberFormat="1" applyFont="1" applyFill="1" applyBorder="1" applyAlignment="1" applyProtection="1">
      <alignment horizontal="left" vertical="center" wrapText="1"/>
    </xf>
    <xf numFmtId="0" fontId="29" fillId="0" borderId="0" xfId="0" applyFont="1" applyAlignment="1" applyProtection="1">
      <alignment horizontal="center" vertical="center"/>
    </xf>
    <xf numFmtId="0" fontId="60" fillId="7" borderId="0" xfId="6" applyFont="1" applyFill="1" applyBorder="1" applyAlignment="1">
      <alignment horizontal="center" wrapText="1"/>
    </xf>
    <xf numFmtId="0" fontId="61" fillId="7" borderId="0" xfId="6" applyFont="1" applyFill="1" applyBorder="1" applyAlignment="1">
      <alignment horizontal="center" wrapText="1"/>
    </xf>
    <xf numFmtId="167" fontId="8" fillId="6" borderId="1" xfId="2" applyNumberFormat="1" applyFont="1" applyFill="1" applyBorder="1" applyAlignment="1" applyProtection="1">
      <alignment horizontal="center" vertical="center"/>
    </xf>
    <xf numFmtId="9" fontId="9" fillId="0" borderId="8" xfId="2" applyFont="1" applyBorder="1" applyAlignment="1" applyProtection="1">
      <alignment vertical="center" wrapText="1"/>
    </xf>
    <xf numFmtId="10" fontId="48" fillId="6" borderId="1" xfId="2" applyNumberFormat="1" applyFont="1" applyFill="1" applyBorder="1" applyAlignment="1" applyProtection="1">
      <alignment horizontal="center" vertical="center"/>
    </xf>
    <xf numFmtId="9" fontId="9" fillId="0" borderId="8" xfId="2" applyFont="1" applyBorder="1" applyAlignment="1" applyProtection="1">
      <alignment horizontal="left" vertical="center" wrapText="1"/>
    </xf>
    <xf numFmtId="0" fontId="66" fillId="0" borderId="1" xfId="0" applyFont="1" applyBorder="1" applyAlignment="1" applyProtection="1">
      <alignment horizontal="center" vertical="center" wrapText="1"/>
    </xf>
    <xf numFmtId="0" fontId="41" fillId="6" borderId="5" xfId="0" applyFont="1" applyFill="1" applyBorder="1" applyAlignment="1" applyProtection="1">
      <alignment horizontal="left" wrapText="1"/>
    </xf>
    <xf numFmtId="9" fontId="9" fillId="0" borderId="0" xfId="2" applyFont="1" applyBorder="1" applyAlignment="1" applyProtection="1">
      <alignment horizontal="left" vertical="center"/>
    </xf>
    <xf numFmtId="9" fontId="9" fillId="0" borderId="8" xfId="2" applyFont="1" applyBorder="1" applyAlignment="1" applyProtection="1">
      <alignment horizontal="left" vertical="center"/>
    </xf>
    <xf numFmtId="9" fontId="65" fillId="6" borderId="1" xfId="2" applyNumberFormat="1" applyFont="1" applyFill="1" applyBorder="1" applyAlignment="1" applyProtection="1">
      <alignment horizontal="center" vertical="center" wrapText="1"/>
    </xf>
    <xf numFmtId="0" fontId="65" fillId="6" borderId="1" xfId="2" applyNumberFormat="1" applyFont="1" applyFill="1" applyBorder="1" applyAlignment="1" applyProtection="1">
      <alignment horizontal="center" vertical="center" wrapText="1"/>
    </xf>
    <xf numFmtId="0" fontId="41" fillId="6" borderId="3" xfId="0" applyFont="1" applyFill="1" applyBorder="1" applyAlignment="1" applyProtection="1">
      <alignment horizontal="left" vertical="center" wrapText="1"/>
    </xf>
    <xf numFmtId="0" fontId="5" fillId="0" borderId="0" xfId="0" applyFont="1" applyAlignment="1" applyProtection="1">
      <alignment horizontal="center" vertical="center" wrapText="1"/>
    </xf>
    <xf numFmtId="0" fontId="5" fillId="0" borderId="8" xfId="0" applyFont="1" applyBorder="1" applyAlignment="1" applyProtection="1">
      <alignment horizontal="center" vertical="center" wrapText="1"/>
    </xf>
    <xf numFmtId="0" fontId="5" fillId="0" borderId="0" xfId="0" applyFont="1" applyBorder="1" applyAlignment="1" applyProtection="1">
      <alignment horizontal="center" vertical="center" wrapText="1"/>
    </xf>
    <xf numFmtId="9" fontId="8" fillId="0" borderId="0" xfId="2" applyFont="1" applyBorder="1" applyAlignment="1" applyProtection="1">
      <alignment horizontal="center" vertical="center" wrapText="1"/>
    </xf>
    <xf numFmtId="167" fontId="28" fillId="6" borderId="0" xfId="2" applyNumberFormat="1" applyFont="1" applyFill="1" applyBorder="1" applyAlignment="1" applyProtection="1">
      <alignment horizontal="center" vertical="center"/>
    </xf>
    <xf numFmtId="3" fontId="7" fillId="0" borderId="2" xfId="1" applyNumberFormat="1" applyFont="1" applyBorder="1" applyAlignment="1" applyProtection="1">
      <alignment horizontal="center" vertical="center"/>
    </xf>
    <xf numFmtId="3" fontId="7" fillId="0" borderId="3" xfId="1" applyNumberFormat="1" applyFont="1" applyBorder="1" applyAlignment="1" applyProtection="1">
      <alignment horizontal="center" vertical="center"/>
    </xf>
    <xf numFmtId="3" fontId="7" fillId="0" borderId="4" xfId="1" applyNumberFormat="1" applyFont="1" applyBorder="1" applyAlignment="1" applyProtection="1">
      <alignment horizontal="center" vertical="center"/>
    </xf>
    <xf numFmtId="0" fontId="0" fillId="0" borderId="3" xfId="0" applyBorder="1" applyAlignment="1" applyProtection="1">
      <alignment horizontal="center"/>
    </xf>
    <xf numFmtId="0" fontId="4" fillId="0" borderId="3" xfId="0" applyFont="1" applyBorder="1" applyAlignment="1" applyProtection="1">
      <alignment horizontal="center" vertical="center" wrapText="1"/>
    </xf>
    <xf numFmtId="9" fontId="7" fillId="0" borderId="1" xfId="2" applyFont="1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/>
    </xf>
    <xf numFmtId="3" fontId="7" fillId="6" borderId="1" xfId="1" applyNumberFormat="1" applyFont="1" applyFill="1" applyBorder="1" applyAlignment="1" applyProtection="1">
      <alignment horizontal="center" vertical="center"/>
    </xf>
    <xf numFmtId="0" fontId="27" fillId="0" borderId="0" xfId="0" applyFont="1" applyBorder="1" applyAlignment="1" applyProtection="1">
      <alignment horizontal="right" vertical="center"/>
    </xf>
    <xf numFmtId="0" fontId="27" fillId="0" borderId="0" xfId="0" applyFont="1" applyBorder="1" applyAlignment="1" applyProtection="1">
      <alignment horizontal="left"/>
    </xf>
    <xf numFmtId="0" fontId="5" fillId="6" borderId="1" xfId="0" applyFont="1" applyFill="1" applyBorder="1" applyAlignment="1" applyProtection="1">
      <alignment horizontal="center" vertical="center" wrapText="1"/>
    </xf>
    <xf numFmtId="3" fontId="8" fillId="6" borderId="1" xfId="2" applyNumberFormat="1" applyFont="1" applyFill="1" applyBorder="1" applyAlignment="1" applyProtection="1">
      <alignment horizontal="center" vertical="center"/>
    </xf>
    <xf numFmtId="3" fontId="8" fillId="6" borderId="2" xfId="2" applyNumberFormat="1" applyFont="1" applyFill="1" applyBorder="1" applyAlignment="1" applyProtection="1">
      <alignment horizontal="center" vertical="center"/>
    </xf>
    <xf numFmtId="3" fontId="8" fillId="6" borderId="4" xfId="2" applyNumberFormat="1" applyFont="1" applyFill="1" applyBorder="1" applyAlignment="1" applyProtection="1">
      <alignment horizontal="center" vertical="center"/>
    </xf>
    <xf numFmtId="0" fontId="5" fillId="6" borderId="2" xfId="0" applyFont="1" applyFill="1" applyBorder="1" applyAlignment="1" applyProtection="1">
      <alignment horizontal="center" vertical="center" wrapText="1"/>
    </xf>
    <xf numFmtId="0" fontId="5" fillId="6" borderId="4" xfId="0" applyFont="1" applyFill="1" applyBorder="1" applyAlignment="1" applyProtection="1">
      <alignment horizontal="center" vertical="center" wrapText="1"/>
    </xf>
    <xf numFmtId="3" fontId="8" fillId="6" borderId="3" xfId="2" applyNumberFormat="1" applyFont="1" applyFill="1" applyBorder="1" applyAlignment="1" applyProtection="1">
      <alignment horizontal="center" vertical="center"/>
    </xf>
    <xf numFmtId="0" fontId="5" fillId="0" borderId="2" xfId="0" applyFont="1" applyBorder="1" applyAlignment="1" applyProtection="1">
      <alignment horizontal="center" vertical="center" wrapText="1"/>
    </xf>
    <xf numFmtId="0" fontId="5" fillId="0" borderId="3" xfId="0" applyFont="1" applyBorder="1" applyAlignment="1" applyProtection="1">
      <alignment horizontal="center" vertical="center" wrapText="1"/>
    </xf>
    <xf numFmtId="0" fontId="27" fillId="0" borderId="2" xfId="0" applyFont="1" applyBorder="1" applyAlignment="1" applyProtection="1">
      <alignment horizontal="center" vertical="center" wrapText="1"/>
    </xf>
    <xf numFmtId="0" fontId="27" fillId="0" borderId="4" xfId="0" applyFont="1" applyBorder="1" applyAlignment="1" applyProtection="1">
      <alignment horizontal="center" vertical="center" wrapText="1"/>
    </xf>
    <xf numFmtId="3" fontId="28" fillId="6" borderId="0" xfId="1" applyNumberFormat="1" applyFont="1" applyFill="1" applyBorder="1" applyAlignment="1" applyProtection="1">
      <alignment horizontal="center" vertical="center"/>
    </xf>
    <xf numFmtId="0" fontId="4" fillId="0" borderId="5" xfId="0" applyFont="1" applyBorder="1" applyAlignment="1" applyProtection="1">
      <alignment horizontal="center" vertical="center" wrapText="1"/>
    </xf>
    <xf numFmtId="3" fontId="7" fillId="0" borderId="1" xfId="1" applyNumberFormat="1" applyFont="1" applyBorder="1" applyAlignment="1" applyProtection="1">
      <alignment horizontal="center" vertical="center"/>
    </xf>
    <xf numFmtId="0" fontId="66" fillId="0" borderId="2" xfId="0" applyFont="1" applyBorder="1" applyAlignment="1" applyProtection="1">
      <alignment horizontal="center" vertical="center" wrapText="1"/>
    </xf>
    <xf numFmtId="0" fontId="66" fillId="0" borderId="4" xfId="0" applyFont="1" applyBorder="1" applyAlignment="1" applyProtection="1">
      <alignment horizontal="center" vertical="center" wrapText="1"/>
    </xf>
    <xf numFmtId="0" fontId="27" fillId="0" borderId="0" xfId="0" applyFont="1" applyAlignment="1" applyProtection="1">
      <alignment vertical="center"/>
    </xf>
    <xf numFmtId="0" fontId="0" fillId="6" borderId="3" xfId="0" applyFill="1" applyBorder="1" applyAlignment="1" applyProtection="1">
      <alignment horizontal="left" vertical="center" wrapText="1"/>
    </xf>
    <xf numFmtId="0" fontId="37" fillId="4" borderId="0" xfId="0" applyFont="1" applyFill="1" applyBorder="1" applyAlignment="1" applyProtection="1">
      <alignment horizontal="center" vertical="center" wrapText="1"/>
    </xf>
    <xf numFmtId="0" fontId="37" fillId="4" borderId="9" xfId="0" applyFont="1" applyFill="1" applyBorder="1" applyAlignment="1" applyProtection="1">
      <alignment horizontal="center" vertical="center" wrapText="1"/>
    </xf>
    <xf numFmtId="0" fontId="33" fillId="6" borderId="2" xfId="3" applyFont="1" applyFill="1" applyBorder="1" applyAlignment="1" applyProtection="1">
      <alignment horizontal="center" vertical="center" wrapText="1"/>
    </xf>
    <xf numFmtId="0" fontId="33" fillId="6" borderId="3" xfId="3" applyFont="1" applyFill="1" applyBorder="1" applyAlignment="1" applyProtection="1">
      <alignment horizontal="center" vertical="center" wrapText="1"/>
    </xf>
    <xf numFmtId="0" fontId="33" fillId="6" borderId="4" xfId="3" applyFont="1" applyFill="1" applyBorder="1" applyAlignment="1" applyProtection="1">
      <alignment horizontal="center" vertical="center" wrapText="1"/>
    </xf>
    <xf numFmtId="0" fontId="33" fillId="0" borderId="2" xfId="3" applyFont="1" applyBorder="1" applyAlignment="1" applyProtection="1">
      <alignment horizontal="center" vertical="center" wrapText="1"/>
    </xf>
    <xf numFmtId="0" fontId="33" fillId="0" borderId="3" xfId="3" applyFont="1" applyBorder="1" applyAlignment="1" applyProtection="1">
      <alignment horizontal="center" vertical="center" wrapText="1"/>
    </xf>
    <xf numFmtId="0" fontId="33" fillId="0" borderId="4" xfId="3" applyFont="1" applyBorder="1" applyAlignment="1" applyProtection="1">
      <alignment horizontal="center" vertical="center" wrapText="1"/>
    </xf>
    <xf numFmtId="0" fontId="33" fillId="0" borderId="1" xfId="3" applyFont="1" applyBorder="1" applyAlignment="1" applyProtection="1">
      <alignment horizontal="center" vertical="center" wrapText="1"/>
    </xf>
  </cellXfs>
  <cellStyles count="8">
    <cellStyle name="Excel Built-in Percent" xfId="7" xr:uid="{C18440C9-7989-4F94-836D-264BD0653A4E}"/>
    <cellStyle name="Обычный" xfId="0" builtinId="0"/>
    <cellStyle name="Обычный 2" xfId="6" xr:uid="{C7181535-6DE3-4FEA-83C0-23C73A830FF3}"/>
    <cellStyle name="Обычный_7.1. ТЭО (RH)" xfId="3" xr:uid="{00000000-0005-0000-0000-000001000000}"/>
    <cellStyle name="Процентный" xfId="2" builtinId="5"/>
    <cellStyle name="Процентный 2" xfId="4" xr:uid="{00000000-0005-0000-0000-000003000000}"/>
    <cellStyle name="Финансовый" xfId="1" builtinId="3"/>
    <cellStyle name="Финансовый 2" xfId="5" xr:uid="{00000000-0005-0000-0000-000005000000}"/>
  </cellStyles>
  <dxfs count="39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Drop" dropLines="4" dropStyle="combo" dx="22" fmlaLink="$O$2" fmlaRange="$P$2:$P$5" sel="1" val="0"/>
</file>

<file path=xl/ctrlProps/ctrlProp2.xml><?xml version="1.0" encoding="utf-8"?>
<formControlPr xmlns="http://schemas.microsoft.com/office/spreadsheetml/2009/9/main" objectType="Drop" dropLines="12" dropStyle="combo" dx="22" fmlaLink="Q$2" fmlaRange="$R$2:$R$13" sel="1" val="0"/>
</file>

<file path=xl/ctrlProps/ctrlProp3.xml><?xml version="1.0" encoding="utf-8"?>
<formControlPr xmlns="http://schemas.microsoft.com/office/spreadsheetml/2009/9/main" objectType="Drop" dropLines="2" dropStyle="combo" dx="22" fmlaLink="$U$2" fmlaRange="$V$2:$V$3" sel="2" val="0"/>
</file>

<file path=xl/ctrlProps/ctrlProp4.xml><?xml version="1.0" encoding="utf-8"?>
<formControlPr xmlns="http://schemas.microsoft.com/office/spreadsheetml/2009/9/main" objectType="Drop" dropLines="2" dropStyle="combo" dx="22" fmlaLink="$P$1" fmlaRange="$Q$1:$Q$2" sel="2" val="0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image" Target="../media/image12.png"/><Relationship Id="rId18" Type="http://schemas.openxmlformats.org/officeDocument/2006/relationships/image" Target="../media/image17.png"/><Relationship Id="rId3" Type="http://schemas.openxmlformats.org/officeDocument/2006/relationships/image" Target="../media/image2.png"/><Relationship Id="rId7" Type="http://schemas.openxmlformats.org/officeDocument/2006/relationships/image" Target="../media/image6.png"/><Relationship Id="rId12" Type="http://schemas.openxmlformats.org/officeDocument/2006/relationships/image" Target="../media/image11.png"/><Relationship Id="rId17" Type="http://schemas.openxmlformats.org/officeDocument/2006/relationships/image" Target="../media/image18.png"/><Relationship Id="rId2" Type="http://schemas.openxmlformats.org/officeDocument/2006/relationships/image" Target="../media/image16.png"/><Relationship Id="rId16" Type="http://schemas.openxmlformats.org/officeDocument/2006/relationships/image" Target="../media/image15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11" Type="http://schemas.openxmlformats.org/officeDocument/2006/relationships/image" Target="../media/image10.png"/><Relationship Id="rId5" Type="http://schemas.openxmlformats.org/officeDocument/2006/relationships/image" Target="../media/image4.png"/><Relationship Id="rId15" Type="http://schemas.openxmlformats.org/officeDocument/2006/relationships/image" Target="../media/image14.png"/><Relationship Id="rId10" Type="http://schemas.openxmlformats.org/officeDocument/2006/relationships/image" Target="../media/image9.png"/><Relationship Id="rId4" Type="http://schemas.openxmlformats.org/officeDocument/2006/relationships/image" Target="../media/image3.png"/><Relationship Id="rId9" Type="http://schemas.openxmlformats.org/officeDocument/2006/relationships/image" Target="../media/image8.png"/><Relationship Id="rId14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83</xdr:row>
      <xdr:rowOff>26175</xdr:rowOff>
    </xdr:from>
    <xdr:to>
      <xdr:col>0</xdr:col>
      <xdr:colOff>542100</xdr:colOff>
      <xdr:row>83</xdr:row>
      <xdr:rowOff>530175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25657950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49875</xdr:colOff>
      <xdr:row>84</xdr:row>
      <xdr:rowOff>21300</xdr:rowOff>
    </xdr:from>
    <xdr:to>
      <xdr:col>0</xdr:col>
      <xdr:colOff>553875</xdr:colOff>
      <xdr:row>84</xdr:row>
      <xdr:rowOff>525300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75" y="26186475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67</xdr:row>
      <xdr:rowOff>9525</xdr:rowOff>
    </xdr:from>
    <xdr:to>
      <xdr:col>0</xdr:col>
      <xdr:colOff>551625</xdr:colOff>
      <xdr:row>67</xdr:row>
      <xdr:rowOff>513525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6535400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42867</xdr:colOff>
      <xdr:row>49</xdr:row>
      <xdr:rowOff>28578</xdr:rowOff>
    </xdr:from>
    <xdr:to>
      <xdr:col>0</xdr:col>
      <xdr:colOff>546867</xdr:colOff>
      <xdr:row>49</xdr:row>
      <xdr:rowOff>532578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7" y="13158791"/>
          <a:ext cx="504000" cy="5040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704850</xdr:colOff>
          <xdr:row>2</xdr:row>
          <xdr:rowOff>57150</xdr:rowOff>
        </xdr:from>
        <xdr:to>
          <xdr:col>4</xdr:col>
          <xdr:colOff>826770</xdr:colOff>
          <xdr:row>2</xdr:row>
          <xdr:rowOff>342900</xdr:rowOff>
        </xdr:to>
        <xdr:sp macro="" textlink="">
          <xdr:nvSpPr>
            <xdr:cNvPr id="4097" name="Drop Down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0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0</xdr:col>
      <xdr:colOff>47622</xdr:colOff>
      <xdr:row>47</xdr:row>
      <xdr:rowOff>12814</xdr:rowOff>
    </xdr:from>
    <xdr:to>
      <xdr:col>0</xdr:col>
      <xdr:colOff>551622</xdr:colOff>
      <xdr:row>47</xdr:row>
      <xdr:rowOff>516815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2" y="12133377"/>
          <a:ext cx="504000" cy="504001"/>
        </a:xfrm>
        <a:prstGeom prst="rect">
          <a:avLst/>
        </a:prstGeom>
      </xdr:spPr>
    </xdr:pic>
    <xdr:clientData/>
  </xdr:twoCellAnchor>
  <xdr:twoCellAnchor editAs="oneCell">
    <xdr:from>
      <xdr:col>0</xdr:col>
      <xdr:colOff>50426</xdr:colOff>
      <xdr:row>48</xdr:row>
      <xdr:rowOff>23815</xdr:rowOff>
    </xdr:from>
    <xdr:to>
      <xdr:col>0</xdr:col>
      <xdr:colOff>554426</xdr:colOff>
      <xdr:row>48</xdr:row>
      <xdr:rowOff>523331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26" y="12649203"/>
          <a:ext cx="504000" cy="499516"/>
        </a:xfrm>
        <a:prstGeom prst="rect">
          <a:avLst/>
        </a:prstGeom>
      </xdr:spPr>
    </xdr:pic>
    <xdr:clientData/>
  </xdr:twoCellAnchor>
  <xdr:twoCellAnchor editAs="oneCell">
    <xdr:from>
      <xdr:col>0</xdr:col>
      <xdr:colOff>53974</xdr:colOff>
      <xdr:row>40</xdr:row>
      <xdr:rowOff>25400</xdr:rowOff>
    </xdr:from>
    <xdr:to>
      <xdr:col>0</xdr:col>
      <xdr:colOff>557974</xdr:colOff>
      <xdr:row>40</xdr:row>
      <xdr:rowOff>529400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974" y="19697700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47623</xdr:colOff>
      <xdr:row>46</xdr:row>
      <xdr:rowOff>90</xdr:rowOff>
    </xdr:from>
    <xdr:to>
      <xdr:col>0</xdr:col>
      <xdr:colOff>551623</xdr:colOff>
      <xdr:row>46</xdr:row>
      <xdr:rowOff>504091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3" y="11615828"/>
          <a:ext cx="504000" cy="504001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76</xdr:row>
      <xdr:rowOff>19050</xdr:rowOff>
    </xdr:from>
    <xdr:to>
      <xdr:col>0</xdr:col>
      <xdr:colOff>551625</xdr:colOff>
      <xdr:row>76</xdr:row>
      <xdr:rowOff>523050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2983825"/>
          <a:ext cx="504000" cy="5040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685800</xdr:colOff>
          <xdr:row>3</xdr:row>
          <xdr:rowOff>49530</xdr:rowOff>
        </xdr:from>
        <xdr:to>
          <xdr:col>4</xdr:col>
          <xdr:colOff>834390</xdr:colOff>
          <xdr:row>3</xdr:row>
          <xdr:rowOff>342900</xdr:rowOff>
        </xdr:to>
        <xdr:sp macro="" textlink="">
          <xdr:nvSpPr>
            <xdr:cNvPr id="4098" name="Drop Down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0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0</xdr:col>
      <xdr:colOff>44824</xdr:colOff>
      <xdr:row>70</xdr:row>
      <xdr:rowOff>22412</xdr:rowOff>
    </xdr:from>
    <xdr:to>
      <xdr:col>0</xdr:col>
      <xdr:colOff>548824</xdr:colOff>
      <xdr:row>70</xdr:row>
      <xdr:rowOff>526412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4824" y="26176941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56030</xdr:colOff>
      <xdr:row>42</xdr:row>
      <xdr:rowOff>501742</xdr:rowOff>
    </xdr:from>
    <xdr:to>
      <xdr:col>0</xdr:col>
      <xdr:colOff>560030</xdr:colOff>
      <xdr:row>43</xdr:row>
      <xdr:rowOff>472903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6030" y="11107830"/>
          <a:ext cx="504000" cy="504561"/>
        </a:xfrm>
        <a:prstGeom prst="rect">
          <a:avLst/>
        </a:prstGeom>
      </xdr:spPr>
    </xdr:pic>
    <xdr:clientData/>
  </xdr:twoCellAnchor>
  <xdr:twoCellAnchor editAs="oneCell">
    <xdr:from>
      <xdr:col>0</xdr:col>
      <xdr:colOff>47630</xdr:colOff>
      <xdr:row>69</xdr:row>
      <xdr:rowOff>0</xdr:rowOff>
    </xdr:from>
    <xdr:to>
      <xdr:col>0</xdr:col>
      <xdr:colOff>551630</xdr:colOff>
      <xdr:row>69</xdr:row>
      <xdr:rowOff>506721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30" y="18030825"/>
          <a:ext cx="504000" cy="506721"/>
        </a:xfrm>
        <a:prstGeom prst="rect">
          <a:avLst/>
        </a:prstGeom>
      </xdr:spPr>
    </xdr:pic>
    <xdr:clientData/>
  </xdr:twoCellAnchor>
  <xdr:twoCellAnchor editAs="oneCell">
    <xdr:from>
      <xdr:col>0</xdr:col>
      <xdr:colOff>53980</xdr:colOff>
      <xdr:row>68</xdr:row>
      <xdr:rowOff>4763</xdr:rowOff>
    </xdr:from>
    <xdr:to>
      <xdr:col>0</xdr:col>
      <xdr:colOff>557980</xdr:colOff>
      <xdr:row>68</xdr:row>
      <xdr:rowOff>511485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3980" y="34047113"/>
          <a:ext cx="504000" cy="506722"/>
        </a:xfrm>
        <a:prstGeom prst="rect">
          <a:avLst/>
        </a:prstGeom>
      </xdr:spPr>
    </xdr:pic>
    <xdr:clientData/>
  </xdr:twoCellAnchor>
  <xdr:twoCellAnchor editAs="oneCell">
    <xdr:from>
      <xdr:col>0</xdr:col>
      <xdr:colOff>52393</xdr:colOff>
      <xdr:row>75</xdr:row>
      <xdr:rowOff>0</xdr:rowOff>
    </xdr:from>
    <xdr:to>
      <xdr:col>0</xdr:col>
      <xdr:colOff>556393</xdr:colOff>
      <xdr:row>75</xdr:row>
      <xdr:rowOff>504561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2393" y="21383625"/>
          <a:ext cx="504000" cy="504561"/>
        </a:xfrm>
        <a:prstGeom prst="rect">
          <a:avLst/>
        </a:prstGeom>
      </xdr:spPr>
    </xdr:pic>
    <xdr:clientData/>
  </xdr:twoCellAnchor>
  <xdr:oneCellAnchor>
    <xdr:from>
      <xdr:col>0</xdr:col>
      <xdr:colOff>38104</xdr:colOff>
      <xdr:row>42</xdr:row>
      <xdr:rowOff>0</xdr:rowOff>
    </xdr:from>
    <xdr:ext cx="517622" cy="506721"/>
    <xdr:pic>
      <xdr:nvPicPr>
        <xdr:cNvPr id="39" name="Рисунок 21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" y="12906374"/>
          <a:ext cx="517622" cy="506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38101</xdr:colOff>
      <xdr:row>77</xdr:row>
      <xdr:rowOff>0</xdr:rowOff>
    </xdr:from>
    <xdr:to>
      <xdr:col>0</xdr:col>
      <xdr:colOff>542101</xdr:colOff>
      <xdr:row>77</xdr:row>
      <xdr:rowOff>504000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62777914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32658</xdr:colOff>
      <xdr:row>43</xdr:row>
      <xdr:rowOff>527957</xdr:rowOff>
    </xdr:from>
    <xdr:to>
      <xdr:col>0</xdr:col>
      <xdr:colOff>536658</xdr:colOff>
      <xdr:row>44</xdr:row>
      <xdr:rowOff>494073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58" y="21597257"/>
          <a:ext cx="504000" cy="499516"/>
        </a:xfrm>
        <a:prstGeom prst="rect">
          <a:avLst/>
        </a:prstGeom>
      </xdr:spPr>
    </xdr:pic>
    <xdr:clientData/>
  </xdr:twoCellAnchor>
  <xdr:oneCellAnchor>
    <xdr:from>
      <xdr:col>0</xdr:col>
      <xdr:colOff>38101</xdr:colOff>
      <xdr:row>78</xdr:row>
      <xdr:rowOff>317500</xdr:rowOff>
    </xdr:from>
    <xdr:ext cx="504000" cy="504000"/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48113950"/>
          <a:ext cx="504000" cy="504000"/>
        </a:xfrm>
        <a:prstGeom prst="rect">
          <a:avLst/>
        </a:prstGeom>
      </xdr:spPr>
    </xdr:pic>
    <xdr:clientData/>
  </xdr:oneCellAnchor>
  <xdr:twoCellAnchor editAs="oneCell">
    <xdr:from>
      <xdr:col>0</xdr:col>
      <xdr:colOff>31750</xdr:colOff>
      <xdr:row>41</xdr:row>
      <xdr:rowOff>25400</xdr:rowOff>
    </xdr:from>
    <xdr:to>
      <xdr:col>0</xdr:col>
      <xdr:colOff>535750</xdr:colOff>
      <xdr:row>41</xdr:row>
      <xdr:rowOff>524916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" y="20027900"/>
          <a:ext cx="504000" cy="499516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74</xdr:row>
      <xdr:rowOff>6350</xdr:rowOff>
    </xdr:from>
    <xdr:to>
      <xdr:col>0</xdr:col>
      <xdr:colOff>562160</xdr:colOff>
      <xdr:row>74</xdr:row>
      <xdr:rowOff>510350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7150" y="43980100"/>
          <a:ext cx="50501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52274</xdr:colOff>
      <xdr:row>81</xdr:row>
      <xdr:rowOff>23700</xdr:rowOff>
    </xdr:from>
    <xdr:to>
      <xdr:col>0</xdr:col>
      <xdr:colOff>592274</xdr:colOff>
      <xdr:row>81</xdr:row>
      <xdr:rowOff>515580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74" y="40741170"/>
          <a:ext cx="540000" cy="491880"/>
        </a:xfrm>
        <a:prstGeom prst="rect">
          <a:avLst/>
        </a:prstGeom>
      </xdr:spPr>
    </xdr:pic>
    <xdr:clientData/>
  </xdr:twoCellAnchor>
  <xdr:oneCellAnchor>
    <xdr:from>
      <xdr:col>0</xdr:col>
      <xdr:colOff>52274</xdr:colOff>
      <xdr:row>82</xdr:row>
      <xdr:rowOff>23700</xdr:rowOff>
    </xdr:from>
    <xdr:ext cx="540000" cy="491880"/>
    <xdr:pic>
      <xdr:nvPicPr>
        <xdr:cNvPr id="48" name="Рисунок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74" y="41830830"/>
          <a:ext cx="540000" cy="491880"/>
        </a:xfrm>
        <a:prstGeom prst="rect">
          <a:avLst/>
        </a:prstGeom>
      </xdr:spPr>
    </xdr:pic>
    <xdr:clientData/>
  </xdr:oneCellAnchor>
  <xdr:oneCellAnchor>
    <xdr:from>
      <xdr:col>0</xdr:col>
      <xdr:colOff>52274</xdr:colOff>
      <xdr:row>80</xdr:row>
      <xdr:rowOff>23700</xdr:rowOff>
    </xdr:from>
    <xdr:ext cx="540000" cy="491880"/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74" y="40196340"/>
          <a:ext cx="540000" cy="491880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2</xdr:row>
          <xdr:rowOff>45720</xdr:rowOff>
        </xdr:from>
        <xdr:to>
          <xdr:col>7</xdr:col>
          <xdr:colOff>1695450</xdr:colOff>
          <xdr:row>2</xdr:row>
          <xdr:rowOff>331470</xdr:rowOff>
        </xdr:to>
        <xdr:sp macro="" textlink="">
          <xdr:nvSpPr>
            <xdr:cNvPr id="4099" name="Drop Down 1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0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0</xdr:col>
      <xdr:colOff>44450</xdr:colOff>
      <xdr:row>45</xdr:row>
      <xdr:rowOff>12700</xdr:rowOff>
    </xdr:from>
    <xdr:to>
      <xdr:col>0</xdr:col>
      <xdr:colOff>548450</xdr:colOff>
      <xdr:row>45</xdr:row>
      <xdr:rowOff>512216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" y="22148800"/>
          <a:ext cx="504000" cy="499516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72</xdr:row>
      <xdr:rowOff>0</xdr:rowOff>
    </xdr:from>
    <xdr:to>
      <xdr:col>0</xdr:col>
      <xdr:colOff>542100</xdr:colOff>
      <xdr:row>72</xdr:row>
      <xdr:rowOff>504000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37896800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73</xdr:row>
      <xdr:rowOff>0</xdr:rowOff>
    </xdr:from>
    <xdr:to>
      <xdr:col>0</xdr:col>
      <xdr:colOff>542100</xdr:colOff>
      <xdr:row>73</xdr:row>
      <xdr:rowOff>504000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38989000"/>
          <a:ext cx="504000" cy="504000"/>
        </a:xfrm>
        <a:prstGeom prst="rect">
          <a:avLst/>
        </a:prstGeom>
      </xdr:spPr>
    </xdr:pic>
    <xdr:clientData/>
  </xdr:twoCellAnchor>
  <xdr:oneCellAnchor>
    <xdr:from>
      <xdr:col>0</xdr:col>
      <xdr:colOff>38100</xdr:colOff>
      <xdr:row>71</xdr:row>
      <xdr:rowOff>0</xdr:rowOff>
    </xdr:from>
    <xdr:ext cx="504000" cy="504000"/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8100" y="37896800"/>
          <a:ext cx="504000" cy="50400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56</xdr:row>
      <xdr:rowOff>26175</xdr:rowOff>
    </xdr:from>
    <xdr:ext cx="504000" cy="504000"/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7399775"/>
          <a:ext cx="504000" cy="504000"/>
        </a:xfrm>
        <a:prstGeom prst="rect">
          <a:avLst/>
        </a:prstGeom>
      </xdr:spPr>
    </xdr:pic>
    <xdr:clientData/>
  </xdr:oneCellAnchor>
  <xdr:oneCellAnchor>
    <xdr:from>
      <xdr:col>0</xdr:col>
      <xdr:colOff>52274</xdr:colOff>
      <xdr:row>55</xdr:row>
      <xdr:rowOff>23700</xdr:rowOff>
    </xdr:from>
    <xdr:ext cx="540000" cy="491880"/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74" y="17214420"/>
          <a:ext cx="540000" cy="491880"/>
        </a:xfrm>
        <a:prstGeom prst="rect">
          <a:avLst/>
        </a:prstGeom>
      </xdr:spPr>
    </xdr:pic>
    <xdr:clientData/>
  </xdr:oneCellAnchor>
  <xdr:oneCellAnchor>
    <xdr:from>
      <xdr:col>0</xdr:col>
      <xdr:colOff>49875</xdr:colOff>
      <xdr:row>57</xdr:row>
      <xdr:rowOff>21300</xdr:rowOff>
    </xdr:from>
    <xdr:ext cx="504000" cy="504000"/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75" y="17577780"/>
          <a:ext cx="504000" cy="504000"/>
        </a:xfrm>
        <a:prstGeom prst="rect">
          <a:avLst/>
        </a:prstGeom>
      </xdr:spPr>
    </xdr:pic>
    <xdr:clientData/>
  </xdr:oneCellAnchor>
  <xdr:oneCellAnchor>
    <xdr:from>
      <xdr:col>0</xdr:col>
      <xdr:colOff>47625</xdr:colOff>
      <xdr:row>42</xdr:row>
      <xdr:rowOff>9525</xdr:rowOff>
    </xdr:from>
    <xdr:ext cx="504000" cy="504000"/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5371445"/>
          <a:ext cx="504000" cy="504000"/>
        </a:xfrm>
        <a:prstGeom prst="rect">
          <a:avLst/>
        </a:prstGeom>
      </xdr:spPr>
    </xdr:pic>
    <xdr:clientData/>
  </xdr:oneCellAnchor>
  <xdr:oneCellAnchor>
    <xdr:from>
      <xdr:col>0</xdr:col>
      <xdr:colOff>42867</xdr:colOff>
      <xdr:row>26</xdr:row>
      <xdr:rowOff>28578</xdr:rowOff>
    </xdr:from>
    <xdr:ext cx="504000" cy="504000"/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7" y="12098658"/>
          <a:ext cx="504000" cy="504000"/>
        </a:xfrm>
        <a:prstGeom prst="rect">
          <a:avLst/>
        </a:prstGeom>
      </xdr:spPr>
    </xdr:pic>
    <xdr:clientData/>
  </xdr:oneCellAnchor>
  <xdr:oneCellAnchor>
    <xdr:from>
      <xdr:col>0</xdr:col>
      <xdr:colOff>47622</xdr:colOff>
      <xdr:row>24</xdr:row>
      <xdr:rowOff>12814</xdr:rowOff>
    </xdr:from>
    <xdr:ext cx="504000" cy="504001"/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2" y="11534254"/>
          <a:ext cx="504000" cy="504001"/>
        </a:xfrm>
        <a:prstGeom prst="rect">
          <a:avLst/>
        </a:prstGeom>
      </xdr:spPr>
    </xdr:pic>
    <xdr:clientData/>
  </xdr:oneCellAnchor>
  <xdr:oneCellAnchor>
    <xdr:from>
      <xdr:col>0</xdr:col>
      <xdr:colOff>50426</xdr:colOff>
      <xdr:row>25</xdr:row>
      <xdr:rowOff>23815</xdr:rowOff>
    </xdr:from>
    <xdr:ext cx="504000" cy="499516"/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26" y="11728135"/>
          <a:ext cx="504000" cy="499516"/>
        </a:xfrm>
        <a:prstGeom prst="rect">
          <a:avLst/>
        </a:prstGeom>
      </xdr:spPr>
    </xdr:pic>
    <xdr:clientData/>
  </xdr:oneCellAnchor>
  <xdr:oneCellAnchor>
    <xdr:from>
      <xdr:col>0</xdr:col>
      <xdr:colOff>47624</xdr:colOff>
      <xdr:row>17</xdr:row>
      <xdr:rowOff>0</xdr:rowOff>
    </xdr:from>
    <xdr:ext cx="504000" cy="504000"/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4" y="10058400"/>
          <a:ext cx="504000" cy="504000"/>
        </a:xfrm>
        <a:prstGeom prst="rect">
          <a:avLst/>
        </a:prstGeom>
      </xdr:spPr>
    </xdr:pic>
    <xdr:clientData/>
  </xdr:oneCellAnchor>
  <xdr:oneCellAnchor>
    <xdr:from>
      <xdr:col>0</xdr:col>
      <xdr:colOff>47623</xdr:colOff>
      <xdr:row>23</xdr:row>
      <xdr:rowOff>90</xdr:rowOff>
    </xdr:from>
    <xdr:ext cx="504000" cy="504001"/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3" y="11338650"/>
          <a:ext cx="504000" cy="504001"/>
        </a:xfrm>
        <a:prstGeom prst="rect">
          <a:avLst/>
        </a:prstGeom>
      </xdr:spPr>
    </xdr:pic>
    <xdr:clientData/>
  </xdr:oneCellAnchor>
  <xdr:oneCellAnchor>
    <xdr:from>
      <xdr:col>0</xdr:col>
      <xdr:colOff>47625</xdr:colOff>
      <xdr:row>51</xdr:row>
      <xdr:rowOff>19050</xdr:rowOff>
    </xdr:from>
    <xdr:ext cx="504000" cy="504000"/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6844010"/>
          <a:ext cx="504000" cy="504000"/>
        </a:xfrm>
        <a:prstGeom prst="rect">
          <a:avLst/>
        </a:prstGeom>
      </xdr:spPr>
    </xdr:pic>
    <xdr:clientData/>
  </xdr:oneCellAnchor>
  <xdr:oneCellAnchor>
    <xdr:from>
      <xdr:col>0</xdr:col>
      <xdr:colOff>44824</xdr:colOff>
      <xdr:row>45</xdr:row>
      <xdr:rowOff>22412</xdr:rowOff>
    </xdr:from>
    <xdr:ext cx="504000" cy="504000"/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4824" y="16115852"/>
          <a:ext cx="504000" cy="504000"/>
        </a:xfrm>
        <a:prstGeom prst="rect">
          <a:avLst/>
        </a:prstGeom>
      </xdr:spPr>
    </xdr:pic>
    <xdr:clientData/>
  </xdr:oneCellAnchor>
  <xdr:oneCellAnchor>
    <xdr:from>
      <xdr:col>0</xdr:col>
      <xdr:colOff>56030</xdr:colOff>
      <xdr:row>19</xdr:row>
      <xdr:rowOff>501742</xdr:rowOff>
    </xdr:from>
    <xdr:ext cx="504000" cy="504561"/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6030" y="11154502"/>
          <a:ext cx="504000" cy="504561"/>
        </a:xfrm>
        <a:prstGeom prst="rect">
          <a:avLst/>
        </a:prstGeom>
      </xdr:spPr>
    </xdr:pic>
    <xdr:clientData/>
  </xdr:oneCellAnchor>
  <xdr:oneCellAnchor>
    <xdr:from>
      <xdr:col>0</xdr:col>
      <xdr:colOff>47630</xdr:colOff>
      <xdr:row>44</xdr:row>
      <xdr:rowOff>0</xdr:rowOff>
    </xdr:from>
    <xdr:ext cx="504000" cy="506721"/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30" y="15910560"/>
          <a:ext cx="504000" cy="506721"/>
        </a:xfrm>
        <a:prstGeom prst="rect">
          <a:avLst/>
        </a:prstGeom>
      </xdr:spPr>
    </xdr:pic>
    <xdr:clientData/>
  </xdr:oneCellAnchor>
  <xdr:oneCellAnchor>
    <xdr:from>
      <xdr:col>0</xdr:col>
      <xdr:colOff>47630</xdr:colOff>
      <xdr:row>43</xdr:row>
      <xdr:rowOff>4763</xdr:rowOff>
    </xdr:from>
    <xdr:ext cx="504000" cy="506722"/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7630" y="15732443"/>
          <a:ext cx="504000" cy="506722"/>
        </a:xfrm>
        <a:prstGeom prst="rect">
          <a:avLst/>
        </a:prstGeom>
      </xdr:spPr>
    </xdr:pic>
    <xdr:clientData/>
  </xdr:oneCellAnchor>
  <xdr:oneCellAnchor>
    <xdr:from>
      <xdr:col>0</xdr:col>
      <xdr:colOff>52393</xdr:colOff>
      <xdr:row>50</xdr:row>
      <xdr:rowOff>0</xdr:rowOff>
    </xdr:from>
    <xdr:ext cx="504000" cy="504561"/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2393" y="16642080"/>
          <a:ext cx="504000" cy="504561"/>
        </a:xfrm>
        <a:prstGeom prst="rect">
          <a:avLst/>
        </a:prstGeom>
      </xdr:spPr>
    </xdr:pic>
    <xdr:clientData/>
  </xdr:oneCellAnchor>
  <xdr:oneCellAnchor>
    <xdr:from>
      <xdr:col>0</xdr:col>
      <xdr:colOff>38104</xdr:colOff>
      <xdr:row>19</xdr:row>
      <xdr:rowOff>0</xdr:rowOff>
    </xdr:from>
    <xdr:ext cx="517622" cy="506721"/>
    <xdr:pic>
      <xdr:nvPicPr>
        <xdr:cNvPr id="31" name="Рисунок 21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" y="10972799"/>
          <a:ext cx="517622" cy="506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32658</xdr:colOff>
      <xdr:row>52</xdr:row>
      <xdr:rowOff>0</xdr:rowOff>
    </xdr:from>
    <xdr:ext cx="504000" cy="504000"/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58" y="35242500"/>
          <a:ext cx="504000" cy="504000"/>
        </a:xfrm>
        <a:prstGeom prst="rect">
          <a:avLst/>
        </a:prstGeom>
      </xdr:spPr>
    </xdr:pic>
    <xdr:clientData/>
  </xdr:oneCellAnchor>
  <xdr:oneCellAnchor>
    <xdr:from>
      <xdr:col>0</xdr:col>
      <xdr:colOff>32658</xdr:colOff>
      <xdr:row>20</xdr:row>
      <xdr:rowOff>527957</xdr:rowOff>
    </xdr:from>
    <xdr:ext cx="504000" cy="499516"/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58" y="12812486"/>
          <a:ext cx="504000" cy="499516"/>
        </a:xfrm>
        <a:prstGeom prst="rect">
          <a:avLst/>
        </a:prstGeom>
      </xdr:spPr>
    </xdr:pic>
    <xdr:clientData/>
  </xdr:oneCellAnchor>
  <xdr:oneCellAnchor>
    <xdr:from>
      <xdr:col>0</xdr:col>
      <xdr:colOff>32658</xdr:colOff>
      <xdr:row>53</xdr:row>
      <xdr:rowOff>0</xdr:rowOff>
    </xdr:from>
    <xdr:ext cx="504000" cy="504000"/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58" y="27638829"/>
          <a:ext cx="504000" cy="504000"/>
        </a:xfrm>
        <a:prstGeom prst="rect">
          <a:avLst/>
        </a:prstGeom>
      </xdr:spPr>
    </xdr:pic>
    <xdr:clientData/>
  </xdr:oneCellAnchor>
  <xdr:oneCellAnchor>
    <xdr:from>
      <xdr:col>0</xdr:col>
      <xdr:colOff>54430</xdr:colOff>
      <xdr:row>18</xdr:row>
      <xdr:rowOff>0</xdr:rowOff>
    </xdr:from>
    <xdr:ext cx="504000" cy="499516"/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30" y="9780814"/>
          <a:ext cx="504000" cy="499516"/>
        </a:xfrm>
        <a:prstGeom prst="rect">
          <a:avLst/>
        </a:prstGeom>
      </xdr:spPr>
    </xdr:pic>
    <xdr:clientData/>
  </xdr:oneCellAnchor>
  <xdr:twoCellAnchor editAs="oneCell">
    <xdr:from>
      <xdr:col>0</xdr:col>
      <xdr:colOff>39008</xdr:colOff>
      <xdr:row>49</xdr:row>
      <xdr:rowOff>5443</xdr:rowOff>
    </xdr:from>
    <xdr:to>
      <xdr:col>0</xdr:col>
      <xdr:colOff>544018</xdr:colOff>
      <xdr:row>49</xdr:row>
      <xdr:rowOff>509443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9008" y="26599243"/>
          <a:ext cx="505010" cy="504000"/>
        </a:xfrm>
        <a:prstGeom prst="rect">
          <a:avLst/>
        </a:prstGeom>
      </xdr:spPr>
    </xdr:pic>
    <xdr:clientData/>
  </xdr:twoCellAnchor>
  <xdr:oneCellAnchor>
    <xdr:from>
      <xdr:col>0</xdr:col>
      <xdr:colOff>43544</xdr:colOff>
      <xdr:row>40</xdr:row>
      <xdr:rowOff>0</xdr:rowOff>
    </xdr:from>
    <xdr:ext cx="504000" cy="504000"/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44" y="15136586"/>
          <a:ext cx="504000" cy="504000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</xdr:row>
          <xdr:rowOff>87630</xdr:rowOff>
        </xdr:from>
        <xdr:to>
          <xdr:col>4</xdr:col>
          <xdr:colOff>19050</xdr:colOff>
          <xdr:row>4</xdr:row>
          <xdr:rowOff>38100</xdr:rowOff>
        </xdr:to>
        <xdr:sp macro="" textlink="">
          <xdr:nvSpPr>
            <xdr:cNvPr id="6150" name="Drop Down 1" hidden="1">
              <a:extLst>
                <a:ext uri="{63B3BB69-23CF-44E3-9099-C40C66FF867C}">
                  <a14:compatExt spid="_x0000_s6150"/>
                </a:ext>
                <a:ext uri="{FF2B5EF4-FFF2-40B4-BE49-F238E27FC236}">
                  <a16:creationId xmlns:a16="http://schemas.microsoft.com/office/drawing/2014/main" id="{00000000-0008-0000-0200-00000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oneCellAnchor>
    <xdr:from>
      <xdr:col>0</xdr:col>
      <xdr:colOff>59873</xdr:colOff>
      <xdr:row>41</xdr:row>
      <xdr:rowOff>0</xdr:rowOff>
    </xdr:from>
    <xdr:ext cx="479937" cy="504000"/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73" y="15963900"/>
          <a:ext cx="479937" cy="504000"/>
        </a:xfrm>
        <a:prstGeom prst="rect">
          <a:avLst/>
        </a:prstGeom>
      </xdr:spPr>
    </xdr:pic>
    <xdr:clientData/>
  </xdr:oneCellAnchor>
  <xdr:oneCellAnchor>
    <xdr:from>
      <xdr:col>0</xdr:col>
      <xdr:colOff>52274</xdr:colOff>
      <xdr:row>54</xdr:row>
      <xdr:rowOff>23700</xdr:rowOff>
    </xdr:from>
    <xdr:ext cx="540000" cy="491880"/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74" y="22921800"/>
          <a:ext cx="540000" cy="491880"/>
        </a:xfrm>
        <a:prstGeom prst="rect">
          <a:avLst/>
        </a:prstGeom>
      </xdr:spPr>
    </xdr:pic>
    <xdr:clientData/>
  </xdr:oneCellAnchor>
  <xdr:oneCellAnchor>
    <xdr:from>
      <xdr:col>0</xdr:col>
      <xdr:colOff>21772</xdr:colOff>
      <xdr:row>22</xdr:row>
      <xdr:rowOff>0</xdr:rowOff>
    </xdr:from>
    <xdr:ext cx="504000" cy="499516"/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72" y="7478486"/>
          <a:ext cx="504000" cy="499516"/>
        </a:xfrm>
        <a:prstGeom prst="rect">
          <a:avLst/>
        </a:prstGeom>
      </xdr:spPr>
    </xdr:pic>
    <xdr:clientData/>
  </xdr:oneCellAnchor>
  <xdr:oneCellAnchor>
    <xdr:from>
      <xdr:col>0</xdr:col>
      <xdr:colOff>32658</xdr:colOff>
      <xdr:row>47</xdr:row>
      <xdr:rowOff>0</xdr:rowOff>
    </xdr:from>
    <xdr:ext cx="504000" cy="504000"/>
    <xdr:pic>
      <xdr:nvPicPr>
        <xdr:cNvPr id="41" name="Рисунок 40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58" y="18151929"/>
          <a:ext cx="504000" cy="504000"/>
        </a:xfrm>
        <a:prstGeom prst="rect">
          <a:avLst/>
        </a:prstGeom>
      </xdr:spPr>
    </xdr:pic>
    <xdr:clientData/>
  </xdr:oneCellAnchor>
  <xdr:oneCellAnchor>
    <xdr:from>
      <xdr:col>0</xdr:col>
      <xdr:colOff>32658</xdr:colOff>
      <xdr:row>48</xdr:row>
      <xdr:rowOff>0</xdr:rowOff>
    </xdr:from>
    <xdr:ext cx="504000" cy="504000"/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58" y="19213286"/>
          <a:ext cx="504000" cy="504000"/>
        </a:xfrm>
        <a:prstGeom prst="rect">
          <a:avLst/>
        </a:prstGeom>
      </xdr:spPr>
    </xdr:pic>
    <xdr:clientData/>
  </xdr:oneCellAnchor>
  <xdr:oneCellAnchor>
    <xdr:from>
      <xdr:col>0</xdr:col>
      <xdr:colOff>32658</xdr:colOff>
      <xdr:row>46</xdr:row>
      <xdr:rowOff>527957</xdr:rowOff>
    </xdr:from>
    <xdr:ext cx="504000" cy="504000"/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58" y="19213286"/>
          <a:ext cx="504000" cy="504000"/>
        </a:xfrm>
        <a:prstGeom prst="rect">
          <a:avLst/>
        </a:prstGeom>
      </xdr:spPr>
    </xdr:pic>
    <xdr:clientData/>
  </xdr:oneCellAnchor>
  <xdr:oneCellAnchor>
    <xdr:from>
      <xdr:col>0</xdr:col>
      <xdr:colOff>32658</xdr:colOff>
      <xdr:row>46</xdr:row>
      <xdr:rowOff>0</xdr:rowOff>
    </xdr:from>
    <xdr:ext cx="504000" cy="504000"/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2658" y="18151929"/>
          <a:ext cx="504000" cy="504000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manager\AppData\Local\Temp\Rar$DI00.349\DOCUME~1\ZaziOne\LOCALS~1\Temp\bat\&#1056;&#1072;&#1089;&#1095;&#1077;&#1090;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AZIPC\Exchange\_&#1071;&#1085;&#1072;\&#1056;&#1052;C%20&#1040;&#1074;&#1090;&#1086;\&#1060;&#1080;&#1085;&#1072;&#1085;&#1089;&#1086;&#1074;&#1072;&#1103;%20&#1084;&#1086;&#1076;&#1077;&#1083;&#1100;%20&#1092;&#1088;&#1072;&#1085;&#1096;&#1080;&#1079;&#1099;%20RMSAuto%20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manager\AppData\Local\Temp\Rar$DI00.349\Documents%20and%20Settings\&#1052;&#1072;&#1088;&#1075;&#1086;\&#1056;&#1072;&#1073;&#1086;&#1095;&#1080;&#1081;%20&#1089;&#1090;&#1086;&#1083;\5.%20&#1058;&#1069;&#1054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мпания"/>
      <sheetName val="Проект"/>
      <sheetName val="Сумм"/>
      <sheetName val="Анализ"/>
      <sheetName val="Отчет"/>
      <sheetName val="Опции"/>
      <sheetName val="Язык"/>
    </sheetNames>
    <sheetDataSet>
      <sheetData sheetId="0" refreshError="1"/>
      <sheetData sheetId="1" refreshError="1">
        <row r="7">
          <cell r="D7">
            <v>39083</v>
          </cell>
        </row>
        <row r="8">
          <cell r="D8">
            <v>6</v>
          </cell>
        </row>
        <row r="9">
          <cell r="D9">
            <v>3</v>
          </cell>
          <cell r="E9" t="str">
            <v>пг.</v>
          </cell>
        </row>
        <row r="10">
          <cell r="D10">
            <v>180</v>
          </cell>
        </row>
        <row r="11">
          <cell r="B11" t="str">
            <v>грн.</v>
          </cell>
          <cell r="D11">
            <v>4</v>
          </cell>
        </row>
        <row r="12">
          <cell r="B12" t="str">
            <v>тыс. $</v>
          </cell>
          <cell r="D12">
            <v>6</v>
          </cell>
        </row>
        <row r="17">
          <cell r="D17">
            <v>0</v>
          </cell>
        </row>
        <row r="18">
          <cell r="D18" t="b">
            <v>0</v>
          </cell>
        </row>
        <row r="19">
          <cell r="B19" t="str">
            <v>грн.</v>
          </cell>
          <cell r="D19">
            <v>1</v>
          </cell>
        </row>
        <row r="20">
          <cell r="D20" t="b">
            <v>1</v>
          </cell>
        </row>
        <row r="25">
          <cell r="F25">
            <v>2007</v>
          </cell>
        </row>
        <row r="26">
          <cell r="F26">
            <v>1</v>
          </cell>
        </row>
        <row r="86">
          <cell r="F86" t="str">
            <v>"0"</v>
          </cell>
          <cell r="G86" t="str">
            <v>1/ 2007</v>
          </cell>
          <cell r="H86" t="str">
            <v>2/ 2007</v>
          </cell>
          <cell r="I86" t="str">
            <v>1/ 2008</v>
          </cell>
          <cell r="J86" t="str">
            <v>2/ 2008</v>
          </cell>
          <cell r="K86" t="str">
            <v>1/ 2009</v>
          </cell>
          <cell r="L86" t="str">
            <v>2/ 2009</v>
          </cell>
        </row>
        <row r="88">
          <cell r="F88">
            <v>2</v>
          </cell>
        </row>
        <row r="749">
          <cell r="B749">
            <v>0</v>
          </cell>
        </row>
        <row r="751">
          <cell r="B751">
            <v>0</v>
          </cell>
        </row>
        <row r="755">
          <cell r="B755">
            <v>0</v>
          </cell>
        </row>
        <row r="760">
          <cell r="B760">
            <v>0</v>
          </cell>
          <cell r="C760">
            <v>0</v>
          </cell>
        </row>
        <row r="761">
          <cell r="B761">
            <v>0</v>
          </cell>
          <cell r="C761">
            <v>0</v>
          </cell>
        </row>
        <row r="772">
          <cell r="B772">
            <v>0</v>
          </cell>
          <cell r="C772">
            <v>0</v>
          </cell>
        </row>
        <row r="773">
          <cell r="B773">
            <v>0</v>
          </cell>
          <cell r="C773">
            <v>10</v>
          </cell>
        </row>
        <row r="889">
          <cell r="B889">
            <v>0.2</v>
          </cell>
        </row>
        <row r="890">
          <cell r="B890">
            <v>30</v>
          </cell>
        </row>
        <row r="891">
          <cell r="B891">
            <v>2</v>
          </cell>
        </row>
        <row r="892">
          <cell r="B892">
            <v>1</v>
          </cell>
        </row>
        <row r="945">
          <cell r="B945">
            <v>0.25</v>
          </cell>
        </row>
        <row r="946">
          <cell r="B946">
            <v>60</v>
          </cell>
        </row>
      </sheetData>
      <sheetData sheetId="2" refreshError="1"/>
      <sheetData sheetId="3" refreshError="1">
        <row r="9">
          <cell r="E9">
            <v>4</v>
          </cell>
        </row>
      </sheetData>
      <sheetData sheetId="4" refreshError="1"/>
      <sheetData sheetId="5" refreshError="1">
        <row r="5">
          <cell r="B5" t="str">
            <v>5.05</v>
          </cell>
        </row>
        <row r="10">
          <cell r="B10" t="b">
            <v>1</v>
          </cell>
        </row>
      </sheetData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Исходные данные"/>
      <sheetName val="2. Резюме проекта"/>
      <sheetName val="3. Детальный расчет"/>
    </sheetNames>
    <sheetDataSet>
      <sheetData sheetId="0">
        <row r="1">
          <cell r="I1">
            <v>4</v>
          </cell>
        </row>
      </sheetData>
      <sheetData sheetId="1"/>
      <sheetData sheetId="2">
        <row r="12">
          <cell r="D12">
            <v>1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4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D88"/>
  <sheetViews>
    <sheetView showGridLines="0" tabSelected="1" zoomScale="60" zoomScaleNormal="60" workbookViewId="0">
      <selection activeCell="A8" sqref="A8"/>
    </sheetView>
  </sheetViews>
  <sheetFormatPr defaultRowHeight="34.200000000000003" customHeight="1" x14ac:dyDescent="0.55000000000000004"/>
  <cols>
    <col min="1" max="1" width="8.41796875" style="14" customWidth="1"/>
    <col min="2" max="2" width="27.9453125" style="14" customWidth="1"/>
    <col min="3" max="3" width="31.5234375" style="14" customWidth="1"/>
    <col min="4" max="4" width="21.20703125" style="14" customWidth="1"/>
    <col min="5" max="5" width="23.47265625" style="14" customWidth="1"/>
    <col min="6" max="6" width="21.20703125" style="14" customWidth="1"/>
    <col min="7" max="7" width="23.47265625" style="14" customWidth="1"/>
    <col min="8" max="8" width="28.9453125" style="14" customWidth="1"/>
    <col min="9" max="9" width="23.47265625" style="14" customWidth="1"/>
    <col min="10" max="10" width="21.20703125" style="14" customWidth="1"/>
    <col min="11" max="11" width="25" style="14" customWidth="1"/>
    <col min="12" max="12" width="11.83984375" style="14" customWidth="1"/>
    <col min="13" max="14" width="9.15625" style="14" customWidth="1"/>
    <col min="15" max="15" width="7.68359375" style="14" hidden="1" customWidth="1"/>
    <col min="16" max="16" width="11.68359375" style="14" hidden="1" customWidth="1"/>
    <col min="17" max="17" width="1.68359375" style="14" hidden="1" customWidth="1"/>
    <col min="18" max="20" width="8.15625" style="14" hidden="1" customWidth="1"/>
    <col min="21" max="22" width="8.83984375" style="14" hidden="1" customWidth="1"/>
    <col min="23" max="24" width="20.7890625" style="14" hidden="1" customWidth="1"/>
    <col min="25" max="26" width="8.83984375" style="14" customWidth="1"/>
    <col min="27" max="16384" width="8.83984375" style="14"/>
  </cols>
  <sheetData>
    <row r="1" spans="1:26" ht="34.200000000000003" customHeight="1" x14ac:dyDescent="0.55000000000000004">
      <c r="A1" s="293" t="str">
        <f>CHOOSE($U$2,W1,X1)</f>
        <v>Зміни необхідно вносити тільки в комірки, які окрашені в сірий колір</v>
      </c>
      <c r="B1" s="293"/>
      <c r="C1" s="293"/>
      <c r="D1" s="293"/>
      <c r="E1" s="293"/>
      <c r="F1" s="293"/>
      <c r="G1" s="293"/>
      <c r="H1" s="293"/>
      <c r="I1" s="293"/>
      <c r="J1" s="293"/>
      <c r="K1" s="293"/>
      <c r="L1" s="175"/>
      <c r="W1" s="222" t="s">
        <v>5</v>
      </c>
      <c r="X1" s="222" t="s">
        <v>146</v>
      </c>
    </row>
    <row r="2" spans="1:26" ht="72.599999999999994" customHeight="1" x14ac:dyDescent="0.55000000000000004">
      <c r="A2" s="294" t="str">
        <f>CHOOSE($U$2,W2,X2)</f>
        <v>Вхідні дані для фінансової моделі франшизи "Easy Meals"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11"/>
      <c r="O2" s="1">
        <v>1</v>
      </c>
      <c r="P2" s="55" t="s">
        <v>120</v>
      </c>
      <c r="Q2" s="56">
        <v>1</v>
      </c>
      <c r="R2" s="56" t="str">
        <f>CHOOSE($U$2,S2,T2)</f>
        <v>січень</v>
      </c>
      <c r="S2" s="56" t="s">
        <v>23</v>
      </c>
      <c r="T2" s="56" t="s">
        <v>133</v>
      </c>
      <c r="U2" s="14">
        <v>2</v>
      </c>
      <c r="V2" s="13" t="s">
        <v>118</v>
      </c>
      <c r="W2" s="222" t="s">
        <v>281</v>
      </c>
      <c r="X2" s="222" t="s">
        <v>282</v>
      </c>
    </row>
    <row r="3" spans="1:26" ht="34.200000000000003" customHeight="1" x14ac:dyDescent="0.55000000000000004">
      <c r="A3" s="176" t="str">
        <f>CHOOSE($U$2,W3,X3)</f>
        <v>Валюта, в якій виконується розрахунок</v>
      </c>
      <c r="B3" s="18"/>
      <c r="G3" s="179" t="str">
        <f>CHOOSE($U$2,W6,X6)</f>
        <v>Мова</v>
      </c>
      <c r="K3" s="16"/>
      <c r="L3" s="177"/>
      <c r="M3" s="178"/>
      <c r="O3" s="55"/>
      <c r="P3" s="55" t="str">
        <f>E5</f>
        <v>USD</v>
      </c>
      <c r="Q3" s="56"/>
      <c r="R3" s="56" t="str">
        <f t="shared" ref="R3:R6" si="0">CHOOSE($U$2,S3,T3)</f>
        <v>лютий</v>
      </c>
      <c r="S3" s="56" t="s">
        <v>24</v>
      </c>
      <c r="T3" s="56" t="s">
        <v>134</v>
      </c>
      <c r="V3" s="13" t="s">
        <v>119</v>
      </c>
      <c r="W3" s="222" t="s">
        <v>47</v>
      </c>
      <c r="X3" s="222" t="s">
        <v>147</v>
      </c>
    </row>
    <row r="4" spans="1:26" ht="34.200000000000003" customHeight="1" x14ac:dyDescent="0.55000000000000004">
      <c r="A4" s="17" t="str">
        <f>CHOOSE($U$2,W4,X4)</f>
        <v>Місяць, з якого починається робота</v>
      </c>
      <c r="B4" s="18"/>
      <c r="I4" s="179"/>
      <c r="K4" s="16"/>
      <c r="L4" s="16"/>
      <c r="M4" s="178"/>
      <c r="O4" s="55"/>
      <c r="P4" s="55" t="str">
        <f>G5</f>
        <v>EUR</v>
      </c>
      <c r="Q4" s="56"/>
      <c r="R4" s="56" t="str">
        <f t="shared" si="0"/>
        <v>березень</v>
      </c>
      <c r="S4" s="56" t="s">
        <v>49</v>
      </c>
      <c r="T4" s="56" t="s">
        <v>135</v>
      </c>
      <c r="W4" s="222" t="s">
        <v>22</v>
      </c>
      <c r="X4" s="222" t="s">
        <v>148</v>
      </c>
    </row>
    <row r="5" spans="1:26" ht="46.5" customHeight="1" x14ac:dyDescent="0.55000000000000004">
      <c r="A5" s="296" t="str">
        <f>CHOOSE($U$2,W5,X5)</f>
        <v>Курс валют (1 одиниця валюти = вказаній кількості гривень)</v>
      </c>
      <c r="B5" s="296"/>
      <c r="C5" s="296"/>
      <c r="D5" s="297"/>
      <c r="E5" s="192" t="s">
        <v>57</v>
      </c>
      <c r="F5" s="2">
        <v>26</v>
      </c>
      <c r="G5" s="300" t="s">
        <v>58</v>
      </c>
      <c r="H5" s="301"/>
      <c r="I5" s="2">
        <v>28</v>
      </c>
      <c r="J5" s="192" t="s">
        <v>59</v>
      </c>
      <c r="K5" s="2">
        <v>0.4</v>
      </c>
      <c r="L5" s="16"/>
      <c r="M5" s="178"/>
      <c r="O5" s="55"/>
      <c r="P5" s="55" t="str">
        <f>J5</f>
        <v>RUB</v>
      </c>
      <c r="Q5" s="56"/>
      <c r="R5" s="56" t="str">
        <f t="shared" si="0"/>
        <v>квітень</v>
      </c>
      <c r="S5" s="56" t="s">
        <v>50</v>
      </c>
      <c r="T5" s="56" t="s">
        <v>136</v>
      </c>
      <c r="W5" s="222" t="s">
        <v>132</v>
      </c>
      <c r="X5" s="222" t="s">
        <v>149</v>
      </c>
    </row>
    <row r="6" spans="1:26" ht="17.7" customHeight="1" x14ac:dyDescent="0.55000000000000004">
      <c r="A6" s="21"/>
      <c r="O6" s="186"/>
      <c r="P6" s="55"/>
      <c r="Q6" s="56"/>
      <c r="R6" s="56" t="str">
        <f t="shared" si="0"/>
        <v>травень</v>
      </c>
      <c r="S6" s="56" t="s">
        <v>51</v>
      </c>
      <c r="T6" s="56" t="s">
        <v>137</v>
      </c>
      <c r="W6" s="222" t="s">
        <v>117</v>
      </c>
      <c r="X6" s="222" t="s">
        <v>150</v>
      </c>
    </row>
    <row r="7" spans="1:26" ht="39.299999999999997" customHeight="1" x14ac:dyDescent="0.55000000000000004">
      <c r="A7" s="21"/>
      <c r="O7" s="186"/>
      <c r="P7" s="55"/>
      <c r="Q7" s="56"/>
      <c r="R7" s="56" t="str">
        <f t="shared" ref="R7:R13" si="1">CHOOSE($U$2,S7,T7)</f>
        <v>червень</v>
      </c>
      <c r="S7" s="56" t="s">
        <v>67</v>
      </c>
      <c r="T7" s="56" t="s">
        <v>138</v>
      </c>
      <c r="W7" s="222" t="s">
        <v>48</v>
      </c>
      <c r="X7" s="222" t="s">
        <v>151</v>
      </c>
    </row>
    <row r="8" spans="1:26" ht="34.200000000000003" customHeight="1" x14ac:dyDescent="0.55000000000000004">
      <c r="A8" s="21" t="str">
        <f>CHOOSE($U$2,W7,X7)</f>
        <v>Фінансові параметри</v>
      </c>
      <c r="O8" s="186"/>
      <c r="P8" s="55"/>
      <c r="Q8" s="56"/>
      <c r="R8" s="56" t="str">
        <f t="shared" si="1"/>
        <v>липень</v>
      </c>
      <c r="S8" s="56" t="s">
        <v>25</v>
      </c>
      <c r="T8" s="56" t="s">
        <v>139</v>
      </c>
      <c r="W8" s="222" t="s">
        <v>287</v>
      </c>
      <c r="X8" s="222" t="s">
        <v>288</v>
      </c>
    </row>
    <row r="9" spans="1:26" s="23" customFormat="1" ht="56.4" customHeight="1" x14ac:dyDescent="0.55000000000000004">
      <c r="A9" s="295" t="str">
        <f>CHOOSE($U$2,W8,X8)</f>
        <v>Товарні групи</v>
      </c>
      <c r="B9" s="295"/>
      <c r="C9" s="273" t="str">
        <f>CHOOSE($U$2,W9,X9)</f>
        <v>Середня вартість товарної групи</v>
      </c>
      <c r="D9" s="273"/>
      <c r="E9" s="273" t="str">
        <f>CHOOSE($U$2,W11,X11)</f>
        <v>Середня кількість проданих раціонів/обідів на місяць*, шт./міс.</v>
      </c>
      <c r="F9" s="273" t="str">
        <f>CHOOSE($U$2,W13,X13)</f>
        <v>Середня собівартість одиниці товарної групи (продукти)</v>
      </c>
      <c r="G9" s="273"/>
      <c r="H9" s="273" t="str">
        <f>CHOOSE($U$2,W19,X19)</f>
        <v>Середня собівартість одиниці товарної групи (упаковка)</v>
      </c>
      <c r="I9" s="273"/>
      <c r="J9" s="273" t="str">
        <f>CHOOSE($U$2,W16,X16)</f>
        <v>Загальна планова середньомісячна виручка (товарообіг)*</v>
      </c>
      <c r="K9" s="273"/>
      <c r="L9" s="249"/>
      <c r="O9" s="187"/>
      <c r="P9" s="188"/>
      <c r="Q9" s="189"/>
      <c r="R9" s="56" t="str">
        <f t="shared" si="1"/>
        <v>серпень</v>
      </c>
      <c r="S9" s="56" t="s">
        <v>26</v>
      </c>
      <c r="T9" s="56" t="s">
        <v>140</v>
      </c>
      <c r="U9" s="27"/>
      <c r="W9" s="222" t="s">
        <v>289</v>
      </c>
      <c r="X9" s="222" t="s">
        <v>290</v>
      </c>
    </row>
    <row r="10" spans="1:26" s="23" customFormat="1" ht="79.5" customHeight="1" x14ac:dyDescent="0.6">
      <c r="A10" s="295"/>
      <c r="B10" s="295"/>
      <c r="C10" s="246" t="s">
        <v>120</v>
      </c>
      <c r="D10" s="246" t="str">
        <f>CHOOSE($U$2,W10,X10)</f>
        <v>У валюті, в якій виконується розрахунок, UAH</v>
      </c>
      <c r="E10" s="273"/>
      <c r="F10" s="246" t="s">
        <v>120</v>
      </c>
      <c r="G10" s="246" t="str">
        <f>D10</f>
        <v>У валюті, в якій виконується розрахунок, UAH</v>
      </c>
      <c r="H10" s="246" t="str">
        <f>F10</f>
        <v>UAH</v>
      </c>
      <c r="I10" s="246" t="str">
        <f>G10</f>
        <v>У валюті, в якій виконується розрахунок, UAH</v>
      </c>
      <c r="J10" s="246" t="str">
        <f>CHOOSE($U$2,W17,X17)</f>
        <v>UAH/міс.</v>
      </c>
      <c r="K10" s="246" t="str">
        <f>CHOOSE($U$2,W18,X18)</f>
        <v>У валюті, в якій виконується розрахунок, UAH/міс.</v>
      </c>
      <c r="L10" s="24"/>
      <c r="O10" s="187"/>
      <c r="P10" s="188"/>
      <c r="Q10" s="189"/>
      <c r="R10" s="56" t="str">
        <f t="shared" si="1"/>
        <v>вересень</v>
      </c>
      <c r="S10" s="190" t="s">
        <v>27</v>
      </c>
      <c r="T10" s="190" t="s">
        <v>141</v>
      </c>
      <c r="U10" s="27"/>
      <c r="W10" s="222" t="str">
        <f>"В валюте, в которой производиться расчет, "&amp;CHOOSE($O$2,$P$2,$P$3,$P$4,$P$5)&amp;""</f>
        <v>В валюте, в которой производиться расчет, UAH</v>
      </c>
      <c r="X10" s="222" t="str">
        <f>"У валюті, в якій виконується розрахунок, "&amp;CHOOSE($O$2,$P$2,$P$3,$P$4,$P$5)&amp;""</f>
        <v>У валюті, в якій виконується розрахунок, UAH</v>
      </c>
    </row>
    <row r="11" spans="1:26" s="23" customFormat="1" ht="35.1" customHeight="1" x14ac:dyDescent="0.55000000000000004">
      <c r="A11" s="279" t="s">
        <v>293</v>
      </c>
      <c r="B11" s="279"/>
      <c r="C11" s="219">
        <v>350</v>
      </c>
      <c r="D11" s="247">
        <f>C11/CHOOSE($O$2,1,$F$5,$I$5,$K$5)</f>
        <v>350</v>
      </c>
      <c r="E11" s="219">
        <v>202</v>
      </c>
      <c r="F11" s="219">
        <v>150</v>
      </c>
      <c r="G11" s="247">
        <f>F11/CHOOSE($O$2,1,$F$5,$I$5,$K$5)</f>
        <v>150</v>
      </c>
      <c r="H11" s="219">
        <v>30</v>
      </c>
      <c r="I11" s="247">
        <f>H11/CHOOSE($O$2,1,$F$5,$I$5,$K$5)</f>
        <v>30</v>
      </c>
      <c r="J11" s="247">
        <f t="shared" ref="J11:J17" si="2">C11*$E11</f>
        <v>70700</v>
      </c>
      <c r="K11" s="247">
        <f>J11/CHOOSE($O$2,1,$F$5,$I$5,$K$5)</f>
        <v>70700</v>
      </c>
      <c r="O11" s="250">
        <v>150</v>
      </c>
      <c r="P11" s="251">
        <f t="shared" ref="P11:P17" si="3">J11*1.12/E11</f>
        <v>392.00000000000006</v>
      </c>
      <c r="Q11" s="189"/>
      <c r="R11" s="56" t="str">
        <f t="shared" si="1"/>
        <v>жовтень</v>
      </c>
      <c r="S11" s="56" t="s">
        <v>28</v>
      </c>
      <c r="T11" s="56" t="s">
        <v>142</v>
      </c>
      <c r="U11" s="26"/>
      <c r="V11" s="26"/>
      <c r="W11" s="222" t="s">
        <v>291</v>
      </c>
      <c r="X11" s="222" t="s">
        <v>292</v>
      </c>
      <c r="Y11" s="26"/>
      <c r="Z11" s="26"/>
    </row>
    <row r="12" spans="1:26" s="23" customFormat="1" ht="35.1" customHeight="1" x14ac:dyDescent="0.55000000000000004">
      <c r="A12" s="279" t="s">
        <v>294</v>
      </c>
      <c r="B12" s="279"/>
      <c r="C12" s="219">
        <v>320</v>
      </c>
      <c r="D12" s="247">
        <f t="shared" ref="D12:D17" si="4">C12/CHOOSE($O$2,1,$F$5,$I$5,$K$5)</f>
        <v>320</v>
      </c>
      <c r="E12" s="219">
        <v>410</v>
      </c>
      <c r="F12" s="219">
        <v>130</v>
      </c>
      <c r="G12" s="247">
        <f t="shared" ref="G12:I17" si="5">F12/CHOOSE($O$2,1,$F$5,$I$5,$K$5)</f>
        <v>130</v>
      </c>
      <c r="H12" s="219">
        <v>30</v>
      </c>
      <c r="I12" s="247">
        <f t="shared" si="5"/>
        <v>30</v>
      </c>
      <c r="J12" s="247">
        <f t="shared" si="2"/>
        <v>131200</v>
      </c>
      <c r="K12" s="247">
        <f t="shared" ref="K12:K17" si="6">J12/CHOOSE($O$2,1,$F$5,$I$5,$K$5)</f>
        <v>131200</v>
      </c>
      <c r="O12" s="250">
        <v>130</v>
      </c>
      <c r="P12" s="251">
        <f t="shared" si="3"/>
        <v>358.4</v>
      </c>
      <c r="Q12" s="189"/>
      <c r="R12" s="56" t="str">
        <f t="shared" si="1"/>
        <v>листопад</v>
      </c>
      <c r="S12" s="56" t="s">
        <v>29</v>
      </c>
      <c r="T12" s="56" t="s">
        <v>143</v>
      </c>
      <c r="U12" s="26"/>
      <c r="V12" s="26"/>
      <c r="W12" s="222" t="s">
        <v>300</v>
      </c>
      <c r="X12" s="222" t="s">
        <v>301</v>
      </c>
      <c r="Y12" s="26"/>
      <c r="Z12" s="26"/>
    </row>
    <row r="13" spans="1:26" s="23" customFormat="1" ht="35.1" customHeight="1" x14ac:dyDescent="0.55000000000000004">
      <c r="A13" s="279" t="s">
        <v>295</v>
      </c>
      <c r="B13" s="279"/>
      <c r="C13" s="219">
        <v>340</v>
      </c>
      <c r="D13" s="247">
        <f t="shared" si="4"/>
        <v>340</v>
      </c>
      <c r="E13" s="219">
        <v>100</v>
      </c>
      <c r="F13" s="219">
        <v>130</v>
      </c>
      <c r="G13" s="247">
        <f t="shared" si="5"/>
        <v>130</v>
      </c>
      <c r="H13" s="219">
        <v>30</v>
      </c>
      <c r="I13" s="247">
        <f t="shared" si="5"/>
        <v>30</v>
      </c>
      <c r="J13" s="247">
        <f t="shared" si="2"/>
        <v>34000</v>
      </c>
      <c r="K13" s="247">
        <f t="shared" si="6"/>
        <v>34000</v>
      </c>
      <c r="O13" s="250">
        <v>130</v>
      </c>
      <c r="P13" s="251">
        <f t="shared" si="3"/>
        <v>380.8</v>
      </c>
      <c r="Q13" s="189"/>
      <c r="R13" s="56" t="str">
        <f t="shared" si="1"/>
        <v>грудень</v>
      </c>
      <c r="S13" s="56" t="s">
        <v>30</v>
      </c>
      <c r="T13" s="56" t="s">
        <v>144</v>
      </c>
      <c r="U13" s="26"/>
      <c r="V13" s="26"/>
      <c r="W13" s="222" t="s">
        <v>334</v>
      </c>
      <c r="X13" s="222" t="s">
        <v>335</v>
      </c>
      <c r="Y13" s="26"/>
      <c r="Z13" s="26"/>
    </row>
    <row r="14" spans="1:26" s="23" customFormat="1" ht="35.1" customHeight="1" x14ac:dyDescent="0.55000000000000004">
      <c r="A14" s="279" t="s">
        <v>296</v>
      </c>
      <c r="B14" s="279"/>
      <c r="C14" s="219">
        <v>340</v>
      </c>
      <c r="D14" s="247">
        <f t="shared" si="4"/>
        <v>340</v>
      </c>
      <c r="E14" s="219">
        <v>29</v>
      </c>
      <c r="F14" s="219">
        <v>135</v>
      </c>
      <c r="G14" s="247">
        <f t="shared" si="5"/>
        <v>135</v>
      </c>
      <c r="H14" s="219">
        <v>30</v>
      </c>
      <c r="I14" s="247">
        <f t="shared" si="5"/>
        <v>30</v>
      </c>
      <c r="J14" s="247">
        <f t="shared" si="2"/>
        <v>9860</v>
      </c>
      <c r="K14" s="247">
        <f t="shared" si="6"/>
        <v>9860</v>
      </c>
      <c r="O14" s="250">
        <v>135</v>
      </c>
      <c r="P14" s="251">
        <f t="shared" si="3"/>
        <v>380.8</v>
      </c>
      <c r="Q14" s="189"/>
      <c r="R14" s="56"/>
      <c r="S14" s="56"/>
      <c r="T14" s="56"/>
      <c r="U14" s="26"/>
      <c r="V14" s="26"/>
      <c r="W14" s="225" t="s">
        <v>323</v>
      </c>
      <c r="X14" s="225" t="s">
        <v>324</v>
      </c>
      <c r="Y14" s="26"/>
      <c r="Z14" s="26"/>
    </row>
    <row r="15" spans="1:26" s="23" customFormat="1" ht="35.1" customHeight="1" x14ac:dyDescent="0.55000000000000004">
      <c r="A15" s="279" t="s">
        <v>297</v>
      </c>
      <c r="B15" s="279"/>
      <c r="C15" s="219">
        <v>360</v>
      </c>
      <c r="D15" s="247">
        <f t="shared" si="4"/>
        <v>360</v>
      </c>
      <c r="E15" s="219">
        <v>72</v>
      </c>
      <c r="F15" s="219">
        <v>160</v>
      </c>
      <c r="G15" s="247">
        <f t="shared" si="5"/>
        <v>160</v>
      </c>
      <c r="H15" s="219">
        <v>30</v>
      </c>
      <c r="I15" s="247">
        <f t="shared" si="5"/>
        <v>30</v>
      </c>
      <c r="J15" s="247">
        <f t="shared" si="2"/>
        <v>25920</v>
      </c>
      <c r="K15" s="247">
        <f t="shared" si="6"/>
        <v>25920</v>
      </c>
      <c r="O15" s="250">
        <v>160</v>
      </c>
      <c r="P15" s="251">
        <f t="shared" si="3"/>
        <v>403.20000000000005</v>
      </c>
      <c r="Q15" s="189"/>
      <c r="R15" s="56"/>
      <c r="S15" s="56"/>
      <c r="T15" s="56"/>
      <c r="U15" s="26"/>
      <c r="V15" s="26"/>
      <c r="W15" s="222"/>
      <c r="X15" s="222"/>
      <c r="Y15" s="26"/>
      <c r="Z15" s="26"/>
    </row>
    <row r="16" spans="1:26" s="23" customFormat="1" ht="35.1" customHeight="1" x14ac:dyDescent="0.55000000000000004">
      <c r="A16" s="279" t="s">
        <v>298</v>
      </c>
      <c r="B16" s="279"/>
      <c r="C16" s="219">
        <v>405</v>
      </c>
      <c r="D16" s="247">
        <f t="shared" si="4"/>
        <v>405</v>
      </c>
      <c r="E16" s="219">
        <v>3</v>
      </c>
      <c r="F16" s="219">
        <v>200</v>
      </c>
      <c r="G16" s="247">
        <f t="shared" si="5"/>
        <v>200</v>
      </c>
      <c r="H16" s="219">
        <v>30</v>
      </c>
      <c r="I16" s="247">
        <f t="shared" si="5"/>
        <v>30</v>
      </c>
      <c r="J16" s="247">
        <f t="shared" si="2"/>
        <v>1215</v>
      </c>
      <c r="K16" s="247">
        <f t="shared" si="6"/>
        <v>1215</v>
      </c>
      <c r="O16" s="250">
        <v>200</v>
      </c>
      <c r="P16" s="251">
        <f t="shared" si="3"/>
        <v>453.60000000000008</v>
      </c>
      <c r="Q16" s="189"/>
      <c r="R16" s="56"/>
      <c r="S16" s="56"/>
      <c r="T16" s="56"/>
      <c r="U16" s="26"/>
      <c r="V16" s="26"/>
      <c r="W16" s="222" t="s">
        <v>153</v>
      </c>
      <c r="X16" s="222" t="s">
        <v>152</v>
      </c>
      <c r="Y16" s="26"/>
      <c r="Z16" s="26"/>
    </row>
    <row r="17" spans="1:27" s="23" customFormat="1" ht="35.1" customHeight="1" x14ac:dyDescent="0.55000000000000004">
      <c r="A17" s="279" t="s">
        <v>299</v>
      </c>
      <c r="B17" s="279"/>
      <c r="C17" s="219">
        <v>120</v>
      </c>
      <c r="D17" s="247">
        <f t="shared" si="4"/>
        <v>120</v>
      </c>
      <c r="E17" s="219">
        <v>564</v>
      </c>
      <c r="F17" s="219">
        <v>40</v>
      </c>
      <c r="G17" s="247">
        <f t="shared" si="5"/>
        <v>40</v>
      </c>
      <c r="H17" s="219">
        <v>15</v>
      </c>
      <c r="I17" s="247">
        <f t="shared" si="5"/>
        <v>15</v>
      </c>
      <c r="J17" s="247">
        <f t="shared" si="2"/>
        <v>67680</v>
      </c>
      <c r="K17" s="247">
        <f t="shared" si="6"/>
        <v>67680</v>
      </c>
      <c r="O17" s="250" t="s">
        <v>329</v>
      </c>
      <c r="P17" s="251">
        <f t="shared" si="3"/>
        <v>134.4</v>
      </c>
      <c r="R17" s="23">
        <f>O18/J18</f>
        <v>1.121632533215885</v>
      </c>
      <c r="S17" s="189"/>
      <c r="T17" s="56"/>
      <c r="U17" s="26"/>
      <c r="V17" s="26"/>
      <c r="W17" s="222" t="s">
        <v>121</v>
      </c>
      <c r="X17" s="222" t="s">
        <v>154</v>
      </c>
      <c r="Y17" s="26"/>
      <c r="Z17" s="26"/>
    </row>
    <row r="18" spans="1:27" ht="44.7" customHeight="1" x14ac:dyDescent="0.55000000000000004">
      <c r="A18" s="321" t="str">
        <f>CHOOSE($U$2,W12,X12)</f>
        <v>РАЗОМ:</v>
      </c>
      <c r="B18" s="321"/>
      <c r="C18" s="248"/>
      <c r="D18" s="247"/>
      <c r="E18" s="248">
        <f>SUM(E11:F17)</f>
        <v>2325</v>
      </c>
      <c r="F18" s="248"/>
      <c r="G18" s="247"/>
      <c r="H18" s="248"/>
      <c r="I18" s="247"/>
      <c r="J18" s="247">
        <f>SUM(J11:J17)</f>
        <v>340575</v>
      </c>
      <c r="K18" s="247">
        <f>SUM(K11:K17)</f>
        <v>340575</v>
      </c>
      <c r="O18" s="252">
        <v>382000</v>
      </c>
      <c r="P18" s="253"/>
      <c r="Q18" s="191"/>
      <c r="R18" s="14" t="s">
        <v>330</v>
      </c>
      <c r="U18" s="26"/>
      <c r="V18" s="26"/>
      <c r="W18" s="222" t="str">
        <f>"В валюте, в которой производиться расчет, "&amp;CHOOSE($O$2,$P$2,$P$3,$P$4,$P$5)&amp;"/мес."</f>
        <v>В валюте, в которой производиться расчет, UAH/мес.</v>
      </c>
      <c r="X18" s="222" t="str">
        <f>"У валюті, в якій виконується розрахунок, "&amp;CHOOSE($O$2,$P$2,$P$3,$P$4,$P$5)&amp;"/міс."</f>
        <v>У валюті, в якій виконується розрахунок, UAH/міс.</v>
      </c>
      <c r="Y18" s="26"/>
      <c r="Z18" s="26"/>
      <c r="AA18" s="23"/>
    </row>
    <row r="19" spans="1:27" ht="50.1" customHeight="1" x14ac:dyDescent="0.55000000000000004">
      <c r="A19" s="319" t="str">
        <f>CHOOSE($U$2,$W$14,$X$14)</f>
        <v xml:space="preserve"> * - без врахування динаміки виходу продажів на планові показники, які вказуються на сторінці "Вхідні дані" в розділі "Параметри сезонності та виходу продажів на планові показники та подальший ріст обсягів продажів".</v>
      </c>
      <c r="B19" s="319"/>
      <c r="C19" s="319"/>
      <c r="D19" s="319"/>
      <c r="E19" s="319"/>
      <c r="F19" s="319"/>
      <c r="G19" s="319"/>
      <c r="H19" s="319"/>
      <c r="I19" s="319"/>
      <c r="J19" s="319"/>
      <c r="K19" s="319"/>
      <c r="P19" s="12"/>
      <c r="Q19" s="13"/>
      <c r="W19" s="222" t="s">
        <v>333</v>
      </c>
      <c r="X19" s="222" t="s">
        <v>355</v>
      </c>
    </row>
    <row r="20" spans="1:27" ht="63.6" customHeight="1" thickBot="1" x14ac:dyDescent="0.6">
      <c r="A20" s="21" t="str">
        <f>CHOOSE($U$2,W20,X20)</f>
        <v>Параметри сезонності та виходу продажів на планові показники та подальший ріст обсягів продажів</v>
      </c>
      <c r="P20" s="12"/>
      <c r="Q20" s="13"/>
      <c r="W20" s="222" t="s">
        <v>99</v>
      </c>
      <c r="X20" s="222" t="s">
        <v>155</v>
      </c>
    </row>
    <row r="21" spans="1:27" s="23" customFormat="1" ht="43.2" customHeight="1" x14ac:dyDescent="0.55000000000000004">
      <c r="A21" s="298" t="str">
        <f>CHOOSE($U$2,W21,X21)</f>
        <v>Порядковий номер місяцю від початку роботи</v>
      </c>
      <c r="B21" s="299"/>
      <c r="C21" s="299" t="str">
        <f>CHOOSE($U$2,W22,X22)</f>
        <v>Відсоток виходу продажів на планові показники*, %</v>
      </c>
      <c r="D21" s="299"/>
      <c r="E21" s="299"/>
      <c r="F21" s="320"/>
      <c r="G21" s="235" t="str">
        <f>CHOOSE($U$2,W24,X24)</f>
        <v>Назва місяцю</v>
      </c>
      <c r="H21" s="282" t="str">
        <f>CHOOSE($U$2,W23,X23)</f>
        <v>Процент впливу сезону на планові показники по виручці*, %</v>
      </c>
      <c r="I21" s="282"/>
      <c r="J21" s="282"/>
      <c r="K21" s="283"/>
      <c r="L21" s="24"/>
      <c r="O21" s="24"/>
      <c r="P21" s="25"/>
      <c r="Q21" s="26"/>
      <c r="U21" s="27"/>
      <c r="W21" s="222" t="s">
        <v>82</v>
      </c>
      <c r="X21" s="222" t="s">
        <v>156</v>
      </c>
    </row>
    <row r="22" spans="1:27" s="23" customFormat="1" ht="35.049999999999997" customHeight="1" x14ac:dyDescent="0.55000000000000004">
      <c r="A22" s="289">
        <v>1</v>
      </c>
      <c r="B22" s="290"/>
      <c r="C22" s="277">
        <v>0.6</v>
      </c>
      <c r="D22" s="278"/>
      <c r="E22" s="278"/>
      <c r="F22" s="278"/>
      <c r="G22" s="183" t="str">
        <f t="shared" ref="G22:G33" si="7">R2</f>
        <v>січень</v>
      </c>
      <c r="H22" s="272">
        <v>0.7</v>
      </c>
      <c r="I22" s="272"/>
      <c r="J22" s="272"/>
      <c r="K22" s="274"/>
      <c r="L22" s="32"/>
      <c r="O22" s="24"/>
      <c r="P22" s="25"/>
      <c r="Q22" s="26"/>
      <c r="U22" s="27"/>
      <c r="W22" s="222" t="s">
        <v>79</v>
      </c>
      <c r="X22" s="222" t="s">
        <v>157</v>
      </c>
    </row>
    <row r="23" spans="1:27" ht="35.049999999999997" customHeight="1" x14ac:dyDescent="0.55000000000000004">
      <c r="A23" s="289">
        <v>2</v>
      </c>
      <c r="B23" s="290"/>
      <c r="C23" s="277">
        <v>0.7</v>
      </c>
      <c r="D23" s="278"/>
      <c r="E23" s="278"/>
      <c r="F23" s="278"/>
      <c r="G23" s="183" t="str">
        <f t="shared" si="7"/>
        <v>лютий</v>
      </c>
      <c r="H23" s="272">
        <v>1</v>
      </c>
      <c r="I23" s="272"/>
      <c r="J23" s="272"/>
      <c r="K23" s="274"/>
      <c r="L23" s="180"/>
      <c r="O23" s="13"/>
      <c r="P23" s="13"/>
      <c r="Q23" s="181"/>
      <c r="U23" s="181"/>
      <c r="W23" s="222" t="s">
        <v>100</v>
      </c>
      <c r="X23" s="222" t="s">
        <v>158</v>
      </c>
    </row>
    <row r="24" spans="1:27" ht="35.049999999999997" customHeight="1" x14ac:dyDescent="0.55000000000000004">
      <c r="A24" s="289">
        <v>3</v>
      </c>
      <c r="B24" s="290"/>
      <c r="C24" s="277">
        <v>0.8</v>
      </c>
      <c r="D24" s="278"/>
      <c r="E24" s="278"/>
      <c r="F24" s="278"/>
      <c r="G24" s="183" t="str">
        <f t="shared" si="7"/>
        <v>березень</v>
      </c>
      <c r="H24" s="272">
        <v>1.1499999999999999</v>
      </c>
      <c r="I24" s="272"/>
      <c r="J24" s="272"/>
      <c r="K24" s="274"/>
      <c r="M24" s="182"/>
      <c r="W24" s="222" t="s">
        <v>101</v>
      </c>
      <c r="X24" s="222" t="s">
        <v>159</v>
      </c>
    </row>
    <row r="25" spans="1:27" s="23" customFormat="1" ht="35.049999999999997" customHeight="1" x14ac:dyDescent="0.55000000000000004">
      <c r="A25" s="289">
        <v>4</v>
      </c>
      <c r="B25" s="290"/>
      <c r="C25" s="277">
        <v>0.9</v>
      </c>
      <c r="D25" s="278"/>
      <c r="E25" s="278"/>
      <c r="F25" s="278"/>
      <c r="G25" s="183" t="str">
        <f t="shared" si="7"/>
        <v>квітень</v>
      </c>
      <c r="H25" s="272">
        <v>1</v>
      </c>
      <c r="I25" s="272"/>
      <c r="J25" s="272"/>
      <c r="K25" s="274"/>
      <c r="L25" s="24"/>
      <c r="O25" s="24"/>
      <c r="P25" s="25"/>
      <c r="Q25" s="26"/>
      <c r="U25" s="27"/>
      <c r="W25" s="222" t="s">
        <v>32</v>
      </c>
      <c r="X25" s="222" t="s">
        <v>160</v>
      </c>
    </row>
    <row r="26" spans="1:27" ht="35.049999999999997" customHeight="1" x14ac:dyDescent="0.55000000000000004">
      <c r="A26" s="289">
        <v>5</v>
      </c>
      <c r="B26" s="290"/>
      <c r="C26" s="277">
        <v>1</v>
      </c>
      <c r="D26" s="278"/>
      <c r="E26" s="278"/>
      <c r="F26" s="278"/>
      <c r="G26" s="183" t="str">
        <f t="shared" si="7"/>
        <v>травень</v>
      </c>
      <c r="H26" s="272">
        <v>1</v>
      </c>
      <c r="I26" s="272"/>
      <c r="J26" s="272"/>
      <c r="K26" s="274"/>
      <c r="L26" s="180"/>
      <c r="O26" s="13"/>
      <c r="P26" s="13"/>
      <c r="Q26" s="181"/>
      <c r="U26" s="181"/>
      <c r="W26" s="222" t="s">
        <v>34</v>
      </c>
      <c r="X26" s="222" t="s">
        <v>161</v>
      </c>
    </row>
    <row r="27" spans="1:27" ht="35.049999999999997" customHeight="1" x14ac:dyDescent="0.55000000000000004">
      <c r="A27" s="289">
        <v>6</v>
      </c>
      <c r="B27" s="290"/>
      <c r="C27" s="277">
        <v>1</v>
      </c>
      <c r="D27" s="278"/>
      <c r="E27" s="278"/>
      <c r="F27" s="278"/>
      <c r="G27" s="183" t="str">
        <f t="shared" si="7"/>
        <v>червень</v>
      </c>
      <c r="H27" s="272">
        <v>0.8</v>
      </c>
      <c r="I27" s="272"/>
      <c r="J27" s="272"/>
      <c r="K27" s="274"/>
      <c r="M27" s="182"/>
      <c r="W27" s="222" t="s">
        <v>91</v>
      </c>
      <c r="X27" s="222" t="s">
        <v>162</v>
      </c>
    </row>
    <row r="28" spans="1:27" s="23" customFormat="1" ht="35.049999999999997" customHeight="1" x14ac:dyDescent="0.55000000000000004">
      <c r="A28" s="289">
        <v>7</v>
      </c>
      <c r="B28" s="290"/>
      <c r="C28" s="277">
        <v>1</v>
      </c>
      <c r="D28" s="278"/>
      <c r="E28" s="278"/>
      <c r="F28" s="278"/>
      <c r="G28" s="183" t="str">
        <f t="shared" si="7"/>
        <v>липень</v>
      </c>
      <c r="H28" s="272">
        <v>0.9</v>
      </c>
      <c r="I28" s="272"/>
      <c r="J28" s="272"/>
      <c r="K28" s="274"/>
      <c r="L28" s="24"/>
      <c r="O28" s="24"/>
      <c r="P28" s="25"/>
      <c r="Q28" s="26"/>
      <c r="U28" s="27"/>
      <c r="W28" s="222" t="s">
        <v>80</v>
      </c>
      <c r="X28" s="222" t="s">
        <v>163</v>
      </c>
    </row>
    <row r="29" spans="1:27" ht="35.049999999999997" customHeight="1" x14ac:dyDescent="0.55000000000000004">
      <c r="A29" s="289">
        <v>8</v>
      </c>
      <c r="B29" s="290"/>
      <c r="C29" s="277">
        <v>1</v>
      </c>
      <c r="D29" s="278"/>
      <c r="E29" s="278"/>
      <c r="F29" s="278"/>
      <c r="G29" s="183" t="str">
        <f t="shared" si="7"/>
        <v>серпень</v>
      </c>
      <c r="H29" s="272">
        <v>0.95</v>
      </c>
      <c r="I29" s="272"/>
      <c r="J29" s="272"/>
      <c r="K29" s="274"/>
      <c r="L29" s="180"/>
      <c r="O29" s="13"/>
      <c r="P29" s="13"/>
      <c r="Q29" s="181"/>
      <c r="U29" s="181"/>
      <c r="W29" s="222" t="s">
        <v>81</v>
      </c>
      <c r="X29" s="222" t="s">
        <v>164</v>
      </c>
    </row>
    <row r="30" spans="1:27" ht="35.049999999999997" customHeight="1" x14ac:dyDescent="0.55000000000000004">
      <c r="A30" s="289">
        <v>9</v>
      </c>
      <c r="B30" s="290"/>
      <c r="C30" s="277">
        <v>1</v>
      </c>
      <c r="D30" s="278"/>
      <c r="E30" s="278"/>
      <c r="F30" s="278"/>
      <c r="G30" s="183" t="str">
        <f t="shared" si="7"/>
        <v>вересень</v>
      </c>
      <c r="H30" s="272">
        <v>1</v>
      </c>
      <c r="I30" s="272"/>
      <c r="J30" s="272"/>
      <c r="K30" s="274"/>
      <c r="M30" s="182"/>
      <c r="W30" s="222" t="s">
        <v>92</v>
      </c>
      <c r="X30" s="222" t="s">
        <v>165</v>
      </c>
    </row>
    <row r="31" spans="1:27" s="23" customFormat="1" ht="35.049999999999997" customHeight="1" x14ac:dyDescent="0.55000000000000004">
      <c r="A31" s="289">
        <v>10</v>
      </c>
      <c r="B31" s="290"/>
      <c r="C31" s="277">
        <v>1</v>
      </c>
      <c r="D31" s="278"/>
      <c r="E31" s="278"/>
      <c r="F31" s="278"/>
      <c r="G31" s="183" t="str">
        <f t="shared" si="7"/>
        <v>жовтень</v>
      </c>
      <c r="H31" s="272">
        <v>1</v>
      </c>
      <c r="I31" s="272"/>
      <c r="J31" s="272"/>
      <c r="K31" s="274"/>
      <c r="L31" s="24"/>
      <c r="O31" s="24"/>
      <c r="P31" s="25"/>
      <c r="Q31" s="26"/>
      <c r="U31" s="27"/>
      <c r="W31" s="222" t="s">
        <v>93</v>
      </c>
      <c r="X31" s="222" t="s">
        <v>166</v>
      </c>
    </row>
    <row r="32" spans="1:27" ht="35.049999999999997" customHeight="1" x14ac:dyDescent="0.55000000000000004">
      <c r="A32" s="289">
        <v>11</v>
      </c>
      <c r="B32" s="290"/>
      <c r="C32" s="277">
        <v>1</v>
      </c>
      <c r="D32" s="278"/>
      <c r="E32" s="278"/>
      <c r="F32" s="278"/>
      <c r="G32" s="183" t="str">
        <f t="shared" si="7"/>
        <v>листопад</v>
      </c>
      <c r="H32" s="272">
        <v>1</v>
      </c>
      <c r="I32" s="272"/>
      <c r="J32" s="272"/>
      <c r="K32" s="274"/>
      <c r="L32" s="180"/>
      <c r="O32" s="13"/>
      <c r="P32" s="13"/>
      <c r="Q32" s="181"/>
      <c r="U32" s="181"/>
      <c r="W32" s="222" t="s">
        <v>94</v>
      </c>
      <c r="X32" s="222" t="s">
        <v>167</v>
      </c>
    </row>
    <row r="33" spans="1:30" ht="35.049999999999997" customHeight="1" thickBot="1" x14ac:dyDescent="0.6">
      <c r="A33" s="305">
        <v>12</v>
      </c>
      <c r="B33" s="306"/>
      <c r="C33" s="284">
        <v>1</v>
      </c>
      <c r="D33" s="285"/>
      <c r="E33" s="285"/>
      <c r="F33" s="285"/>
      <c r="G33" s="184" t="str">
        <f t="shared" si="7"/>
        <v>грудень</v>
      </c>
      <c r="H33" s="275">
        <v>1</v>
      </c>
      <c r="I33" s="275"/>
      <c r="J33" s="275"/>
      <c r="K33" s="276"/>
      <c r="M33" s="182"/>
      <c r="W33" s="222" t="s">
        <v>83</v>
      </c>
      <c r="X33" s="222" t="s">
        <v>168</v>
      </c>
    </row>
    <row r="34" spans="1:30" ht="40.5" customHeight="1" x14ac:dyDescent="0.55000000000000004">
      <c r="A34" s="308"/>
      <c r="B34" s="308"/>
      <c r="C34" s="308"/>
      <c r="D34" s="308"/>
      <c r="E34" s="308"/>
      <c r="F34" s="308"/>
      <c r="G34" s="308"/>
      <c r="H34" s="308"/>
      <c r="I34" s="308"/>
      <c r="J34" s="308"/>
      <c r="K34" s="308"/>
      <c r="P34" s="12"/>
      <c r="Q34" s="13"/>
      <c r="W34" s="222" t="s">
        <v>103</v>
      </c>
      <c r="X34" s="222" t="s">
        <v>169</v>
      </c>
    </row>
    <row r="35" spans="1:30" ht="54.3" customHeight="1" x14ac:dyDescent="0.55000000000000004">
      <c r="A35" s="281"/>
      <c r="B35" s="281"/>
      <c r="C35" s="3" t="str">
        <f>CHOOSE($U$2,W27,X27)</f>
        <v>Відсоток росту виручки*, %</v>
      </c>
      <c r="D35" s="273" t="str">
        <f>CHOOSE($U$2,W28,X28)</f>
        <v>Ріст заробітної плати (фіксованого окладу)**, %</v>
      </c>
      <c r="E35" s="273"/>
      <c r="F35" s="3" t="str">
        <f>CHOOSE($U$2,W29,X29)</f>
        <v>Ріст орендної плати**, %</v>
      </c>
      <c r="G35" s="3" t="str">
        <f>CHOOSE($U$2,W30,X30)</f>
        <v>Ріст комунальних платежів**, %</v>
      </c>
      <c r="H35" s="3" t="str">
        <f>CHOOSE($U$2,W31,X31)</f>
        <v>Ріст витрат на послуги зв'язку та інтернет**, %</v>
      </c>
      <c r="I35" s="3" t="str">
        <f>CHOOSE($U$2,W32,X32)</f>
        <v>Ріст витрат на податки**, %</v>
      </c>
      <c r="J35" s="273" t="str">
        <f>CHOOSE($U$2,W33,X33)</f>
        <v>Коефіцієнт дисконтування, % річних</v>
      </c>
      <c r="K35" s="273"/>
      <c r="P35" s="12"/>
      <c r="Q35" s="13"/>
      <c r="W35" s="222" t="s">
        <v>53</v>
      </c>
      <c r="X35" s="222" t="s">
        <v>170</v>
      </c>
    </row>
    <row r="36" spans="1:30" ht="43.8" customHeight="1" x14ac:dyDescent="0.55000000000000004">
      <c r="A36" s="304" t="str">
        <f>CHOOSE($U$2,W25,X25)</f>
        <v>2-й рік роботи</v>
      </c>
      <c r="B36" s="304"/>
      <c r="C36" s="197">
        <v>1.1000000000000001</v>
      </c>
      <c r="D36" s="272">
        <v>1</v>
      </c>
      <c r="E36" s="272"/>
      <c r="F36" s="197">
        <v>1</v>
      </c>
      <c r="G36" s="197">
        <v>1</v>
      </c>
      <c r="H36" s="197">
        <v>1</v>
      </c>
      <c r="I36" s="197">
        <v>1</v>
      </c>
      <c r="J36" s="272">
        <v>0.1</v>
      </c>
      <c r="K36" s="272"/>
      <c r="M36" s="182"/>
      <c r="W36" s="222" t="s">
        <v>112</v>
      </c>
      <c r="X36" s="222" t="s">
        <v>171</v>
      </c>
    </row>
    <row r="37" spans="1:30" ht="43.8" customHeight="1" x14ac:dyDescent="0.55000000000000004">
      <c r="A37" s="304" t="str">
        <f>CHOOSE($U$2,W26,X26)</f>
        <v>3-й рік роботи</v>
      </c>
      <c r="B37" s="304"/>
      <c r="C37" s="197">
        <v>1.2</v>
      </c>
      <c r="D37" s="272">
        <v>1</v>
      </c>
      <c r="E37" s="272"/>
      <c r="F37" s="197">
        <v>1</v>
      </c>
      <c r="G37" s="197">
        <v>1</v>
      </c>
      <c r="H37" s="197">
        <v>1</v>
      </c>
      <c r="I37" s="197">
        <v>1</v>
      </c>
      <c r="J37" s="272"/>
      <c r="K37" s="272"/>
      <c r="M37" s="182"/>
      <c r="W37" s="222" t="s">
        <v>42</v>
      </c>
      <c r="X37" s="222" t="s">
        <v>173</v>
      </c>
    </row>
    <row r="38" spans="1:30" ht="56.1" customHeight="1" x14ac:dyDescent="0.55000000000000004">
      <c r="A38" s="280" t="str">
        <f>CHOOSE($U$2,W34,X34)</f>
        <v xml:space="preserve"> * - відсоток по відношенню до даних про середній чек та кількість чеків, вказаних в розділі "Фінансові параметри" на сторінці "Вхідні дані".
 ** - по відношенню до даних, вказаних в розділах "Персонал" та "Поточні витрати" на сторінці "Вхідні дані".</v>
      </c>
      <c r="B38" s="280"/>
      <c r="C38" s="280"/>
      <c r="D38" s="280"/>
      <c r="E38" s="280"/>
      <c r="F38" s="280"/>
      <c r="G38" s="280"/>
      <c r="H38" s="280"/>
      <c r="I38" s="280"/>
      <c r="J38" s="280"/>
      <c r="K38" s="280"/>
      <c r="P38" s="12"/>
      <c r="Q38" s="13"/>
      <c r="W38" s="222" t="s">
        <v>302</v>
      </c>
      <c r="X38" s="222" t="s">
        <v>303</v>
      </c>
    </row>
    <row r="39" spans="1:30" ht="67.2" customHeight="1" x14ac:dyDescent="0.55000000000000004">
      <c r="A39" s="28" t="str">
        <f>CHOOSE($U$2,W35,X35)</f>
        <v>Інвестиції у відкриття</v>
      </c>
      <c r="H39" s="29"/>
      <c r="I39" s="29"/>
      <c r="J39" s="29"/>
      <c r="W39" s="222" t="s">
        <v>54</v>
      </c>
      <c r="X39" s="222" t="s">
        <v>123</v>
      </c>
    </row>
    <row r="40" spans="1:30" ht="32.1" customHeight="1" x14ac:dyDescent="0.6">
      <c r="D40" s="273" t="str">
        <f>C10</f>
        <v>UAH</v>
      </c>
      <c r="E40" s="273"/>
      <c r="F40" s="273"/>
      <c r="G40" s="273"/>
      <c r="H40" s="273" t="str">
        <f>D10</f>
        <v>У валюті, в якій виконується розрахунок, UAH</v>
      </c>
      <c r="I40" s="273"/>
      <c r="J40" s="273"/>
      <c r="K40" s="273"/>
      <c r="L40" s="30"/>
      <c r="M40" s="30"/>
      <c r="P40" s="33"/>
      <c r="Q40" s="33"/>
      <c r="U40" s="33"/>
      <c r="V40" s="33"/>
      <c r="W40" s="222" t="s">
        <v>52</v>
      </c>
      <c r="X40" s="222" t="s">
        <v>172</v>
      </c>
      <c r="Y40" s="33"/>
      <c r="Z40" s="33"/>
      <c r="AA40" s="33"/>
      <c r="AB40" s="33"/>
      <c r="AC40" s="33"/>
      <c r="AD40" s="33"/>
    </row>
    <row r="41" spans="1:30" ht="42" customHeight="1" x14ac:dyDescent="0.6">
      <c r="B41" s="302" t="str">
        <f t="shared" ref="B41:B50" si="8">CHOOSE($U$2,W37,X37)</f>
        <v>Ремонт приміщення</v>
      </c>
      <c r="C41" s="303"/>
      <c r="D41" s="264"/>
      <c r="E41" s="264"/>
      <c r="F41" s="264"/>
      <c r="G41" s="264"/>
      <c r="H41" s="263">
        <f t="shared" ref="H41:H50" si="9">D41/CHOOSE($O$2,1,$F$5,$I$5,$K$5)</f>
        <v>0</v>
      </c>
      <c r="I41" s="263"/>
      <c r="J41" s="263"/>
      <c r="K41" s="263"/>
      <c r="L41" s="30"/>
      <c r="M41" s="30"/>
      <c r="P41" s="33"/>
      <c r="Q41" s="33"/>
      <c r="U41" s="33"/>
      <c r="V41" s="33"/>
      <c r="W41" s="222" t="s">
        <v>343</v>
      </c>
      <c r="X41" s="222" t="s">
        <v>342</v>
      </c>
      <c r="Y41" s="33"/>
      <c r="Z41" s="33"/>
      <c r="AA41" s="33"/>
      <c r="AB41" s="33"/>
      <c r="AC41" s="33"/>
      <c r="AD41" s="33"/>
    </row>
    <row r="42" spans="1:30" ht="42" customHeight="1" x14ac:dyDescent="0.6">
      <c r="A42" s="34"/>
      <c r="B42" s="259" t="str">
        <f t="shared" si="8"/>
        <v>Меблі та обладнання*</v>
      </c>
      <c r="C42" s="260"/>
      <c r="D42" s="268">
        <f>Инвестиции!D5</f>
        <v>265150</v>
      </c>
      <c r="E42" s="268"/>
      <c r="F42" s="268"/>
      <c r="G42" s="268"/>
      <c r="H42" s="263">
        <f t="shared" si="9"/>
        <v>265150</v>
      </c>
      <c r="I42" s="263"/>
      <c r="J42" s="263"/>
      <c r="K42" s="263"/>
      <c r="L42" s="32"/>
      <c r="O42" s="33"/>
      <c r="P42" s="33"/>
      <c r="Q42" s="33"/>
      <c r="R42" s="33"/>
      <c r="S42" s="33"/>
      <c r="T42" s="33"/>
      <c r="U42" s="33"/>
      <c r="V42" s="33"/>
      <c r="W42" s="222" t="s">
        <v>124</v>
      </c>
      <c r="X42" s="222" t="s">
        <v>174</v>
      </c>
      <c r="Y42" s="33"/>
      <c r="Z42" s="33"/>
      <c r="AA42" s="33"/>
      <c r="AB42" s="33"/>
      <c r="AC42" s="33"/>
    </row>
    <row r="43" spans="1:30" ht="42" customHeight="1" x14ac:dyDescent="0.6">
      <c r="A43" s="34"/>
      <c r="B43" s="259" t="str">
        <f t="shared" si="8"/>
        <v>Відеоспостереження</v>
      </c>
      <c r="C43" s="260"/>
      <c r="D43" s="264"/>
      <c r="E43" s="264"/>
      <c r="F43" s="264"/>
      <c r="G43" s="264"/>
      <c r="H43" s="263">
        <f t="shared" si="9"/>
        <v>0</v>
      </c>
      <c r="I43" s="263"/>
      <c r="J43" s="263"/>
      <c r="K43" s="263"/>
      <c r="L43" s="32"/>
      <c r="O43" s="33"/>
      <c r="P43" s="33"/>
      <c r="Q43" s="33"/>
      <c r="R43" s="33"/>
      <c r="S43" s="33"/>
      <c r="T43" s="33"/>
      <c r="U43" s="33"/>
      <c r="V43" s="33"/>
      <c r="W43" s="222" t="s">
        <v>60</v>
      </c>
      <c r="X43" s="222" t="s">
        <v>178</v>
      </c>
      <c r="Y43" s="33"/>
      <c r="Z43" s="33"/>
      <c r="AA43" s="33"/>
      <c r="AB43" s="33"/>
      <c r="AC43" s="33"/>
    </row>
    <row r="44" spans="1:30" ht="42" customHeight="1" x14ac:dyDescent="0.6">
      <c r="A44" s="34"/>
      <c r="B44" s="259" t="str">
        <f t="shared" si="8"/>
        <v>Сигналізація (охоронна та пожежна)</v>
      </c>
      <c r="C44" s="260"/>
      <c r="D44" s="264"/>
      <c r="E44" s="264"/>
      <c r="F44" s="264"/>
      <c r="G44" s="264"/>
      <c r="H44" s="263">
        <f t="shared" si="9"/>
        <v>0</v>
      </c>
      <c r="I44" s="263"/>
      <c r="J44" s="263"/>
      <c r="K44" s="263"/>
      <c r="L44" s="32"/>
      <c r="O44" s="33"/>
      <c r="P44" s="33"/>
      <c r="Q44" s="33"/>
      <c r="R44" s="33"/>
      <c r="S44" s="33"/>
      <c r="T44" s="33"/>
      <c r="U44" s="33"/>
      <c r="V44" s="33"/>
      <c r="W44" s="222" t="s">
        <v>21</v>
      </c>
      <c r="X44" s="222" t="s">
        <v>175</v>
      </c>
      <c r="Y44" s="33"/>
      <c r="Z44" s="33"/>
      <c r="AA44" s="33"/>
      <c r="AB44" s="33"/>
      <c r="AC44" s="33"/>
    </row>
    <row r="45" spans="1:30" ht="42" customHeight="1" x14ac:dyDescent="0.6">
      <c r="A45" s="34"/>
      <c r="B45" s="259" t="str">
        <f t="shared" si="8"/>
        <v>Первісний закуп товару та інше*</v>
      </c>
      <c r="C45" s="260"/>
      <c r="D45" s="268">
        <f>Инвестиции!D70</f>
        <v>0</v>
      </c>
      <c r="E45" s="268"/>
      <c r="F45" s="268"/>
      <c r="G45" s="268"/>
      <c r="H45" s="263">
        <f t="shared" si="9"/>
        <v>0</v>
      </c>
      <c r="I45" s="263"/>
      <c r="J45" s="263"/>
      <c r="K45" s="263"/>
      <c r="L45" s="32"/>
      <c r="O45" s="33"/>
      <c r="P45" s="33"/>
      <c r="Q45" s="33"/>
      <c r="R45" s="33"/>
      <c r="S45" s="33"/>
      <c r="T45" s="33"/>
      <c r="U45" s="33"/>
      <c r="V45" s="33"/>
      <c r="W45" s="222" t="s">
        <v>2</v>
      </c>
      <c r="X45" s="222" t="s">
        <v>176</v>
      </c>
      <c r="Y45" s="33"/>
      <c r="Z45" s="33"/>
      <c r="AA45" s="33"/>
      <c r="AB45" s="33"/>
      <c r="AC45" s="33"/>
    </row>
    <row r="46" spans="1:30" ht="42" customHeight="1" x14ac:dyDescent="0.6">
      <c r="A46" s="34"/>
      <c r="B46" s="259" t="str">
        <f t="shared" si="8"/>
        <v>Авансовий платіж по оренді</v>
      </c>
      <c r="C46" s="260"/>
      <c r="D46" s="264"/>
      <c r="E46" s="264"/>
      <c r="F46" s="264"/>
      <c r="G46" s="264"/>
      <c r="H46" s="263">
        <f t="shared" si="9"/>
        <v>0</v>
      </c>
      <c r="I46" s="263"/>
      <c r="J46" s="263"/>
      <c r="K46" s="263"/>
      <c r="L46" s="32"/>
      <c r="O46" s="33"/>
      <c r="P46" s="33"/>
      <c r="Q46" s="33"/>
      <c r="R46" s="33"/>
      <c r="S46" s="33"/>
      <c r="T46" s="33"/>
      <c r="U46" s="33"/>
      <c r="V46" s="33"/>
      <c r="W46" s="222" t="s">
        <v>0</v>
      </c>
      <c r="X46" s="222" t="s">
        <v>177</v>
      </c>
      <c r="Y46" s="33"/>
      <c r="Z46" s="33"/>
      <c r="AA46" s="33"/>
      <c r="AB46" s="33"/>
      <c r="AC46" s="33"/>
    </row>
    <row r="47" spans="1:30" ht="42" customHeight="1" x14ac:dyDescent="0.6">
      <c r="A47" s="30"/>
      <c r="B47" s="259" t="str">
        <f t="shared" si="8"/>
        <v>Рекламна кампанія</v>
      </c>
      <c r="C47" s="260"/>
      <c r="D47" s="264"/>
      <c r="E47" s="264"/>
      <c r="F47" s="264"/>
      <c r="G47" s="264"/>
      <c r="H47" s="263">
        <f t="shared" si="9"/>
        <v>0</v>
      </c>
      <c r="I47" s="263"/>
      <c r="J47" s="263"/>
      <c r="K47" s="263"/>
      <c r="L47" s="32"/>
      <c r="O47" s="33"/>
      <c r="P47" s="33"/>
      <c r="Q47" s="33"/>
      <c r="U47" s="33"/>
      <c r="V47" s="33"/>
      <c r="W47" s="222" t="s">
        <v>344</v>
      </c>
      <c r="X47" s="222" t="s">
        <v>345</v>
      </c>
      <c r="Y47" s="33"/>
      <c r="Z47" s="33"/>
      <c r="AA47" s="33"/>
      <c r="AB47" s="33"/>
      <c r="AC47" s="33"/>
    </row>
    <row r="48" spans="1:30" ht="42" customHeight="1" x14ac:dyDescent="0.6">
      <c r="A48" s="30"/>
      <c r="B48" s="259" t="str">
        <f t="shared" si="8"/>
        <v>Паушальний внесок</v>
      </c>
      <c r="C48" s="260"/>
      <c r="D48" s="264">
        <v>150000</v>
      </c>
      <c r="E48" s="264"/>
      <c r="F48" s="264"/>
      <c r="G48" s="264"/>
      <c r="H48" s="263">
        <f t="shared" si="9"/>
        <v>150000</v>
      </c>
      <c r="I48" s="263"/>
      <c r="J48" s="263"/>
      <c r="K48" s="263"/>
      <c r="L48" s="32"/>
      <c r="O48" s="33"/>
      <c r="P48" s="33"/>
      <c r="Q48" s="33"/>
      <c r="R48" s="33"/>
      <c r="S48" s="33"/>
      <c r="T48" s="33"/>
      <c r="U48" s="33"/>
      <c r="V48" s="33"/>
      <c r="W48" s="222" t="s">
        <v>62</v>
      </c>
      <c r="X48" s="222" t="s">
        <v>179</v>
      </c>
      <c r="Y48" s="33"/>
      <c r="Z48" s="33"/>
      <c r="AA48" s="33"/>
      <c r="AB48" s="33"/>
      <c r="AC48" s="33"/>
    </row>
    <row r="49" spans="1:29" ht="42" customHeight="1" x14ac:dyDescent="0.6">
      <c r="A49" s="30"/>
      <c r="B49" s="259" t="str">
        <f t="shared" si="8"/>
        <v>Інше</v>
      </c>
      <c r="C49" s="260"/>
      <c r="D49" s="264"/>
      <c r="E49" s="264"/>
      <c r="F49" s="264"/>
      <c r="G49" s="264"/>
      <c r="H49" s="263">
        <f t="shared" si="9"/>
        <v>0</v>
      </c>
      <c r="I49" s="263"/>
      <c r="J49" s="263"/>
      <c r="K49" s="263"/>
      <c r="L49" s="32"/>
      <c r="O49" s="33"/>
      <c r="P49" s="33"/>
      <c r="Q49" s="33"/>
      <c r="R49" s="33"/>
      <c r="S49" s="33"/>
      <c r="T49" s="33"/>
      <c r="U49" s="33"/>
      <c r="V49" s="33"/>
      <c r="W49" s="222" t="s">
        <v>109</v>
      </c>
      <c r="X49" s="222" t="s">
        <v>180</v>
      </c>
      <c r="Y49" s="33"/>
      <c r="Z49" s="33"/>
      <c r="AA49" s="33"/>
      <c r="AB49" s="33"/>
      <c r="AC49" s="33"/>
    </row>
    <row r="50" spans="1:29" ht="42" customHeight="1" x14ac:dyDescent="0.6">
      <c r="A50" s="30"/>
      <c r="B50" s="259" t="str">
        <f t="shared" si="8"/>
        <v>Разом:</v>
      </c>
      <c r="C50" s="260"/>
      <c r="D50" s="269">
        <f>SUM(D42:E49)</f>
        <v>415150</v>
      </c>
      <c r="E50" s="269"/>
      <c r="F50" s="269"/>
      <c r="G50" s="269"/>
      <c r="H50" s="269">
        <f t="shared" si="9"/>
        <v>415150</v>
      </c>
      <c r="I50" s="269"/>
      <c r="J50" s="269"/>
      <c r="K50" s="269"/>
      <c r="L50" s="32"/>
      <c r="M50" s="35"/>
      <c r="O50" s="33"/>
      <c r="Q50" s="33"/>
      <c r="R50" s="33"/>
      <c r="S50" s="33"/>
      <c r="T50" s="33"/>
      <c r="U50" s="33"/>
      <c r="V50" s="33"/>
      <c r="W50" s="222" t="s">
        <v>349</v>
      </c>
      <c r="X50" s="222" t="s">
        <v>350</v>
      </c>
      <c r="Y50" s="33"/>
      <c r="Z50" s="33"/>
      <c r="AA50" s="33"/>
      <c r="AB50" s="33"/>
      <c r="AC50" s="33"/>
    </row>
    <row r="51" spans="1:29" ht="84.3" customHeight="1" x14ac:dyDescent="0.6">
      <c r="A51" s="280" t="str">
        <f>CHOOSE($U$2,W47,X47)</f>
        <v xml:space="preserve"> * - інвестиції в "Меблі та обладнання" та "Первісний закуп товару та інше" вказуються на сторінці "Інвестиції".</v>
      </c>
      <c r="B51" s="280"/>
      <c r="C51" s="280"/>
      <c r="D51" s="280"/>
      <c r="E51" s="280"/>
      <c r="F51" s="280"/>
      <c r="G51" s="280"/>
      <c r="H51" s="280"/>
      <c r="I51" s="280"/>
      <c r="J51" s="280"/>
      <c r="K51" s="280"/>
      <c r="L51" s="32"/>
      <c r="O51" s="33"/>
      <c r="Q51" s="33"/>
      <c r="R51" s="33"/>
      <c r="S51" s="33"/>
      <c r="T51" s="33"/>
      <c r="U51" s="33"/>
      <c r="V51" s="33"/>
      <c r="W51" s="222" t="s">
        <v>347</v>
      </c>
      <c r="X51" s="222" t="s">
        <v>348</v>
      </c>
      <c r="Y51" s="33"/>
      <c r="Z51" s="33"/>
      <c r="AA51" s="33"/>
      <c r="AB51" s="33"/>
      <c r="AC51" s="33"/>
    </row>
    <row r="52" spans="1:29" ht="34.200000000000003" customHeight="1" x14ac:dyDescent="0.7">
      <c r="A52" s="28" t="s">
        <v>61</v>
      </c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2"/>
      <c r="O52" s="33"/>
      <c r="Q52" s="33"/>
      <c r="R52" s="33"/>
      <c r="S52" s="33"/>
      <c r="T52" s="33"/>
      <c r="U52" s="33"/>
      <c r="V52" s="33"/>
      <c r="W52" s="222" t="str">
        <f>"В валюте, в которой производиться расчет, "&amp;CHOOSE($O$2,$P$2,$P$3,$P$4,$P$5)&amp;"/день"</f>
        <v>В валюте, в которой производиться расчет, UAH/день</v>
      </c>
      <c r="X52" s="222" t="str">
        <f>"У валюті, в якій виконується розрахунок, "&amp;CHOOSE($O$2,$P$2,$P$3,$P$4,$P$5)&amp;"/день"</f>
        <v>У валюті, в якій виконується розрахунок, UAH/день</v>
      </c>
      <c r="Y52" s="33"/>
      <c r="Z52" s="33"/>
      <c r="AA52" s="33"/>
      <c r="AB52" s="33"/>
      <c r="AC52" s="33"/>
    </row>
    <row r="53" spans="1:29" ht="34.200000000000003" customHeight="1" x14ac:dyDescent="0.6">
      <c r="A53" s="265" t="str">
        <f>CHOOSE($U$2,W48,X48)</f>
        <v>Посадові одиниці</v>
      </c>
      <c r="B53" s="265"/>
      <c r="C53" s="265"/>
      <c r="D53" s="261" t="str">
        <f>CHOOSE($U$2,W49,X49)</f>
        <v>Загальна кількість співробітників, чол.</v>
      </c>
      <c r="E53" s="309" t="str">
        <f>CHOOSE($U$2,W50,X50)</f>
        <v>Фіксований оклад в день (зміну)</v>
      </c>
      <c r="F53" s="310"/>
      <c r="G53" s="311"/>
      <c r="H53" s="261" t="str">
        <f>CHOOSE($U$2,W53,X53)</f>
        <v>Кількість робочих днів на місяць у кожного співробітника, днів/міс.</v>
      </c>
      <c r="I53" s="265" t="str">
        <f>CHOOSE($U$2,W54,X54)</f>
        <v>Базовий розмір бонусу, % від бази нарахування*</v>
      </c>
      <c r="J53" s="265"/>
      <c r="K53" s="265" t="str">
        <f>CHOOSE($U$2,W55,X55)</f>
        <v xml:space="preserve"> * - База нарахування бонусу</v>
      </c>
      <c r="L53" s="32"/>
      <c r="O53" s="33"/>
      <c r="Q53" s="33"/>
      <c r="R53" s="33"/>
      <c r="S53" s="33"/>
      <c r="T53" s="33"/>
      <c r="U53" s="33"/>
      <c r="V53" s="33"/>
      <c r="W53" s="222" t="s">
        <v>131</v>
      </c>
      <c r="X53" s="222" t="s">
        <v>181</v>
      </c>
      <c r="Y53" s="33"/>
      <c r="Z53" s="33"/>
      <c r="AA53" s="33"/>
      <c r="AB53" s="33"/>
      <c r="AC53" s="33"/>
    </row>
    <row r="54" spans="1:29" ht="45.9" customHeight="1" x14ac:dyDescent="0.6">
      <c r="A54" s="265"/>
      <c r="B54" s="265"/>
      <c r="C54" s="265"/>
      <c r="D54" s="261"/>
      <c r="E54" s="213" t="str">
        <f>CHOOSE($U$2,W51,X51)</f>
        <v>UAH/день(зміну)</v>
      </c>
      <c r="F54" s="266" t="str">
        <f>CHOOSE($U$2,W52,X52)</f>
        <v>У валюті, в якій виконується розрахунок, UAH/день</v>
      </c>
      <c r="G54" s="267"/>
      <c r="H54" s="261"/>
      <c r="I54" s="265"/>
      <c r="J54" s="265"/>
      <c r="K54" s="265"/>
      <c r="L54" s="32"/>
      <c r="O54" s="33"/>
      <c r="Q54" s="33"/>
      <c r="R54" s="33"/>
      <c r="S54" s="33"/>
      <c r="T54" s="33"/>
      <c r="U54" s="33"/>
      <c r="V54" s="33"/>
      <c r="W54" s="222" t="s">
        <v>75</v>
      </c>
      <c r="X54" s="222" t="s">
        <v>182</v>
      </c>
      <c r="Y54" s="33"/>
      <c r="Z54" s="33"/>
      <c r="AA54" s="33"/>
      <c r="AB54" s="33"/>
      <c r="AC54" s="33"/>
    </row>
    <row r="55" spans="1:29" s="23" customFormat="1" ht="40" customHeight="1" x14ac:dyDescent="0.55000000000000004">
      <c r="A55" s="258" t="s">
        <v>308</v>
      </c>
      <c r="B55" s="258"/>
      <c r="C55" s="258"/>
      <c r="D55" s="211">
        <v>1</v>
      </c>
      <c r="E55" s="214">
        <f>5000/22</f>
        <v>227.27272727272728</v>
      </c>
      <c r="F55" s="312">
        <f>E55/CHOOSE($O$2,1,$F$5,$I$5,$K$5)</f>
        <v>227.27272727272728</v>
      </c>
      <c r="G55" s="313"/>
      <c r="H55" s="214">
        <v>22</v>
      </c>
      <c r="I55" s="270">
        <v>0</v>
      </c>
      <c r="J55" s="270"/>
      <c r="K55" s="241" t="str">
        <f>CHOOSE($U$2,$W$56,$X$56)</f>
        <v>загальна виручка</v>
      </c>
      <c r="L55" s="32"/>
      <c r="N55" s="37"/>
      <c r="O55" s="38"/>
      <c r="Q55" s="38"/>
      <c r="R55" s="38"/>
      <c r="S55" s="38"/>
      <c r="T55" s="38"/>
      <c r="U55" s="38"/>
      <c r="V55" s="38"/>
      <c r="W55" s="222" t="s">
        <v>76</v>
      </c>
      <c r="X55" s="222" t="s">
        <v>183</v>
      </c>
      <c r="Y55" s="38"/>
      <c r="Z55" s="38"/>
      <c r="AA55" s="38"/>
      <c r="AB55" s="38"/>
      <c r="AC55" s="38"/>
    </row>
    <row r="56" spans="1:29" s="23" customFormat="1" ht="40" customHeight="1" x14ac:dyDescent="0.55000000000000004">
      <c r="A56" s="258" t="s">
        <v>307</v>
      </c>
      <c r="B56" s="258"/>
      <c r="C56" s="258"/>
      <c r="D56" s="211">
        <v>4</v>
      </c>
      <c r="E56" s="214">
        <v>350</v>
      </c>
      <c r="F56" s="312">
        <f>E56/CHOOSE($O$2,1,$F$5,$I$5,$K$5)</f>
        <v>350</v>
      </c>
      <c r="G56" s="313"/>
      <c r="H56" s="214">
        <v>11</v>
      </c>
      <c r="I56" s="270">
        <v>0</v>
      </c>
      <c r="J56" s="270"/>
      <c r="K56" s="241" t="str">
        <f>CHOOSE($U$2,$W$56,$X$56)</f>
        <v>загальна виручка</v>
      </c>
      <c r="L56" s="32"/>
      <c r="N56" s="37"/>
      <c r="O56" s="38"/>
      <c r="Q56" s="38"/>
      <c r="R56" s="38"/>
      <c r="S56" s="38"/>
      <c r="T56" s="38"/>
      <c r="U56" s="38"/>
      <c r="V56" s="38"/>
      <c r="W56" s="222" t="s">
        <v>111</v>
      </c>
      <c r="X56" s="222" t="s">
        <v>184</v>
      </c>
      <c r="Y56" s="38"/>
      <c r="Z56" s="38"/>
      <c r="AA56" s="38"/>
      <c r="AB56" s="38"/>
      <c r="AC56" s="38"/>
    </row>
    <row r="57" spans="1:29" s="23" customFormat="1" ht="40" customHeight="1" x14ac:dyDescent="0.55000000000000004">
      <c r="A57" s="258" t="s">
        <v>309</v>
      </c>
      <c r="B57" s="258"/>
      <c r="C57" s="258"/>
      <c r="D57" s="214">
        <v>1</v>
      </c>
      <c r="E57" s="214">
        <v>300</v>
      </c>
      <c r="F57" s="312">
        <f t="shared" ref="F57" si="10">E57/CHOOSE($O$2,1,$F$5,$I$5,$K$5)</f>
        <v>300</v>
      </c>
      <c r="G57" s="313"/>
      <c r="H57" s="214">
        <v>22</v>
      </c>
      <c r="I57" s="270">
        <v>0</v>
      </c>
      <c r="J57" s="270"/>
      <c r="K57" s="241" t="str">
        <f>CHOOSE($U$2,$W$56,$X$56)</f>
        <v>загальна виручка</v>
      </c>
      <c r="L57" s="32"/>
      <c r="N57" s="37"/>
      <c r="O57" s="38"/>
      <c r="Q57" s="38"/>
      <c r="R57" s="38"/>
      <c r="S57" s="38"/>
      <c r="T57" s="38"/>
      <c r="U57" s="38"/>
      <c r="V57" s="38"/>
      <c r="W57" s="222" t="s">
        <v>328</v>
      </c>
      <c r="X57" s="222" t="s">
        <v>327</v>
      </c>
      <c r="Y57" s="38"/>
      <c r="Z57" s="38"/>
      <c r="AA57" s="38"/>
      <c r="AB57" s="38"/>
      <c r="AC57" s="38"/>
    </row>
    <row r="58" spans="1:29" ht="34.200000000000003" customHeight="1" x14ac:dyDescent="0.6">
      <c r="A58" s="265" t="str">
        <f>A53</f>
        <v>Посадові одиниці</v>
      </c>
      <c r="B58" s="265"/>
      <c r="C58" s="265"/>
      <c r="D58" s="261"/>
      <c r="E58" s="309" t="str">
        <f>CHOOSE($U$2,W57,X57)</f>
        <v>Фіксований оклад за один раціон</v>
      </c>
      <c r="F58" s="310"/>
      <c r="G58" s="311"/>
      <c r="H58" s="261"/>
      <c r="I58" s="265" t="str">
        <f>I53</f>
        <v>Базовий розмір бонусу, % від бази нарахування*</v>
      </c>
      <c r="J58" s="265"/>
      <c r="K58" s="265" t="str">
        <f>K53</f>
        <v xml:space="preserve"> * - База нарахування бонусу</v>
      </c>
      <c r="L58" s="32"/>
      <c r="O58" s="33"/>
      <c r="Q58" s="33"/>
      <c r="R58" s="33"/>
      <c r="S58" s="33"/>
      <c r="T58" s="33"/>
      <c r="U58" s="33"/>
      <c r="V58" s="33"/>
      <c r="W58" s="222" t="s">
        <v>311</v>
      </c>
      <c r="X58" s="222" t="s">
        <v>312</v>
      </c>
      <c r="Y58" s="33"/>
      <c r="Z58" s="33"/>
      <c r="AA58" s="33"/>
      <c r="AB58" s="33"/>
      <c r="AC58" s="33"/>
    </row>
    <row r="59" spans="1:29" ht="45.9" customHeight="1" x14ac:dyDescent="0.6">
      <c r="A59" s="265"/>
      <c r="B59" s="265"/>
      <c r="C59" s="265"/>
      <c r="D59" s="261"/>
      <c r="E59" s="233" t="str">
        <f>CHOOSE($U$2,W58,X58)</f>
        <v>UAH/раціон</v>
      </c>
      <c r="F59" s="266" t="str">
        <f>CHOOSE($U$2,W59,X59)</f>
        <v>У валюті, в якій виконується розрахунок, UAH/раціон</v>
      </c>
      <c r="G59" s="267"/>
      <c r="H59" s="261"/>
      <c r="I59" s="265"/>
      <c r="J59" s="265"/>
      <c r="K59" s="265"/>
      <c r="L59" s="32"/>
      <c r="O59" s="33"/>
      <c r="Q59" s="33"/>
      <c r="R59" s="33"/>
      <c r="S59" s="33"/>
      <c r="T59" s="33"/>
      <c r="U59" s="33"/>
      <c r="V59" s="33"/>
      <c r="W59" s="222" t="str">
        <f>"В валюте, в которой производиться расчет, "&amp;CHOOSE($O$2,$P$2,$P$3,$P$4,$P$5)&amp;"/рацион"</f>
        <v>В валюте, в которой производиться расчет, UAH/рацион</v>
      </c>
      <c r="X59" s="222" t="str">
        <f>"У валюті, в якій виконується розрахунок, "&amp;CHOOSE($O$2,$P$2,$P$3,$P$4,$P$5)&amp;"/раціон"</f>
        <v>У валюті, в якій виконується розрахунок, UAH/раціон</v>
      </c>
      <c r="Y59" s="33"/>
      <c r="Z59" s="33"/>
      <c r="AA59" s="33"/>
      <c r="AB59" s="33"/>
      <c r="AC59" s="33"/>
    </row>
    <row r="60" spans="1:29" s="23" customFormat="1" ht="40" customHeight="1" x14ac:dyDescent="0.55000000000000004">
      <c r="A60" s="258" t="s">
        <v>306</v>
      </c>
      <c r="B60" s="258"/>
      <c r="C60" s="258"/>
      <c r="D60" s="214">
        <v>4</v>
      </c>
      <c r="E60" s="214">
        <v>40</v>
      </c>
      <c r="F60" s="312">
        <f>E60/CHOOSE($O$2,1,$F$5,$I$5,$K$5)</f>
        <v>40</v>
      </c>
      <c r="G60" s="313"/>
      <c r="H60" s="242"/>
      <c r="I60" s="270">
        <v>0</v>
      </c>
      <c r="J60" s="270"/>
      <c r="K60" s="241" t="str">
        <f>CHOOSE($U$2,$W$56,$X$56)</f>
        <v>загальна виручка</v>
      </c>
      <c r="L60" s="32"/>
      <c r="N60" s="37"/>
      <c r="O60" s="38"/>
      <c r="Q60" s="38"/>
      <c r="R60" s="38"/>
      <c r="S60" s="38"/>
      <c r="T60" s="38"/>
      <c r="U60" s="38"/>
      <c r="V60" s="38"/>
      <c r="W60" s="222" t="s">
        <v>322</v>
      </c>
      <c r="X60" s="222" t="s">
        <v>351</v>
      </c>
      <c r="Y60" s="38"/>
      <c r="Z60" s="38"/>
      <c r="AA60" s="38"/>
      <c r="AB60" s="38"/>
      <c r="AC60" s="38"/>
    </row>
    <row r="61" spans="1:29" ht="34.200000000000003" customHeight="1" x14ac:dyDescent="0.6">
      <c r="A61" s="265" t="str">
        <f>A58</f>
        <v>Посадові одиниці</v>
      </c>
      <c r="B61" s="265"/>
      <c r="C61" s="265"/>
      <c r="D61" s="261" t="str">
        <f>CHOOSE($U$2,W60,X60)</f>
        <v>Середня кількість доставок в місяць*, од./міс.</v>
      </c>
      <c r="E61" s="309" t="str">
        <f>CHOOSE($U$2,W61,X61)</f>
        <v>Фіксований оклад за одну доставку</v>
      </c>
      <c r="F61" s="310"/>
      <c r="G61" s="311"/>
      <c r="H61" s="261"/>
      <c r="I61" s="265" t="str">
        <f>I58</f>
        <v>Базовий розмір бонусу, % від бази нарахування*</v>
      </c>
      <c r="J61" s="265"/>
      <c r="K61" s="265" t="str">
        <f>K58</f>
        <v xml:space="preserve"> * - База нарахування бонусу</v>
      </c>
      <c r="L61" s="32"/>
      <c r="O61" s="33"/>
      <c r="Q61" s="33"/>
      <c r="R61" s="33"/>
      <c r="S61" s="33"/>
      <c r="T61" s="33"/>
      <c r="U61" s="33"/>
      <c r="V61" s="33"/>
      <c r="W61" s="222" t="s">
        <v>325</v>
      </c>
      <c r="X61" s="222" t="s">
        <v>326</v>
      </c>
      <c r="Y61" s="33"/>
      <c r="Z61" s="33"/>
      <c r="AA61" s="33"/>
      <c r="AB61" s="33"/>
      <c r="AC61" s="33"/>
    </row>
    <row r="62" spans="1:29" ht="45.9" customHeight="1" x14ac:dyDescent="0.6">
      <c r="A62" s="265"/>
      <c r="B62" s="265"/>
      <c r="C62" s="265"/>
      <c r="D62" s="261"/>
      <c r="E62" s="233" t="str">
        <f>CHOOSE($U$2,W62,X62)</f>
        <v>UAH/1 доставка</v>
      </c>
      <c r="F62" s="266" t="str">
        <f>CHOOSE($U$2,W63,X63)</f>
        <v>У валюті, в якій виконується розрахунок, UAH/1 доставка</v>
      </c>
      <c r="G62" s="267"/>
      <c r="H62" s="261"/>
      <c r="I62" s="265"/>
      <c r="J62" s="265"/>
      <c r="K62" s="265"/>
      <c r="L62" s="32"/>
      <c r="O62" s="33"/>
      <c r="Q62" s="33"/>
      <c r="R62" s="33"/>
      <c r="S62" s="33"/>
      <c r="T62" s="33"/>
      <c r="U62" s="33"/>
      <c r="V62" s="33"/>
      <c r="W62" s="222" t="s">
        <v>313</v>
      </c>
      <c r="X62" s="222" t="s">
        <v>313</v>
      </c>
      <c r="Y62" s="33"/>
      <c r="Z62" s="33"/>
      <c r="AA62" s="33"/>
      <c r="AB62" s="33"/>
      <c r="AC62" s="33"/>
    </row>
    <row r="63" spans="1:29" s="23" customFormat="1" ht="39.9" customHeight="1" x14ac:dyDescent="0.55000000000000004">
      <c r="A63" s="258" t="s">
        <v>310</v>
      </c>
      <c r="B63" s="258"/>
      <c r="C63" s="258"/>
      <c r="D63" s="214">
        <v>750</v>
      </c>
      <c r="E63" s="214">
        <v>40</v>
      </c>
      <c r="F63" s="312">
        <f>E63/CHOOSE($O$2,1,$F$5,$I$5,$K$5)</f>
        <v>40</v>
      </c>
      <c r="G63" s="313"/>
      <c r="H63" s="242"/>
      <c r="I63" s="270">
        <v>0</v>
      </c>
      <c r="J63" s="270"/>
      <c r="K63" s="241" t="str">
        <f>CHOOSE($U$2,$W$56,$X$56)</f>
        <v>загальна виручка</v>
      </c>
      <c r="L63" s="32"/>
      <c r="M63" s="185"/>
      <c r="N63" s="37"/>
      <c r="O63" s="38"/>
      <c r="Q63" s="38"/>
      <c r="R63" s="38"/>
      <c r="S63" s="38"/>
      <c r="T63" s="38"/>
      <c r="U63" s="38"/>
      <c r="V63" s="38"/>
      <c r="W63" s="222" t="str">
        <f>"В валюте, в которой производиться расчет, "&amp;CHOOSE($O$2,$P$2,$P$3,$P$4,$P$5)&amp;"/1 доставка"</f>
        <v>В валюте, в которой производиться расчет, UAH/1 доставка</v>
      </c>
      <c r="X63" s="222" t="str">
        <f>"У валюті, в якій виконується розрахунок, "&amp;CHOOSE($O$2,$P$2,$P$3,$P$4,$P$5)&amp;"/1 доставка"</f>
        <v>У валюті, в якій виконується розрахунок, UAH/1 доставка</v>
      </c>
      <c r="Y63" s="38"/>
      <c r="Z63" s="38"/>
      <c r="AA63" s="38"/>
      <c r="AB63" s="38"/>
      <c r="AC63" s="38"/>
    </row>
    <row r="64" spans="1:29" ht="25.8" customHeight="1" x14ac:dyDescent="0.6">
      <c r="A64" s="292" t="str">
        <f>CHOOSE($U$2,$W$14,$X$14)</f>
        <v xml:space="preserve"> * - без врахування динаміки виходу продажів на планові показники, які вказуються на сторінці "Вхідні дані" в розділі "Параметри сезонності та виходу продажів на планові показники та подальший ріст обсягів продажів".</v>
      </c>
      <c r="B64" s="292"/>
      <c r="C64" s="292"/>
      <c r="D64" s="292"/>
      <c r="E64" s="292"/>
      <c r="F64" s="292"/>
      <c r="G64" s="292"/>
      <c r="H64" s="292"/>
      <c r="I64" s="292"/>
      <c r="J64" s="292"/>
      <c r="K64" s="292"/>
      <c r="L64" s="32"/>
      <c r="O64" s="33"/>
      <c r="P64" s="33"/>
      <c r="Q64" s="33"/>
      <c r="R64" s="33"/>
      <c r="S64" s="33"/>
      <c r="T64" s="33"/>
      <c r="U64" s="33"/>
      <c r="V64" s="33"/>
      <c r="W64" s="222" t="s">
        <v>1</v>
      </c>
      <c r="X64" s="222" t="s">
        <v>185</v>
      </c>
      <c r="Y64" s="33"/>
      <c r="Z64" s="33"/>
      <c r="AA64" s="33"/>
      <c r="AB64" s="33"/>
      <c r="AC64" s="33"/>
    </row>
    <row r="65" spans="1:30" ht="41.4" customHeight="1" x14ac:dyDescent="0.55000000000000004">
      <c r="A65" s="21" t="str">
        <f>CHOOSE($U$2,W64,X64)</f>
        <v>Поточні витрати</v>
      </c>
      <c r="D65" s="39"/>
      <c r="E65" s="39"/>
      <c r="H65" s="291"/>
      <c r="I65" s="291"/>
      <c r="J65" s="291"/>
      <c r="K65" s="291"/>
      <c r="W65" s="222" t="s">
        <v>77</v>
      </c>
      <c r="X65" s="222" t="s">
        <v>186</v>
      </c>
    </row>
    <row r="66" spans="1:30" ht="41.4" customHeight="1" x14ac:dyDescent="0.55000000000000004">
      <c r="D66" s="307" t="str">
        <f>CHOOSE($U$2,W65,X65)</f>
        <v>Середньомісячна сума витрат</v>
      </c>
      <c r="E66" s="307"/>
      <c r="F66" s="307"/>
      <c r="G66" s="307"/>
      <c r="H66" s="307"/>
      <c r="I66" s="307"/>
      <c r="J66" s="307"/>
      <c r="K66" s="307"/>
      <c r="W66" s="222" t="s">
        <v>122</v>
      </c>
      <c r="X66" s="222" t="s">
        <v>187</v>
      </c>
    </row>
    <row r="67" spans="1:30" ht="41.4" customHeight="1" x14ac:dyDescent="0.55000000000000004">
      <c r="A67" s="21"/>
      <c r="D67" s="262" t="str">
        <f>CHOOSE($U$2,W66,X66)</f>
        <v>UAH/міс.* або %</v>
      </c>
      <c r="E67" s="262"/>
      <c r="F67" s="262"/>
      <c r="G67" s="262"/>
      <c r="H67" s="262" t="str">
        <f>CHOOSE($U$2,W67,X67)</f>
        <v>У валюті, в якій виконується розрахунок, UAH/міс.</v>
      </c>
      <c r="I67" s="262"/>
      <c r="J67" s="262"/>
      <c r="K67" s="262"/>
      <c r="W67" s="222" t="str">
        <f>"В валюте, в которой производиться расчет, "&amp;CHOOSE($O$2,$P$2,$P$3,$P$4,$P$5)&amp;"/мес.*"</f>
        <v>В валюте, в которой производиться расчет, UAH/мес.*</v>
      </c>
      <c r="X67" s="222" t="str">
        <f>"У валюті, в якій виконується розрахунок, "&amp;CHOOSE($O$2,$P$2,$P$3,$P$4,$P$5)&amp;"/міс."</f>
        <v>У валюті, в якій виконується розрахунок, UAH/міс.</v>
      </c>
    </row>
    <row r="68" spans="1:30" ht="41.4" customHeight="1" x14ac:dyDescent="0.55000000000000004">
      <c r="A68" s="41"/>
      <c r="B68" s="44" t="str">
        <f t="shared" ref="B68:B79" si="11">CHOOSE($U$2,W69,X69)</f>
        <v>Роялті, кількість місяців відстрочки</v>
      </c>
      <c r="D68" s="254">
        <v>3</v>
      </c>
      <c r="E68" s="315">
        <v>5000</v>
      </c>
      <c r="F68" s="316"/>
      <c r="G68" s="317"/>
      <c r="H68" s="263">
        <f>E68/CHOOSE($O$2,1,$F$5,$I$5,$K$5)</f>
        <v>5000</v>
      </c>
      <c r="I68" s="263"/>
      <c r="J68" s="263"/>
      <c r="K68" s="263"/>
      <c r="U68" s="14" t="s">
        <v>332</v>
      </c>
      <c r="W68" s="222" t="s">
        <v>106</v>
      </c>
      <c r="X68" s="222" t="s">
        <v>188</v>
      </c>
    </row>
    <row r="69" spans="1:30" ht="41.4" customHeight="1" x14ac:dyDescent="0.55000000000000004">
      <c r="A69" s="41"/>
      <c r="B69" s="288" t="str">
        <f t="shared" si="11"/>
        <v>Оренда</v>
      </c>
      <c r="C69" s="288"/>
      <c r="D69" s="264"/>
      <c r="E69" s="264"/>
      <c r="F69" s="264"/>
      <c r="G69" s="264"/>
      <c r="H69" s="263">
        <f>D69/CHOOSE($O$2,1,$F$5,$I$5,$K$5)</f>
        <v>0</v>
      </c>
      <c r="I69" s="263"/>
      <c r="J69" s="263"/>
      <c r="K69" s="263"/>
      <c r="W69" s="222" t="s">
        <v>353</v>
      </c>
      <c r="X69" s="222" t="s">
        <v>352</v>
      </c>
    </row>
    <row r="70" spans="1:30" ht="43" customHeight="1" x14ac:dyDescent="0.55000000000000004">
      <c r="A70" s="30"/>
      <c r="B70" s="287" t="str">
        <f t="shared" si="11"/>
        <v>Комунальні платежі</v>
      </c>
      <c r="C70" s="287"/>
      <c r="D70" s="264"/>
      <c r="E70" s="264"/>
      <c r="F70" s="264"/>
      <c r="G70" s="264"/>
      <c r="H70" s="263">
        <f>D70/CHOOSE($O$2,1,$F$5,$I$5,$K$5)</f>
        <v>0</v>
      </c>
      <c r="I70" s="263"/>
      <c r="J70" s="263"/>
      <c r="K70" s="263"/>
      <c r="M70" s="23"/>
      <c r="W70" s="222" t="s">
        <v>55</v>
      </c>
      <c r="X70" s="222" t="s">
        <v>190</v>
      </c>
    </row>
    <row r="71" spans="1:30" ht="43" customHeight="1" x14ac:dyDescent="0.55000000000000004">
      <c r="A71" s="22"/>
      <c r="B71" s="287" t="str">
        <f t="shared" si="11"/>
        <v>Господарські потреби</v>
      </c>
      <c r="C71" s="287"/>
      <c r="D71" s="264"/>
      <c r="E71" s="264"/>
      <c r="F71" s="264"/>
      <c r="G71" s="264"/>
      <c r="H71" s="263">
        <f>D71/CHOOSE($O$2,1,$F$5,$I$5,$K$5)</f>
        <v>0</v>
      </c>
      <c r="I71" s="263"/>
      <c r="J71" s="263"/>
      <c r="K71" s="263"/>
      <c r="M71" s="23"/>
      <c r="W71" s="222" t="s">
        <v>56</v>
      </c>
      <c r="X71" s="222" t="s">
        <v>191</v>
      </c>
    </row>
    <row r="72" spans="1:30" ht="43" customHeight="1" x14ac:dyDescent="0.55000000000000004">
      <c r="A72" s="22"/>
      <c r="B72" s="287" t="str">
        <f t="shared" si="11"/>
        <v>Сервісне обслуговування техніки та обладнання*</v>
      </c>
      <c r="C72" s="287"/>
      <c r="D72" s="264">
        <f>2500</f>
        <v>2500</v>
      </c>
      <c r="E72" s="264"/>
      <c r="F72" s="264"/>
      <c r="G72" s="264"/>
      <c r="H72" s="263">
        <f>D72/CHOOSE($O$2,1,$F$5,$I$5,$K$5)</f>
        <v>2500</v>
      </c>
      <c r="I72" s="263"/>
      <c r="J72" s="263"/>
      <c r="K72" s="263"/>
      <c r="M72" s="23"/>
      <c r="W72" s="222" t="s">
        <v>110</v>
      </c>
      <c r="X72" s="222" t="s">
        <v>192</v>
      </c>
    </row>
    <row r="73" spans="1:30" ht="43" customHeight="1" x14ac:dyDescent="0.55000000000000004">
      <c r="A73" s="30"/>
      <c r="B73" s="287" t="str">
        <f t="shared" si="11"/>
        <v>Списання</v>
      </c>
      <c r="C73" s="287"/>
      <c r="D73" s="272">
        <v>3.0000000000000001E-3</v>
      </c>
      <c r="E73" s="272"/>
      <c r="F73" s="272"/>
      <c r="G73" s="272"/>
      <c r="H73" s="262" t="str">
        <f>CHOOSE($U$2,W68,X68)</f>
        <v>% від загальної виручки</v>
      </c>
      <c r="I73" s="262"/>
      <c r="J73" s="262"/>
      <c r="K73" s="262"/>
      <c r="M73" s="23"/>
      <c r="W73" s="222" t="s">
        <v>200</v>
      </c>
      <c r="X73" s="222" t="s">
        <v>199</v>
      </c>
    </row>
    <row r="74" spans="1:30" ht="43" customHeight="1" x14ac:dyDescent="0.55000000000000004">
      <c r="A74" s="30"/>
      <c r="B74" s="287" t="str">
        <f t="shared" si="11"/>
        <v>Харчування співробітників</v>
      </c>
      <c r="C74" s="287"/>
      <c r="D74" s="272">
        <v>3.0000000000000001E-3</v>
      </c>
      <c r="E74" s="272"/>
      <c r="F74" s="272"/>
      <c r="G74" s="272"/>
      <c r="H74" s="262" t="str">
        <f>H73</f>
        <v>% від загальної виручки</v>
      </c>
      <c r="I74" s="262"/>
      <c r="J74" s="262"/>
      <c r="K74" s="262"/>
      <c r="M74" s="23"/>
      <c r="W74" s="222" t="s">
        <v>125</v>
      </c>
      <c r="X74" s="222" t="s">
        <v>193</v>
      </c>
    </row>
    <row r="75" spans="1:30" ht="43" customHeight="1" x14ac:dyDescent="0.55000000000000004">
      <c r="A75" s="30"/>
      <c r="B75" s="271" t="str">
        <f t="shared" si="11"/>
        <v>Уніформа персоналу*</v>
      </c>
      <c r="C75" s="271"/>
      <c r="D75" s="264"/>
      <c r="E75" s="264"/>
      <c r="F75" s="264"/>
      <c r="G75" s="264"/>
      <c r="H75" s="263">
        <f>D75/CHOOSE($O$2,1,$F$5,$I$5,$K$5)</f>
        <v>0</v>
      </c>
      <c r="I75" s="263"/>
      <c r="J75" s="263"/>
      <c r="K75" s="263"/>
      <c r="M75" s="23"/>
      <c r="U75" s="14" t="s">
        <v>331</v>
      </c>
      <c r="W75" s="222" t="s">
        <v>126</v>
      </c>
      <c r="X75" s="222" t="s">
        <v>194</v>
      </c>
    </row>
    <row r="76" spans="1:30" ht="43" customHeight="1" x14ac:dyDescent="0.55000000000000004">
      <c r="A76" s="22"/>
      <c r="B76" s="287" t="str">
        <f t="shared" si="11"/>
        <v>Охорона</v>
      </c>
      <c r="C76" s="287"/>
      <c r="D76" s="264"/>
      <c r="E76" s="264"/>
      <c r="F76" s="264"/>
      <c r="G76" s="264"/>
      <c r="H76" s="263">
        <f>D76/CHOOSE($O$2,1,$F$5,$I$5,$K$5)</f>
        <v>0</v>
      </c>
      <c r="I76" s="263"/>
      <c r="J76" s="263"/>
      <c r="K76" s="263"/>
      <c r="W76" s="222" t="s">
        <v>314</v>
      </c>
      <c r="X76" s="222" t="s">
        <v>315</v>
      </c>
    </row>
    <row r="77" spans="1:30" ht="43" customHeight="1" x14ac:dyDescent="0.6">
      <c r="A77" s="22"/>
      <c r="B77" s="287" t="str">
        <f t="shared" si="11"/>
        <v>Послуги зв'язку та інтернет</v>
      </c>
      <c r="C77" s="287"/>
      <c r="D77" s="264">
        <v>200</v>
      </c>
      <c r="E77" s="264"/>
      <c r="F77" s="264"/>
      <c r="G77" s="264"/>
      <c r="H77" s="263">
        <f>D77/CHOOSE($O$2,1,$F$5,$I$5,$K$5)</f>
        <v>200</v>
      </c>
      <c r="I77" s="263"/>
      <c r="J77" s="263"/>
      <c r="K77" s="263"/>
      <c r="L77" s="44"/>
      <c r="M77" s="30"/>
      <c r="P77" s="33"/>
      <c r="Q77" s="33"/>
      <c r="R77" s="33"/>
      <c r="S77" s="33"/>
      <c r="T77" s="33"/>
      <c r="U77" s="33"/>
      <c r="V77" s="33"/>
      <c r="W77" s="222" t="s">
        <v>64</v>
      </c>
      <c r="X77" s="222" t="s">
        <v>195</v>
      </c>
      <c r="Y77" s="33"/>
      <c r="Z77" s="33"/>
      <c r="AA77" s="33"/>
      <c r="AB77" s="33"/>
      <c r="AC77" s="33"/>
      <c r="AD77" s="33"/>
    </row>
    <row r="78" spans="1:30" ht="43" customHeight="1" x14ac:dyDescent="0.6">
      <c r="A78" s="22"/>
      <c r="B78" s="287" t="str">
        <f t="shared" si="11"/>
        <v>Ведення бухгалтерського обліку</v>
      </c>
      <c r="C78" s="287"/>
      <c r="D78" s="264"/>
      <c r="E78" s="264"/>
      <c r="F78" s="264"/>
      <c r="G78" s="264"/>
      <c r="H78" s="263">
        <f>D78/CHOOSE($O$2,1,$F$5,$I$5,$K$5)</f>
        <v>0</v>
      </c>
      <c r="I78" s="263"/>
      <c r="J78" s="263"/>
      <c r="K78" s="263"/>
      <c r="L78" s="44"/>
      <c r="M78" s="30"/>
      <c r="P78" s="33"/>
      <c r="Q78" s="33"/>
      <c r="R78" s="33"/>
      <c r="S78" s="33"/>
      <c r="T78" s="33"/>
      <c r="U78" s="33"/>
      <c r="V78" s="33"/>
      <c r="W78" s="222" t="s">
        <v>63</v>
      </c>
      <c r="X78" s="222" t="s">
        <v>196</v>
      </c>
      <c r="Y78" s="33"/>
      <c r="Z78" s="33"/>
      <c r="AA78" s="33"/>
      <c r="AB78" s="33"/>
      <c r="AC78" s="33"/>
      <c r="AD78" s="33"/>
    </row>
    <row r="79" spans="1:30" ht="49.5" customHeight="1" x14ac:dyDescent="0.55000000000000004">
      <c r="A79" s="22"/>
      <c r="B79" s="288" t="str">
        <f t="shared" si="11"/>
        <v>Банковське обслуговування</v>
      </c>
      <c r="C79" s="288"/>
      <c r="D79" s="318">
        <v>0</v>
      </c>
      <c r="E79" s="318"/>
      <c r="F79" s="318"/>
      <c r="G79" s="318"/>
      <c r="H79" s="262" t="str">
        <f>CHOOSE($U$2,W81,X81)</f>
        <v>% виручки, який проходить по безготівковому розрахунку</v>
      </c>
      <c r="I79" s="262"/>
      <c r="J79" s="262"/>
      <c r="K79" s="262"/>
      <c r="W79" s="222" t="s">
        <v>84</v>
      </c>
      <c r="X79" s="222" t="s">
        <v>197</v>
      </c>
    </row>
    <row r="80" spans="1:30" ht="42" customHeight="1" x14ac:dyDescent="0.6">
      <c r="A80" s="22"/>
      <c r="B80" s="288"/>
      <c r="C80" s="288"/>
      <c r="D80" s="314">
        <v>0</v>
      </c>
      <c r="E80" s="314"/>
      <c r="F80" s="314"/>
      <c r="G80" s="314"/>
      <c r="H80" s="262" t="str">
        <f>CHOOSE($U$2,W82,X82)</f>
        <v>розмір банківської комісії,%</v>
      </c>
      <c r="I80" s="262"/>
      <c r="J80" s="262"/>
      <c r="K80" s="262"/>
      <c r="L80" s="44"/>
      <c r="M80" s="30"/>
      <c r="P80" s="33"/>
      <c r="Q80" s="33"/>
      <c r="R80" s="33"/>
      <c r="S80" s="33"/>
      <c r="T80" s="33"/>
      <c r="U80" s="33"/>
      <c r="V80" s="33"/>
      <c r="W80" s="222" t="s">
        <v>78</v>
      </c>
      <c r="X80" s="222" t="s">
        <v>198</v>
      </c>
      <c r="Y80" s="33"/>
      <c r="Z80" s="33"/>
      <c r="AA80" s="33"/>
      <c r="AB80" s="33"/>
      <c r="AC80" s="33"/>
      <c r="AD80" s="33"/>
    </row>
    <row r="81" spans="1:24" ht="43" customHeight="1" x14ac:dyDescent="0.6">
      <c r="A81" s="22"/>
      <c r="B81" s="288" t="str">
        <f>CHOOSE($U$2,W83,X83)</f>
        <v>Податки на зарплату співробітників</v>
      </c>
      <c r="C81" s="288"/>
      <c r="D81" s="264">
        <f>1768*3</f>
        <v>5304</v>
      </c>
      <c r="E81" s="264"/>
      <c r="F81" s="264"/>
      <c r="G81" s="264"/>
      <c r="H81" s="263">
        <f>D81/CHOOSE($O$2,1,$F$5,$I$5,$K$5)</f>
        <v>5304</v>
      </c>
      <c r="I81" s="263"/>
      <c r="J81" s="263"/>
      <c r="K81" s="263"/>
      <c r="L81" s="44"/>
      <c r="M81" s="30"/>
      <c r="P81" s="33"/>
      <c r="W81" s="222" t="s">
        <v>86</v>
      </c>
      <c r="X81" s="222" t="s">
        <v>202</v>
      </c>
    </row>
    <row r="82" spans="1:24" ht="43" customHeight="1" x14ac:dyDescent="0.6">
      <c r="A82" s="22"/>
      <c r="B82" s="288" t="str">
        <f>CHOOSE($U$2,W84,X84)</f>
        <v>Податки**, % від загальної виручки</v>
      </c>
      <c r="C82" s="288"/>
      <c r="D82" s="314">
        <v>0</v>
      </c>
      <c r="E82" s="314"/>
      <c r="F82" s="314"/>
      <c r="G82" s="314"/>
      <c r="H82" s="262" t="str">
        <f>H73</f>
        <v>% від загальної виручки</v>
      </c>
      <c r="I82" s="262"/>
      <c r="J82" s="262"/>
      <c r="K82" s="262"/>
      <c r="L82" s="44"/>
      <c r="M82" s="30"/>
      <c r="P82" s="33"/>
      <c r="W82" s="222" t="s">
        <v>145</v>
      </c>
      <c r="X82" s="222" t="s">
        <v>203</v>
      </c>
    </row>
    <row r="83" spans="1:24" ht="43" customHeight="1" x14ac:dyDescent="0.6">
      <c r="A83" s="22"/>
      <c r="B83" s="288" t="str">
        <f>CHOOSE($U$2,W85,X85)</f>
        <v>Податки**, фіксована сума</v>
      </c>
      <c r="C83" s="288"/>
      <c r="D83" s="264">
        <v>1994</v>
      </c>
      <c r="E83" s="264"/>
      <c r="F83" s="264"/>
      <c r="G83" s="264"/>
      <c r="H83" s="263">
        <f>D83/CHOOSE($O$2,1,$F$5,$I$5,$K$5)</f>
        <v>1994</v>
      </c>
      <c r="I83" s="263"/>
      <c r="J83" s="263"/>
      <c r="K83" s="263"/>
      <c r="L83" s="44"/>
      <c r="M83" s="30"/>
      <c r="P83" s="33"/>
      <c r="W83" s="222" t="s">
        <v>127</v>
      </c>
      <c r="X83" s="222" t="s">
        <v>204</v>
      </c>
    </row>
    <row r="84" spans="1:24" ht="43" customHeight="1" x14ac:dyDescent="0.55000000000000004">
      <c r="A84" s="22"/>
      <c r="B84" s="288" t="str">
        <f>CHOOSE($U$2,W86,X86)</f>
        <v>Локальна реклама (буклети, друкована продукція і т.п.)</v>
      </c>
      <c r="C84" s="288"/>
      <c r="D84" s="264">
        <v>4000</v>
      </c>
      <c r="E84" s="264"/>
      <c r="F84" s="264"/>
      <c r="G84" s="264"/>
      <c r="H84" s="263">
        <f>D84/CHOOSE($O$2,1,$F$5,$I$5,$K$5)</f>
        <v>4000</v>
      </c>
      <c r="I84" s="263"/>
      <c r="J84" s="263"/>
      <c r="K84" s="263"/>
      <c r="W84" s="222" t="s">
        <v>318</v>
      </c>
      <c r="X84" s="222" t="s">
        <v>320</v>
      </c>
    </row>
    <row r="85" spans="1:24" ht="43" customHeight="1" x14ac:dyDescent="0.55000000000000004">
      <c r="A85" s="22"/>
      <c r="B85" s="288" t="str">
        <f>CHOOSE($U$2,W87,X87)</f>
        <v>Інше</v>
      </c>
      <c r="C85" s="288"/>
      <c r="D85" s="264"/>
      <c r="E85" s="264"/>
      <c r="F85" s="264"/>
      <c r="G85" s="264"/>
      <c r="H85" s="263">
        <f>D85/CHOOSE($O$2,1,$F$5,$I$5,$K$5)</f>
        <v>0</v>
      </c>
      <c r="I85" s="263"/>
      <c r="J85" s="263"/>
      <c r="K85" s="263"/>
      <c r="W85" s="222" t="s">
        <v>319</v>
      </c>
      <c r="X85" s="222" t="s">
        <v>321</v>
      </c>
    </row>
    <row r="86" spans="1:24" ht="69" customHeight="1" x14ac:dyDescent="0.55000000000000004">
      <c r="A86" s="286" t="str">
        <f>CHOOSE($U$2,W88,X88)</f>
        <v xml:space="preserve"> * - витрати на "Сервісне обслуговування техніки та обладнання" і на "Уніформу персоналу" здійснюються у вказаній сумі раз на 6 місяців.
 ** - податок, який використовується в розрахунку, вибирається на сторінці "Узагальнений розрахунок".</v>
      </c>
      <c r="B86" s="286"/>
      <c r="C86" s="286"/>
      <c r="D86" s="286"/>
      <c r="E86" s="286"/>
      <c r="F86" s="286"/>
      <c r="G86" s="286"/>
      <c r="H86" s="286"/>
      <c r="I86" s="286"/>
      <c r="J86" s="286"/>
      <c r="K86" s="286"/>
      <c r="W86" s="222" t="s">
        <v>43</v>
      </c>
      <c r="X86" s="222" t="s">
        <v>205</v>
      </c>
    </row>
    <row r="87" spans="1:24" ht="34.200000000000003" customHeight="1" x14ac:dyDescent="0.55000000000000004">
      <c r="W87" s="222" t="s">
        <v>2</v>
      </c>
      <c r="X87" s="222" t="s">
        <v>176</v>
      </c>
    </row>
    <row r="88" spans="1:24" ht="34.200000000000003" customHeight="1" x14ac:dyDescent="0.55000000000000004">
      <c r="W88" s="222" t="s">
        <v>316</v>
      </c>
      <c r="X88" s="222" t="s">
        <v>317</v>
      </c>
    </row>
  </sheetData>
  <sheetProtection formatCells="0" formatColumns="0" formatRows="0" insertColumns="0" insertRows="0" insertHyperlinks="0" deleteColumns="0" deleteRows="0" sort="0" autoFilter="0" pivotTables="0"/>
  <mergeCells count="195">
    <mergeCell ref="J9:K9"/>
    <mergeCell ref="H9:I9"/>
    <mergeCell ref="E68:G68"/>
    <mergeCell ref="D76:G76"/>
    <mergeCell ref="D77:G77"/>
    <mergeCell ref="D78:G78"/>
    <mergeCell ref="D79:G79"/>
    <mergeCell ref="D80:G80"/>
    <mergeCell ref="D81:G81"/>
    <mergeCell ref="H58:H59"/>
    <mergeCell ref="D70:G70"/>
    <mergeCell ref="D71:G71"/>
    <mergeCell ref="D72:G72"/>
    <mergeCell ref="D73:G73"/>
    <mergeCell ref="D74:G74"/>
    <mergeCell ref="D75:G75"/>
    <mergeCell ref="I63:J63"/>
    <mergeCell ref="A19:K19"/>
    <mergeCell ref="C21:F21"/>
    <mergeCell ref="A18:B18"/>
    <mergeCell ref="C9:D9"/>
    <mergeCell ref="E9:E10"/>
    <mergeCell ref="F9:G9"/>
    <mergeCell ref="D42:G42"/>
    <mergeCell ref="D84:G84"/>
    <mergeCell ref="A57:C57"/>
    <mergeCell ref="H68:K68"/>
    <mergeCell ref="H69:K69"/>
    <mergeCell ref="H70:K70"/>
    <mergeCell ref="H71:K71"/>
    <mergeCell ref="H72:K72"/>
    <mergeCell ref="H73:K73"/>
    <mergeCell ref="A63:C63"/>
    <mergeCell ref="A61:C62"/>
    <mergeCell ref="D61:D62"/>
    <mergeCell ref="E61:G61"/>
    <mergeCell ref="H61:H62"/>
    <mergeCell ref="I61:J62"/>
    <mergeCell ref="K61:K62"/>
    <mergeCell ref="F62:G62"/>
    <mergeCell ref="F57:G57"/>
    <mergeCell ref="F60:G60"/>
    <mergeCell ref="A60:C60"/>
    <mergeCell ref="A58:C59"/>
    <mergeCell ref="D58:D59"/>
    <mergeCell ref="E58:G58"/>
    <mergeCell ref="B83:C83"/>
    <mergeCell ref="B81:C81"/>
    <mergeCell ref="B82:C82"/>
    <mergeCell ref="H78:K78"/>
    <mergeCell ref="H79:K79"/>
    <mergeCell ref="H80:K80"/>
    <mergeCell ref="H81:K81"/>
    <mergeCell ref="H82:K82"/>
    <mergeCell ref="H83:K83"/>
    <mergeCell ref="D82:G82"/>
    <mergeCell ref="D83:G83"/>
    <mergeCell ref="H84:K84"/>
    <mergeCell ref="H85:K85"/>
    <mergeCell ref="D85:G85"/>
    <mergeCell ref="D67:G67"/>
    <mergeCell ref="D66:K66"/>
    <mergeCell ref="B72:C72"/>
    <mergeCell ref="H67:K67"/>
    <mergeCell ref="A34:K34"/>
    <mergeCell ref="D36:E36"/>
    <mergeCell ref="D37:E37"/>
    <mergeCell ref="I53:J54"/>
    <mergeCell ref="A55:C55"/>
    <mergeCell ref="B44:C44"/>
    <mergeCell ref="A53:C54"/>
    <mergeCell ref="H49:K49"/>
    <mergeCell ref="H50:K50"/>
    <mergeCell ref="I56:J56"/>
    <mergeCell ref="I57:J57"/>
    <mergeCell ref="I60:J60"/>
    <mergeCell ref="E53:G53"/>
    <mergeCell ref="F54:G54"/>
    <mergeCell ref="F55:G55"/>
    <mergeCell ref="F56:G56"/>
    <mergeCell ref="F63:G63"/>
    <mergeCell ref="A1:K1"/>
    <mergeCell ref="A51:K51"/>
    <mergeCell ref="B84:C84"/>
    <mergeCell ref="B77:C77"/>
    <mergeCell ref="B71:C71"/>
    <mergeCell ref="A2:K2"/>
    <mergeCell ref="B76:C76"/>
    <mergeCell ref="B73:C73"/>
    <mergeCell ref="B70:C70"/>
    <mergeCell ref="B43:C43"/>
    <mergeCell ref="B50:C50"/>
    <mergeCell ref="B48:C48"/>
    <mergeCell ref="A9:B10"/>
    <mergeCell ref="A11:B11"/>
    <mergeCell ref="B79:C80"/>
    <mergeCell ref="A5:D5"/>
    <mergeCell ref="B47:C47"/>
    <mergeCell ref="A22:B22"/>
    <mergeCell ref="A21:B21"/>
    <mergeCell ref="G5:H5"/>
    <mergeCell ref="B41:C41"/>
    <mergeCell ref="A36:B36"/>
    <mergeCell ref="A37:B37"/>
    <mergeCell ref="A33:B33"/>
    <mergeCell ref="A86:K86"/>
    <mergeCell ref="B78:C78"/>
    <mergeCell ref="B46:C46"/>
    <mergeCell ref="B85:C85"/>
    <mergeCell ref="A23:B23"/>
    <mergeCell ref="H65:K65"/>
    <mergeCell ref="A24:B24"/>
    <mergeCell ref="A25:B25"/>
    <mergeCell ref="A26:B26"/>
    <mergeCell ref="A31:B31"/>
    <mergeCell ref="A32:B32"/>
    <mergeCell ref="A27:B27"/>
    <mergeCell ref="A28:B28"/>
    <mergeCell ref="A29:B29"/>
    <mergeCell ref="A30:B30"/>
    <mergeCell ref="A64:K64"/>
    <mergeCell ref="K53:K54"/>
    <mergeCell ref="B49:C49"/>
    <mergeCell ref="D53:D54"/>
    <mergeCell ref="J35:K35"/>
    <mergeCell ref="B69:C69"/>
    <mergeCell ref="B74:C74"/>
    <mergeCell ref="B42:C42"/>
    <mergeCell ref="D41:G41"/>
    <mergeCell ref="A12:B12"/>
    <mergeCell ref="A13:B13"/>
    <mergeCell ref="A14:B14"/>
    <mergeCell ref="A15:B15"/>
    <mergeCell ref="A16:B16"/>
    <mergeCell ref="A17:B17"/>
    <mergeCell ref="A38:K38"/>
    <mergeCell ref="A35:B35"/>
    <mergeCell ref="H21:K21"/>
    <mergeCell ref="C22:F22"/>
    <mergeCell ref="C23:F23"/>
    <mergeCell ref="C24:F24"/>
    <mergeCell ref="C25:F25"/>
    <mergeCell ref="C32:F32"/>
    <mergeCell ref="C33:F33"/>
    <mergeCell ref="H22:K22"/>
    <mergeCell ref="H23:K23"/>
    <mergeCell ref="H24:K24"/>
    <mergeCell ref="H25:K25"/>
    <mergeCell ref="H26:K26"/>
    <mergeCell ref="H27:K27"/>
    <mergeCell ref="H28:K28"/>
    <mergeCell ref="H29:K29"/>
    <mergeCell ref="H30:K30"/>
    <mergeCell ref="H31:K31"/>
    <mergeCell ref="H32:K32"/>
    <mergeCell ref="H33:K33"/>
    <mergeCell ref="C26:F26"/>
    <mergeCell ref="C27:F27"/>
    <mergeCell ref="C28:F28"/>
    <mergeCell ref="C29:F29"/>
    <mergeCell ref="C30:F30"/>
    <mergeCell ref="C31:F31"/>
    <mergeCell ref="J36:K37"/>
    <mergeCell ref="D35:E35"/>
    <mergeCell ref="H40:K40"/>
    <mergeCell ref="H41:K41"/>
    <mergeCell ref="H42:K42"/>
    <mergeCell ref="H43:K43"/>
    <mergeCell ref="H44:K44"/>
    <mergeCell ref="H45:K45"/>
    <mergeCell ref="H46:K46"/>
    <mergeCell ref="D43:G43"/>
    <mergeCell ref="D44:G44"/>
    <mergeCell ref="D40:G40"/>
    <mergeCell ref="A56:C56"/>
    <mergeCell ref="B45:C45"/>
    <mergeCell ref="H53:H54"/>
    <mergeCell ref="H74:K74"/>
    <mergeCell ref="H75:K75"/>
    <mergeCell ref="H76:K76"/>
    <mergeCell ref="H77:K77"/>
    <mergeCell ref="D69:G69"/>
    <mergeCell ref="H47:K47"/>
    <mergeCell ref="H48:K48"/>
    <mergeCell ref="I58:J59"/>
    <mergeCell ref="K58:K59"/>
    <mergeCell ref="F59:G59"/>
    <mergeCell ref="D45:G45"/>
    <mergeCell ref="D46:G46"/>
    <mergeCell ref="D47:G47"/>
    <mergeCell ref="D48:G48"/>
    <mergeCell ref="D49:G49"/>
    <mergeCell ref="D50:G50"/>
    <mergeCell ref="I55:J55"/>
    <mergeCell ref="B75:C7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37" fitToHeight="2" orientation="portrait" r:id="rId1"/>
  <rowBreaks count="1" manualBreakCount="1">
    <brk id="51" max="10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Drop Down 1">
              <controlPr locked="0" defaultSize="0" autoLine="0" autoPict="0">
                <anchor moveWithCells="1">
                  <from>
                    <xdr:col>3</xdr:col>
                    <xdr:colOff>704850</xdr:colOff>
                    <xdr:row>2</xdr:row>
                    <xdr:rowOff>57150</xdr:rowOff>
                  </from>
                  <to>
                    <xdr:col>4</xdr:col>
                    <xdr:colOff>826770</xdr:colOff>
                    <xdr:row>2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5" name="Drop Down 2">
              <controlPr locked="0" defaultSize="0" autoLine="0" autoPict="0">
                <anchor moveWithCells="1">
                  <from>
                    <xdr:col>3</xdr:col>
                    <xdr:colOff>685800</xdr:colOff>
                    <xdr:row>3</xdr:row>
                    <xdr:rowOff>49530</xdr:rowOff>
                  </from>
                  <to>
                    <xdr:col>4</xdr:col>
                    <xdr:colOff>834390</xdr:colOff>
                    <xdr:row>3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6" name="Drop Down 1">
              <controlPr locked="0" defaultSize="0" autoLine="0" autoPict="0">
                <anchor moveWithCells="1">
                  <from>
                    <xdr:col>7</xdr:col>
                    <xdr:colOff>38100</xdr:colOff>
                    <xdr:row>2</xdr:row>
                    <xdr:rowOff>45720</xdr:rowOff>
                  </from>
                  <to>
                    <xdr:col>7</xdr:col>
                    <xdr:colOff>1695450</xdr:colOff>
                    <xdr:row>2</xdr:row>
                    <xdr:rowOff>331470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20DB1-2CAC-46CB-A223-FC743D1C96B9}">
  <sheetPr>
    <pageSetUpPr fitToPage="1"/>
  </sheetPr>
  <dimension ref="A1:J134"/>
  <sheetViews>
    <sheetView zoomScale="60" zoomScaleNormal="60" workbookViewId="0">
      <pane xSplit="1" ySplit="4" topLeftCell="B5" activePane="bottomRight" state="frozen"/>
      <selection pane="topRight" activeCell="B1" sqref="B1"/>
      <selection pane="bottomLeft" activeCell="A6" sqref="A6"/>
      <selection pane="bottomRight" activeCell="B10" sqref="B10"/>
    </sheetView>
  </sheetViews>
  <sheetFormatPr defaultRowHeight="14.4" outlineLevelRow="1" x14ac:dyDescent="0.55000000000000004"/>
  <cols>
    <col min="1" max="1" width="75.20703125" customWidth="1"/>
    <col min="2" max="2" width="17.20703125" customWidth="1"/>
    <col min="3" max="3" width="20.3125" customWidth="1"/>
    <col min="4" max="4" width="25.05078125" customWidth="1"/>
    <col min="5" max="5" width="29.9453125" customWidth="1"/>
    <col min="7" max="7" width="12.1015625" customWidth="1"/>
    <col min="8" max="9" width="8.83984375" hidden="1" customWidth="1"/>
    <col min="10" max="10" width="0" hidden="1" customWidth="1"/>
  </cols>
  <sheetData>
    <row r="1" spans="1:10" ht="15.6" x14ac:dyDescent="0.55000000000000004">
      <c r="A1" s="293" t="str">
        <f>'Исходные данные'!A1</f>
        <v>Зміни необхідно вносити тільки в комірки, які окрашені в сірий колір</v>
      </c>
      <c r="B1" s="293"/>
      <c r="C1" s="293"/>
      <c r="D1" s="293"/>
      <c r="E1" s="293"/>
    </row>
    <row r="2" spans="1:10" ht="25.8" x14ac:dyDescent="0.55000000000000004">
      <c r="A2" s="322" t="str">
        <f>CHOOSE('Исходные данные'!$U$2,Инвестиции!H2,Инвестиции!I2)</f>
        <v>Івестиції для запуску франчайзингової точки "Easy Meals"</v>
      </c>
      <c r="B2" s="322"/>
      <c r="C2" s="322"/>
      <c r="D2" s="322"/>
      <c r="E2" s="322"/>
      <c r="H2" s="223" t="s">
        <v>283</v>
      </c>
      <c r="I2" s="223" t="s">
        <v>284</v>
      </c>
      <c r="J2" s="222"/>
    </row>
    <row r="3" spans="1:10" ht="15.3" x14ac:dyDescent="0.55000000000000004">
      <c r="A3" s="323"/>
      <c r="B3" s="324"/>
      <c r="C3" s="324"/>
      <c r="D3" s="324"/>
      <c r="E3" s="324"/>
      <c r="H3" s="223" t="s">
        <v>113</v>
      </c>
      <c r="I3" s="223" t="s">
        <v>206</v>
      </c>
    </row>
    <row r="4" spans="1:10" ht="81.900000000000006" customHeight="1" x14ac:dyDescent="0.55000000000000004">
      <c r="A4" s="220" t="str">
        <f>CHOOSE('Исходные данные'!$U$2,Инвестиции!H3,Инвестиции!I3)</f>
        <v>Найменування</v>
      </c>
      <c r="B4" s="220" t="str">
        <f>CHOOSE('Исходные данные'!$U$2,Инвестиции!H4,Инвестиции!I4)</f>
        <v>Кількість, од.</v>
      </c>
      <c r="C4" s="220" t="str">
        <f>CHOOSE('Исходные данные'!$U$2,Инвестиции!H5,Инвестиции!I5)</f>
        <v>Вартість одиниці, UAH</v>
      </c>
      <c r="D4" s="220" t="str">
        <f>CHOOSE('Исходные данные'!$U$2,Инвестиции!H6,Инвестиции!I6)</f>
        <v>Загальна вартість, UAH</v>
      </c>
      <c r="E4" s="220" t="str">
        <f>CHOOSE('Исходные данные'!$U$2,Инвестиции!H7,Инвестиции!I7)</f>
        <v>Загальна вартість в валюті, в якій виконується розрахунок, UAH</v>
      </c>
      <c r="H4" s="223" t="s">
        <v>114</v>
      </c>
      <c r="I4" s="223" t="s">
        <v>207</v>
      </c>
    </row>
    <row r="5" spans="1:10" ht="25.8" x14ac:dyDescent="0.55000000000000004">
      <c r="A5" s="221" t="str">
        <f>CHOOSE('Исходные данные'!$U$2,Инвестиции!H8,Инвестиции!I8)</f>
        <v>Меблі та обладнання</v>
      </c>
      <c r="B5" s="216"/>
      <c r="C5" s="216"/>
      <c r="D5" s="194">
        <f>SUM(D6:D69)</f>
        <v>265150</v>
      </c>
      <c r="E5" s="194">
        <f>SUM(E6:E69)</f>
        <v>265150</v>
      </c>
      <c r="H5" s="223" t="s">
        <v>115</v>
      </c>
      <c r="I5" s="223" t="s">
        <v>208</v>
      </c>
    </row>
    <row r="6" spans="1:10" ht="20.399999999999999" outlineLevel="1" x14ac:dyDescent="0.55000000000000004">
      <c r="A6" s="239" t="s">
        <v>356</v>
      </c>
      <c r="B6" s="218">
        <v>1</v>
      </c>
      <c r="C6" s="256">
        <v>30000</v>
      </c>
      <c r="D6" s="217">
        <f t="shared" ref="D6:D69" si="0">B6*C6</f>
        <v>30000</v>
      </c>
      <c r="E6" s="217">
        <f>D6/CHOOSE('Исходные данные'!$O$2,1,'Исходные данные'!$F$5,'Исходные данные'!$I$5,'Исходные данные'!$K$5)</f>
        <v>30000</v>
      </c>
      <c r="H6" s="223" t="s">
        <v>116</v>
      </c>
      <c r="I6" s="223" t="s">
        <v>209</v>
      </c>
    </row>
    <row r="7" spans="1:10" ht="20.399999999999999" outlineLevel="1" x14ac:dyDescent="0.55000000000000004">
      <c r="A7" s="239" t="s">
        <v>357</v>
      </c>
      <c r="B7" s="218">
        <v>1</v>
      </c>
      <c r="C7" s="256">
        <v>29560</v>
      </c>
      <c r="D7" s="217">
        <f t="shared" si="0"/>
        <v>29560</v>
      </c>
      <c r="E7" s="217">
        <f>D7/CHOOSE('Исходные данные'!$O$2,1,'Исходные данные'!$F$5,'Исходные данные'!$I$5,'Исходные данные'!$K$5)</f>
        <v>29560</v>
      </c>
      <c r="H7" s="223" t="str">
        <f>"Общая стоимость в валюте, в которой производиться расчет, "&amp;CHOOSE('Исходные данные'!$O$2,'Исходные данные'!$P$2,'Исходные данные'!$P$3,'Исходные данные'!$P$4,'Исходные данные'!$P$5)&amp;""</f>
        <v>Общая стоимость в валюте, в которой производиться расчет, UAH</v>
      </c>
      <c r="I7" s="223" t="str">
        <f>"Загальна вартість в валюті, в якій виконується розрахунок, "&amp;CHOOSE('Исходные данные'!$O$2,'Исходные данные'!$P$2,'Исходные данные'!$P$3,'Исходные данные'!$P$4,'Исходные данные'!$P$5)&amp;""</f>
        <v>Загальна вартість в валюті, в якій виконується розрахунок, UAH</v>
      </c>
    </row>
    <row r="8" spans="1:10" ht="20.399999999999999" outlineLevel="1" x14ac:dyDescent="0.55000000000000004">
      <c r="A8" s="239" t="s">
        <v>358</v>
      </c>
      <c r="B8" s="218">
        <v>1</v>
      </c>
      <c r="C8" s="256">
        <v>10000</v>
      </c>
      <c r="D8" s="217">
        <f t="shared" si="0"/>
        <v>10000</v>
      </c>
      <c r="E8" s="217">
        <f>D8/CHOOSE('Исходные данные'!$O$2,1,'Исходные данные'!$F$5,'Исходные данные'!$I$5,'Исходные данные'!$K$5)</f>
        <v>10000</v>
      </c>
      <c r="H8" s="240" t="s">
        <v>304</v>
      </c>
      <c r="I8" s="240" t="s">
        <v>305</v>
      </c>
    </row>
    <row r="9" spans="1:10" ht="20.399999999999999" outlineLevel="1" x14ac:dyDescent="0.55000000000000004">
      <c r="A9" s="239" t="s">
        <v>359</v>
      </c>
      <c r="B9" s="218">
        <v>1</v>
      </c>
      <c r="C9" s="256">
        <v>8000</v>
      </c>
      <c r="D9" s="217">
        <f t="shared" si="0"/>
        <v>8000</v>
      </c>
      <c r="E9" s="217">
        <f>D9/CHOOSE('Исходные данные'!$O$2,1,'Исходные данные'!$F$5,'Исходные данные'!$I$5,'Исходные данные'!$K$5)</f>
        <v>8000</v>
      </c>
      <c r="H9" s="240" t="s">
        <v>341</v>
      </c>
      <c r="I9" s="240" t="s">
        <v>346</v>
      </c>
    </row>
    <row r="10" spans="1:10" ht="20.399999999999999" outlineLevel="1" x14ac:dyDescent="0.55000000000000004">
      <c r="A10" s="239" t="s">
        <v>360</v>
      </c>
      <c r="B10" s="218">
        <v>1</v>
      </c>
      <c r="C10" s="256">
        <v>2000</v>
      </c>
      <c r="D10" s="217">
        <f t="shared" si="0"/>
        <v>2000</v>
      </c>
      <c r="E10" s="217">
        <f>D10/CHOOSE('Исходные данные'!$O$2,1,'Исходные данные'!$F$5,'Исходные данные'!$I$5,'Исходные данные'!$K$5)</f>
        <v>2000</v>
      </c>
    </row>
    <row r="11" spans="1:10" ht="20.399999999999999" outlineLevel="1" x14ac:dyDescent="0.55000000000000004">
      <c r="A11" s="239" t="s">
        <v>361</v>
      </c>
      <c r="B11" s="218">
        <v>1</v>
      </c>
      <c r="C11" s="256">
        <v>2500</v>
      </c>
      <c r="D11" s="217">
        <f t="shared" si="0"/>
        <v>2500</v>
      </c>
      <c r="E11" s="217">
        <f>D11/CHOOSE('Исходные данные'!$O$2,1,'Исходные данные'!$F$5,'Исходные данные'!$I$5,'Исходные данные'!$K$5)</f>
        <v>2500</v>
      </c>
    </row>
    <row r="12" spans="1:10" ht="20.399999999999999" outlineLevel="1" x14ac:dyDescent="0.55000000000000004">
      <c r="A12" s="239" t="s">
        <v>362</v>
      </c>
      <c r="B12" s="218">
        <v>1</v>
      </c>
      <c r="C12" s="256">
        <v>1200</v>
      </c>
      <c r="D12" s="217">
        <f t="shared" si="0"/>
        <v>1200</v>
      </c>
      <c r="E12" s="217">
        <f>D12/CHOOSE('Исходные данные'!$O$2,1,'Исходные данные'!$F$5,'Исходные данные'!$I$5,'Исходные данные'!$K$5)</f>
        <v>1200</v>
      </c>
    </row>
    <row r="13" spans="1:10" ht="20.399999999999999" outlineLevel="1" x14ac:dyDescent="0.55000000000000004">
      <c r="A13" s="239" t="s">
        <v>363</v>
      </c>
      <c r="B13" s="218">
        <v>2</v>
      </c>
      <c r="C13" s="256">
        <v>1600</v>
      </c>
      <c r="D13" s="217">
        <f t="shared" ref="D13:D40" si="1">B13*C13</f>
        <v>3200</v>
      </c>
      <c r="E13" s="217">
        <f>D13/CHOOSE('Исходные данные'!$O$2,1,'Исходные данные'!$F$5,'Исходные данные'!$I$5,'Исходные данные'!$K$5)</f>
        <v>3200</v>
      </c>
    </row>
    <row r="14" spans="1:10" ht="20.399999999999999" outlineLevel="1" x14ac:dyDescent="0.55000000000000004">
      <c r="A14" s="239" t="s">
        <v>364</v>
      </c>
      <c r="B14" s="218">
        <v>3</v>
      </c>
      <c r="C14" s="256">
        <v>4200</v>
      </c>
      <c r="D14" s="217">
        <f t="shared" si="1"/>
        <v>12600</v>
      </c>
      <c r="E14" s="217">
        <f>D14/CHOOSE('Исходные данные'!$O$2,1,'Исходные данные'!$F$5,'Исходные данные'!$I$5,'Исходные данные'!$K$5)</f>
        <v>12600</v>
      </c>
    </row>
    <row r="15" spans="1:10" ht="20.399999999999999" outlineLevel="1" x14ac:dyDescent="0.55000000000000004">
      <c r="A15" s="239" t="s">
        <v>372</v>
      </c>
      <c r="B15" s="218">
        <v>4</v>
      </c>
      <c r="C15" s="256">
        <v>2600</v>
      </c>
      <c r="D15" s="217">
        <f t="shared" si="1"/>
        <v>10400</v>
      </c>
      <c r="E15" s="217">
        <f>D15/CHOOSE('Исходные данные'!$O$2,1,'Исходные данные'!$F$5,'Исходные данные'!$I$5,'Исходные данные'!$K$5)</f>
        <v>10400</v>
      </c>
    </row>
    <row r="16" spans="1:10" ht="20.399999999999999" outlineLevel="1" x14ac:dyDescent="0.55000000000000004">
      <c r="A16" s="239" t="s">
        <v>365</v>
      </c>
      <c r="B16" s="218">
        <v>1</v>
      </c>
      <c r="C16" s="256">
        <v>4500</v>
      </c>
      <c r="D16" s="217">
        <f t="shared" si="1"/>
        <v>4500</v>
      </c>
      <c r="E16" s="217">
        <f>D16/CHOOSE('Исходные данные'!$O$2,1,'Исходные данные'!$F$5,'Исходные данные'!$I$5,'Исходные данные'!$K$5)</f>
        <v>4500</v>
      </c>
    </row>
    <row r="17" spans="1:5" ht="20.399999999999999" outlineLevel="1" x14ac:dyDescent="0.55000000000000004">
      <c r="A17" s="239" t="s">
        <v>366</v>
      </c>
      <c r="B17" s="218">
        <v>20</v>
      </c>
      <c r="C17" s="256">
        <v>40</v>
      </c>
      <c r="D17" s="217">
        <f t="shared" si="1"/>
        <v>800</v>
      </c>
      <c r="E17" s="217">
        <f>D17/CHOOSE('Исходные данные'!$O$2,1,'Исходные данные'!$F$5,'Исходные данные'!$I$5,'Исходные данные'!$K$5)</f>
        <v>800</v>
      </c>
    </row>
    <row r="18" spans="1:5" ht="20.399999999999999" outlineLevel="1" x14ac:dyDescent="0.55000000000000004">
      <c r="A18" s="239" t="s">
        <v>367</v>
      </c>
      <c r="B18" s="218">
        <v>3</v>
      </c>
      <c r="C18" s="256">
        <v>980</v>
      </c>
      <c r="D18" s="217">
        <f t="shared" si="1"/>
        <v>2940</v>
      </c>
      <c r="E18" s="217">
        <f>D18/CHOOSE('Исходные данные'!$O$2,1,'Исходные данные'!$F$5,'Исходные данные'!$I$5,'Исходные данные'!$K$5)</f>
        <v>2940</v>
      </c>
    </row>
    <row r="19" spans="1:5" ht="20.399999999999999" outlineLevel="1" x14ac:dyDescent="0.55000000000000004">
      <c r="A19" s="239" t="s">
        <v>368</v>
      </c>
      <c r="B19" s="218">
        <v>1</v>
      </c>
      <c r="C19" s="256">
        <v>6700</v>
      </c>
      <c r="D19" s="217">
        <f t="shared" si="1"/>
        <v>6700</v>
      </c>
      <c r="E19" s="217">
        <f>D19/CHOOSE('Исходные данные'!$O$2,1,'Исходные данные'!$F$5,'Исходные данные'!$I$5,'Исходные данные'!$K$5)</f>
        <v>6700</v>
      </c>
    </row>
    <row r="20" spans="1:5" ht="20.399999999999999" outlineLevel="1" x14ac:dyDescent="0.55000000000000004">
      <c r="A20" s="239" t="s">
        <v>369</v>
      </c>
      <c r="B20" s="218">
        <v>4</v>
      </c>
      <c r="C20" s="256">
        <v>550</v>
      </c>
      <c r="D20" s="217">
        <f t="shared" si="1"/>
        <v>2200</v>
      </c>
      <c r="E20" s="217">
        <f>D20/CHOOSE('Исходные данные'!$O$2,1,'Исходные данные'!$F$5,'Исходные данные'!$I$5,'Исходные данные'!$K$5)</f>
        <v>2200</v>
      </c>
    </row>
    <row r="21" spans="1:5" ht="20.399999999999999" outlineLevel="1" x14ac:dyDescent="0.55000000000000004">
      <c r="A21" s="239" t="s">
        <v>370</v>
      </c>
      <c r="B21" s="218">
        <v>4</v>
      </c>
      <c r="C21" s="256">
        <v>350</v>
      </c>
      <c r="D21" s="217">
        <f t="shared" si="1"/>
        <v>1400</v>
      </c>
      <c r="E21" s="217">
        <f>D21/CHOOSE('Исходные данные'!$O$2,1,'Исходные данные'!$F$5,'Исходные данные'!$I$5,'Исходные данные'!$K$5)</f>
        <v>1400</v>
      </c>
    </row>
    <row r="22" spans="1:5" ht="20.399999999999999" outlineLevel="1" x14ac:dyDescent="0.55000000000000004">
      <c r="A22" s="239" t="s">
        <v>371</v>
      </c>
      <c r="B22" s="218">
        <v>3</v>
      </c>
      <c r="C22" s="256">
        <v>450</v>
      </c>
      <c r="D22" s="217">
        <f t="shared" si="1"/>
        <v>1350</v>
      </c>
      <c r="E22" s="217">
        <f>D22/CHOOSE('Исходные данные'!$O$2,1,'Исходные данные'!$F$5,'Исходные данные'!$I$5,'Исходные данные'!$K$5)</f>
        <v>1350</v>
      </c>
    </row>
    <row r="23" spans="1:5" ht="20.399999999999999" outlineLevel="1" x14ac:dyDescent="0.55000000000000004">
      <c r="A23" s="239" t="s">
        <v>373</v>
      </c>
      <c r="B23" s="218">
        <v>1</v>
      </c>
      <c r="C23" s="256">
        <v>1500</v>
      </c>
      <c r="D23" s="217">
        <f t="shared" si="1"/>
        <v>1500</v>
      </c>
      <c r="E23" s="217">
        <f>D23/CHOOSE('Исходные данные'!$O$2,1,'Исходные данные'!$F$5,'Исходные данные'!$I$5,'Исходные данные'!$K$5)</f>
        <v>1500</v>
      </c>
    </row>
    <row r="24" spans="1:5" ht="20.399999999999999" outlineLevel="1" x14ac:dyDescent="0.55000000000000004">
      <c r="A24" s="239" t="s">
        <v>374</v>
      </c>
      <c r="B24" s="218">
        <v>10</v>
      </c>
      <c r="C24" s="256">
        <v>40</v>
      </c>
      <c r="D24" s="217">
        <f t="shared" si="1"/>
        <v>400</v>
      </c>
      <c r="E24" s="217">
        <f>D24/CHOOSE('Исходные данные'!$O$2,1,'Исходные данные'!$F$5,'Исходные данные'!$I$5,'Исходные данные'!$K$5)</f>
        <v>400</v>
      </c>
    </row>
    <row r="25" spans="1:5" ht="40.799999999999997" outlineLevel="1" x14ac:dyDescent="0.55000000000000004">
      <c r="A25" s="239" t="s">
        <v>375</v>
      </c>
      <c r="B25" s="218">
        <v>1</v>
      </c>
      <c r="C25" s="256">
        <v>1500</v>
      </c>
      <c r="D25" s="217">
        <f t="shared" si="1"/>
        <v>1500</v>
      </c>
      <c r="E25" s="217">
        <f>D25/CHOOSE('Исходные данные'!$O$2,1,'Исходные данные'!$F$5,'Исходные данные'!$I$5,'Исходные данные'!$K$5)</f>
        <v>1500</v>
      </c>
    </row>
    <row r="26" spans="1:5" ht="20.399999999999999" outlineLevel="1" x14ac:dyDescent="0.55000000000000004">
      <c r="A26" s="239" t="s">
        <v>376</v>
      </c>
      <c r="B26" s="218">
        <v>3</v>
      </c>
      <c r="C26" s="256">
        <v>450</v>
      </c>
      <c r="D26" s="217">
        <f t="shared" si="1"/>
        <v>1350</v>
      </c>
      <c r="E26" s="217">
        <f>D26/CHOOSE('Исходные данные'!$O$2,1,'Исходные данные'!$F$5,'Исходные данные'!$I$5,'Исходные данные'!$K$5)</f>
        <v>1350</v>
      </c>
    </row>
    <row r="27" spans="1:5" ht="20.399999999999999" outlineLevel="1" x14ac:dyDescent="0.55000000000000004">
      <c r="A27" s="239" t="s">
        <v>377</v>
      </c>
      <c r="B27" s="218">
        <v>4</v>
      </c>
      <c r="C27" s="256">
        <v>250</v>
      </c>
      <c r="D27" s="217">
        <f t="shared" si="1"/>
        <v>1000</v>
      </c>
      <c r="E27" s="217">
        <f>D27/CHOOSE('Исходные данные'!$O$2,1,'Исходные данные'!$F$5,'Исходные данные'!$I$5,'Исходные данные'!$K$5)</f>
        <v>1000</v>
      </c>
    </row>
    <row r="28" spans="1:5" ht="20.399999999999999" outlineLevel="1" x14ac:dyDescent="0.55000000000000004">
      <c r="A28" s="239" t="s">
        <v>378</v>
      </c>
      <c r="B28" s="218">
        <v>1</v>
      </c>
      <c r="C28" s="256">
        <v>13500</v>
      </c>
      <c r="D28" s="217">
        <f t="shared" si="1"/>
        <v>13500</v>
      </c>
      <c r="E28" s="217">
        <f>D28/CHOOSE('Исходные данные'!$O$2,1,'Исходные данные'!$F$5,'Исходные данные'!$I$5,'Исходные данные'!$K$5)</f>
        <v>13500</v>
      </c>
    </row>
    <row r="29" spans="1:5" ht="20.399999999999999" outlineLevel="1" x14ac:dyDescent="0.55000000000000004">
      <c r="A29" s="239" t="s">
        <v>379</v>
      </c>
      <c r="B29" s="218">
        <v>10</v>
      </c>
      <c r="C29" s="256">
        <v>150</v>
      </c>
      <c r="D29" s="217">
        <f t="shared" si="1"/>
        <v>1500</v>
      </c>
      <c r="E29" s="217">
        <f>D29/CHOOSE('Исходные данные'!$O$2,1,'Исходные данные'!$F$5,'Исходные данные'!$I$5,'Исходные данные'!$K$5)</f>
        <v>1500</v>
      </c>
    </row>
    <row r="30" spans="1:5" ht="20.399999999999999" outlineLevel="1" x14ac:dyDescent="0.55000000000000004">
      <c r="A30" s="239" t="s">
        <v>380</v>
      </c>
      <c r="B30" s="218">
        <v>4</v>
      </c>
      <c r="C30" s="256">
        <v>300</v>
      </c>
      <c r="D30" s="217">
        <f t="shared" si="1"/>
        <v>1200</v>
      </c>
      <c r="E30" s="217">
        <f>D30/CHOOSE('Исходные данные'!$O$2,1,'Исходные данные'!$F$5,'Исходные данные'!$I$5,'Исходные данные'!$K$5)</f>
        <v>1200</v>
      </c>
    </row>
    <row r="31" spans="1:5" ht="20.399999999999999" outlineLevel="1" x14ac:dyDescent="0.55000000000000004">
      <c r="A31" s="239" t="s">
        <v>381</v>
      </c>
      <c r="B31" s="218">
        <v>8</v>
      </c>
      <c r="C31" s="256">
        <v>680</v>
      </c>
      <c r="D31" s="217">
        <f t="shared" si="1"/>
        <v>5440</v>
      </c>
      <c r="E31" s="217">
        <f>D31/CHOOSE('Исходные данные'!$O$2,1,'Исходные данные'!$F$5,'Исходные данные'!$I$5,'Исходные данные'!$K$5)</f>
        <v>5440</v>
      </c>
    </row>
    <row r="32" spans="1:5" ht="20.399999999999999" outlineLevel="1" x14ac:dyDescent="0.55000000000000004">
      <c r="A32" s="239" t="s">
        <v>382</v>
      </c>
      <c r="B32" s="218">
        <v>5</v>
      </c>
      <c r="C32" s="256">
        <v>450</v>
      </c>
      <c r="D32" s="217">
        <f t="shared" si="1"/>
        <v>2250</v>
      </c>
      <c r="E32" s="217">
        <f>D32/CHOOSE('Исходные данные'!$O$2,1,'Исходные данные'!$F$5,'Исходные данные'!$I$5,'Исходные данные'!$K$5)</f>
        <v>2250</v>
      </c>
    </row>
    <row r="33" spans="1:5" ht="20.399999999999999" outlineLevel="1" x14ac:dyDescent="0.55000000000000004">
      <c r="A33" s="239" t="s">
        <v>383</v>
      </c>
      <c r="B33" s="218">
        <v>1000</v>
      </c>
      <c r="C33" s="256">
        <v>8</v>
      </c>
      <c r="D33" s="217">
        <f t="shared" si="1"/>
        <v>8000</v>
      </c>
      <c r="E33" s="217">
        <f>D33/CHOOSE('Исходные данные'!$O$2,1,'Исходные данные'!$F$5,'Исходные данные'!$I$5,'Исходные данные'!$K$5)</f>
        <v>8000</v>
      </c>
    </row>
    <row r="34" spans="1:5" ht="20.399999999999999" outlineLevel="1" x14ac:dyDescent="0.55000000000000004">
      <c r="A34" s="239" t="s">
        <v>384</v>
      </c>
      <c r="B34" s="218">
        <v>2500</v>
      </c>
      <c r="C34" s="256">
        <v>1.7</v>
      </c>
      <c r="D34" s="217">
        <f t="shared" si="1"/>
        <v>4250</v>
      </c>
      <c r="E34" s="217">
        <f>D34/CHOOSE('Исходные данные'!$O$2,1,'Исходные данные'!$F$5,'Исходные данные'!$I$5,'Исходные данные'!$K$5)</f>
        <v>4250</v>
      </c>
    </row>
    <row r="35" spans="1:5" ht="20.399999999999999" outlineLevel="1" x14ac:dyDescent="0.55000000000000004">
      <c r="A35" s="239" t="s">
        <v>385</v>
      </c>
      <c r="B35" s="218">
        <v>100</v>
      </c>
      <c r="C35" s="256">
        <v>250</v>
      </c>
      <c r="D35" s="217">
        <f t="shared" si="1"/>
        <v>25000</v>
      </c>
      <c r="E35" s="217">
        <f>D35/CHOOSE('Исходные данные'!$O$2,1,'Исходные данные'!$F$5,'Исходные данные'!$I$5,'Исходные данные'!$K$5)</f>
        <v>25000</v>
      </c>
    </row>
    <row r="36" spans="1:5" ht="20.399999999999999" outlineLevel="1" x14ac:dyDescent="0.55000000000000004">
      <c r="A36" s="239" t="s">
        <v>386</v>
      </c>
      <c r="B36" s="218">
        <v>3</v>
      </c>
      <c r="C36" s="256">
        <v>770</v>
      </c>
      <c r="D36" s="217">
        <f t="shared" si="1"/>
        <v>2310</v>
      </c>
      <c r="E36" s="217">
        <f>D36/CHOOSE('Исходные данные'!$O$2,1,'Исходные данные'!$F$5,'Исходные данные'!$I$5,'Исходные данные'!$K$5)</f>
        <v>2310</v>
      </c>
    </row>
    <row r="37" spans="1:5" ht="20.399999999999999" outlineLevel="1" x14ac:dyDescent="0.55000000000000004">
      <c r="A37" s="239" t="s">
        <v>387</v>
      </c>
      <c r="B37" s="218">
        <v>10000</v>
      </c>
      <c r="C37" s="256">
        <v>4</v>
      </c>
      <c r="D37" s="217">
        <f t="shared" si="1"/>
        <v>40000</v>
      </c>
      <c r="E37" s="217">
        <f>D37/CHOOSE('Исходные данные'!$O$2,1,'Исходные данные'!$F$5,'Исходные данные'!$I$5,'Исходные данные'!$K$5)</f>
        <v>40000</v>
      </c>
    </row>
    <row r="38" spans="1:5" ht="20.399999999999999" outlineLevel="1" x14ac:dyDescent="0.55000000000000004">
      <c r="A38" s="239" t="s">
        <v>392</v>
      </c>
      <c r="B38" s="218">
        <v>2000</v>
      </c>
      <c r="C38" s="256">
        <v>2.5</v>
      </c>
      <c r="D38" s="217">
        <f t="shared" si="1"/>
        <v>5000</v>
      </c>
      <c r="E38" s="217">
        <f>D38/CHOOSE('Исходные данные'!$O$2,1,'Исходные данные'!$F$5,'Исходные данные'!$I$5,'Исходные данные'!$K$5)</f>
        <v>5000</v>
      </c>
    </row>
    <row r="39" spans="1:5" ht="20.399999999999999" outlineLevel="1" x14ac:dyDescent="0.55000000000000004">
      <c r="A39" s="239" t="s">
        <v>388</v>
      </c>
      <c r="B39" s="218">
        <v>30000</v>
      </c>
      <c r="C39" s="256">
        <v>0.4</v>
      </c>
      <c r="D39" s="217">
        <f t="shared" si="1"/>
        <v>12000</v>
      </c>
      <c r="E39" s="217">
        <f>D39/CHOOSE('Исходные данные'!$O$2,1,'Исходные данные'!$F$5,'Исходные данные'!$I$5,'Исходные данные'!$K$5)</f>
        <v>12000</v>
      </c>
    </row>
    <row r="40" spans="1:5" ht="20.399999999999999" outlineLevel="1" x14ac:dyDescent="0.55000000000000004">
      <c r="A40" s="239" t="s">
        <v>389</v>
      </c>
      <c r="B40" s="218">
        <v>1</v>
      </c>
      <c r="C40" s="256">
        <v>5400</v>
      </c>
      <c r="D40" s="217">
        <f t="shared" si="1"/>
        <v>5400</v>
      </c>
      <c r="E40" s="217">
        <f>D40/CHOOSE('Исходные данные'!$O$2,1,'Исходные данные'!$F$5,'Исходные данные'!$I$5,'Исходные данные'!$K$5)</f>
        <v>5400</v>
      </c>
    </row>
    <row r="41" spans="1:5" ht="20.399999999999999" outlineLevel="1" x14ac:dyDescent="0.55000000000000004">
      <c r="A41" s="239" t="s">
        <v>390</v>
      </c>
      <c r="B41" s="218">
        <v>1</v>
      </c>
      <c r="C41" s="256">
        <v>3700</v>
      </c>
      <c r="D41" s="217">
        <f t="shared" si="0"/>
        <v>3700</v>
      </c>
      <c r="E41" s="217">
        <f>D41/CHOOSE('Исходные данные'!$O$2,1,'Исходные данные'!$F$5,'Исходные данные'!$I$5,'Исходные данные'!$K$5)</f>
        <v>3700</v>
      </c>
    </row>
    <row r="42" spans="1:5" ht="20.399999999999999" outlineLevel="1" x14ac:dyDescent="0.55000000000000004">
      <c r="A42" s="239" t="s">
        <v>391</v>
      </c>
      <c r="B42" s="218">
        <v>1</v>
      </c>
      <c r="C42" s="256">
        <v>500</v>
      </c>
      <c r="D42" s="217">
        <f t="shared" si="0"/>
        <v>500</v>
      </c>
      <c r="E42" s="217">
        <f>D42/CHOOSE('Исходные данные'!$O$2,1,'Исходные данные'!$F$5,'Исходные данные'!$I$5,'Исходные данные'!$K$5)</f>
        <v>500</v>
      </c>
    </row>
    <row r="43" spans="1:5" ht="20.399999999999999" outlineLevel="1" x14ac:dyDescent="0.55000000000000004">
      <c r="A43" s="239"/>
      <c r="B43" s="218"/>
      <c r="C43" s="256"/>
      <c r="D43" s="217">
        <f t="shared" si="0"/>
        <v>0</v>
      </c>
      <c r="E43" s="217">
        <f>D43/CHOOSE('Исходные данные'!$O$2,1,'Исходные данные'!$F$5,'Исходные данные'!$I$5,'Исходные данные'!$K$5)</f>
        <v>0</v>
      </c>
    </row>
    <row r="44" spans="1:5" ht="20.399999999999999" outlineLevel="1" x14ac:dyDescent="0.55000000000000004">
      <c r="A44" s="239"/>
      <c r="B44" s="218"/>
      <c r="C44" s="256"/>
      <c r="D44" s="217">
        <f t="shared" si="0"/>
        <v>0</v>
      </c>
      <c r="E44" s="217">
        <f>D44/CHOOSE('Исходные данные'!$O$2,1,'Исходные данные'!$F$5,'Исходные данные'!$I$5,'Исходные данные'!$K$5)</f>
        <v>0</v>
      </c>
    </row>
    <row r="45" spans="1:5" ht="20.399999999999999" outlineLevel="1" x14ac:dyDescent="0.55000000000000004">
      <c r="A45" s="239"/>
      <c r="B45" s="218"/>
      <c r="C45" s="256"/>
      <c r="D45" s="217">
        <f t="shared" si="0"/>
        <v>0</v>
      </c>
      <c r="E45" s="217">
        <f>D45/CHOOSE('Исходные данные'!$O$2,1,'Исходные данные'!$F$5,'Исходные данные'!$I$5,'Исходные данные'!$K$5)</f>
        <v>0</v>
      </c>
    </row>
    <row r="46" spans="1:5" ht="20.399999999999999" outlineLevel="1" x14ac:dyDescent="0.55000000000000004">
      <c r="A46" s="239"/>
      <c r="B46" s="218"/>
      <c r="C46" s="256"/>
      <c r="D46" s="217">
        <f t="shared" si="0"/>
        <v>0</v>
      </c>
      <c r="E46" s="217">
        <f>D46/CHOOSE('Исходные данные'!$O$2,1,'Исходные данные'!$F$5,'Исходные данные'!$I$5,'Исходные данные'!$K$5)</f>
        <v>0</v>
      </c>
    </row>
    <row r="47" spans="1:5" ht="20.399999999999999" outlineLevel="1" x14ac:dyDescent="0.55000000000000004">
      <c r="A47" s="239"/>
      <c r="B47" s="218"/>
      <c r="C47" s="256"/>
      <c r="D47" s="217">
        <f t="shared" si="0"/>
        <v>0</v>
      </c>
      <c r="E47" s="217">
        <f>D47/CHOOSE('Исходные данные'!$O$2,1,'Исходные данные'!$F$5,'Исходные данные'!$I$5,'Исходные данные'!$K$5)</f>
        <v>0</v>
      </c>
    </row>
    <row r="48" spans="1:5" ht="20.399999999999999" outlineLevel="1" x14ac:dyDescent="0.55000000000000004">
      <c r="A48" s="239"/>
      <c r="B48" s="218"/>
      <c r="C48" s="256"/>
      <c r="D48" s="217">
        <f t="shared" si="0"/>
        <v>0</v>
      </c>
      <c r="E48" s="217">
        <f>D48/CHOOSE('Исходные данные'!$O$2,1,'Исходные данные'!$F$5,'Исходные данные'!$I$5,'Исходные данные'!$K$5)</f>
        <v>0</v>
      </c>
    </row>
    <row r="49" spans="1:5" ht="20.399999999999999" outlineLevel="1" x14ac:dyDescent="0.55000000000000004">
      <c r="A49" s="239"/>
      <c r="B49" s="218"/>
      <c r="C49" s="256"/>
      <c r="D49" s="217">
        <f t="shared" si="0"/>
        <v>0</v>
      </c>
      <c r="E49" s="217">
        <f>D49/CHOOSE('Исходные данные'!$O$2,1,'Исходные данные'!$F$5,'Исходные данные'!$I$5,'Исходные данные'!$K$5)</f>
        <v>0</v>
      </c>
    </row>
    <row r="50" spans="1:5" ht="20.399999999999999" outlineLevel="1" x14ac:dyDescent="0.55000000000000004">
      <c r="A50" s="239"/>
      <c r="B50" s="218"/>
      <c r="C50" s="256"/>
      <c r="D50" s="217">
        <f t="shared" si="0"/>
        <v>0</v>
      </c>
      <c r="E50" s="217">
        <f>D50/CHOOSE('Исходные данные'!$O$2,1,'Исходные данные'!$F$5,'Исходные данные'!$I$5,'Исходные данные'!$K$5)</f>
        <v>0</v>
      </c>
    </row>
    <row r="51" spans="1:5" ht="20.399999999999999" outlineLevel="1" x14ac:dyDescent="0.55000000000000004">
      <c r="A51" s="239"/>
      <c r="B51" s="218"/>
      <c r="C51" s="256"/>
      <c r="D51" s="217">
        <f t="shared" si="0"/>
        <v>0</v>
      </c>
      <c r="E51" s="217">
        <f>D51/CHOOSE('Исходные данные'!$O$2,1,'Исходные данные'!$F$5,'Исходные данные'!$I$5,'Исходные данные'!$K$5)</f>
        <v>0</v>
      </c>
    </row>
    <row r="52" spans="1:5" ht="20.399999999999999" outlineLevel="1" x14ac:dyDescent="0.55000000000000004">
      <c r="A52" s="239"/>
      <c r="B52" s="218"/>
      <c r="C52" s="256"/>
      <c r="D52" s="217">
        <f t="shared" si="0"/>
        <v>0</v>
      </c>
      <c r="E52" s="217">
        <f>D52/CHOOSE('Исходные данные'!$O$2,1,'Исходные данные'!$F$5,'Исходные данные'!$I$5,'Исходные данные'!$K$5)</f>
        <v>0</v>
      </c>
    </row>
    <row r="53" spans="1:5" ht="20.399999999999999" outlineLevel="1" x14ac:dyDescent="0.55000000000000004">
      <c r="A53" s="239"/>
      <c r="B53" s="218"/>
      <c r="C53" s="256"/>
      <c r="D53" s="217">
        <f t="shared" si="0"/>
        <v>0</v>
      </c>
      <c r="E53" s="217">
        <f>D53/CHOOSE('Исходные данные'!$O$2,1,'Исходные данные'!$F$5,'Исходные данные'!$I$5,'Исходные данные'!$K$5)</f>
        <v>0</v>
      </c>
    </row>
    <row r="54" spans="1:5" ht="20.399999999999999" outlineLevel="1" x14ac:dyDescent="0.55000000000000004">
      <c r="A54" s="239"/>
      <c r="B54" s="218"/>
      <c r="C54" s="256"/>
      <c r="D54" s="217">
        <f t="shared" si="0"/>
        <v>0</v>
      </c>
      <c r="E54" s="217">
        <f>D54/CHOOSE('Исходные данные'!$O$2,1,'Исходные данные'!$F$5,'Исходные данные'!$I$5,'Исходные данные'!$K$5)</f>
        <v>0</v>
      </c>
    </row>
    <row r="55" spans="1:5" ht="20.399999999999999" outlineLevel="1" x14ac:dyDescent="0.55000000000000004">
      <c r="A55" s="239"/>
      <c r="B55" s="218"/>
      <c r="C55" s="256"/>
      <c r="D55" s="217">
        <f t="shared" si="0"/>
        <v>0</v>
      </c>
      <c r="E55" s="217">
        <f>D55/CHOOSE('Исходные данные'!$O$2,1,'Исходные данные'!$F$5,'Исходные данные'!$I$5,'Исходные данные'!$K$5)</f>
        <v>0</v>
      </c>
    </row>
    <row r="56" spans="1:5" ht="20.399999999999999" outlineLevel="1" x14ac:dyDescent="0.55000000000000004">
      <c r="A56" s="239"/>
      <c r="B56" s="218"/>
      <c r="C56" s="256"/>
      <c r="D56" s="217">
        <f t="shared" si="0"/>
        <v>0</v>
      </c>
      <c r="E56" s="217">
        <f>D56/CHOOSE('Исходные данные'!$O$2,1,'Исходные данные'!$F$5,'Исходные данные'!$I$5,'Исходные данные'!$K$5)</f>
        <v>0</v>
      </c>
    </row>
    <row r="57" spans="1:5" ht="20.399999999999999" outlineLevel="1" x14ac:dyDescent="0.55000000000000004">
      <c r="A57" s="239"/>
      <c r="B57" s="218"/>
      <c r="C57" s="256"/>
      <c r="D57" s="217">
        <f t="shared" si="0"/>
        <v>0</v>
      </c>
      <c r="E57" s="217">
        <f>D57/CHOOSE('Исходные данные'!$O$2,1,'Исходные данные'!$F$5,'Исходные данные'!$I$5,'Исходные данные'!$K$5)</f>
        <v>0</v>
      </c>
    </row>
    <row r="58" spans="1:5" ht="20.399999999999999" outlineLevel="1" x14ac:dyDescent="0.55000000000000004">
      <c r="A58" s="239"/>
      <c r="B58" s="218"/>
      <c r="C58" s="256"/>
      <c r="D58" s="217">
        <f t="shared" si="0"/>
        <v>0</v>
      </c>
      <c r="E58" s="217">
        <f>D58/CHOOSE('Исходные данные'!$O$2,1,'Исходные данные'!$F$5,'Исходные данные'!$I$5,'Исходные данные'!$K$5)</f>
        <v>0</v>
      </c>
    </row>
    <row r="59" spans="1:5" ht="20.399999999999999" outlineLevel="1" x14ac:dyDescent="0.55000000000000004">
      <c r="A59" s="239"/>
      <c r="B59" s="218"/>
      <c r="C59" s="256"/>
      <c r="D59" s="217">
        <f t="shared" si="0"/>
        <v>0</v>
      </c>
      <c r="E59" s="217">
        <f>D59/CHOOSE('Исходные данные'!$O$2,1,'Исходные данные'!$F$5,'Исходные данные'!$I$5,'Исходные данные'!$K$5)</f>
        <v>0</v>
      </c>
    </row>
    <row r="60" spans="1:5" ht="20.399999999999999" outlineLevel="1" x14ac:dyDescent="0.55000000000000004">
      <c r="A60" s="239"/>
      <c r="B60" s="218"/>
      <c r="C60" s="256"/>
      <c r="D60" s="217">
        <f t="shared" si="0"/>
        <v>0</v>
      </c>
      <c r="E60" s="217">
        <f>D60/CHOOSE('Исходные данные'!$O$2,1,'Исходные данные'!$F$5,'Исходные данные'!$I$5,'Исходные данные'!$K$5)</f>
        <v>0</v>
      </c>
    </row>
    <row r="61" spans="1:5" ht="20.399999999999999" outlineLevel="1" x14ac:dyDescent="0.55000000000000004">
      <c r="A61" s="239"/>
      <c r="B61" s="218"/>
      <c r="C61" s="256"/>
      <c r="D61" s="217">
        <f t="shared" si="0"/>
        <v>0</v>
      </c>
      <c r="E61" s="217">
        <f>D61/CHOOSE('Исходные данные'!$O$2,1,'Исходные данные'!$F$5,'Исходные данные'!$I$5,'Исходные данные'!$K$5)</f>
        <v>0</v>
      </c>
    </row>
    <row r="62" spans="1:5" ht="20.399999999999999" outlineLevel="1" x14ac:dyDescent="0.55000000000000004">
      <c r="A62" s="239"/>
      <c r="B62" s="218"/>
      <c r="C62" s="256"/>
      <c r="D62" s="217">
        <f t="shared" si="0"/>
        <v>0</v>
      </c>
      <c r="E62" s="217">
        <f>D62/CHOOSE('Исходные данные'!$O$2,1,'Исходные данные'!$F$5,'Исходные данные'!$I$5,'Исходные данные'!$K$5)</f>
        <v>0</v>
      </c>
    </row>
    <row r="63" spans="1:5" ht="20.399999999999999" outlineLevel="1" x14ac:dyDescent="0.55000000000000004">
      <c r="A63" s="239"/>
      <c r="B63" s="218"/>
      <c r="C63" s="256"/>
      <c r="D63" s="217">
        <f t="shared" ref="D63:D64" si="2">B63*C63</f>
        <v>0</v>
      </c>
      <c r="E63" s="217">
        <f>D63/CHOOSE('Исходные данные'!$O$2,1,'Исходные данные'!$F$5,'Исходные данные'!$I$5,'Исходные данные'!$K$5)</f>
        <v>0</v>
      </c>
    </row>
    <row r="64" spans="1:5" ht="20.399999999999999" outlineLevel="1" x14ac:dyDescent="0.55000000000000004">
      <c r="A64" s="239"/>
      <c r="B64" s="218"/>
      <c r="C64" s="256"/>
      <c r="D64" s="217">
        <f t="shared" si="2"/>
        <v>0</v>
      </c>
      <c r="E64" s="217">
        <f>D64/CHOOSE('Исходные данные'!$O$2,1,'Исходные данные'!$F$5,'Исходные данные'!$I$5,'Исходные данные'!$K$5)</f>
        <v>0</v>
      </c>
    </row>
    <row r="65" spans="1:9" ht="20.399999999999999" outlineLevel="1" x14ac:dyDescent="0.55000000000000004">
      <c r="A65" s="239"/>
      <c r="B65" s="218"/>
      <c r="C65" s="256"/>
      <c r="D65" s="217">
        <f t="shared" ref="D65:D66" si="3">B65*C65</f>
        <v>0</v>
      </c>
      <c r="E65" s="217">
        <f>D65/CHOOSE('Исходные данные'!$O$2,1,'Исходные данные'!$F$5,'Исходные данные'!$I$5,'Исходные данные'!$K$5)</f>
        <v>0</v>
      </c>
    </row>
    <row r="66" spans="1:9" ht="20.399999999999999" outlineLevel="1" x14ac:dyDescent="0.55000000000000004">
      <c r="A66" s="239"/>
      <c r="B66" s="218"/>
      <c r="C66" s="256"/>
      <c r="D66" s="217">
        <f t="shared" si="3"/>
        <v>0</v>
      </c>
      <c r="E66" s="217">
        <f>D66/CHOOSE('Исходные данные'!$O$2,1,'Исходные данные'!$F$5,'Исходные данные'!$I$5,'Исходные данные'!$K$5)</f>
        <v>0</v>
      </c>
    </row>
    <row r="67" spans="1:9" ht="20.399999999999999" outlineLevel="1" x14ac:dyDescent="0.55000000000000004">
      <c r="A67" s="239"/>
      <c r="B67" s="218"/>
      <c r="C67" s="256"/>
      <c r="D67" s="217">
        <f t="shared" si="0"/>
        <v>0</v>
      </c>
      <c r="E67" s="217">
        <f>D67/CHOOSE('Исходные данные'!$O$2,1,'Исходные данные'!$F$5,'Исходные данные'!$I$5,'Исходные данные'!$K$5)</f>
        <v>0</v>
      </c>
    </row>
    <row r="68" spans="1:9" ht="20.399999999999999" outlineLevel="1" x14ac:dyDescent="0.55000000000000004">
      <c r="A68" s="239"/>
      <c r="B68" s="218"/>
      <c r="C68" s="256"/>
      <c r="D68" s="217">
        <f t="shared" si="0"/>
        <v>0</v>
      </c>
      <c r="E68" s="217">
        <f>D68/CHOOSE('Исходные данные'!$O$2,1,'Исходные данные'!$F$5,'Исходные данные'!$I$5,'Исходные данные'!$K$5)</f>
        <v>0</v>
      </c>
    </row>
    <row r="69" spans="1:9" ht="20.399999999999999" outlineLevel="1" x14ac:dyDescent="0.55000000000000004">
      <c r="A69" s="239"/>
      <c r="B69" s="218"/>
      <c r="C69" s="256"/>
      <c r="D69" s="217">
        <f t="shared" si="0"/>
        <v>0</v>
      </c>
      <c r="E69" s="217">
        <f>D69/CHOOSE('Исходные данные'!$O$2,1,'Исходные данные'!$F$5,'Исходные данные'!$I$5,'Исходные данные'!$K$5)</f>
        <v>0</v>
      </c>
    </row>
    <row r="70" spans="1:9" ht="25.8" x14ac:dyDescent="0.55000000000000004">
      <c r="A70" s="221" t="str">
        <f>CHOOSE('Исходные данные'!$U$2,Инвестиции!H9,Инвестиции!I9)</f>
        <v>Первісний закуп товару та інше</v>
      </c>
      <c r="B70" s="216"/>
      <c r="C70" s="257"/>
      <c r="D70" s="248">
        <f>SUM(D71:D134)</f>
        <v>0</v>
      </c>
      <c r="E70" s="248">
        <f>SUM(E71:E134)</f>
        <v>0</v>
      </c>
      <c r="H70" s="223"/>
      <c r="I70" s="223"/>
    </row>
    <row r="71" spans="1:9" ht="20.399999999999999" outlineLevel="1" x14ac:dyDescent="0.55000000000000004">
      <c r="A71" s="239"/>
      <c r="B71" s="218"/>
      <c r="C71" s="256"/>
      <c r="D71" s="217">
        <f t="shared" ref="D71:D134" si="4">B71*C71</f>
        <v>0</v>
      </c>
      <c r="E71" s="217">
        <f>D71/CHOOSE('Исходные данные'!$O$2,1,'Исходные данные'!$F$5,'Исходные данные'!$I$5,'Исходные данные'!$K$5)</f>
        <v>0</v>
      </c>
      <c r="H71" s="223"/>
      <c r="I71" s="223"/>
    </row>
    <row r="72" spans="1:9" ht="20.399999999999999" outlineLevel="1" x14ac:dyDescent="0.55000000000000004">
      <c r="A72" s="239"/>
      <c r="B72" s="218"/>
      <c r="C72" s="256"/>
      <c r="D72" s="217">
        <f t="shared" si="4"/>
        <v>0</v>
      </c>
      <c r="E72" s="217">
        <f>D72/CHOOSE('Исходные данные'!$O$2,1,'Исходные данные'!$F$5,'Исходные данные'!$I$5,'Исходные данные'!$K$5)</f>
        <v>0</v>
      </c>
      <c r="H72" s="223"/>
      <c r="I72" s="223"/>
    </row>
    <row r="73" spans="1:9" ht="20.399999999999999" outlineLevel="1" x14ac:dyDescent="0.55000000000000004">
      <c r="A73" s="239"/>
      <c r="B73" s="218"/>
      <c r="C73" s="256"/>
      <c r="D73" s="217">
        <f t="shared" si="4"/>
        <v>0</v>
      </c>
      <c r="E73" s="217">
        <f>D73/CHOOSE('Исходные данные'!$O$2,1,'Исходные данные'!$F$5,'Исходные данные'!$I$5,'Исходные данные'!$K$5)</f>
        <v>0</v>
      </c>
      <c r="H73" s="240"/>
      <c r="I73" s="240"/>
    </row>
    <row r="74" spans="1:9" ht="20.399999999999999" outlineLevel="1" x14ac:dyDescent="0.55000000000000004">
      <c r="A74" s="239"/>
      <c r="B74" s="218"/>
      <c r="C74" s="256"/>
      <c r="D74" s="217">
        <f t="shared" si="4"/>
        <v>0</v>
      </c>
      <c r="E74" s="217">
        <f>D74/CHOOSE('Исходные данные'!$O$2,1,'Исходные данные'!$F$5,'Исходные данные'!$I$5,'Исходные данные'!$K$5)</f>
        <v>0</v>
      </c>
    </row>
    <row r="75" spans="1:9" ht="20.399999999999999" outlineLevel="1" x14ac:dyDescent="0.55000000000000004">
      <c r="A75" s="239"/>
      <c r="B75" s="218"/>
      <c r="C75" s="256"/>
      <c r="D75" s="217">
        <f t="shared" si="4"/>
        <v>0</v>
      </c>
      <c r="E75" s="217">
        <f>D75/CHOOSE('Исходные данные'!$O$2,1,'Исходные данные'!$F$5,'Исходные данные'!$I$5,'Исходные данные'!$K$5)</f>
        <v>0</v>
      </c>
    </row>
    <row r="76" spans="1:9" ht="20.399999999999999" outlineLevel="1" x14ac:dyDescent="0.55000000000000004">
      <c r="A76" s="239"/>
      <c r="B76" s="218"/>
      <c r="C76" s="256"/>
      <c r="D76" s="217">
        <f t="shared" si="4"/>
        <v>0</v>
      </c>
      <c r="E76" s="217">
        <f>D76/CHOOSE('Исходные данные'!$O$2,1,'Исходные данные'!$F$5,'Исходные данные'!$I$5,'Исходные данные'!$K$5)</f>
        <v>0</v>
      </c>
    </row>
    <row r="77" spans="1:9" ht="20.399999999999999" outlineLevel="1" x14ac:dyDescent="0.55000000000000004">
      <c r="A77" s="239"/>
      <c r="B77" s="218"/>
      <c r="C77" s="256"/>
      <c r="D77" s="217">
        <f t="shared" si="4"/>
        <v>0</v>
      </c>
      <c r="E77" s="217">
        <f>D77/CHOOSE('Исходные данные'!$O$2,1,'Исходные данные'!$F$5,'Исходные данные'!$I$5,'Исходные данные'!$K$5)</f>
        <v>0</v>
      </c>
    </row>
    <row r="78" spans="1:9" ht="20.399999999999999" outlineLevel="1" x14ac:dyDescent="0.55000000000000004">
      <c r="A78" s="239"/>
      <c r="B78" s="218"/>
      <c r="C78" s="256"/>
      <c r="D78" s="217">
        <f t="shared" si="4"/>
        <v>0</v>
      </c>
      <c r="E78" s="217">
        <f>D78/CHOOSE('Исходные данные'!$O$2,1,'Исходные данные'!$F$5,'Исходные данные'!$I$5,'Исходные данные'!$K$5)</f>
        <v>0</v>
      </c>
    </row>
    <row r="79" spans="1:9" ht="20.399999999999999" outlineLevel="1" x14ac:dyDescent="0.55000000000000004">
      <c r="A79" s="239"/>
      <c r="B79" s="218"/>
      <c r="C79" s="256"/>
      <c r="D79" s="217">
        <f t="shared" si="4"/>
        <v>0</v>
      </c>
      <c r="E79" s="217">
        <f>D79/CHOOSE('Исходные данные'!$O$2,1,'Исходные данные'!$F$5,'Исходные данные'!$I$5,'Исходные данные'!$K$5)</f>
        <v>0</v>
      </c>
    </row>
    <row r="80" spans="1:9" ht="20.399999999999999" outlineLevel="1" x14ac:dyDescent="0.55000000000000004">
      <c r="A80" s="239"/>
      <c r="B80" s="218"/>
      <c r="C80" s="256"/>
      <c r="D80" s="217">
        <f t="shared" si="4"/>
        <v>0</v>
      </c>
      <c r="E80" s="217">
        <f>D80/CHOOSE('Исходные данные'!$O$2,1,'Исходные данные'!$F$5,'Исходные данные'!$I$5,'Исходные данные'!$K$5)</f>
        <v>0</v>
      </c>
    </row>
    <row r="81" spans="1:5" ht="20.399999999999999" outlineLevel="1" x14ac:dyDescent="0.55000000000000004">
      <c r="A81" s="239"/>
      <c r="B81" s="218"/>
      <c r="C81" s="256"/>
      <c r="D81" s="217">
        <f t="shared" si="4"/>
        <v>0</v>
      </c>
      <c r="E81" s="217">
        <f>D81/CHOOSE('Исходные данные'!$O$2,1,'Исходные данные'!$F$5,'Исходные данные'!$I$5,'Исходные данные'!$K$5)</f>
        <v>0</v>
      </c>
    </row>
    <row r="82" spans="1:5" ht="20.399999999999999" outlineLevel="1" x14ac:dyDescent="0.55000000000000004">
      <c r="A82" s="239"/>
      <c r="B82" s="218"/>
      <c r="C82" s="256"/>
      <c r="D82" s="217">
        <f t="shared" si="4"/>
        <v>0</v>
      </c>
      <c r="E82" s="217">
        <f>D82/CHOOSE('Исходные данные'!$O$2,1,'Исходные данные'!$F$5,'Исходные данные'!$I$5,'Исходные данные'!$K$5)</f>
        <v>0</v>
      </c>
    </row>
    <row r="83" spans="1:5" ht="20.399999999999999" outlineLevel="1" x14ac:dyDescent="0.55000000000000004">
      <c r="A83" s="239"/>
      <c r="B83" s="218"/>
      <c r="C83" s="256"/>
      <c r="D83" s="217">
        <f t="shared" si="4"/>
        <v>0</v>
      </c>
      <c r="E83" s="217">
        <f>D83/CHOOSE('Исходные данные'!$O$2,1,'Исходные данные'!$F$5,'Исходные данные'!$I$5,'Исходные данные'!$K$5)</f>
        <v>0</v>
      </c>
    </row>
    <row r="84" spans="1:5" ht="20.399999999999999" outlineLevel="1" x14ac:dyDescent="0.55000000000000004">
      <c r="A84" s="239"/>
      <c r="B84" s="218"/>
      <c r="C84" s="256"/>
      <c r="D84" s="217">
        <f t="shared" si="4"/>
        <v>0</v>
      </c>
      <c r="E84" s="217">
        <f>D84/CHOOSE('Исходные данные'!$O$2,1,'Исходные данные'!$F$5,'Исходные данные'!$I$5,'Исходные данные'!$K$5)</f>
        <v>0</v>
      </c>
    </row>
    <row r="85" spans="1:5" ht="20.399999999999999" outlineLevel="1" x14ac:dyDescent="0.55000000000000004">
      <c r="A85" s="239"/>
      <c r="B85" s="218"/>
      <c r="C85" s="256"/>
      <c r="D85" s="217">
        <f t="shared" si="4"/>
        <v>0</v>
      </c>
      <c r="E85" s="217">
        <f>D85/CHOOSE('Исходные данные'!$O$2,1,'Исходные данные'!$F$5,'Исходные данные'!$I$5,'Исходные данные'!$K$5)</f>
        <v>0</v>
      </c>
    </row>
    <row r="86" spans="1:5" ht="20.399999999999999" outlineLevel="1" x14ac:dyDescent="0.55000000000000004">
      <c r="A86" s="239"/>
      <c r="B86" s="218"/>
      <c r="C86" s="256"/>
      <c r="D86" s="217">
        <f t="shared" si="4"/>
        <v>0</v>
      </c>
      <c r="E86" s="217">
        <f>D86/CHOOSE('Исходные данные'!$O$2,1,'Исходные данные'!$F$5,'Исходные данные'!$I$5,'Исходные данные'!$K$5)</f>
        <v>0</v>
      </c>
    </row>
    <row r="87" spans="1:5" ht="20.399999999999999" outlineLevel="1" x14ac:dyDescent="0.55000000000000004">
      <c r="A87" s="239"/>
      <c r="B87" s="218"/>
      <c r="C87" s="256"/>
      <c r="D87" s="217">
        <f t="shared" si="4"/>
        <v>0</v>
      </c>
      <c r="E87" s="217">
        <f>D87/CHOOSE('Исходные данные'!$O$2,1,'Исходные данные'!$F$5,'Исходные данные'!$I$5,'Исходные данные'!$K$5)</f>
        <v>0</v>
      </c>
    </row>
    <row r="88" spans="1:5" ht="20.399999999999999" outlineLevel="1" x14ac:dyDescent="0.55000000000000004">
      <c r="A88" s="239"/>
      <c r="B88" s="218"/>
      <c r="C88" s="256"/>
      <c r="D88" s="217">
        <f t="shared" si="4"/>
        <v>0</v>
      </c>
      <c r="E88" s="217">
        <f>D88/CHOOSE('Исходные данные'!$O$2,1,'Исходные данные'!$F$5,'Исходные данные'!$I$5,'Исходные данные'!$K$5)</f>
        <v>0</v>
      </c>
    </row>
    <row r="89" spans="1:5" ht="20.399999999999999" outlineLevel="1" x14ac:dyDescent="0.55000000000000004">
      <c r="A89" s="239"/>
      <c r="B89" s="218"/>
      <c r="C89" s="256"/>
      <c r="D89" s="217">
        <f t="shared" si="4"/>
        <v>0</v>
      </c>
      <c r="E89" s="217">
        <f>D89/CHOOSE('Исходные данные'!$O$2,1,'Исходные данные'!$F$5,'Исходные данные'!$I$5,'Исходные данные'!$K$5)</f>
        <v>0</v>
      </c>
    </row>
    <row r="90" spans="1:5" ht="20.399999999999999" outlineLevel="1" x14ac:dyDescent="0.55000000000000004">
      <c r="A90" s="239"/>
      <c r="B90" s="218"/>
      <c r="C90" s="256"/>
      <c r="D90" s="217">
        <f t="shared" si="4"/>
        <v>0</v>
      </c>
      <c r="E90" s="217">
        <f>D90/CHOOSE('Исходные данные'!$O$2,1,'Исходные данные'!$F$5,'Исходные данные'!$I$5,'Исходные данные'!$K$5)</f>
        <v>0</v>
      </c>
    </row>
    <row r="91" spans="1:5" ht="20.399999999999999" outlineLevel="1" x14ac:dyDescent="0.55000000000000004">
      <c r="A91" s="239"/>
      <c r="B91" s="218"/>
      <c r="C91" s="256"/>
      <c r="D91" s="217">
        <f t="shared" si="4"/>
        <v>0</v>
      </c>
      <c r="E91" s="217">
        <f>D91/CHOOSE('Исходные данные'!$O$2,1,'Исходные данные'!$F$5,'Исходные данные'!$I$5,'Исходные данные'!$K$5)</f>
        <v>0</v>
      </c>
    </row>
    <row r="92" spans="1:5" ht="20.399999999999999" outlineLevel="1" x14ac:dyDescent="0.55000000000000004">
      <c r="A92" s="239"/>
      <c r="B92" s="218"/>
      <c r="C92" s="256"/>
      <c r="D92" s="217">
        <f t="shared" si="4"/>
        <v>0</v>
      </c>
      <c r="E92" s="217">
        <f>D92/CHOOSE('Исходные данные'!$O$2,1,'Исходные данные'!$F$5,'Исходные данные'!$I$5,'Исходные данные'!$K$5)</f>
        <v>0</v>
      </c>
    </row>
    <row r="93" spans="1:5" ht="20.399999999999999" outlineLevel="1" x14ac:dyDescent="0.55000000000000004">
      <c r="A93" s="239"/>
      <c r="B93" s="218"/>
      <c r="C93" s="256"/>
      <c r="D93" s="217">
        <f t="shared" si="4"/>
        <v>0</v>
      </c>
      <c r="E93" s="217">
        <f>D93/CHOOSE('Исходные данные'!$O$2,1,'Исходные данные'!$F$5,'Исходные данные'!$I$5,'Исходные данные'!$K$5)</f>
        <v>0</v>
      </c>
    </row>
    <row r="94" spans="1:5" ht="20.399999999999999" outlineLevel="1" x14ac:dyDescent="0.55000000000000004">
      <c r="A94" s="239"/>
      <c r="B94" s="218"/>
      <c r="C94" s="256"/>
      <c r="D94" s="217">
        <f t="shared" si="4"/>
        <v>0</v>
      </c>
      <c r="E94" s="217">
        <f>D94/CHOOSE('Исходные данные'!$O$2,1,'Исходные данные'!$F$5,'Исходные данные'!$I$5,'Исходные данные'!$K$5)</f>
        <v>0</v>
      </c>
    </row>
    <row r="95" spans="1:5" ht="20.399999999999999" outlineLevel="1" x14ac:dyDescent="0.55000000000000004">
      <c r="A95" s="239"/>
      <c r="B95" s="218"/>
      <c r="C95" s="256"/>
      <c r="D95" s="217">
        <f t="shared" si="4"/>
        <v>0</v>
      </c>
      <c r="E95" s="217">
        <f>D95/CHOOSE('Исходные данные'!$O$2,1,'Исходные данные'!$F$5,'Исходные данные'!$I$5,'Исходные данные'!$K$5)</f>
        <v>0</v>
      </c>
    </row>
    <row r="96" spans="1:5" ht="20.399999999999999" outlineLevel="1" x14ac:dyDescent="0.55000000000000004">
      <c r="A96" s="239"/>
      <c r="B96" s="218"/>
      <c r="C96" s="256"/>
      <c r="D96" s="217">
        <f t="shared" si="4"/>
        <v>0</v>
      </c>
      <c r="E96" s="217">
        <f>D96/CHOOSE('Исходные данные'!$O$2,1,'Исходные данные'!$F$5,'Исходные данные'!$I$5,'Исходные данные'!$K$5)</f>
        <v>0</v>
      </c>
    </row>
    <row r="97" spans="1:5" ht="20.399999999999999" outlineLevel="1" x14ac:dyDescent="0.55000000000000004">
      <c r="A97" s="239"/>
      <c r="B97" s="218"/>
      <c r="C97" s="256"/>
      <c r="D97" s="217">
        <f t="shared" si="4"/>
        <v>0</v>
      </c>
      <c r="E97" s="217">
        <f>D97/CHOOSE('Исходные данные'!$O$2,1,'Исходные данные'!$F$5,'Исходные данные'!$I$5,'Исходные данные'!$K$5)</f>
        <v>0</v>
      </c>
    </row>
    <row r="98" spans="1:5" ht="20.399999999999999" outlineLevel="1" x14ac:dyDescent="0.55000000000000004">
      <c r="A98" s="239"/>
      <c r="B98" s="218"/>
      <c r="C98" s="256"/>
      <c r="D98" s="217">
        <f t="shared" si="4"/>
        <v>0</v>
      </c>
      <c r="E98" s="217">
        <f>D98/CHOOSE('Исходные данные'!$O$2,1,'Исходные данные'!$F$5,'Исходные данные'!$I$5,'Исходные данные'!$K$5)</f>
        <v>0</v>
      </c>
    </row>
    <row r="99" spans="1:5" ht="20.399999999999999" outlineLevel="1" x14ac:dyDescent="0.55000000000000004">
      <c r="A99" s="239"/>
      <c r="B99" s="218"/>
      <c r="C99" s="256"/>
      <c r="D99" s="217">
        <f t="shared" si="4"/>
        <v>0</v>
      </c>
      <c r="E99" s="217">
        <f>D99/CHOOSE('Исходные данные'!$O$2,1,'Исходные данные'!$F$5,'Исходные данные'!$I$5,'Исходные данные'!$K$5)</f>
        <v>0</v>
      </c>
    </row>
    <row r="100" spans="1:5" ht="20.399999999999999" outlineLevel="1" x14ac:dyDescent="0.55000000000000004">
      <c r="A100" s="239"/>
      <c r="B100" s="218"/>
      <c r="C100" s="256"/>
      <c r="D100" s="217">
        <f t="shared" si="4"/>
        <v>0</v>
      </c>
      <c r="E100" s="217">
        <f>D100/CHOOSE('Исходные данные'!$O$2,1,'Исходные данные'!$F$5,'Исходные данные'!$I$5,'Исходные данные'!$K$5)</f>
        <v>0</v>
      </c>
    </row>
    <row r="101" spans="1:5" ht="20.399999999999999" outlineLevel="1" x14ac:dyDescent="0.55000000000000004">
      <c r="A101" s="239"/>
      <c r="B101" s="218"/>
      <c r="C101" s="256"/>
      <c r="D101" s="217">
        <f t="shared" si="4"/>
        <v>0</v>
      </c>
      <c r="E101" s="217">
        <f>D101/CHOOSE('Исходные данные'!$O$2,1,'Исходные данные'!$F$5,'Исходные данные'!$I$5,'Исходные данные'!$K$5)</f>
        <v>0</v>
      </c>
    </row>
    <row r="102" spans="1:5" ht="20.399999999999999" outlineLevel="1" x14ac:dyDescent="0.55000000000000004">
      <c r="A102" s="239"/>
      <c r="B102" s="218"/>
      <c r="C102" s="256"/>
      <c r="D102" s="217">
        <f t="shared" si="4"/>
        <v>0</v>
      </c>
      <c r="E102" s="217">
        <f>D102/CHOOSE('Исходные данные'!$O$2,1,'Исходные данные'!$F$5,'Исходные данные'!$I$5,'Исходные данные'!$K$5)</f>
        <v>0</v>
      </c>
    </row>
    <row r="103" spans="1:5" ht="20.399999999999999" outlineLevel="1" x14ac:dyDescent="0.55000000000000004">
      <c r="A103" s="239"/>
      <c r="B103" s="218"/>
      <c r="C103" s="256"/>
      <c r="D103" s="217">
        <f t="shared" si="4"/>
        <v>0</v>
      </c>
      <c r="E103" s="217">
        <f>D103/CHOOSE('Исходные данные'!$O$2,1,'Исходные данные'!$F$5,'Исходные данные'!$I$5,'Исходные данные'!$K$5)</f>
        <v>0</v>
      </c>
    </row>
    <row r="104" spans="1:5" ht="20.399999999999999" outlineLevel="1" x14ac:dyDescent="0.55000000000000004">
      <c r="A104" s="239"/>
      <c r="B104" s="218"/>
      <c r="C104" s="256"/>
      <c r="D104" s="217">
        <f t="shared" si="4"/>
        <v>0</v>
      </c>
      <c r="E104" s="217">
        <f>D104/CHOOSE('Исходные данные'!$O$2,1,'Исходные данные'!$F$5,'Исходные данные'!$I$5,'Исходные данные'!$K$5)</f>
        <v>0</v>
      </c>
    </row>
    <row r="105" spans="1:5" ht="20.399999999999999" outlineLevel="1" x14ac:dyDescent="0.55000000000000004">
      <c r="A105" s="239"/>
      <c r="B105" s="218"/>
      <c r="C105" s="256"/>
      <c r="D105" s="217">
        <f t="shared" si="4"/>
        <v>0</v>
      </c>
      <c r="E105" s="217">
        <f>D105/CHOOSE('Исходные данные'!$O$2,1,'Исходные данные'!$F$5,'Исходные данные'!$I$5,'Исходные данные'!$K$5)</f>
        <v>0</v>
      </c>
    </row>
    <row r="106" spans="1:5" ht="20.399999999999999" outlineLevel="1" x14ac:dyDescent="0.55000000000000004">
      <c r="A106" s="239"/>
      <c r="B106" s="218"/>
      <c r="C106" s="256"/>
      <c r="D106" s="217">
        <f t="shared" si="4"/>
        <v>0</v>
      </c>
      <c r="E106" s="217">
        <f>D106/CHOOSE('Исходные данные'!$O$2,1,'Исходные данные'!$F$5,'Исходные данные'!$I$5,'Исходные данные'!$K$5)</f>
        <v>0</v>
      </c>
    </row>
    <row r="107" spans="1:5" ht="20.399999999999999" outlineLevel="1" x14ac:dyDescent="0.55000000000000004">
      <c r="A107" s="239"/>
      <c r="B107" s="218"/>
      <c r="C107" s="256"/>
      <c r="D107" s="217">
        <f t="shared" si="4"/>
        <v>0</v>
      </c>
      <c r="E107" s="217">
        <f>D107/CHOOSE('Исходные данные'!$O$2,1,'Исходные данные'!$F$5,'Исходные данные'!$I$5,'Исходные данные'!$K$5)</f>
        <v>0</v>
      </c>
    </row>
    <row r="108" spans="1:5" ht="20.399999999999999" outlineLevel="1" x14ac:dyDescent="0.55000000000000004">
      <c r="A108" s="239"/>
      <c r="B108" s="218"/>
      <c r="C108" s="256"/>
      <c r="D108" s="217">
        <f t="shared" si="4"/>
        <v>0</v>
      </c>
      <c r="E108" s="217">
        <f>D108/CHOOSE('Исходные данные'!$O$2,1,'Исходные данные'!$F$5,'Исходные данные'!$I$5,'Исходные данные'!$K$5)</f>
        <v>0</v>
      </c>
    </row>
    <row r="109" spans="1:5" ht="20.399999999999999" outlineLevel="1" x14ac:dyDescent="0.55000000000000004">
      <c r="A109" s="239"/>
      <c r="B109" s="218"/>
      <c r="C109" s="256"/>
      <c r="D109" s="217">
        <f t="shared" si="4"/>
        <v>0</v>
      </c>
      <c r="E109" s="217">
        <f>D109/CHOOSE('Исходные данные'!$O$2,1,'Исходные данные'!$F$5,'Исходные данные'!$I$5,'Исходные данные'!$K$5)</f>
        <v>0</v>
      </c>
    </row>
    <row r="110" spans="1:5" ht="20.399999999999999" outlineLevel="1" x14ac:dyDescent="0.55000000000000004">
      <c r="A110" s="239"/>
      <c r="B110" s="218"/>
      <c r="C110" s="256"/>
      <c r="D110" s="217">
        <f t="shared" si="4"/>
        <v>0</v>
      </c>
      <c r="E110" s="217">
        <f>D110/CHOOSE('Исходные данные'!$O$2,1,'Исходные данные'!$F$5,'Исходные данные'!$I$5,'Исходные данные'!$K$5)</f>
        <v>0</v>
      </c>
    </row>
    <row r="111" spans="1:5" ht="20.399999999999999" outlineLevel="1" x14ac:dyDescent="0.55000000000000004">
      <c r="A111" s="239"/>
      <c r="B111" s="218"/>
      <c r="C111" s="256"/>
      <c r="D111" s="217">
        <f t="shared" si="4"/>
        <v>0</v>
      </c>
      <c r="E111" s="217">
        <f>D111/CHOOSE('Исходные данные'!$O$2,1,'Исходные данные'!$F$5,'Исходные данные'!$I$5,'Исходные данные'!$K$5)</f>
        <v>0</v>
      </c>
    </row>
    <row r="112" spans="1:5" ht="20.399999999999999" outlineLevel="1" x14ac:dyDescent="0.55000000000000004">
      <c r="A112" s="239"/>
      <c r="B112" s="218"/>
      <c r="C112" s="256"/>
      <c r="D112" s="217">
        <f t="shared" si="4"/>
        <v>0</v>
      </c>
      <c r="E112" s="217">
        <f>D112/CHOOSE('Исходные данные'!$O$2,1,'Исходные данные'!$F$5,'Исходные данные'!$I$5,'Исходные данные'!$K$5)</f>
        <v>0</v>
      </c>
    </row>
    <row r="113" spans="1:5" ht="20.399999999999999" outlineLevel="1" x14ac:dyDescent="0.55000000000000004">
      <c r="A113" s="239"/>
      <c r="B113" s="218"/>
      <c r="C113" s="256"/>
      <c r="D113" s="217">
        <f t="shared" si="4"/>
        <v>0</v>
      </c>
      <c r="E113" s="217">
        <f>D113/CHOOSE('Исходные данные'!$O$2,1,'Исходные данные'!$F$5,'Исходные данные'!$I$5,'Исходные данные'!$K$5)</f>
        <v>0</v>
      </c>
    </row>
    <row r="114" spans="1:5" ht="20.399999999999999" outlineLevel="1" x14ac:dyDescent="0.55000000000000004">
      <c r="A114" s="239"/>
      <c r="B114" s="218"/>
      <c r="C114" s="256"/>
      <c r="D114" s="217">
        <f t="shared" si="4"/>
        <v>0</v>
      </c>
      <c r="E114" s="217">
        <f>D114/CHOOSE('Исходные данные'!$O$2,1,'Исходные данные'!$F$5,'Исходные данные'!$I$5,'Исходные данные'!$K$5)</f>
        <v>0</v>
      </c>
    </row>
    <row r="115" spans="1:5" ht="20.399999999999999" outlineLevel="1" x14ac:dyDescent="0.55000000000000004">
      <c r="A115" s="239"/>
      <c r="B115" s="218"/>
      <c r="C115" s="256"/>
      <c r="D115" s="217">
        <f t="shared" si="4"/>
        <v>0</v>
      </c>
      <c r="E115" s="217">
        <f>D115/CHOOSE('Исходные данные'!$O$2,1,'Исходные данные'!$F$5,'Исходные данные'!$I$5,'Исходные данные'!$K$5)</f>
        <v>0</v>
      </c>
    </row>
    <row r="116" spans="1:5" ht="20.399999999999999" outlineLevel="1" x14ac:dyDescent="0.55000000000000004">
      <c r="A116" s="239"/>
      <c r="B116" s="218"/>
      <c r="C116" s="256"/>
      <c r="D116" s="217">
        <f t="shared" si="4"/>
        <v>0</v>
      </c>
      <c r="E116" s="217">
        <f>D116/CHOOSE('Исходные данные'!$O$2,1,'Исходные данные'!$F$5,'Исходные данные'!$I$5,'Исходные данные'!$K$5)</f>
        <v>0</v>
      </c>
    </row>
    <row r="117" spans="1:5" ht="20.399999999999999" outlineLevel="1" x14ac:dyDescent="0.55000000000000004">
      <c r="A117" s="239"/>
      <c r="B117" s="218"/>
      <c r="C117" s="256"/>
      <c r="D117" s="217">
        <f t="shared" si="4"/>
        <v>0</v>
      </c>
      <c r="E117" s="217">
        <f>D117/CHOOSE('Исходные данные'!$O$2,1,'Исходные данные'!$F$5,'Исходные данные'!$I$5,'Исходные данные'!$K$5)</f>
        <v>0</v>
      </c>
    </row>
    <row r="118" spans="1:5" ht="20.399999999999999" outlineLevel="1" x14ac:dyDescent="0.55000000000000004">
      <c r="A118" s="239"/>
      <c r="B118" s="218"/>
      <c r="C118" s="256"/>
      <c r="D118" s="217">
        <f t="shared" si="4"/>
        <v>0</v>
      </c>
      <c r="E118" s="217">
        <f>D118/CHOOSE('Исходные данные'!$O$2,1,'Исходные данные'!$F$5,'Исходные данные'!$I$5,'Исходные данные'!$K$5)</f>
        <v>0</v>
      </c>
    </row>
    <row r="119" spans="1:5" ht="20.399999999999999" outlineLevel="1" x14ac:dyDescent="0.55000000000000004">
      <c r="A119" s="239"/>
      <c r="B119" s="218"/>
      <c r="C119" s="256"/>
      <c r="D119" s="217">
        <f t="shared" si="4"/>
        <v>0</v>
      </c>
      <c r="E119" s="217">
        <f>D119/CHOOSE('Исходные данные'!$O$2,1,'Исходные данные'!$F$5,'Исходные данные'!$I$5,'Исходные данные'!$K$5)</f>
        <v>0</v>
      </c>
    </row>
    <row r="120" spans="1:5" ht="20.399999999999999" outlineLevel="1" x14ac:dyDescent="0.55000000000000004">
      <c r="A120" s="239"/>
      <c r="B120" s="218"/>
      <c r="C120" s="256"/>
      <c r="D120" s="217">
        <f t="shared" si="4"/>
        <v>0</v>
      </c>
      <c r="E120" s="217">
        <f>D120/CHOOSE('Исходные данные'!$O$2,1,'Исходные данные'!$F$5,'Исходные данные'!$I$5,'Исходные данные'!$K$5)</f>
        <v>0</v>
      </c>
    </row>
    <row r="121" spans="1:5" ht="20.399999999999999" outlineLevel="1" x14ac:dyDescent="0.55000000000000004">
      <c r="A121" s="239"/>
      <c r="B121" s="218"/>
      <c r="C121" s="256"/>
      <c r="D121" s="217">
        <f t="shared" si="4"/>
        <v>0</v>
      </c>
      <c r="E121" s="217">
        <f>D121/CHOOSE('Исходные данные'!$O$2,1,'Исходные данные'!$F$5,'Исходные данные'!$I$5,'Исходные данные'!$K$5)</f>
        <v>0</v>
      </c>
    </row>
    <row r="122" spans="1:5" ht="20.399999999999999" outlineLevel="1" x14ac:dyDescent="0.55000000000000004">
      <c r="A122" s="239"/>
      <c r="B122" s="218"/>
      <c r="C122" s="256"/>
      <c r="D122" s="217">
        <f t="shared" si="4"/>
        <v>0</v>
      </c>
      <c r="E122" s="217">
        <f>D122/CHOOSE('Исходные данные'!$O$2,1,'Исходные данные'!$F$5,'Исходные данные'!$I$5,'Исходные данные'!$K$5)</f>
        <v>0</v>
      </c>
    </row>
    <row r="123" spans="1:5" ht="20.399999999999999" outlineLevel="1" x14ac:dyDescent="0.55000000000000004">
      <c r="A123" s="239"/>
      <c r="B123" s="218"/>
      <c r="C123" s="256"/>
      <c r="D123" s="217">
        <f t="shared" si="4"/>
        <v>0</v>
      </c>
      <c r="E123" s="217">
        <f>D123/CHOOSE('Исходные данные'!$O$2,1,'Исходные данные'!$F$5,'Исходные данные'!$I$5,'Исходные данные'!$K$5)</f>
        <v>0</v>
      </c>
    </row>
    <row r="124" spans="1:5" ht="20.399999999999999" outlineLevel="1" x14ac:dyDescent="0.55000000000000004">
      <c r="A124" s="239"/>
      <c r="B124" s="218"/>
      <c r="C124" s="256"/>
      <c r="D124" s="217">
        <f t="shared" si="4"/>
        <v>0</v>
      </c>
      <c r="E124" s="217">
        <f>D124/CHOOSE('Исходные данные'!$O$2,1,'Исходные данные'!$F$5,'Исходные данные'!$I$5,'Исходные данные'!$K$5)</f>
        <v>0</v>
      </c>
    </row>
    <row r="125" spans="1:5" ht="20.399999999999999" outlineLevel="1" x14ac:dyDescent="0.55000000000000004">
      <c r="A125" s="239"/>
      <c r="B125" s="218"/>
      <c r="C125" s="256"/>
      <c r="D125" s="217">
        <f t="shared" si="4"/>
        <v>0</v>
      </c>
      <c r="E125" s="217">
        <f>D125/CHOOSE('Исходные данные'!$O$2,1,'Исходные данные'!$F$5,'Исходные данные'!$I$5,'Исходные данные'!$K$5)</f>
        <v>0</v>
      </c>
    </row>
    <row r="126" spans="1:5" ht="20.399999999999999" outlineLevel="1" x14ac:dyDescent="0.55000000000000004">
      <c r="A126" s="239"/>
      <c r="B126" s="218"/>
      <c r="C126" s="256"/>
      <c r="D126" s="217">
        <f t="shared" si="4"/>
        <v>0</v>
      </c>
      <c r="E126" s="217">
        <f>D126/CHOOSE('Исходные данные'!$O$2,1,'Исходные данные'!$F$5,'Исходные данные'!$I$5,'Исходные данные'!$K$5)</f>
        <v>0</v>
      </c>
    </row>
    <row r="127" spans="1:5" ht="20.399999999999999" outlineLevel="1" x14ac:dyDescent="0.55000000000000004">
      <c r="A127" s="239"/>
      <c r="B127" s="218"/>
      <c r="C127" s="256"/>
      <c r="D127" s="217">
        <f t="shared" si="4"/>
        <v>0</v>
      </c>
      <c r="E127" s="217">
        <f>D127/CHOOSE('Исходные данные'!$O$2,1,'Исходные данные'!$F$5,'Исходные данные'!$I$5,'Исходные данные'!$K$5)</f>
        <v>0</v>
      </c>
    </row>
    <row r="128" spans="1:5" ht="20.399999999999999" outlineLevel="1" x14ac:dyDescent="0.55000000000000004">
      <c r="A128" s="239"/>
      <c r="B128" s="218"/>
      <c r="C128" s="256"/>
      <c r="D128" s="217">
        <f t="shared" si="4"/>
        <v>0</v>
      </c>
      <c r="E128" s="217">
        <f>D128/CHOOSE('Исходные данные'!$O$2,1,'Исходные данные'!$F$5,'Исходные данные'!$I$5,'Исходные данные'!$K$5)</f>
        <v>0</v>
      </c>
    </row>
    <row r="129" spans="1:5" ht="20.399999999999999" outlineLevel="1" x14ac:dyDescent="0.55000000000000004">
      <c r="A129" s="239"/>
      <c r="B129" s="218"/>
      <c r="C129" s="256"/>
      <c r="D129" s="217">
        <f t="shared" si="4"/>
        <v>0</v>
      </c>
      <c r="E129" s="217">
        <f>D129/CHOOSE('Исходные данные'!$O$2,1,'Исходные данные'!$F$5,'Исходные данные'!$I$5,'Исходные данные'!$K$5)</f>
        <v>0</v>
      </c>
    </row>
    <row r="130" spans="1:5" ht="20.399999999999999" outlineLevel="1" x14ac:dyDescent="0.55000000000000004">
      <c r="A130" s="239"/>
      <c r="B130" s="218"/>
      <c r="C130" s="256"/>
      <c r="D130" s="217">
        <f t="shared" si="4"/>
        <v>0</v>
      </c>
      <c r="E130" s="217">
        <f>D130/CHOOSE('Исходные данные'!$O$2,1,'Исходные данные'!$F$5,'Исходные данные'!$I$5,'Исходные данные'!$K$5)</f>
        <v>0</v>
      </c>
    </row>
    <row r="131" spans="1:5" ht="20.399999999999999" outlineLevel="1" x14ac:dyDescent="0.55000000000000004">
      <c r="A131" s="239"/>
      <c r="B131" s="218"/>
      <c r="C131" s="256"/>
      <c r="D131" s="217">
        <f t="shared" si="4"/>
        <v>0</v>
      </c>
      <c r="E131" s="217">
        <f>D131/CHOOSE('Исходные данные'!$O$2,1,'Исходные данные'!$F$5,'Исходные данные'!$I$5,'Исходные данные'!$K$5)</f>
        <v>0</v>
      </c>
    </row>
    <row r="132" spans="1:5" ht="20.399999999999999" outlineLevel="1" x14ac:dyDescent="0.55000000000000004">
      <c r="A132" s="239"/>
      <c r="B132" s="218"/>
      <c r="C132" s="256"/>
      <c r="D132" s="217">
        <f t="shared" si="4"/>
        <v>0</v>
      </c>
      <c r="E132" s="217">
        <f>D132/CHOOSE('Исходные данные'!$O$2,1,'Исходные данные'!$F$5,'Исходные данные'!$I$5,'Исходные данные'!$K$5)</f>
        <v>0</v>
      </c>
    </row>
    <row r="133" spans="1:5" ht="20.399999999999999" outlineLevel="1" x14ac:dyDescent="0.55000000000000004">
      <c r="A133" s="239"/>
      <c r="B133" s="218"/>
      <c r="C133" s="256"/>
      <c r="D133" s="217">
        <f t="shared" si="4"/>
        <v>0</v>
      </c>
      <c r="E133" s="217">
        <f>D133/CHOOSE('Исходные данные'!$O$2,1,'Исходные данные'!$F$5,'Исходные данные'!$I$5,'Исходные данные'!$K$5)</f>
        <v>0</v>
      </c>
    </row>
    <row r="134" spans="1:5" ht="20.399999999999999" outlineLevel="1" x14ac:dyDescent="0.55000000000000004">
      <c r="A134" s="239"/>
      <c r="B134" s="218"/>
      <c r="C134" s="256"/>
      <c r="D134" s="217">
        <f t="shared" si="4"/>
        <v>0</v>
      </c>
      <c r="E134" s="217">
        <f>D134/CHOOSE('Исходные данные'!$O$2,1,'Исходные данные'!$F$5,'Исходные данные'!$I$5,'Исходные данные'!$K$5)</f>
        <v>0</v>
      </c>
    </row>
  </sheetData>
  <mergeCells count="3">
    <mergeCell ref="A1:E1"/>
    <mergeCell ref="A2:E2"/>
    <mergeCell ref="A3:E3"/>
  </mergeCells>
  <pageMargins left="0.39370078740157483" right="0.39370078740157483" top="0.39370078740157483" bottom="0.39370078740157483" header="0.31496062992125984" footer="0.31496062992125984"/>
  <pageSetup paperSize="9" scale="52" fitToHeight="2" orientation="portrait" r:id="rId1"/>
  <rowBreaks count="1" manualBreakCount="1">
    <brk id="69" max="4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E80EF0-B160-43F5-ABE2-7DAF51CC1651}">
  <sheetPr>
    <pageSetUpPr fitToPage="1"/>
  </sheetPr>
  <dimension ref="A1:AA71"/>
  <sheetViews>
    <sheetView showGridLines="0" topLeftCell="A55" zoomScale="60" zoomScaleNormal="60" zoomScaleSheetLayoutView="70" workbookViewId="0">
      <selection activeCell="D36" sqref="D36"/>
    </sheetView>
  </sheetViews>
  <sheetFormatPr defaultRowHeight="34.200000000000003" customHeight="1" x14ac:dyDescent="0.55000000000000004"/>
  <cols>
    <col min="1" max="1" width="8.41796875" style="14" customWidth="1"/>
    <col min="2" max="2" width="32.3125" style="14" customWidth="1"/>
    <col min="3" max="3" width="24.5234375" style="14" customWidth="1"/>
    <col min="4" max="4" width="38.15625" style="14" customWidth="1"/>
    <col min="5" max="5" width="25.20703125" style="14" customWidth="1"/>
    <col min="6" max="6" width="17.734375" style="14" customWidth="1"/>
    <col min="7" max="7" width="44.5234375" style="14" customWidth="1"/>
    <col min="8" max="8" width="25" style="14" customWidth="1"/>
    <col min="9" max="9" width="19.734375" style="14" customWidth="1"/>
    <col min="10" max="10" width="33.5234375" style="14" customWidth="1"/>
    <col min="11" max="11" width="11.83984375" style="14" customWidth="1"/>
    <col min="12" max="12" width="9.5234375" style="186" customWidth="1"/>
    <col min="13" max="13" width="9.15625" style="186" customWidth="1"/>
    <col min="14" max="14" width="1.68359375" style="186" customWidth="1"/>
    <col min="15" max="15" width="16.83984375" style="186" customWidth="1"/>
    <col min="16" max="16" width="1.68359375" style="186" customWidth="1"/>
    <col min="17" max="17" width="16.20703125" style="186" customWidth="1"/>
    <col min="18" max="18" width="6.20703125" style="14" customWidth="1"/>
    <col min="19" max="19" width="11.7890625" style="14" customWidth="1"/>
    <col min="20" max="20" width="8.83984375" style="14" customWidth="1"/>
    <col min="21" max="16384" width="8.83984375" style="14"/>
  </cols>
  <sheetData>
    <row r="1" spans="1:20" ht="59.4" customHeight="1" x14ac:dyDescent="0.55000000000000004">
      <c r="A1" s="294" t="str">
        <f>CHOOSE('Исходные данные'!$U$2,'Обобщенный расчет'!R1,'Обобщенный расчет'!S1)</f>
        <v>Фінансова модель франшизи "Easy Meals"</v>
      </c>
      <c r="B1" s="294"/>
      <c r="C1" s="294"/>
      <c r="D1" s="294"/>
      <c r="E1" s="294"/>
      <c r="F1" s="294"/>
      <c r="G1" s="294"/>
      <c r="H1" s="294"/>
      <c r="I1" s="294"/>
      <c r="J1" s="294"/>
      <c r="K1" s="199"/>
      <c r="L1" s="202">
        <f>D62</f>
        <v>52013.822041666659</v>
      </c>
      <c r="M1" s="203">
        <f>I62</f>
        <v>0.17305784369973096</v>
      </c>
      <c r="N1" s="1"/>
      <c r="O1" s="55"/>
      <c r="P1" s="56">
        <v>2</v>
      </c>
      <c r="Q1" s="56" t="str">
        <f>CHOOSE('Исходные данные'!$U$2,R2,S2)</f>
        <v>% від загальної виручки</v>
      </c>
      <c r="R1" s="224" t="s">
        <v>285</v>
      </c>
      <c r="S1" s="224" t="s">
        <v>286</v>
      </c>
      <c r="T1" s="13"/>
    </row>
    <row r="2" spans="1:20" ht="34.200000000000003" customHeight="1" x14ac:dyDescent="0.55000000000000004">
      <c r="A2" s="367" t="str">
        <f>'Исходные данные'!A3</f>
        <v>Валюта, в якій виконується розрахунок</v>
      </c>
      <c r="B2" s="367"/>
      <c r="C2" s="367"/>
      <c r="D2" s="15" t="str">
        <f>CHOOSE('Исходные данные'!$O$2,'Исходные данные'!$P$2,'Исходные данные'!$P$3,'Исходные данные'!$P$4,'Исходные данные'!$P$5)</f>
        <v>UAH</v>
      </c>
      <c r="F2" s="349"/>
      <c r="G2" s="349"/>
      <c r="H2" s="349"/>
      <c r="J2" s="16"/>
      <c r="K2" s="16"/>
      <c r="L2" s="202">
        <f>D64</f>
        <v>69678.696458333303</v>
      </c>
      <c r="M2" s="203">
        <f>I64</f>
        <v>0.19407874383562548</v>
      </c>
      <c r="N2" s="55"/>
      <c r="O2" s="55"/>
      <c r="P2" s="56"/>
      <c r="Q2" s="56" t="str">
        <f>CHOOSE('Исходные данные'!$U$2,R3,S3)</f>
        <v>фікована сума</v>
      </c>
      <c r="R2" s="56" t="s">
        <v>106</v>
      </c>
      <c r="S2" s="224" t="s">
        <v>188</v>
      </c>
      <c r="T2" s="13"/>
    </row>
    <row r="3" spans="1:20" ht="34.200000000000003" customHeight="1" x14ac:dyDescent="0.55000000000000004">
      <c r="A3" s="367" t="str">
        <f>'Исходные данные'!A4</f>
        <v>Місяць, з якого починається робота</v>
      </c>
      <c r="B3" s="367"/>
      <c r="C3" s="367"/>
      <c r="D3" s="15" t="str">
        <f>CHOOSE('Исходные данные'!$Q$2,'Исходные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січень</v>
      </c>
      <c r="J3" s="16"/>
      <c r="K3" s="16"/>
      <c r="L3" s="202">
        <f>D66</f>
        <v>80005.36583333333</v>
      </c>
      <c r="M3" s="203">
        <f>I66</f>
        <v>0.20427184418507915</v>
      </c>
      <c r="N3" s="55"/>
      <c r="O3" s="55"/>
      <c r="P3" s="56"/>
      <c r="R3" s="56" t="s">
        <v>107</v>
      </c>
      <c r="S3" s="56" t="s">
        <v>210</v>
      </c>
    </row>
    <row r="4" spans="1:20" ht="34.200000000000003" customHeight="1" x14ac:dyDescent="0.85">
      <c r="A4" s="350" t="str">
        <f>CHOOSE('Исходные данные'!$U$2,R5,S5)</f>
        <v>Вид оподаткування</v>
      </c>
      <c r="B4" s="350"/>
      <c r="C4" s="350"/>
      <c r="E4" s="19"/>
      <c r="G4" s="20"/>
      <c r="J4" s="16"/>
      <c r="K4" s="16"/>
      <c r="L4" s="202">
        <f>D68</f>
        <v>1</v>
      </c>
      <c r="M4" s="204"/>
      <c r="N4" s="55"/>
      <c r="O4" s="55"/>
      <c r="P4" s="56"/>
      <c r="Q4" s="56"/>
      <c r="R4" s="224" t="s">
        <v>73</v>
      </c>
      <c r="S4" s="222" t="s">
        <v>211</v>
      </c>
    </row>
    <row r="5" spans="1:20" ht="17.7" customHeight="1" x14ac:dyDescent="0.55000000000000004">
      <c r="A5" s="21"/>
      <c r="E5" s="22"/>
      <c r="L5" s="202">
        <f>D70</f>
        <v>9</v>
      </c>
      <c r="M5" s="204"/>
      <c r="O5" s="55"/>
      <c r="P5" s="56"/>
      <c r="Q5" s="56"/>
      <c r="R5" s="224" t="s">
        <v>108</v>
      </c>
      <c r="S5" s="224" t="s">
        <v>212</v>
      </c>
    </row>
    <row r="6" spans="1:20" ht="34.200000000000003" customHeight="1" x14ac:dyDescent="0.55000000000000004">
      <c r="A6" s="21" t="str">
        <f>'Исходные данные'!A8</f>
        <v>Фінансові параметри</v>
      </c>
      <c r="L6" s="202">
        <f>D25</f>
        <v>150000</v>
      </c>
      <c r="M6" s="204"/>
      <c r="O6" s="55"/>
      <c r="P6" s="56"/>
      <c r="Q6" s="56"/>
      <c r="R6" s="224" t="str">
        <f>"Средняя стоимость товарной группы, "&amp;CHOOSE('Исходные данные'!$O$2,'Исходные данные'!$P$2,'Исходные данные'!$P$3,'Исходные данные'!$P$4,'Исходные данные'!$P$5)&amp;""</f>
        <v>Средняя стоимость товарной группы, UAH</v>
      </c>
      <c r="S6" s="224" t="str">
        <f>"Середня вартість товарної групи, "&amp;CHOOSE('Исходные данные'!$O$2,'Исходные данные'!$P$2,'Исходные данные'!$P$3,'Исходные данные'!$P$4,'Исходные данные'!$P$5)&amp;""</f>
        <v>Середня вартість товарної групи, UAH</v>
      </c>
    </row>
    <row r="7" spans="1:20" s="23" customFormat="1" ht="63.6" customHeight="1" x14ac:dyDescent="0.55000000000000004">
      <c r="A7" s="295" t="str">
        <f>'Исходные данные'!A9</f>
        <v>Товарні групи</v>
      </c>
      <c r="B7" s="295"/>
      <c r="C7" s="355" t="str">
        <f>CHOOSE('Исходные данные'!$U$2,R6,S6)</f>
        <v>Середня вартість товарної групи, UAH</v>
      </c>
      <c r="D7" s="356"/>
      <c r="E7" s="358" t="str">
        <f>'Исходные данные'!E9</f>
        <v>Середня кількість проданих раціонів/обідів на місяць*, шт./міс.</v>
      </c>
      <c r="F7" s="359"/>
      <c r="G7" s="355" t="str">
        <f>CHOOSE('Исходные данные'!$U$2,R15,S15)</f>
        <v>Середньомісячна виручка за 1-й рік роботи**, UAH/міс.</v>
      </c>
      <c r="H7" s="356"/>
      <c r="I7" s="351" t="str">
        <f>CHOOSE('Исходные данные'!$U$2,R16,S16)</f>
        <v>Середньомісячний валовий прибуток за 1-й рік роботи (виручка - собівартість продуктів та упаковки)**, UAH/міс.</v>
      </c>
      <c r="J7" s="351"/>
      <c r="L7" s="202">
        <f>D27-D25</f>
        <v>265150</v>
      </c>
      <c r="M7" s="205"/>
      <c r="N7" s="205"/>
      <c r="O7" s="187"/>
      <c r="P7" s="188"/>
      <c r="Q7" s="189"/>
      <c r="R7" s="224" t="s">
        <v>130</v>
      </c>
      <c r="S7" s="224" t="s">
        <v>214</v>
      </c>
    </row>
    <row r="8" spans="1:20" s="23" customFormat="1" ht="33.299999999999997" customHeight="1" x14ac:dyDescent="0.55000000000000004">
      <c r="A8" s="360" t="str">
        <f>'Исходные данные'!A11</f>
        <v>Detox</v>
      </c>
      <c r="B8" s="361"/>
      <c r="C8" s="353">
        <f>'Исходные данные'!D11</f>
        <v>350</v>
      </c>
      <c r="D8" s="357"/>
      <c r="E8" s="353">
        <f>'Исходные данные'!E11</f>
        <v>202</v>
      </c>
      <c r="F8" s="357"/>
      <c r="G8" s="353">
        <f>'Детальный расчет'!Q17</f>
        <v>62392.75</v>
      </c>
      <c r="H8" s="354"/>
      <c r="I8" s="353">
        <f>'Детальный расчет'!Q17-'Детальный расчет'!Q28-'Детальный расчет'!Q37</f>
        <v>30305.05</v>
      </c>
      <c r="J8" s="354"/>
      <c r="L8" s="202"/>
      <c r="M8" s="205"/>
      <c r="N8" s="205"/>
      <c r="O8" s="187"/>
      <c r="P8" s="188"/>
      <c r="Q8" s="189"/>
      <c r="R8" s="224"/>
      <c r="S8" s="224"/>
    </row>
    <row r="9" spans="1:20" s="23" customFormat="1" ht="33.299999999999997" customHeight="1" x14ac:dyDescent="0.55000000000000004">
      <c r="A9" s="360" t="str">
        <f>'Исходные данные'!A12</f>
        <v>Light Woman</v>
      </c>
      <c r="B9" s="361"/>
      <c r="C9" s="353">
        <f>'Исходные данные'!D12</f>
        <v>320</v>
      </c>
      <c r="D9" s="357"/>
      <c r="E9" s="353">
        <f>'Исходные данные'!E12</f>
        <v>410</v>
      </c>
      <c r="F9" s="357"/>
      <c r="G9" s="353">
        <f>'Детальный расчет'!Q18</f>
        <v>115784</v>
      </c>
      <c r="H9" s="354"/>
      <c r="I9" s="353">
        <f>'Детальный расчет'!Q18-'Детальный расчет'!Q29-'Детальный расчет'!Q38</f>
        <v>57892</v>
      </c>
      <c r="J9" s="354"/>
      <c r="L9" s="202"/>
      <c r="M9" s="205"/>
      <c r="N9" s="205"/>
      <c r="O9" s="187"/>
      <c r="P9" s="188"/>
      <c r="Q9" s="189"/>
      <c r="R9" s="224"/>
      <c r="S9" s="224"/>
    </row>
    <row r="10" spans="1:20" s="23" customFormat="1" ht="33.299999999999997" customHeight="1" x14ac:dyDescent="0.55000000000000004">
      <c r="A10" s="360" t="str">
        <f>'Исходные данные'!A13</f>
        <v>Light Man</v>
      </c>
      <c r="B10" s="361"/>
      <c r="C10" s="353">
        <f>'Исходные данные'!D13</f>
        <v>340</v>
      </c>
      <c r="D10" s="357"/>
      <c r="E10" s="353">
        <f>'Исходные данные'!E13</f>
        <v>100</v>
      </c>
      <c r="F10" s="357"/>
      <c r="G10" s="353">
        <f>'Детальный расчет'!Q19</f>
        <v>30005</v>
      </c>
      <c r="H10" s="354"/>
      <c r="I10" s="353">
        <f>'Детальный расчет'!Q19-'Детальный расчет'!Q30-'Детальный расчет'!Q39</f>
        <v>15885</v>
      </c>
      <c r="J10" s="354"/>
      <c r="L10" s="202"/>
      <c r="M10" s="205"/>
      <c r="N10" s="205"/>
      <c r="O10" s="187"/>
      <c r="P10" s="188"/>
      <c r="Q10" s="189"/>
      <c r="R10" s="224"/>
      <c r="S10" s="224"/>
    </row>
    <row r="11" spans="1:20" s="23" customFormat="1" ht="33.299999999999997" customHeight="1" x14ac:dyDescent="0.55000000000000004">
      <c r="A11" s="360" t="str">
        <f>'Исходные данные'!A14</f>
        <v>Balance Woman</v>
      </c>
      <c r="B11" s="361"/>
      <c r="C11" s="353">
        <f>'Исходные данные'!D14</f>
        <v>340</v>
      </c>
      <c r="D11" s="357"/>
      <c r="E11" s="353">
        <f>'Исходные данные'!E14</f>
        <v>29</v>
      </c>
      <c r="F11" s="357"/>
      <c r="G11" s="353">
        <f>'Детальный расчет'!Q20</f>
        <v>8701.4499999999989</v>
      </c>
      <c r="H11" s="354"/>
      <c r="I11" s="353">
        <f>'Детальный расчет'!Q20-'Детальный расчет'!Q31-'Детальный расчет'!Q40</f>
        <v>4478.6875</v>
      </c>
      <c r="J11" s="354"/>
      <c r="L11" s="202"/>
      <c r="M11" s="205"/>
      <c r="N11" s="205"/>
      <c r="O11" s="187"/>
      <c r="P11" s="188"/>
      <c r="Q11" s="189"/>
      <c r="R11" s="224"/>
      <c r="S11" s="224"/>
    </row>
    <row r="12" spans="1:20" s="23" customFormat="1" ht="33.299999999999997" customHeight="1" x14ac:dyDescent="0.55000000000000004">
      <c r="A12" s="360" t="str">
        <f>'Исходные данные'!A15</f>
        <v>Balance Man</v>
      </c>
      <c r="B12" s="361"/>
      <c r="C12" s="353">
        <f>'Исходные данные'!D15</f>
        <v>360</v>
      </c>
      <c r="D12" s="357"/>
      <c r="E12" s="353">
        <f>'Исходные данные'!E15</f>
        <v>72</v>
      </c>
      <c r="F12" s="357"/>
      <c r="G12" s="353">
        <f>'Детальный расчет'!Q21</f>
        <v>22874.399999999998</v>
      </c>
      <c r="H12" s="354"/>
      <c r="I12" s="353">
        <f>'Детальный расчет'!Q21-'Детальный расчет'!Q32-'Детальный расчет'!Q41</f>
        <v>10801.799999999997</v>
      </c>
      <c r="J12" s="354"/>
      <c r="L12" s="202"/>
      <c r="M12" s="205"/>
      <c r="N12" s="205"/>
      <c r="O12" s="187"/>
      <c r="P12" s="188"/>
      <c r="Q12" s="189"/>
      <c r="R12" s="224"/>
      <c r="S12" s="224"/>
    </row>
    <row r="13" spans="1:20" s="23" customFormat="1" ht="33.299999999999997" customHeight="1" x14ac:dyDescent="0.55000000000000004">
      <c r="A13" s="360" t="str">
        <f>'Исходные данные'!A16</f>
        <v>Набір ваги</v>
      </c>
      <c r="B13" s="361"/>
      <c r="C13" s="353">
        <f>'Исходные данные'!D16</f>
        <v>405</v>
      </c>
      <c r="D13" s="357"/>
      <c r="E13" s="353">
        <f>'Исходные данные'!E16</f>
        <v>3</v>
      </c>
      <c r="F13" s="357"/>
      <c r="G13" s="353">
        <f>'Детальный расчет'!Q22</f>
        <v>1072.2375</v>
      </c>
      <c r="H13" s="354"/>
      <c r="I13" s="353">
        <f>'Детальный расчет'!Q22-'Детальный расчет'!Q33-'Детальный расчет'!Q42</f>
        <v>463.31249999999994</v>
      </c>
      <c r="J13" s="354"/>
      <c r="L13" s="202"/>
      <c r="M13" s="205"/>
      <c r="N13" s="205"/>
      <c r="O13" s="187"/>
      <c r="P13" s="188"/>
      <c r="Q13" s="189"/>
      <c r="R13" s="224"/>
      <c r="S13" s="224"/>
    </row>
    <row r="14" spans="1:20" s="23" customFormat="1" ht="33.299999999999997" customHeight="1" x14ac:dyDescent="0.55000000000000004">
      <c r="A14" s="360" t="str">
        <f>'Исходные данные'!A17</f>
        <v>Обіди</v>
      </c>
      <c r="B14" s="361"/>
      <c r="C14" s="353">
        <f>'Исходные данные'!D17</f>
        <v>120</v>
      </c>
      <c r="D14" s="357"/>
      <c r="E14" s="353">
        <f>'Исходные данные'!E17</f>
        <v>564</v>
      </c>
      <c r="F14" s="357"/>
      <c r="G14" s="353">
        <f>'Детальный расчет'!Q23</f>
        <v>59727.6</v>
      </c>
      <c r="H14" s="354"/>
      <c r="I14" s="353">
        <f>'Детальный расчет'!Q23-'Детальный расчет'!Q34-'Детальный расчет'!Q43</f>
        <v>32352.449999999993</v>
      </c>
      <c r="J14" s="354"/>
      <c r="L14" s="202"/>
      <c r="M14" s="205"/>
      <c r="N14" s="205"/>
      <c r="O14" s="187"/>
      <c r="P14" s="188"/>
      <c r="Q14" s="189"/>
      <c r="R14" s="224"/>
      <c r="S14" s="224"/>
    </row>
    <row r="15" spans="1:20" s="23" customFormat="1" ht="40" customHeight="1" x14ac:dyDescent="0.55000000000000004">
      <c r="A15" s="352" t="str">
        <f>'Исходные данные'!A18:B18</f>
        <v>РАЗОМ:</v>
      </c>
      <c r="B15" s="352"/>
      <c r="C15" s="353"/>
      <c r="D15" s="357"/>
      <c r="E15" s="353">
        <f>SUM(E8:F14)</f>
        <v>1380</v>
      </c>
      <c r="F15" s="354"/>
      <c r="G15" s="353">
        <f>'Детальный расчет'!Q24</f>
        <v>300557.4375</v>
      </c>
      <c r="H15" s="354"/>
      <c r="I15" s="353">
        <f>SUM(I8:J14)</f>
        <v>152178.29999999999</v>
      </c>
      <c r="J15" s="354"/>
      <c r="L15" s="187"/>
      <c r="M15" s="205"/>
      <c r="N15" s="205"/>
      <c r="O15" s="187"/>
      <c r="P15" s="188"/>
      <c r="Q15" s="189"/>
      <c r="R15" s="224" t="str">
        <f>"Среднемесячная выручка за 1-й год работы**, "&amp;CHOOSE('Исходные данные'!$O$2,'Исходные данные'!$P$2,'Исходные данные'!$P$3,'Исходные данные'!$P$4,'Исходные данные'!$P$5)&amp;"/мес."</f>
        <v>Среднемесячная выручка за 1-й год работы**, UAH/мес.</v>
      </c>
      <c r="S15" s="224" t="str">
        <f>"Середньомісячна виручка за 1-й рік роботи**, "&amp;CHOOSE('Исходные данные'!$O$2,'Исходные данные'!$P$2,'Исходные данные'!$P$3,'Исходные данные'!$P$4,'Исходные данные'!$P$5)&amp;"/міс."</f>
        <v>Середньомісячна виручка за 1-й рік роботи**, UAH/міс.</v>
      </c>
    </row>
    <row r="16" spans="1:20" ht="34.200000000000003" customHeight="1" x14ac:dyDescent="0.55000000000000004">
      <c r="A16" s="368" t="str">
        <f>CHOOSE('Исходные данные'!$U$2,R17,S17)</f>
        <v xml:space="preserve"> * - без врахування динаміки виходу продажів на планові показники, які вказуються на сторінці "Вхідні дані" в розділі "Параметри сезонності та виходу продажів на планові показники та подальший ріст обсягів продажів".
 ** - з врахування динаміки виходу продажів на планові показники, які вказуються на сторінці "Вхідні дані" в розділі "Параметри сезонності та виходу продажів на планові показники та подальший ріст обсягів продажів".</v>
      </c>
      <c r="B16" s="368"/>
      <c r="C16" s="368"/>
      <c r="D16" s="368"/>
      <c r="E16" s="368"/>
      <c r="F16" s="368"/>
      <c r="G16" s="368"/>
      <c r="H16" s="368"/>
      <c r="I16" s="368"/>
      <c r="J16" s="368"/>
      <c r="R16" s="224" t="str">
        <f>"Среднемесячная валовая прибыль за 1-й год работы (выручка - себестоимость продуктов и упаковки)**, "&amp;CHOOSE('Исходные данные'!$O$2,'Исходные данные'!$P$2,'Исходные данные'!$P$3,'Исходные данные'!$P$4,'Исходные данные'!$P$5)&amp;"/мес."</f>
        <v>Среднемесячная валовая прибыль за 1-й год работы (выручка - себестоимость продуктов и упаковки)**, UAH/мес.</v>
      </c>
      <c r="S16" s="224" t="str">
        <f>"Середньомісячний валовий прибуток за 1-й рік роботи (виручка - собівартість продуктів та упаковки)**, "&amp;CHOOSE('Исходные данные'!$O$2,'Исходные данные'!$P$2,'Исходные данные'!$P$3,'Исходные данные'!$P$4,'Исходные данные'!$P$5)&amp;"/міс."</f>
        <v>Середньомісячний валовий прибуток за 1-й рік роботи (виручка - собівартість продуктів та упаковки)**, UAH/міс.</v>
      </c>
    </row>
    <row r="17" spans="1:27" ht="34.200000000000003" customHeight="1" x14ac:dyDescent="0.55000000000000004">
      <c r="A17" s="28" t="str">
        <f>'Исходные данные'!A39</f>
        <v>Інвестиції у відкриття</v>
      </c>
      <c r="G17" s="29"/>
      <c r="H17" s="29"/>
      <c r="I17" s="29"/>
      <c r="R17" s="225" t="s">
        <v>213</v>
      </c>
      <c r="S17" s="225" t="s">
        <v>215</v>
      </c>
    </row>
    <row r="18" spans="1:27" ht="42" customHeight="1" x14ac:dyDescent="0.6">
      <c r="A18" s="30"/>
      <c r="B18" s="288" t="str">
        <f>'Исходные данные'!B41</f>
        <v>Ремонт приміщення</v>
      </c>
      <c r="C18" s="288"/>
      <c r="D18" s="263">
        <f>'Исходные данные'!H41</f>
        <v>0</v>
      </c>
      <c r="E18" s="263"/>
      <c r="F18" s="263"/>
      <c r="G18" s="263"/>
      <c r="H18" s="263"/>
      <c r="I18" s="263"/>
      <c r="J18" s="31" t="str">
        <f>""&amp;CHOOSE('Исходные данные'!$O$2,'Исходные данные'!$P$2,'Исходные данные'!$P$3,'Исходные данные'!$P$4,'Исходные данные'!$P$5)&amp;""</f>
        <v>UAH</v>
      </c>
      <c r="K18" s="32"/>
      <c r="N18" s="190"/>
      <c r="O18" s="190"/>
      <c r="P18" s="190"/>
      <c r="R18" s="222" t="s">
        <v>304</v>
      </c>
      <c r="S18" s="222" t="s">
        <v>305</v>
      </c>
      <c r="T18" s="33"/>
      <c r="U18" s="33"/>
      <c r="V18" s="33"/>
      <c r="W18" s="33"/>
      <c r="X18" s="33"/>
      <c r="Y18" s="33"/>
      <c r="Z18" s="33"/>
    </row>
    <row r="19" spans="1:27" ht="42" customHeight="1" x14ac:dyDescent="0.6">
      <c r="A19" s="30"/>
      <c r="B19" s="288" t="str">
        <f>CHOOSE('Исходные данные'!$U$2,R18,S18)</f>
        <v>Меблі та обладнання</v>
      </c>
      <c r="C19" s="328"/>
      <c r="D19" s="263">
        <f>'Исходные данные'!H42</f>
        <v>265150</v>
      </c>
      <c r="E19" s="263"/>
      <c r="F19" s="263"/>
      <c r="G19" s="263"/>
      <c r="H19" s="263"/>
      <c r="I19" s="263"/>
      <c r="J19" s="31" t="str">
        <f>""&amp;CHOOSE('Исходные данные'!$O$2,'Исходные данные'!$P$2,'Исходные данные'!$P$3,'Исходные данные'!$P$4,'Исходные данные'!$P$5)&amp;""</f>
        <v>UAH</v>
      </c>
      <c r="K19" s="32"/>
      <c r="N19" s="190"/>
      <c r="O19" s="190"/>
      <c r="P19" s="190"/>
      <c r="Q19" s="190"/>
      <c r="R19" s="224" t="str">
        <f>"Фиксированный оклад в день, "&amp;CHOOSE('Исходные данные'!$O$2,'Исходные данные'!$P$2,'Исходные данные'!$P$3,'Исходные данные'!$P$4,'Исходные данные'!$P$5)&amp;"/день"</f>
        <v>Фиксированный оклад в день, UAH/день</v>
      </c>
      <c r="S19" s="224" t="str">
        <f>"Фіксований оклад в день, "&amp;CHOOSE('Исходные данные'!$O$2,'Исходные данные'!$P$2,'Исходные данные'!$P$3,'Исходные данные'!$P$4,'Исходные данные'!$P$5)&amp;"/день"</f>
        <v>Фіксований оклад в день, UAH/день</v>
      </c>
      <c r="T19" s="33"/>
      <c r="U19" s="33"/>
      <c r="V19" s="33"/>
      <c r="W19" s="33"/>
      <c r="X19" s="33"/>
      <c r="Y19" s="33"/>
      <c r="Z19" s="33"/>
    </row>
    <row r="20" spans="1:27" ht="42" customHeight="1" x14ac:dyDescent="0.6">
      <c r="A20" s="34"/>
      <c r="B20" s="288" t="str">
        <f>'Исходные данные'!B43:C43</f>
        <v>Відеоспостереження</v>
      </c>
      <c r="C20" s="328"/>
      <c r="D20" s="263">
        <f>'Исходные данные'!H43</f>
        <v>0</v>
      </c>
      <c r="E20" s="263"/>
      <c r="F20" s="263"/>
      <c r="G20" s="263"/>
      <c r="H20" s="263"/>
      <c r="I20" s="263"/>
      <c r="J20" s="31" t="str">
        <f>""&amp;CHOOSE('Исходные данные'!$O$2,'Исходные данные'!$P$2,'Исходные данные'!$P$3,'Исходные данные'!$P$4,'Исходные данные'!$P$5)&amp;""</f>
        <v>UAH</v>
      </c>
      <c r="K20" s="32"/>
      <c r="N20" s="190"/>
      <c r="O20" s="190"/>
      <c r="P20" s="190"/>
      <c r="Q20" s="190"/>
      <c r="R20" s="224" t="s">
        <v>105</v>
      </c>
      <c r="S20" s="224" t="s">
        <v>216</v>
      </c>
      <c r="T20" s="33"/>
      <c r="U20" s="33"/>
      <c r="V20" s="33"/>
      <c r="W20" s="33"/>
      <c r="X20" s="33"/>
      <c r="Y20" s="33"/>
      <c r="Z20" s="33"/>
    </row>
    <row r="21" spans="1:27" ht="42" customHeight="1" x14ac:dyDescent="0.6">
      <c r="A21" s="34"/>
      <c r="B21" s="288" t="str">
        <f>'Исходные данные'!B44:C44</f>
        <v>Сигналізація (охоронна та пожежна)</v>
      </c>
      <c r="C21" s="328"/>
      <c r="D21" s="263">
        <f>'Исходные данные'!H44</f>
        <v>0</v>
      </c>
      <c r="E21" s="263"/>
      <c r="F21" s="263"/>
      <c r="G21" s="263"/>
      <c r="H21" s="263"/>
      <c r="I21" s="263"/>
      <c r="J21" s="31" t="str">
        <f>""&amp;CHOOSE('Исходные данные'!$O$2,'Исходные данные'!$P$2,'Исходные данные'!$P$3,'Исходные данные'!$P$4,'Исходные данные'!$P$5)&amp;""</f>
        <v>UAH</v>
      </c>
      <c r="K21" s="32"/>
      <c r="N21" s="190"/>
      <c r="O21" s="190"/>
      <c r="P21" s="190"/>
      <c r="Q21" s="190"/>
      <c r="R21" s="224" t="s">
        <v>44</v>
      </c>
      <c r="S21" s="224" t="s">
        <v>217</v>
      </c>
      <c r="T21" s="33"/>
      <c r="U21" s="33"/>
      <c r="V21" s="33"/>
      <c r="W21" s="33"/>
      <c r="X21" s="33"/>
      <c r="Y21" s="33"/>
      <c r="Z21" s="33"/>
    </row>
    <row r="22" spans="1:27" ht="42" customHeight="1" x14ac:dyDescent="0.6">
      <c r="A22" s="34"/>
      <c r="B22" s="288" t="str">
        <f>'Исходные данные'!B45:C45</f>
        <v>Первісний закуп товару та інше*</v>
      </c>
      <c r="C22" s="328"/>
      <c r="D22" s="263">
        <f>'Исходные данные'!H45</f>
        <v>0</v>
      </c>
      <c r="E22" s="263"/>
      <c r="F22" s="263"/>
      <c r="G22" s="263"/>
      <c r="H22" s="263"/>
      <c r="I22" s="263"/>
      <c r="J22" s="31" t="str">
        <f>""&amp;CHOOSE('Исходные данные'!$O$2,'Исходные данные'!$P$2,'Исходные данные'!$P$3,'Исходные данные'!$P$4,'Исходные данные'!$P$5)&amp;""</f>
        <v>UAH</v>
      </c>
      <c r="K22" s="32"/>
      <c r="N22" s="190"/>
      <c r="O22" s="190"/>
      <c r="P22" s="190"/>
      <c r="Q22" s="190"/>
      <c r="R22" s="224" t="s">
        <v>65</v>
      </c>
      <c r="S22" s="224" t="s">
        <v>218</v>
      </c>
      <c r="T22" s="33"/>
      <c r="U22" s="33"/>
      <c r="V22" s="33"/>
      <c r="W22" s="33"/>
      <c r="X22" s="33"/>
      <c r="Y22" s="33"/>
      <c r="Z22" s="33"/>
    </row>
    <row r="23" spans="1:27" ht="42" customHeight="1" x14ac:dyDescent="0.6">
      <c r="A23" s="34"/>
      <c r="B23" s="288" t="str">
        <f>'Исходные данные'!B46:C46</f>
        <v>Авансовий платіж по оренді</v>
      </c>
      <c r="C23" s="328"/>
      <c r="D23" s="263">
        <f>'Исходные данные'!H46</f>
        <v>0</v>
      </c>
      <c r="E23" s="263"/>
      <c r="F23" s="263"/>
      <c r="G23" s="263"/>
      <c r="H23" s="263"/>
      <c r="I23" s="263"/>
      <c r="J23" s="31" t="str">
        <f>""&amp;CHOOSE('Исходные данные'!$O$2,'Исходные данные'!$P$2,'Исходные данные'!$P$3,'Исходные данные'!$P$4,'Исходные данные'!$P$5)&amp;""</f>
        <v>UAH</v>
      </c>
      <c r="K23" s="32"/>
      <c r="N23" s="190"/>
      <c r="O23" s="190"/>
      <c r="P23" s="190"/>
      <c r="Q23" s="190"/>
      <c r="R23" s="224" t="s">
        <v>72</v>
      </c>
      <c r="S23" s="224" t="s">
        <v>219</v>
      </c>
      <c r="T23" s="33"/>
      <c r="U23" s="33"/>
      <c r="V23" s="33"/>
      <c r="W23" s="33"/>
      <c r="X23" s="33"/>
      <c r="Y23" s="33"/>
      <c r="Z23" s="33"/>
    </row>
    <row r="24" spans="1:27" ht="42" customHeight="1" x14ac:dyDescent="0.6">
      <c r="A24" s="30"/>
      <c r="B24" s="288" t="str">
        <f>'Исходные данные'!B47:C47</f>
        <v>Рекламна кампанія</v>
      </c>
      <c r="C24" s="328"/>
      <c r="D24" s="263">
        <f>'Исходные данные'!H47</f>
        <v>0</v>
      </c>
      <c r="E24" s="263"/>
      <c r="F24" s="263"/>
      <c r="G24" s="263"/>
      <c r="H24" s="263"/>
      <c r="I24" s="263"/>
      <c r="J24" s="31" t="str">
        <f>""&amp;CHOOSE('Исходные данные'!$O$2,'Исходные данные'!$P$2,'Исходные данные'!$P$3,'Исходные данные'!$P$4,'Исходные данные'!$P$5)&amp;""</f>
        <v>UAH</v>
      </c>
      <c r="K24" s="32"/>
      <c r="N24" s="190"/>
      <c r="O24" s="190"/>
      <c r="P24" s="190"/>
      <c r="R24" s="224" t="str">
        <f>""&amp;CHOOSE('Исходные данные'!$O$2,'Исходные данные'!$P$2,'Исходные данные'!$P$3,'Исходные данные'!$P$4,'Исходные данные'!$P$5)&amp;"/мес."</f>
        <v>UAH/мес.</v>
      </c>
      <c r="S24" s="224" t="str">
        <f>""&amp;CHOOSE('Исходные данные'!$O$2,'Исходные данные'!$P$2,'Исходные данные'!$P$3,'Исходные данные'!$P$4,'Исходные данные'!$P$5)&amp;"/міс."</f>
        <v>UAH/міс.</v>
      </c>
      <c r="T24" s="33"/>
      <c r="U24" s="33"/>
      <c r="V24" s="33"/>
      <c r="W24" s="33"/>
      <c r="X24" s="33"/>
      <c r="Y24" s="33"/>
      <c r="Z24" s="33"/>
    </row>
    <row r="25" spans="1:27" ht="42" customHeight="1" x14ac:dyDescent="0.6">
      <c r="A25" s="30"/>
      <c r="B25" s="288" t="str">
        <f>'Исходные данные'!B48:C48</f>
        <v>Паушальний внесок</v>
      </c>
      <c r="C25" s="328"/>
      <c r="D25" s="263">
        <f>'Исходные данные'!H48</f>
        <v>150000</v>
      </c>
      <c r="E25" s="263"/>
      <c r="F25" s="263"/>
      <c r="G25" s="263"/>
      <c r="H25" s="263"/>
      <c r="I25" s="263"/>
      <c r="J25" s="31" t="str">
        <f>""&amp;CHOOSE('Исходные данные'!$O$2,'Исходные данные'!$P$2,'Исходные данные'!$P$3,'Исходные данные'!$P$4,'Исходные данные'!$P$5)&amp;""</f>
        <v>UAH</v>
      </c>
      <c r="K25" s="32"/>
      <c r="N25" s="190"/>
      <c r="O25" s="190"/>
      <c r="P25" s="190"/>
      <c r="Q25" s="190"/>
      <c r="R25" s="224" t="s">
        <v>4</v>
      </c>
      <c r="S25" s="224" t="s">
        <v>220</v>
      </c>
      <c r="T25" s="33"/>
      <c r="U25" s="33"/>
      <c r="V25" s="33"/>
      <c r="W25" s="33"/>
      <c r="X25" s="33"/>
      <c r="Y25" s="33"/>
      <c r="Z25" s="33"/>
    </row>
    <row r="26" spans="1:27" ht="42" customHeight="1" x14ac:dyDescent="0.6">
      <c r="A26" s="30"/>
      <c r="B26" s="288" t="str">
        <f>'Исходные данные'!B49:C49</f>
        <v>Інше</v>
      </c>
      <c r="C26" s="328"/>
      <c r="D26" s="263">
        <f>'Исходные данные'!H49</f>
        <v>0</v>
      </c>
      <c r="E26" s="263"/>
      <c r="F26" s="263"/>
      <c r="G26" s="263"/>
      <c r="H26" s="263"/>
      <c r="I26" s="263"/>
      <c r="J26" s="31" t="str">
        <f>""&amp;CHOOSE('Исходные данные'!$O$2,'Исходные данные'!$P$2,'Исходные данные'!$P$3,'Исходные данные'!$P$4,'Исходные данные'!$P$5)&amp;""</f>
        <v>UAH</v>
      </c>
      <c r="K26" s="32"/>
      <c r="N26" s="190"/>
      <c r="O26" s="190"/>
      <c r="P26" s="190"/>
      <c r="Q26" s="190"/>
      <c r="R26" s="224" t="s">
        <v>85</v>
      </c>
      <c r="S26" s="224" t="s">
        <v>221</v>
      </c>
      <c r="T26" s="33"/>
      <c r="U26" s="33"/>
      <c r="V26" s="33"/>
      <c r="W26" s="33"/>
      <c r="X26" s="33"/>
      <c r="Y26" s="33"/>
      <c r="Z26" s="33"/>
    </row>
    <row r="27" spans="1:27" ht="42" customHeight="1" x14ac:dyDescent="0.6">
      <c r="A27" s="30"/>
      <c r="B27" s="288" t="str">
        <f>'Исходные данные'!B50:C50</f>
        <v>Разом:</v>
      </c>
      <c r="C27" s="328"/>
      <c r="D27" s="269">
        <f>SUM(D18:I26)</f>
        <v>415150</v>
      </c>
      <c r="E27" s="269"/>
      <c r="F27" s="269"/>
      <c r="G27" s="269"/>
      <c r="H27" s="269"/>
      <c r="I27" s="269"/>
      <c r="J27" s="31" t="str">
        <f>""&amp;CHOOSE('Исходные данные'!$O$2,'Исходные данные'!$P$2,'Исходные данные'!$P$3,'Исходные данные'!$P$4,'Исходные данные'!$P$5)&amp;""</f>
        <v>UAH</v>
      </c>
      <c r="K27" s="32"/>
      <c r="L27" s="206"/>
      <c r="N27" s="190"/>
      <c r="P27" s="190"/>
      <c r="Q27" s="190"/>
      <c r="R27" s="222" t="s">
        <v>104</v>
      </c>
      <c r="S27" s="222" t="s">
        <v>222</v>
      </c>
      <c r="T27" s="33"/>
      <c r="U27" s="33"/>
      <c r="V27" s="33"/>
      <c r="W27" s="33"/>
      <c r="X27" s="33"/>
      <c r="Y27" s="33"/>
      <c r="Z27" s="33"/>
    </row>
    <row r="28" spans="1:27" ht="34.200000000000003" customHeight="1" x14ac:dyDescent="0.7">
      <c r="A28" s="330"/>
      <c r="B28" s="330"/>
      <c r="C28" s="330"/>
      <c r="D28" s="330"/>
      <c r="E28" s="330"/>
      <c r="F28" s="330"/>
      <c r="G28" s="330"/>
      <c r="H28" s="330"/>
      <c r="I28" s="330"/>
      <c r="J28" s="330"/>
      <c r="K28" s="32"/>
      <c r="N28" s="190"/>
      <c r="P28" s="190"/>
      <c r="Q28" s="190"/>
      <c r="R28" s="222" t="s">
        <v>66</v>
      </c>
      <c r="S28" s="222" t="s">
        <v>223</v>
      </c>
      <c r="T28" s="33"/>
      <c r="U28" s="33"/>
      <c r="V28" s="33"/>
      <c r="W28" s="33"/>
      <c r="X28" s="33"/>
      <c r="Y28" s="33"/>
      <c r="Z28" s="33"/>
    </row>
    <row r="29" spans="1:27" ht="34.200000000000003" customHeight="1" x14ac:dyDescent="0.7">
      <c r="A29" s="21" t="s">
        <v>61</v>
      </c>
      <c r="B29" s="36"/>
      <c r="C29" s="36"/>
      <c r="D29" s="36"/>
      <c r="E29" s="36"/>
      <c r="F29" s="36"/>
      <c r="G29" s="36"/>
      <c r="H29" s="36"/>
      <c r="I29" s="36"/>
      <c r="J29" s="36"/>
      <c r="K29" s="32"/>
      <c r="N29" s="190"/>
      <c r="P29" s="190"/>
      <c r="Q29" s="190"/>
      <c r="R29" s="222" t="s">
        <v>88</v>
      </c>
      <c r="S29" s="222" t="s">
        <v>224</v>
      </c>
      <c r="T29" s="33"/>
      <c r="U29" s="33"/>
      <c r="V29" s="33"/>
      <c r="W29" s="33"/>
      <c r="X29" s="33"/>
      <c r="Y29" s="33"/>
      <c r="Z29" s="33"/>
    </row>
    <row r="30" spans="1:27" ht="51" customHeight="1" x14ac:dyDescent="0.6">
      <c r="A30" s="329" t="str">
        <f>'Исходные данные'!A53</f>
        <v>Посадові одиниці</v>
      </c>
      <c r="B30" s="329"/>
      <c r="C30" s="329"/>
      <c r="D30" s="243" t="str">
        <f>'Исходные данные'!D53</f>
        <v>Загальна кількість співробітників, чол.</v>
      </c>
      <c r="E30" s="365" t="str">
        <f>CHOOSE('Исходные данные'!$U$2,R19,S19)</f>
        <v>Фіксований оклад в день, UAH/день</v>
      </c>
      <c r="F30" s="366"/>
      <c r="G30" s="244" t="str">
        <f>'Исходные данные'!H53</f>
        <v>Кількість робочих днів на місяць у кожного співробітника, днів/міс.</v>
      </c>
      <c r="H30" s="329" t="str">
        <f>'Исходные данные'!I53</f>
        <v>Базовий розмір бонусу, % від бази нарахування*</v>
      </c>
      <c r="I30" s="329"/>
      <c r="J30" s="243" t="str">
        <f>'Исходные данные'!K53</f>
        <v xml:space="preserve"> * - База нарахування бонусу</v>
      </c>
      <c r="L30" s="207"/>
      <c r="O30" s="190"/>
      <c r="Q30" s="190"/>
      <c r="R30" s="222" t="s">
        <v>89</v>
      </c>
      <c r="S30" s="222" t="s">
        <v>225</v>
      </c>
      <c r="T30" s="33"/>
      <c r="U30" s="33"/>
      <c r="V30" s="33"/>
      <c r="W30" s="33"/>
      <c r="X30" s="33"/>
      <c r="Y30" s="33"/>
      <c r="Z30" s="33"/>
      <c r="AA30" s="33"/>
    </row>
    <row r="31" spans="1:27" s="23" customFormat="1" ht="40" customHeight="1" x14ac:dyDescent="0.55000000000000004">
      <c r="A31" s="333" t="str">
        <f>'Исходные данные'!A55</f>
        <v>Менеджер</v>
      </c>
      <c r="B31" s="334"/>
      <c r="C31" s="334"/>
      <c r="D31" s="198">
        <f>'Исходные данные'!D55</f>
        <v>1</v>
      </c>
      <c r="E31" s="312">
        <f>'Исходные данные'!F55</f>
        <v>227.27272727272728</v>
      </c>
      <c r="F31" s="313"/>
      <c r="G31" s="212">
        <f>'Исходные данные'!H55</f>
        <v>22</v>
      </c>
      <c r="H31" s="327">
        <f>'Исходные данные'!I55</f>
        <v>0</v>
      </c>
      <c r="I31" s="327"/>
      <c r="J31" s="234" t="str">
        <f>'Исходные данные'!K55</f>
        <v>загальна виручка</v>
      </c>
      <c r="L31" s="207"/>
      <c r="M31" s="205"/>
      <c r="N31" s="208"/>
      <c r="O31" s="209"/>
      <c r="P31" s="205"/>
      <c r="Q31" s="209"/>
      <c r="R31" s="222" t="s">
        <v>90</v>
      </c>
      <c r="S31" s="222" t="s">
        <v>226</v>
      </c>
      <c r="T31" s="38"/>
      <c r="U31" s="38"/>
      <c r="V31" s="38"/>
      <c r="W31" s="38"/>
      <c r="X31" s="38"/>
      <c r="Y31" s="38"/>
      <c r="Z31" s="38"/>
      <c r="AA31" s="38"/>
    </row>
    <row r="32" spans="1:27" s="23" customFormat="1" ht="40" customHeight="1" x14ac:dyDescent="0.55000000000000004">
      <c r="A32" s="333" t="str">
        <f>'Исходные данные'!A56</f>
        <v>Повар (обід)</v>
      </c>
      <c r="B32" s="334"/>
      <c r="C32" s="334"/>
      <c r="D32" s="198">
        <f>'Исходные данные'!D56</f>
        <v>4</v>
      </c>
      <c r="E32" s="312">
        <f>'Исходные данные'!F56</f>
        <v>350</v>
      </c>
      <c r="F32" s="313"/>
      <c r="G32" s="232">
        <f>'Исходные данные'!H56</f>
        <v>11</v>
      </c>
      <c r="H32" s="327">
        <f>'Исходные данные'!I56</f>
        <v>0</v>
      </c>
      <c r="I32" s="327"/>
      <c r="J32" s="234" t="str">
        <f>'Исходные данные'!K56</f>
        <v>загальна виручка</v>
      </c>
      <c r="L32" s="207"/>
      <c r="M32" s="205"/>
      <c r="N32" s="208"/>
      <c r="O32" s="209"/>
      <c r="P32" s="205"/>
      <c r="Q32" s="209"/>
      <c r="R32" s="222" t="s">
        <v>229</v>
      </c>
      <c r="S32" s="222" t="s">
        <v>227</v>
      </c>
      <c r="T32" s="38"/>
      <c r="U32" s="38"/>
      <c r="V32" s="38"/>
      <c r="W32" s="38"/>
      <c r="X32" s="38"/>
      <c r="Y32" s="38"/>
      <c r="Z32" s="38"/>
      <c r="AA32" s="38"/>
    </row>
    <row r="33" spans="1:27" s="23" customFormat="1" ht="40" customHeight="1" x14ac:dyDescent="0.55000000000000004">
      <c r="A33" s="333" t="str">
        <f>'Исходные данные'!A57</f>
        <v>Закупщик товарів</v>
      </c>
      <c r="B33" s="334"/>
      <c r="C33" s="334"/>
      <c r="D33" s="198">
        <f>'Исходные данные'!D57</f>
        <v>1</v>
      </c>
      <c r="E33" s="312">
        <f>'Исходные данные'!F57</f>
        <v>300</v>
      </c>
      <c r="F33" s="313"/>
      <c r="G33" s="232">
        <f>'Исходные данные'!H57</f>
        <v>22</v>
      </c>
      <c r="H33" s="327">
        <f>'Исходные данные'!I57</f>
        <v>0</v>
      </c>
      <c r="I33" s="327"/>
      <c r="J33" s="234" t="str">
        <f>'Исходные данные'!K57</f>
        <v>загальна виручка</v>
      </c>
      <c r="L33" s="207"/>
      <c r="M33" s="205"/>
      <c r="N33" s="208"/>
      <c r="O33" s="209"/>
      <c r="P33" s="205"/>
      <c r="Q33" s="209"/>
      <c r="R33" s="222" t="s">
        <v>230</v>
      </c>
      <c r="S33" s="222" t="s">
        <v>228</v>
      </c>
      <c r="T33" s="38"/>
      <c r="U33" s="38"/>
      <c r="V33" s="38"/>
      <c r="W33" s="38"/>
      <c r="X33" s="38"/>
      <c r="Y33" s="38"/>
      <c r="Z33" s="38"/>
      <c r="AA33" s="38"/>
    </row>
    <row r="34" spans="1:27" ht="45.9" customHeight="1" x14ac:dyDescent="0.6">
      <c r="A34" s="329"/>
      <c r="B34" s="329"/>
      <c r="C34" s="329"/>
      <c r="D34" s="243"/>
      <c r="E34" s="365" t="str">
        <f>CHOOSE('Исходные данные'!$U$2,R34,S34)</f>
        <v>Фіксований оклад за один раціон, UAH/раціон,</v>
      </c>
      <c r="F34" s="366"/>
      <c r="G34" s="244"/>
      <c r="H34" s="329"/>
      <c r="I34" s="329"/>
      <c r="J34" s="243"/>
      <c r="L34" s="207"/>
      <c r="O34" s="190"/>
      <c r="Q34" s="190"/>
      <c r="R34" s="224" t="str">
        <f>"Фиксированный оклад за один рацион, "&amp;CHOOSE('Исходные данные'!$O$2,'Исходные данные'!$P$2,'Исходные данные'!$P$3,'Исходные данные'!$P$4,'Исходные данные'!$P$5)&amp;"/рацион"</f>
        <v>Фиксированный оклад за один рацион, UAH/рацион</v>
      </c>
      <c r="S34" s="224" t="str">
        <f>"Фіксований оклад за один раціон, "&amp;CHOOSE('Исходные данные'!$O$2,'Исходные данные'!$P$2,'Исходные данные'!$P$3,'Исходные данные'!$P$4,'Исходные данные'!$P$5)&amp;"/раціон,"</f>
        <v>Фіксований оклад за один раціон, UAH/раціон,</v>
      </c>
      <c r="T34" s="33"/>
      <c r="U34" s="33"/>
      <c r="V34" s="33"/>
      <c r="W34" s="33"/>
      <c r="X34" s="33"/>
      <c r="Y34" s="33"/>
      <c r="Z34" s="33"/>
      <c r="AA34" s="33"/>
    </row>
    <row r="35" spans="1:27" s="23" customFormat="1" ht="40" customHeight="1" x14ac:dyDescent="0.55000000000000004">
      <c r="A35" s="333" t="str">
        <f>'Исходные данные'!A60</f>
        <v>Повар (раціон)</v>
      </c>
      <c r="B35" s="334"/>
      <c r="C35" s="334"/>
      <c r="D35" s="198">
        <f>'Исходные данные'!D60</f>
        <v>4</v>
      </c>
      <c r="E35" s="312">
        <f>'Исходные данные'!F60</f>
        <v>40</v>
      </c>
      <c r="F35" s="313"/>
      <c r="G35" s="232"/>
      <c r="H35" s="327">
        <f>'Исходные данные'!I60</f>
        <v>0</v>
      </c>
      <c r="I35" s="327"/>
      <c r="J35" s="234" t="str">
        <f>'Исходные данные'!K60</f>
        <v>загальна виручка</v>
      </c>
      <c r="L35" s="207"/>
      <c r="M35" s="205"/>
      <c r="N35" s="208"/>
      <c r="O35" s="209"/>
      <c r="P35" s="205"/>
      <c r="Q35" s="209"/>
      <c r="R35" s="224" t="str">
        <f>"Фиксированный оклад за одну доставку, "&amp;CHOOSE('Исходные данные'!$O$2,'Исходные данные'!$P$2,'Исходные данные'!$P$3,'Исходные данные'!$P$4,'Исходные данные'!$P$5)&amp;"/1 доставка"</f>
        <v>Фиксированный оклад за одну доставку, UAH/1 доставка</v>
      </c>
      <c r="S35" s="224" t="str">
        <f>"Фіксований оклад за одну доставку, "&amp;CHOOSE('Исходные данные'!$O$2,'Исходные данные'!$P$2,'Исходные данные'!$P$3,'Исходные данные'!$P$4,'Исходные данные'!$P$5)&amp;"/1 доставка"</f>
        <v>Фіксований оклад за одну доставку, UAH/1 доставка</v>
      </c>
      <c r="T35" s="38"/>
      <c r="U35" s="38"/>
      <c r="V35" s="38"/>
      <c r="W35" s="38"/>
      <c r="X35" s="38"/>
      <c r="Y35" s="38"/>
      <c r="Z35" s="38"/>
      <c r="AA35" s="38"/>
    </row>
    <row r="36" spans="1:27" ht="45.3" customHeight="1" x14ac:dyDescent="0.6">
      <c r="A36" s="329"/>
      <c r="B36" s="329"/>
      <c r="C36" s="329"/>
      <c r="D36" s="255" t="str">
        <f>'Исходные данные'!D61</f>
        <v>Середня кількість доставок в місяць*, од./міс.</v>
      </c>
      <c r="E36" s="365" t="str">
        <f>CHOOSE('Исходные данные'!$U$2,R35,S35)</f>
        <v>Фіксований оклад за одну доставку, UAH/1 доставка</v>
      </c>
      <c r="F36" s="366"/>
      <c r="G36" s="244"/>
      <c r="H36" s="329"/>
      <c r="I36" s="329"/>
      <c r="J36" s="243"/>
      <c r="L36" s="207"/>
      <c r="O36" s="190"/>
      <c r="Q36" s="190"/>
      <c r="R36" s="222"/>
      <c r="S36" s="222"/>
      <c r="T36" s="33"/>
      <c r="U36" s="33"/>
      <c r="V36" s="33"/>
      <c r="W36" s="33"/>
      <c r="X36" s="33"/>
      <c r="Y36" s="33"/>
      <c r="Z36" s="33"/>
      <c r="AA36" s="33"/>
    </row>
    <row r="37" spans="1:27" s="23" customFormat="1" ht="40" customHeight="1" x14ac:dyDescent="0.55000000000000004">
      <c r="A37" s="333" t="str">
        <f>'Исходные данные'!A63</f>
        <v>Кур'єр</v>
      </c>
      <c r="B37" s="334"/>
      <c r="C37" s="334"/>
      <c r="D37" s="198">
        <f>'Исходные данные'!D63</f>
        <v>750</v>
      </c>
      <c r="E37" s="312">
        <f>'Исходные данные'!F63</f>
        <v>40</v>
      </c>
      <c r="F37" s="313"/>
      <c r="G37" s="232"/>
      <c r="H37" s="327">
        <f>'Исходные данные'!I63</f>
        <v>0</v>
      </c>
      <c r="I37" s="327"/>
      <c r="J37" s="234" t="str">
        <f>'Исходные данные'!K63</f>
        <v>загальна виручка</v>
      </c>
      <c r="L37" s="207"/>
      <c r="M37" s="205"/>
      <c r="N37" s="208"/>
      <c r="O37" s="209"/>
      <c r="P37" s="205"/>
      <c r="Q37" s="209"/>
      <c r="R37" s="222"/>
      <c r="S37" s="222"/>
      <c r="T37" s="38"/>
      <c r="U37" s="38"/>
      <c r="V37" s="38"/>
      <c r="W37" s="38"/>
      <c r="X37" s="38"/>
      <c r="Y37" s="38"/>
      <c r="Z37" s="38"/>
      <c r="AA37" s="38"/>
    </row>
    <row r="38" spans="1:27" ht="31.5" customHeight="1" x14ac:dyDescent="0.6">
      <c r="A38" s="335" t="str">
        <f>'Исходные данные'!A64</f>
        <v xml:space="preserve"> * - без врахування динаміки виходу продажів на планові показники, які вказуються на сторінці "Вхідні дані" в розділі "Параметри сезонності та виходу продажів на планові показники та подальший ріст обсягів продажів".</v>
      </c>
      <c r="B38" s="335"/>
      <c r="C38" s="335"/>
      <c r="D38" s="335"/>
      <c r="E38" s="335"/>
      <c r="F38" s="335"/>
      <c r="G38" s="335"/>
      <c r="H38" s="335"/>
      <c r="I38" s="335"/>
      <c r="J38" s="335"/>
      <c r="K38" s="32"/>
      <c r="N38" s="190"/>
      <c r="O38" s="190"/>
      <c r="P38" s="190"/>
      <c r="Q38" s="190"/>
      <c r="R38" s="222"/>
      <c r="S38" s="222"/>
      <c r="T38" s="33"/>
      <c r="U38" s="33"/>
      <c r="V38" s="33"/>
      <c r="W38" s="33"/>
      <c r="X38" s="33"/>
      <c r="Y38" s="33"/>
      <c r="Z38" s="33"/>
    </row>
    <row r="39" spans="1:27" ht="34.200000000000003" customHeight="1" x14ac:dyDescent="0.55000000000000004">
      <c r="A39" s="21" t="str">
        <f>'Исходные данные'!A65</f>
        <v>Поточні витрати</v>
      </c>
      <c r="L39" s="205"/>
      <c r="R39" s="222"/>
      <c r="S39" s="222"/>
    </row>
    <row r="40" spans="1:27" ht="22.2" customHeight="1" x14ac:dyDescent="0.55000000000000004">
      <c r="A40" s="21"/>
      <c r="D40" s="363" t="str">
        <f>CHOOSE('Исходные данные'!$U$2,R22,S22)</f>
        <v>Питома вага в обсязі виручки за 1-й рік роботи</v>
      </c>
      <c r="E40" s="363"/>
      <c r="G40" s="363" t="str">
        <f>CHOOSE('Исходные данные'!$U$2,R23,S23)</f>
        <v>Середньомісячна сума витрат за 1-й рік роботи</v>
      </c>
      <c r="H40" s="363"/>
      <c r="I40" s="363"/>
      <c r="J40" s="39"/>
      <c r="L40" s="205"/>
      <c r="R40" s="222"/>
      <c r="S40" s="222"/>
    </row>
    <row r="41" spans="1:27" ht="42" customHeight="1" x14ac:dyDescent="0.55000000000000004">
      <c r="A41" s="22"/>
      <c r="B41" s="288" t="str">
        <f>CHOOSE('Исходные данные'!$U$2,R20,S20)</f>
        <v>Собівартість</v>
      </c>
      <c r="C41" s="328"/>
      <c r="D41" s="325">
        <f>G41/'Детальный расчет'!$Q$24</f>
        <v>0.49367980621008595</v>
      </c>
      <c r="E41" s="325"/>
      <c r="G41" s="263">
        <f>'Детальный расчет'!Q46</f>
        <v>148379.13750000001</v>
      </c>
      <c r="H41" s="263"/>
      <c r="I41" s="263"/>
      <c r="J41" s="40" t="str">
        <f>CHOOSE('Исходные данные'!$U$2,$R$24,$S$24)</f>
        <v>UAH/міс.</v>
      </c>
    </row>
    <row r="42" spans="1:27" ht="42" customHeight="1" x14ac:dyDescent="0.55000000000000004">
      <c r="A42" s="22"/>
      <c r="B42" s="288" t="str">
        <f>CHOOSE('Исходные данные'!$U$2,R21,S21)</f>
        <v>Зарплата персоналу</v>
      </c>
      <c r="C42" s="328"/>
      <c r="D42" s="325">
        <f>G42/'Детальный расчет'!$Q$24</f>
        <v>0.27375732467109554</v>
      </c>
      <c r="E42" s="325"/>
      <c r="G42" s="263">
        <f>'Детальный расчет'!Q61</f>
        <v>82279.8</v>
      </c>
      <c r="H42" s="263"/>
      <c r="I42" s="263"/>
      <c r="J42" s="40" t="str">
        <f>CHOOSE('Исходные данные'!$U$2,$R$24,$S$24)</f>
        <v>UAH/міс.</v>
      </c>
      <c r="R42" s="222"/>
      <c r="S42" s="222"/>
    </row>
    <row r="43" spans="1:27" ht="42" customHeight="1" x14ac:dyDescent="0.55000000000000004">
      <c r="A43" s="41"/>
      <c r="B43" s="331" t="s">
        <v>189</v>
      </c>
      <c r="C43" s="332"/>
      <c r="D43" s="325">
        <f>G43/'Детальный расчет'!$Q$24</f>
        <v>1.3863129461458318E-2</v>
      </c>
      <c r="E43" s="325"/>
      <c r="F43" s="42"/>
      <c r="G43" s="263">
        <f>'Детальный расчет'!Q62</f>
        <v>4166.666666666667</v>
      </c>
      <c r="H43" s="263"/>
      <c r="I43" s="263"/>
      <c r="J43" s="40" t="str">
        <f>CHOOSE('Исходные данные'!$U$2,$R$24,$S$24)</f>
        <v>UAH/міс.</v>
      </c>
    </row>
    <row r="44" spans="1:27" ht="42" customHeight="1" x14ac:dyDescent="0.6">
      <c r="A44" s="30"/>
      <c r="B44" s="287" t="str">
        <f>'Исходные данные'!B69</f>
        <v>Оренда</v>
      </c>
      <c r="C44" s="326"/>
      <c r="D44" s="325">
        <f>G44/'Детальный расчет'!$Q$24</f>
        <v>0</v>
      </c>
      <c r="E44" s="325"/>
      <c r="F44" s="43"/>
      <c r="G44" s="263">
        <f>'Детальный расчет'!Q63</f>
        <v>0</v>
      </c>
      <c r="H44" s="263"/>
      <c r="I44" s="263"/>
      <c r="J44" s="40" t="str">
        <f>CHOOSE('Исходные данные'!$U$2,$R$24,$S$24)</f>
        <v>UAH/міс.</v>
      </c>
      <c r="K44" s="44"/>
      <c r="L44" s="210"/>
      <c r="O44" s="190"/>
      <c r="P44" s="190"/>
      <c r="Q44" s="190"/>
      <c r="R44" s="33"/>
      <c r="S44" s="33"/>
      <c r="T44" s="33"/>
      <c r="U44" s="33"/>
      <c r="V44" s="33"/>
      <c r="W44" s="33"/>
      <c r="X44" s="33"/>
      <c r="Y44" s="33"/>
      <c r="Z44" s="33"/>
      <c r="AA44" s="33"/>
    </row>
    <row r="45" spans="1:27" ht="42" customHeight="1" x14ac:dyDescent="0.6">
      <c r="A45" s="30"/>
      <c r="B45" s="287" t="str">
        <f>'Исходные данные'!B70</f>
        <v>Комунальні платежі</v>
      </c>
      <c r="C45" s="326"/>
      <c r="D45" s="325">
        <f>G45/'Детальный расчет'!$Q$24</f>
        <v>0</v>
      </c>
      <c r="E45" s="325"/>
      <c r="F45" s="43"/>
      <c r="G45" s="263">
        <f>'Детальный расчет'!Q64</f>
        <v>0</v>
      </c>
      <c r="H45" s="263"/>
      <c r="I45" s="263"/>
      <c r="J45" s="40" t="str">
        <f>CHOOSE('Исходные данные'!$U$2,$R$24,$S$24)</f>
        <v>UAH/міс.</v>
      </c>
      <c r="K45" s="44"/>
      <c r="L45" s="210"/>
      <c r="O45" s="190"/>
      <c r="P45" s="190"/>
      <c r="Q45" s="190"/>
      <c r="R45" s="33"/>
      <c r="S45" s="33"/>
      <c r="T45" s="33"/>
      <c r="U45" s="33"/>
      <c r="V45" s="33"/>
      <c r="W45" s="33"/>
      <c r="X45" s="33"/>
      <c r="Y45" s="33"/>
      <c r="Z45" s="33"/>
      <c r="AA45" s="33"/>
    </row>
    <row r="46" spans="1:27" ht="42" customHeight="1" x14ac:dyDescent="0.55000000000000004">
      <c r="A46" s="22"/>
      <c r="B46" s="287" t="str">
        <f>'Исходные данные'!B71</f>
        <v>Господарські потреби</v>
      </c>
      <c r="C46" s="326"/>
      <c r="D46" s="325">
        <f>G46/'Детальный расчет'!$Q$24</f>
        <v>0</v>
      </c>
      <c r="E46" s="325"/>
      <c r="G46" s="263">
        <f>'Детальный расчет'!Q65</f>
        <v>0</v>
      </c>
      <c r="H46" s="263"/>
      <c r="I46" s="263"/>
      <c r="J46" s="40" t="str">
        <f>CHOOSE('Исходные данные'!$U$2,$R$24,$S$24)</f>
        <v>UAH/міс.</v>
      </c>
    </row>
    <row r="47" spans="1:27" ht="42" customHeight="1" x14ac:dyDescent="0.55000000000000004">
      <c r="A47" s="22"/>
      <c r="B47" s="287" t="s">
        <v>201</v>
      </c>
      <c r="C47" s="326"/>
      <c r="D47" s="325">
        <f>G47/'Детальный расчет'!$Q$24</f>
        <v>1.3863129461458318E-3</v>
      </c>
      <c r="E47" s="325"/>
      <c r="G47" s="263">
        <f>'Детальный расчет'!Q66</f>
        <v>416.66666666666669</v>
      </c>
      <c r="H47" s="263"/>
      <c r="I47" s="263"/>
      <c r="J47" s="40" t="str">
        <f>CHOOSE('Исходные данные'!$U$2,$R$24,$S$24)</f>
        <v>UAH/міс.</v>
      </c>
    </row>
    <row r="48" spans="1:27" ht="42" customHeight="1" x14ac:dyDescent="0.55000000000000004">
      <c r="A48" s="22"/>
      <c r="B48" s="287" t="str">
        <f>'Исходные данные'!B73</f>
        <v>Списання</v>
      </c>
      <c r="C48" s="326"/>
      <c r="D48" s="325">
        <f>G48/'Детальный расчет'!$Q$24</f>
        <v>3.0000000000000001E-3</v>
      </c>
      <c r="E48" s="325"/>
      <c r="G48" s="263">
        <f>'Детальный расчет'!Q67</f>
        <v>901.67231249999998</v>
      </c>
      <c r="H48" s="263"/>
      <c r="I48" s="263"/>
      <c r="J48" s="40" t="str">
        <f>CHOOSE('Исходные данные'!$U$2,$R$24,$S$24)</f>
        <v>UAH/міс.</v>
      </c>
    </row>
    <row r="49" spans="1:26" ht="42" customHeight="1" x14ac:dyDescent="0.55000000000000004">
      <c r="A49" s="22"/>
      <c r="B49" s="287" t="str">
        <f>'Исходные данные'!B74</f>
        <v>Харчування співробітників</v>
      </c>
      <c r="C49" s="326"/>
      <c r="D49" s="325">
        <f>G49/'Детальный расчет'!$Q$24</f>
        <v>3.0000000000000001E-3</v>
      </c>
      <c r="E49" s="325"/>
      <c r="G49" s="263">
        <f>'Детальный расчет'!Q68</f>
        <v>901.67231249999998</v>
      </c>
      <c r="H49" s="263"/>
      <c r="I49" s="263"/>
      <c r="J49" s="40" t="str">
        <f>CHOOSE('Исходные данные'!$U$2,$R$24,$S$24)</f>
        <v>UAH/міс.</v>
      </c>
    </row>
    <row r="50" spans="1:26" ht="42" customHeight="1" x14ac:dyDescent="0.55000000000000004">
      <c r="A50" s="22"/>
      <c r="B50" s="287" t="str">
        <f>CHOOSE('Исходные данные'!$U$2,R27,S27)</f>
        <v>Уніформа персоналу</v>
      </c>
      <c r="C50" s="326"/>
      <c r="D50" s="325">
        <f>G50/'Детальный расчет'!$Q$24</f>
        <v>0</v>
      </c>
      <c r="E50" s="325"/>
      <c r="G50" s="263">
        <f>'Детальный расчет'!Q69</f>
        <v>0</v>
      </c>
      <c r="H50" s="263"/>
      <c r="I50" s="263"/>
      <c r="J50" s="40" t="str">
        <f>CHOOSE('Исходные данные'!$U$2,$R$24,$S$24)</f>
        <v>UAH/міс.</v>
      </c>
    </row>
    <row r="51" spans="1:26" ht="42" customHeight="1" x14ac:dyDescent="0.55000000000000004">
      <c r="A51" s="22"/>
      <c r="B51" s="287" t="str">
        <f>'Исходные данные'!B76</f>
        <v>Охорона</v>
      </c>
      <c r="C51" s="326"/>
      <c r="D51" s="325">
        <f>G51/'Детальный расчет'!$Q$24</f>
        <v>0</v>
      </c>
      <c r="E51" s="325"/>
      <c r="G51" s="263">
        <f>'Детальный расчет'!Q70</f>
        <v>0</v>
      </c>
      <c r="H51" s="263"/>
      <c r="I51" s="263"/>
      <c r="J51" s="40" t="str">
        <f>CHOOSE('Исходные данные'!$U$2,$R$24,$S$24)</f>
        <v>UAH/міс.</v>
      </c>
    </row>
    <row r="52" spans="1:26" ht="42" customHeight="1" x14ac:dyDescent="0.55000000000000004">
      <c r="A52" s="22"/>
      <c r="B52" s="287" t="str">
        <f>'Исходные данные'!B77</f>
        <v>Послуги зв'язку та інтернет</v>
      </c>
      <c r="C52" s="326"/>
      <c r="D52" s="325">
        <f>G52/'Детальный расчет'!$Q$24</f>
        <v>6.6543021414999922E-4</v>
      </c>
      <c r="E52" s="325"/>
      <c r="G52" s="263">
        <f>'Детальный расчет'!Q71</f>
        <v>200</v>
      </c>
      <c r="H52" s="263"/>
      <c r="I52" s="263"/>
      <c r="J52" s="40" t="str">
        <f>CHOOSE('Исходные данные'!$U$2,$R$24,$S$24)</f>
        <v>UAH/міс.</v>
      </c>
    </row>
    <row r="53" spans="1:26" ht="42" customHeight="1" x14ac:dyDescent="0.55000000000000004">
      <c r="A53" s="22"/>
      <c r="B53" s="287" t="str">
        <f>'Исходные данные'!B78</f>
        <v>Ведення бухгалтерського обліку</v>
      </c>
      <c r="C53" s="326"/>
      <c r="D53" s="325">
        <f>G53/'Детальный расчет'!$Q$24</f>
        <v>0</v>
      </c>
      <c r="E53" s="325"/>
      <c r="G53" s="263">
        <f>'Детальный расчет'!Q72</f>
        <v>0</v>
      </c>
      <c r="H53" s="263"/>
      <c r="I53" s="263"/>
      <c r="J53" s="40" t="str">
        <f>CHOOSE('Исходные данные'!$U$2,$R$24,$S$24)</f>
        <v>UAH/міс.</v>
      </c>
    </row>
    <row r="54" spans="1:26" ht="42" customHeight="1" x14ac:dyDescent="0.55000000000000004">
      <c r="A54" s="22"/>
      <c r="B54" s="287" t="str">
        <f>'Исходные данные'!B79</f>
        <v>Банковське обслуговування</v>
      </c>
      <c r="C54" s="326"/>
      <c r="D54" s="325">
        <f>G54/'Детальный расчет'!$Q$24</f>
        <v>0</v>
      </c>
      <c r="E54" s="325"/>
      <c r="G54" s="263">
        <f>'Детальный расчет'!Q73</f>
        <v>0</v>
      </c>
      <c r="H54" s="263"/>
      <c r="I54" s="263"/>
      <c r="J54" s="40" t="str">
        <f>CHOOSE('Исходные данные'!$U$2,$R$24,$S$24)</f>
        <v>UAH/міс.</v>
      </c>
    </row>
    <row r="55" spans="1:26" ht="42" customHeight="1" x14ac:dyDescent="0.55000000000000004">
      <c r="A55" s="22"/>
      <c r="B55" s="287" t="str">
        <f>'Исходные данные'!B81</f>
        <v>Податки на зарплату співробітників</v>
      </c>
      <c r="C55" s="326"/>
      <c r="D55" s="325">
        <f>G55/'Детальный расчет'!$Q$24</f>
        <v>1.7647209279257978E-2</v>
      </c>
      <c r="E55" s="325"/>
      <c r="F55" s="42"/>
      <c r="G55" s="263">
        <f>'Детальный расчет'!Q74</f>
        <v>5304</v>
      </c>
      <c r="H55" s="263"/>
      <c r="I55" s="263"/>
      <c r="J55" s="40" t="str">
        <f>CHOOSE('Исходные данные'!$U$2,$R$24,$S$24)</f>
        <v>UAH/міс.</v>
      </c>
    </row>
    <row r="56" spans="1:26" ht="42" customHeight="1" x14ac:dyDescent="0.55000000000000004">
      <c r="A56" s="22"/>
      <c r="B56" s="288" t="str">
        <f>CHOOSE('Исходные данные'!$U$2,R28,S28)</f>
        <v>Податки</v>
      </c>
      <c r="C56" s="328"/>
      <c r="D56" s="325">
        <f>G56/'Детальный расчет'!$Q$24</f>
        <v>6.6343392350754924E-3</v>
      </c>
      <c r="E56" s="325"/>
      <c r="F56" s="42"/>
      <c r="G56" s="263">
        <f>'Детальный расчет'!Q75</f>
        <v>1994</v>
      </c>
      <c r="H56" s="263"/>
      <c r="I56" s="263"/>
      <c r="J56" s="40" t="str">
        <f>CHOOSE('Исходные данные'!$U$2,$R$24,$S$24)</f>
        <v>UAH/міс.</v>
      </c>
    </row>
    <row r="57" spans="1:26" ht="42" customHeight="1" x14ac:dyDescent="0.55000000000000004">
      <c r="A57" s="22"/>
      <c r="B57" s="287" t="str">
        <f>'Исходные данные'!B84</f>
        <v>Локальна реклама (буклети, друкована продукція і т.п.)</v>
      </c>
      <c r="C57" s="326"/>
      <c r="D57" s="325">
        <f>G57/'Детальный расчет'!$Q$24</f>
        <v>1.3308604282999984E-2</v>
      </c>
      <c r="E57" s="325"/>
      <c r="G57" s="263">
        <f>'Детальный расчет'!Q76</f>
        <v>4000</v>
      </c>
      <c r="H57" s="263"/>
      <c r="I57" s="263"/>
      <c r="J57" s="40" t="str">
        <f>CHOOSE('Исходные данные'!$U$2,$R$24,$S$24)</f>
        <v>UAH/міс.</v>
      </c>
      <c r="N57" s="206"/>
    </row>
    <row r="58" spans="1:26" ht="42" customHeight="1" x14ac:dyDescent="0.55000000000000004">
      <c r="A58" s="22"/>
      <c r="B58" s="287" t="str">
        <f>'Исходные данные'!B85</f>
        <v>Інше</v>
      </c>
      <c r="C58" s="326"/>
      <c r="D58" s="325">
        <f>G58/'Детальный расчет'!$Q$24</f>
        <v>0</v>
      </c>
      <c r="E58" s="325"/>
      <c r="G58" s="263">
        <f>'Детальный расчет'!Q77</f>
        <v>0</v>
      </c>
      <c r="H58" s="263"/>
      <c r="I58" s="263"/>
      <c r="J58" s="40" t="str">
        <f>CHOOSE('Исходные данные'!$U$2,$R$24,$S$24)</f>
        <v>UAH/міс.</v>
      </c>
    </row>
    <row r="59" spans="1:26" ht="34.200000000000003" customHeight="1" x14ac:dyDescent="0.55000000000000004">
      <c r="A59" s="22"/>
      <c r="B59" s="339" t="str">
        <f>B27</f>
        <v>Разом:</v>
      </c>
      <c r="C59" s="339"/>
      <c r="D59" s="340">
        <f>SUM(D41:E58)</f>
        <v>0.82694215630026913</v>
      </c>
      <c r="E59" s="340"/>
      <c r="G59" s="362">
        <f>SUM(G41:I58)</f>
        <v>248543.61545833334</v>
      </c>
      <c r="H59" s="362"/>
      <c r="I59" s="362"/>
      <c r="J59" s="40" t="str">
        <f>CHOOSE('Исходные данные'!$U$2,$R$24,$S$24)</f>
        <v>UAH/міс.</v>
      </c>
    </row>
    <row r="60" spans="1:26" ht="16.2" customHeight="1" x14ac:dyDescent="0.6">
      <c r="A60" s="280"/>
      <c r="B60" s="280"/>
      <c r="C60" s="280"/>
      <c r="D60" s="280"/>
      <c r="E60" s="280"/>
      <c r="F60" s="280"/>
      <c r="G60" s="280"/>
      <c r="H60" s="280"/>
      <c r="I60" s="280"/>
      <c r="J60" s="280"/>
      <c r="K60" s="32"/>
      <c r="N60" s="190"/>
      <c r="O60" s="190"/>
      <c r="P60" s="190"/>
      <c r="Q60" s="190"/>
      <c r="R60" s="33"/>
      <c r="S60" s="33"/>
      <c r="T60" s="33"/>
      <c r="U60" s="33"/>
      <c r="V60" s="33"/>
      <c r="W60" s="33"/>
      <c r="X60" s="33"/>
      <c r="Y60" s="33"/>
      <c r="Z60" s="33"/>
    </row>
    <row r="61" spans="1:26" ht="52.5" customHeight="1" x14ac:dyDescent="0.55000000000000004">
      <c r="A61" s="45"/>
      <c r="B61" s="45"/>
      <c r="C61" s="45"/>
      <c r="D61" s="46"/>
      <c r="E61" s="46"/>
      <c r="F61" s="46"/>
      <c r="G61" s="47"/>
      <c r="H61" s="46"/>
      <c r="I61" s="345" t="str">
        <f>CHOOSE('Исходные данные'!$U$2,$R$26,$S$26)</f>
        <v>Рентабельність (чистаий прибуток/виручка), %</v>
      </c>
      <c r="J61" s="345"/>
      <c r="K61" s="32"/>
    </row>
    <row r="62" spans="1:26" ht="45" customHeight="1" x14ac:dyDescent="0.55000000000000004">
      <c r="A62" s="336" t="str">
        <f>CHOOSE('Исходные данные'!$U$2,R29,S29)</f>
        <v>Середньомісячний чистий прибуток 
за 1-й рік роботи</v>
      </c>
      <c r="B62" s="336"/>
      <c r="C62" s="338"/>
      <c r="D62" s="364">
        <f>'Детальный расчет'!Q87</f>
        <v>52013.822041666659</v>
      </c>
      <c r="E62" s="364"/>
      <c r="F62" s="364"/>
      <c r="G62" s="364"/>
      <c r="H62" s="40" t="str">
        <f>CHOOSE('Исходные данные'!$U$2,$R$24,$S$24)</f>
        <v>UAH/міс.</v>
      </c>
      <c r="I62" s="346">
        <f>'Детальный расчет'!Q87/'Детальный расчет'!Q81</f>
        <v>0.17305784369973096</v>
      </c>
      <c r="J62" s="346"/>
      <c r="K62" s="48"/>
    </row>
    <row r="63" spans="1:26" ht="8.0500000000000007" customHeight="1" x14ac:dyDescent="0.55000000000000004">
      <c r="A63" s="22"/>
      <c r="B63" s="22"/>
      <c r="C63" s="22"/>
      <c r="D63" s="347"/>
      <c r="E63" s="347"/>
      <c r="F63" s="347"/>
      <c r="G63" s="347"/>
      <c r="H63" s="49"/>
      <c r="I63" s="344"/>
      <c r="J63" s="344"/>
      <c r="K63" s="48"/>
    </row>
    <row r="64" spans="1:26" ht="45" customHeight="1" x14ac:dyDescent="0.55000000000000004">
      <c r="A64" s="336" t="str">
        <f>CHOOSE('Исходные данные'!$U$2,R30,S30)</f>
        <v>Середньомісячний чистий прибуток 
за 2-й рік роботи</v>
      </c>
      <c r="B64" s="336"/>
      <c r="C64" s="338"/>
      <c r="D64" s="364">
        <f>'Детальный расчет'!AE87</f>
        <v>69678.696458333303</v>
      </c>
      <c r="E64" s="364"/>
      <c r="F64" s="364"/>
      <c r="G64" s="364"/>
      <c r="H64" s="40" t="str">
        <f>CHOOSE('Исходные данные'!$U$2,$R$24,$S$24)</f>
        <v>UAH/міс.</v>
      </c>
      <c r="I64" s="346">
        <f>'Детальный расчет'!AE87/'Детальный расчет'!AE81</f>
        <v>0.19407874383562548</v>
      </c>
      <c r="J64" s="346"/>
      <c r="K64" s="48"/>
    </row>
    <row r="65" spans="1:10" ht="8.0500000000000007" customHeight="1" x14ac:dyDescent="0.55000000000000004">
      <c r="A65" s="22"/>
      <c r="B65" s="22"/>
      <c r="C65" s="22"/>
      <c r="D65" s="347"/>
      <c r="E65" s="347"/>
      <c r="F65" s="347"/>
      <c r="G65" s="347"/>
      <c r="H65" s="49"/>
      <c r="I65" s="344"/>
      <c r="J65" s="344"/>
    </row>
    <row r="66" spans="1:10" ht="45" customHeight="1" x14ac:dyDescent="0.55000000000000004">
      <c r="A66" s="336" t="str">
        <f>CHOOSE('Исходные данные'!$U$2,R31,S31)</f>
        <v>Середньомісячний чистий прибуток 
за 3-й рік роботи</v>
      </c>
      <c r="B66" s="336"/>
      <c r="C66" s="338"/>
      <c r="D66" s="348">
        <f>'Детальный расчет'!AS87</f>
        <v>80005.36583333333</v>
      </c>
      <c r="E66" s="348"/>
      <c r="F66" s="348"/>
      <c r="G66" s="348"/>
      <c r="H66" s="40" t="str">
        <f>CHOOSE('Исходные данные'!$U$2,$R$24,$S$24)</f>
        <v>UAH/міс.</v>
      </c>
      <c r="I66" s="346">
        <f>'Детальный расчет'!AS87/'Детальный расчет'!AS81</f>
        <v>0.20427184418507915</v>
      </c>
      <c r="J66" s="346"/>
    </row>
    <row r="67" spans="1:10" ht="8.0500000000000007" customHeight="1" x14ac:dyDescent="0.55000000000000004">
      <c r="A67" s="22"/>
      <c r="B67" s="22"/>
      <c r="C67" s="22"/>
      <c r="D67" s="22"/>
      <c r="E67" s="22"/>
      <c r="F67" s="22"/>
      <c r="H67" s="50"/>
      <c r="I67" s="50"/>
      <c r="J67" s="50"/>
    </row>
    <row r="68" spans="1:10" ht="45" customHeight="1" x14ac:dyDescent="0.55000000000000004">
      <c r="A68" s="336" t="str">
        <f>CHOOSE('Исходные данные'!$U$2,R32,S32)</f>
        <v>Вихід на самоокупність з</v>
      </c>
      <c r="B68" s="336"/>
      <c r="C68" s="337"/>
      <c r="D68" s="341">
        <f>'Детальный расчет'!B111</f>
        <v>1</v>
      </c>
      <c r="E68" s="342"/>
      <c r="F68" s="342"/>
      <c r="G68" s="342"/>
      <c r="H68" s="343"/>
      <c r="I68" s="51" t="str">
        <f>CHOOSE('Исходные данные'!$U$2,$R$25,$S$25)</f>
        <v>міс.</v>
      </c>
    </row>
    <row r="69" spans="1:10" ht="8.0500000000000007" customHeight="1" x14ac:dyDescent="0.55000000000000004">
      <c r="A69" s="22"/>
      <c r="B69" s="22"/>
      <c r="C69" s="22"/>
      <c r="D69" s="344"/>
      <c r="E69" s="344"/>
      <c r="F69" s="344"/>
      <c r="G69" s="344"/>
      <c r="H69" s="344"/>
      <c r="I69" s="50"/>
    </row>
    <row r="70" spans="1:10" ht="45" customHeight="1" x14ac:dyDescent="0.55000000000000004">
      <c r="A70" s="336" t="str">
        <f>CHOOSE('Исходные данные'!$U$2,R33,S33)</f>
        <v>Окупність інвестицій</v>
      </c>
      <c r="B70" s="336"/>
      <c r="C70" s="337"/>
      <c r="D70" s="341">
        <f>'Детальный расчет'!B110</f>
        <v>9</v>
      </c>
      <c r="E70" s="342"/>
      <c r="F70" s="342"/>
      <c r="G70" s="342"/>
      <c r="H70" s="343"/>
      <c r="I70" s="51" t="str">
        <f>CHOOSE('Исходные данные'!$U$2,$R$25,$S$25)</f>
        <v>міс.</v>
      </c>
    </row>
    <row r="71" spans="1:10" ht="10.199999999999999" customHeight="1" x14ac:dyDescent="0.55000000000000004">
      <c r="A71" s="52"/>
      <c r="B71" s="53"/>
      <c r="C71" s="53"/>
      <c r="D71" s="53"/>
      <c r="E71" s="53"/>
      <c r="F71" s="53"/>
      <c r="G71" s="54"/>
      <c r="H71" s="54"/>
      <c r="I71" s="54"/>
      <c r="J71" s="53"/>
    </row>
  </sheetData>
  <sheetProtection formatCells="0" formatColumns="0" formatRows="0" insertColumns="0" insertRows="0" insertHyperlinks="0" deleteColumns="0" deleteRows="0" sort="0" autoFilter="0" pivotTables="0"/>
  <mergeCells count="176">
    <mergeCell ref="C12:D12"/>
    <mergeCell ref="C13:D13"/>
    <mergeCell ref="E30:F30"/>
    <mergeCell ref="E31:F31"/>
    <mergeCell ref="E32:F32"/>
    <mergeCell ref="E33:F33"/>
    <mergeCell ref="B47:C47"/>
    <mergeCell ref="D47:E47"/>
    <mergeCell ref="G47:I47"/>
    <mergeCell ref="H31:I31"/>
    <mergeCell ref="D21:I21"/>
    <mergeCell ref="D24:I24"/>
    <mergeCell ref="D25:I25"/>
    <mergeCell ref="B22:C22"/>
    <mergeCell ref="D23:I23"/>
    <mergeCell ref="A16:J16"/>
    <mergeCell ref="B18:C18"/>
    <mergeCell ref="D18:I18"/>
    <mergeCell ref="B21:C21"/>
    <mergeCell ref="D19:I19"/>
    <mergeCell ref="D20:I20"/>
    <mergeCell ref="B19:C19"/>
    <mergeCell ref="B20:C20"/>
    <mergeCell ref="H30:I30"/>
    <mergeCell ref="I13:J13"/>
    <mergeCell ref="I14:J14"/>
    <mergeCell ref="C10:D10"/>
    <mergeCell ref="C11:D11"/>
    <mergeCell ref="A2:C2"/>
    <mergeCell ref="A3:C3"/>
    <mergeCell ref="G8:H8"/>
    <mergeCell ref="G9:H9"/>
    <mergeCell ref="G10:H10"/>
    <mergeCell ref="G11:H11"/>
    <mergeCell ref="G12:H12"/>
    <mergeCell ref="G13:H13"/>
    <mergeCell ref="G14:H14"/>
    <mergeCell ref="C14:D14"/>
    <mergeCell ref="E8:F8"/>
    <mergeCell ref="E9:F9"/>
    <mergeCell ref="E10:F10"/>
    <mergeCell ref="E11:F11"/>
    <mergeCell ref="E12:F12"/>
    <mergeCell ref="E13:F13"/>
    <mergeCell ref="A14:B14"/>
    <mergeCell ref="C8:D8"/>
    <mergeCell ref="C9:D9"/>
    <mergeCell ref="E14:F14"/>
    <mergeCell ref="B56:C56"/>
    <mergeCell ref="H32:I32"/>
    <mergeCell ref="H33:I33"/>
    <mergeCell ref="A34:C34"/>
    <mergeCell ref="E34:F34"/>
    <mergeCell ref="H34:I34"/>
    <mergeCell ref="A35:C35"/>
    <mergeCell ref="E35:F35"/>
    <mergeCell ref="H35:I35"/>
    <mergeCell ref="A36:C36"/>
    <mergeCell ref="E36:F36"/>
    <mergeCell ref="D49:E49"/>
    <mergeCell ref="H36:I36"/>
    <mergeCell ref="B53:C53"/>
    <mergeCell ref="B55:C55"/>
    <mergeCell ref="B54:C54"/>
    <mergeCell ref="B51:C51"/>
    <mergeCell ref="B52:C52"/>
    <mergeCell ref="B48:C48"/>
    <mergeCell ref="B49:C49"/>
    <mergeCell ref="G53:I53"/>
    <mergeCell ref="G54:I54"/>
    <mergeCell ref="B50:C50"/>
    <mergeCell ref="D50:E50"/>
    <mergeCell ref="G59:I59"/>
    <mergeCell ref="I64:J64"/>
    <mergeCell ref="D40:E40"/>
    <mergeCell ref="G40:I40"/>
    <mergeCell ref="D54:E54"/>
    <mergeCell ref="G56:I56"/>
    <mergeCell ref="D55:E55"/>
    <mergeCell ref="G55:I55"/>
    <mergeCell ref="D62:G62"/>
    <mergeCell ref="D63:G63"/>
    <mergeCell ref="D64:G64"/>
    <mergeCell ref="G48:I48"/>
    <mergeCell ref="G50:I50"/>
    <mergeCell ref="G51:I51"/>
    <mergeCell ref="G46:I46"/>
    <mergeCell ref="G42:I42"/>
    <mergeCell ref="G49:I49"/>
    <mergeCell ref="D56:E56"/>
    <mergeCell ref="D53:E53"/>
    <mergeCell ref="G44:I44"/>
    <mergeCell ref="G45:I45"/>
    <mergeCell ref="D52:E52"/>
    <mergeCell ref="D48:E48"/>
    <mergeCell ref="G52:I52"/>
    <mergeCell ref="A1:J1"/>
    <mergeCell ref="F2:H2"/>
    <mergeCell ref="A4:C4"/>
    <mergeCell ref="I7:J7"/>
    <mergeCell ref="A15:B15"/>
    <mergeCell ref="A7:B7"/>
    <mergeCell ref="I15:J15"/>
    <mergeCell ref="G7:H7"/>
    <mergeCell ref="G15:H15"/>
    <mergeCell ref="C7:D7"/>
    <mergeCell ref="C15:D15"/>
    <mergeCell ref="E7:F7"/>
    <mergeCell ref="E15:F15"/>
    <mergeCell ref="A8:B8"/>
    <mergeCell ref="A9:B9"/>
    <mergeCell ref="A10:B10"/>
    <mergeCell ref="A11:B11"/>
    <mergeCell ref="A12:B12"/>
    <mergeCell ref="A13:B13"/>
    <mergeCell ref="I8:J8"/>
    <mergeCell ref="I9:J9"/>
    <mergeCell ref="I10:J10"/>
    <mergeCell ref="I11:J11"/>
    <mergeCell ref="I12:J12"/>
    <mergeCell ref="A70:C70"/>
    <mergeCell ref="A66:C66"/>
    <mergeCell ref="A68:C68"/>
    <mergeCell ref="B57:C57"/>
    <mergeCell ref="D57:E57"/>
    <mergeCell ref="B58:C58"/>
    <mergeCell ref="D58:E58"/>
    <mergeCell ref="B59:C59"/>
    <mergeCell ref="D59:E59"/>
    <mergeCell ref="A60:J60"/>
    <mergeCell ref="A62:C62"/>
    <mergeCell ref="A64:C64"/>
    <mergeCell ref="D68:H68"/>
    <mergeCell ref="D69:H69"/>
    <mergeCell ref="D70:H70"/>
    <mergeCell ref="I61:J61"/>
    <mergeCell ref="I62:J62"/>
    <mergeCell ref="I63:J63"/>
    <mergeCell ref="I65:J65"/>
    <mergeCell ref="I66:J66"/>
    <mergeCell ref="D65:G65"/>
    <mergeCell ref="D66:G66"/>
    <mergeCell ref="G57:I57"/>
    <mergeCell ref="G58:I58"/>
    <mergeCell ref="D22:I22"/>
    <mergeCell ref="D26:I26"/>
    <mergeCell ref="D27:I27"/>
    <mergeCell ref="G43:I43"/>
    <mergeCell ref="D45:E45"/>
    <mergeCell ref="A28:J28"/>
    <mergeCell ref="B24:C24"/>
    <mergeCell ref="B25:C25"/>
    <mergeCell ref="B23:C23"/>
    <mergeCell ref="B44:C44"/>
    <mergeCell ref="D44:E44"/>
    <mergeCell ref="B45:C45"/>
    <mergeCell ref="B43:C43"/>
    <mergeCell ref="D43:E43"/>
    <mergeCell ref="A31:C31"/>
    <mergeCell ref="A32:C32"/>
    <mergeCell ref="A37:C37"/>
    <mergeCell ref="B42:C42"/>
    <mergeCell ref="D42:E42"/>
    <mergeCell ref="A33:C33"/>
    <mergeCell ref="A38:J38"/>
    <mergeCell ref="D51:E51"/>
    <mergeCell ref="B46:C46"/>
    <mergeCell ref="D46:E46"/>
    <mergeCell ref="E37:F37"/>
    <mergeCell ref="H37:I37"/>
    <mergeCell ref="B41:C41"/>
    <mergeCell ref="D41:E41"/>
    <mergeCell ref="G41:I41"/>
    <mergeCell ref="B26:C26"/>
    <mergeCell ref="B27:C27"/>
    <mergeCell ref="A30:C30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50" r:id="rId4" name="Drop Down 1">
              <controlPr locked="0" defaultSize="0" autoLine="0" autoPict="0">
                <anchor moveWithCells="1">
                  <from>
                    <xdr:col>3</xdr:col>
                    <xdr:colOff>0</xdr:colOff>
                    <xdr:row>3</xdr:row>
                    <xdr:rowOff>87630</xdr:rowOff>
                  </from>
                  <to>
                    <xdr:col>4</xdr:col>
                    <xdr:colOff>19050</xdr:colOff>
                    <xdr:row>4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  <pageSetUpPr fitToPage="1"/>
  </sheetPr>
  <dimension ref="A1:BC129"/>
  <sheetViews>
    <sheetView zoomScale="90" zoomScaleNormal="90" zoomScaleSheetLayoutView="70" workbookViewId="0">
      <pane xSplit="2" ySplit="6" topLeftCell="C39" activePane="bottomRight" state="frozen"/>
      <selection pane="topRight" activeCell="C1" sqref="C1"/>
      <selection pane="bottomLeft" activeCell="A7" sqref="A7"/>
      <selection pane="bottomRight" activeCell="D61" sqref="D61"/>
    </sheetView>
  </sheetViews>
  <sheetFormatPr defaultRowHeight="12.3" outlineLevelRow="1" outlineLevelCol="1" x14ac:dyDescent="0.4"/>
  <cols>
    <col min="1" max="1" width="51.20703125" style="9" bestFit="1" customWidth="1"/>
    <col min="2" max="3" width="12.578125" style="9" customWidth="1"/>
    <col min="4" max="15" width="11" style="57" customWidth="1" outlineLevel="1"/>
    <col min="16" max="16" width="11" style="174" customWidth="1"/>
    <col min="17" max="17" width="13.83984375" style="174" customWidth="1"/>
    <col min="18" max="29" width="11" style="57" customWidth="1" outlineLevel="1"/>
    <col min="30" max="30" width="11" style="174" customWidth="1"/>
    <col min="31" max="31" width="14.26171875" style="174" customWidth="1"/>
    <col min="32" max="43" width="11" style="57" customWidth="1" outlineLevel="1"/>
    <col min="44" max="44" width="11" style="174" customWidth="1"/>
    <col min="45" max="45" width="14.26171875" style="174" customWidth="1"/>
    <col min="46" max="46" width="12.83984375" style="57" customWidth="1"/>
    <col min="47" max="47" width="10" style="57" bestFit="1" customWidth="1"/>
    <col min="48" max="48" width="9.15625" style="57"/>
    <col min="49" max="50" width="8.83984375" style="57" customWidth="1"/>
    <col min="51" max="286" width="9.15625" style="57"/>
    <col min="287" max="287" width="53" style="57" customWidth="1"/>
    <col min="288" max="288" width="14.41796875" style="57" customWidth="1"/>
    <col min="289" max="301" width="11" style="57" customWidth="1"/>
    <col min="302" max="302" width="12.83984375" style="57" customWidth="1"/>
    <col min="303" max="303" width="10" style="57" bestFit="1" customWidth="1"/>
    <col min="304" max="542" width="9.15625" style="57"/>
    <col min="543" max="543" width="53" style="57" customWidth="1"/>
    <col min="544" max="544" width="14.41796875" style="57" customWidth="1"/>
    <col min="545" max="557" width="11" style="57" customWidth="1"/>
    <col min="558" max="558" width="12.83984375" style="57" customWidth="1"/>
    <col min="559" max="559" width="10" style="57" bestFit="1" customWidth="1"/>
    <col min="560" max="798" width="9.15625" style="57"/>
    <col min="799" max="799" width="53" style="57" customWidth="1"/>
    <col min="800" max="800" width="14.41796875" style="57" customWidth="1"/>
    <col min="801" max="813" width="11" style="57" customWidth="1"/>
    <col min="814" max="814" width="12.83984375" style="57" customWidth="1"/>
    <col min="815" max="815" width="10" style="57" bestFit="1" customWidth="1"/>
    <col min="816" max="1054" width="9.15625" style="57"/>
    <col min="1055" max="1055" width="53" style="57" customWidth="1"/>
    <col min="1056" max="1056" width="14.41796875" style="57" customWidth="1"/>
    <col min="1057" max="1069" width="11" style="57" customWidth="1"/>
    <col min="1070" max="1070" width="12.83984375" style="57" customWidth="1"/>
    <col min="1071" max="1071" width="10" style="57" bestFit="1" customWidth="1"/>
    <col min="1072" max="1310" width="9.15625" style="57"/>
    <col min="1311" max="1311" width="53" style="57" customWidth="1"/>
    <col min="1312" max="1312" width="14.41796875" style="57" customWidth="1"/>
    <col min="1313" max="1325" width="11" style="57" customWidth="1"/>
    <col min="1326" max="1326" width="12.83984375" style="57" customWidth="1"/>
    <col min="1327" max="1327" width="10" style="57" bestFit="1" customWidth="1"/>
    <col min="1328" max="1566" width="9.15625" style="57"/>
    <col min="1567" max="1567" width="53" style="57" customWidth="1"/>
    <col min="1568" max="1568" width="14.41796875" style="57" customWidth="1"/>
    <col min="1569" max="1581" width="11" style="57" customWidth="1"/>
    <col min="1582" max="1582" width="12.83984375" style="57" customWidth="1"/>
    <col min="1583" max="1583" width="10" style="57" bestFit="1" customWidth="1"/>
    <col min="1584" max="1822" width="9.15625" style="57"/>
    <col min="1823" max="1823" width="53" style="57" customWidth="1"/>
    <col min="1824" max="1824" width="14.41796875" style="57" customWidth="1"/>
    <col min="1825" max="1837" width="11" style="57" customWidth="1"/>
    <col min="1838" max="1838" width="12.83984375" style="57" customWidth="1"/>
    <col min="1839" max="1839" width="10" style="57" bestFit="1" customWidth="1"/>
    <col min="1840" max="2078" width="9.15625" style="57"/>
    <col min="2079" max="2079" width="53" style="57" customWidth="1"/>
    <col min="2080" max="2080" width="14.41796875" style="57" customWidth="1"/>
    <col min="2081" max="2093" width="11" style="57" customWidth="1"/>
    <col min="2094" max="2094" width="12.83984375" style="57" customWidth="1"/>
    <col min="2095" max="2095" width="10" style="57" bestFit="1" customWidth="1"/>
    <col min="2096" max="2334" width="9.15625" style="57"/>
    <col min="2335" max="2335" width="53" style="57" customWidth="1"/>
    <col min="2336" max="2336" width="14.41796875" style="57" customWidth="1"/>
    <col min="2337" max="2349" width="11" style="57" customWidth="1"/>
    <col min="2350" max="2350" width="12.83984375" style="57" customWidth="1"/>
    <col min="2351" max="2351" width="10" style="57" bestFit="1" customWidth="1"/>
    <col min="2352" max="2590" width="9.15625" style="57"/>
    <col min="2591" max="2591" width="53" style="57" customWidth="1"/>
    <col min="2592" max="2592" width="14.41796875" style="57" customWidth="1"/>
    <col min="2593" max="2605" width="11" style="57" customWidth="1"/>
    <col min="2606" max="2606" width="12.83984375" style="57" customWidth="1"/>
    <col min="2607" max="2607" width="10" style="57" bestFit="1" customWidth="1"/>
    <col min="2608" max="2846" width="9.15625" style="57"/>
    <col min="2847" max="2847" width="53" style="57" customWidth="1"/>
    <col min="2848" max="2848" width="14.41796875" style="57" customWidth="1"/>
    <col min="2849" max="2861" width="11" style="57" customWidth="1"/>
    <col min="2862" max="2862" width="12.83984375" style="57" customWidth="1"/>
    <col min="2863" max="2863" width="10" style="57" bestFit="1" customWidth="1"/>
    <col min="2864" max="3102" width="9.15625" style="57"/>
    <col min="3103" max="3103" width="53" style="57" customWidth="1"/>
    <col min="3104" max="3104" width="14.41796875" style="57" customWidth="1"/>
    <col min="3105" max="3117" width="11" style="57" customWidth="1"/>
    <col min="3118" max="3118" width="12.83984375" style="57" customWidth="1"/>
    <col min="3119" max="3119" width="10" style="57" bestFit="1" customWidth="1"/>
    <col min="3120" max="3358" width="9.15625" style="57"/>
    <col min="3359" max="3359" width="53" style="57" customWidth="1"/>
    <col min="3360" max="3360" width="14.41796875" style="57" customWidth="1"/>
    <col min="3361" max="3373" width="11" style="57" customWidth="1"/>
    <col min="3374" max="3374" width="12.83984375" style="57" customWidth="1"/>
    <col min="3375" max="3375" width="10" style="57" bestFit="1" customWidth="1"/>
    <col min="3376" max="3614" width="9.15625" style="57"/>
    <col min="3615" max="3615" width="53" style="57" customWidth="1"/>
    <col min="3616" max="3616" width="14.41796875" style="57" customWidth="1"/>
    <col min="3617" max="3629" width="11" style="57" customWidth="1"/>
    <col min="3630" max="3630" width="12.83984375" style="57" customWidth="1"/>
    <col min="3631" max="3631" width="10" style="57" bestFit="1" customWidth="1"/>
    <col min="3632" max="3870" width="9.15625" style="57"/>
    <col min="3871" max="3871" width="53" style="57" customWidth="1"/>
    <col min="3872" max="3872" width="14.41796875" style="57" customWidth="1"/>
    <col min="3873" max="3885" width="11" style="57" customWidth="1"/>
    <col min="3886" max="3886" width="12.83984375" style="57" customWidth="1"/>
    <col min="3887" max="3887" width="10" style="57" bestFit="1" customWidth="1"/>
    <col min="3888" max="4126" width="9.15625" style="57"/>
    <col min="4127" max="4127" width="53" style="57" customWidth="1"/>
    <col min="4128" max="4128" width="14.41796875" style="57" customWidth="1"/>
    <col min="4129" max="4141" width="11" style="57" customWidth="1"/>
    <col min="4142" max="4142" width="12.83984375" style="57" customWidth="1"/>
    <col min="4143" max="4143" width="10" style="57" bestFit="1" customWidth="1"/>
    <col min="4144" max="4382" width="9.15625" style="57"/>
    <col min="4383" max="4383" width="53" style="57" customWidth="1"/>
    <col min="4384" max="4384" width="14.41796875" style="57" customWidth="1"/>
    <col min="4385" max="4397" width="11" style="57" customWidth="1"/>
    <col min="4398" max="4398" width="12.83984375" style="57" customWidth="1"/>
    <col min="4399" max="4399" width="10" style="57" bestFit="1" customWidth="1"/>
    <col min="4400" max="4638" width="9.15625" style="57"/>
    <col min="4639" max="4639" width="53" style="57" customWidth="1"/>
    <col min="4640" max="4640" width="14.41796875" style="57" customWidth="1"/>
    <col min="4641" max="4653" width="11" style="57" customWidth="1"/>
    <col min="4654" max="4654" width="12.83984375" style="57" customWidth="1"/>
    <col min="4655" max="4655" width="10" style="57" bestFit="1" customWidth="1"/>
    <col min="4656" max="4894" width="9.15625" style="57"/>
    <col min="4895" max="4895" width="53" style="57" customWidth="1"/>
    <col min="4896" max="4896" width="14.41796875" style="57" customWidth="1"/>
    <col min="4897" max="4909" width="11" style="57" customWidth="1"/>
    <col min="4910" max="4910" width="12.83984375" style="57" customWidth="1"/>
    <col min="4911" max="4911" width="10" style="57" bestFit="1" customWidth="1"/>
    <col min="4912" max="5150" width="9.15625" style="57"/>
    <col min="5151" max="5151" width="53" style="57" customWidth="1"/>
    <col min="5152" max="5152" width="14.41796875" style="57" customWidth="1"/>
    <col min="5153" max="5165" width="11" style="57" customWidth="1"/>
    <col min="5166" max="5166" width="12.83984375" style="57" customWidth="1"/>
    <col min="5167" max="5167" width="10" style="57" bestFit="1" customWidth="1"/>
    <col min="5168" max="5406" width="9.15625" style="57"/>
    <col min="5407" max="5407" width="53" style="57" customWidth="1"/>
    <col min="5408" max="5408" width="14.41796875" style="57" customWidth="1"/>
    <col min="5409" max="5421" width="11" style="57" customWidth="1"/>
    <col min="5422" max="5422" width="12.83984375" style="57" customWidth="1"/>
    <col min="5423" max="5423" width="10" style="57" bestFit="1" customWidth="1"/>
    <col min="5424" max="5662" width="9.15625" style="57"/>
    <col min="5663" max="5663" width="53" style="57" customWidth="1"/>
    <col min="5664" max="5664" width="14.41796875" style="57" customWidth="1"/>
    <col min="5665" max="5677" width="11" style="57" customWidth="1"/>
    <col min="5678" max="5678" width="12.83984375" style="57" customWidth="1"/>
    <col min="5679" max="5679" width="10" style="57" bestFit="1" customWidth="1"/>
    <col min="5680" max="5918" width="9.15625" style="57"/>
    <col min="5919" max="5919" width="53" style="57" customWidth="1"/>
    <col min="5920" max="5920" width="14.41796875" style="57" customWidth="1"/>
    <col min="5921" max="5933" width="11" style="57" customWidth="1"/>
    <col min="5934" max="5934" width="12.83984375" style="57" customWidth="1"/>
    <col min="5935" max="5935" width="10" style="57" bestFit="1" customWidth="1"/>
    <col min="5936" max="6174" width="9.15625" style="57"/>
    <col min="6175" max="6175" width="53" style="57" customWidth="1"/>
    <col min="6176" max="6176" width="14.41796875" style="57" customWidth="1"/>
    <col min="6177" max="6189" width="11" style="57" customWidth="1"/>
    <col min="6190" max="6190" width="12.83984375" style="57" customWidth="1"/>
    <col min="6191" max="6191" width="10" style="57" bestFit="1" customWidth="1"/>
    <col min="6192" max="6430" width="9.15625" style="57"/>
    <col min="6431" max="6431" width="53" style="57" customWidth="1"/>
    <col min="6432" max="6432" width="14.41796875" style="57" customWidth="1"/>
    <col min="6433" max="6445" width="11" style="57" customWidth="1"/>
    <col min="6446" max="6446" width="12.83984375" style="57" customWidth="1"/>
    <col min="6447" max="6447" width="10" style="57" bestFit="1" customWidth="1"/>
    <col min="6448" max="6686" width="9.15625" style="57"/>
    <col min="6687" max="6687" width="53" style="57" customWidth="1"/>
    <col min="6688" max="6688" width="14.41796875" style="57" customWidth="1"/>
    <col min="6689" max="6701" width="11" style="57" customWidth="1"/>
    <col min="6702" max="6702" width="12.83984375" style="57" customWidth="1"/>
    <col min="6703" max="6703" width="10" style="57" bestFit="1" customWidth="1"/>
    <col min="6704" max="6942" width="9.15625" style="57"/>
    <col min="6943" max="6943" width="53" style="57" customWidth="1"/>
    <col min="6944" max="6944" width="14.41796875" style="57" customWidth="1"/>
    <col min="6945" max="6957" width="11" style="57" customWidth="1"/>
    <col min="6958" max="6958" width="12.83984375" style="57" customWidth="1"/>
    <col min="6959" max="6959" width="10" style="57" bestFit="1" customWidth="1"/>
    <col min="6960" max="7198" width="9.15625" style="57"/>
    <col min="7199" max="7199" width="53" style="57" customWidth="1"/>
    <col min="7200" max="7200" width="14.41796875" style="57" customWidth="1"/>
    <col min="7201" max="7213" width="11" style="57" customWidth="1"/>
    <col min="7214" max="7214" width="12.83984375" style="57" customWidth="1"/>
    <col min="7215" max="7215" width="10" style="57" bestFit="1" customWidth="1"/>
    <col min="7216" max="7454" width="9.15625" style="57"/>
    <col min="7455" max="7455" width="53" style="57" customWidth="1"/>
    <col min="7456" max="7456" width="14.41796875" style="57" customWidth="1"/>
    <col min="7457" max="7469" width="11" style="57" customWidth="1"/>
    <col min="7470" max="7470" width="12.83984375" style="57" customWidth="1"/>
    <col min="7471" max="7471" width="10" style="57" bestFit="1" customWidth="1"/>
    <col min="7472" max="7710" width="9.15625" style="57"/>
    <col min="7711" max="7711" width="53" style="57" customWidth="1"/>
    <col min="7712" max="7712" width="14.41796875" style="57" customWidth="1"/>
    <col min="7713" max="7725" width="11" style="57" customWidth="1"/>
    <col min="7726" max="7726" width="12.83984375" style="57" customWidth="1"/>
    <col min="7727" max="7727" width="10" style="57" bestFit="1" customWidth="1"/>
    <col min="7728" max="7966" width="9.15625" style="57"/>
    <col min="7967" max="7967" width="53" style="57" customWidth="1"/>
    <col min="7968" max="7968" width="14.41796875" style="57" customWidth="1"/>
    <col min="7969" max="7981" width="11" style="57" customWidth="1"/>
    <col min="7982" max="7982" width="12.83984375" style="57" customWidth="1"/>
    <col min="7983" max="7983" width="10" style="57" bestFit="1" customWidth="1"/>
    <col min="7984" max="8222" width="9.15625" style="57"/>
    <col min="8223" max="8223" width="53" style="57" customWidth="1"/>
    <col min="8224" max="8224" width="14.41796875" style="57" customWidth="1"/>
    <col min="8225" max="8237" width="11" style="57" customWidth="1"/>
    <col min="8238" max="8238" width="12.83984375" style="57" customWidth="1"/>
    <col min="8239" max="8239" width="10" style="57" bestFit="1" customWidth="1"/>
    <col min="8240" max="8478" width="9.15625" style="57"/>
    <col min="8479" max="8479" width="53" style="57" customWidth="1"/>
    <col min="8480" max="8480" width="14.41796875" style="57" customWidth="1"/>
    <col min="8481" max="8493" width="11" style="57" customWidth="1"/>
    <col min="8494" max="8494" width="12.83984375" style="57" customWidth="1"/>
    <col min="8495" max="8495" width="10" style="57" bestFit="1" customWidth="1"/>
    <col min="8496" max="8734" width="9.15625" style="57"/>
    <col min="8735" max="8735" width="53" style="57" customWidth="1"/>
    <col min="8736" max="8736" width="14.41796875" style="57" customWidth="1"/>
    <col min="8737" max="8749" width="11" style="57" customWidth="1"/>
    <col min="8750" max="8750" width="12.83984375" style="57" customWidth="1"/>
    <col min="8751" max="8751" width="10" style="57" bestFit="1" customWidth="1"/>
    <col min="8752" max="8990" width="9.15625" style="57"/>
    <col min="8991" max="8991" width="53" style="57" customWidth="1"/>
    <col min="8992" max="8992" width="14.41796875" style="57" customWidth="1"/>
    <col min="8993" max="9005" width="11" style="57" customWidth="1"/>
    <col min="9006" max="9006" width="12.83984375" style="57" customWidth="1"/>
    <col min="9007" max="9007" width="10" style="57" bestFit="1" customWidth="1"/>
    <col min="9008" max="9246" width="9.15625" style="57"/>
    <col min="9247" max="9247" width="53" style="57" customWidth="1"/>
    <col min="9248" max="9248" width="14.41796875" style="57" customWidth="1"/>
    <col min="9249" max="9261" width="11" style="57" customWidth="1"/>
    <col min="9262" max="9262" width="12.83984375" style="57" customWidth="1"/>
    <col min="9263" max="9263" width="10" style="57" bestFit="1" customWidth="1"/>
    <col min="9264" max="9502" width="9.15625" style="57"/>
    <col min="9503" max="9503" width="53" style="57" customWidth="1"/>
    <col min="9504" max="9504" width="14.41796875" style="57" customWidth="1"/>
    <col min="9505" max="9517" width="11" style="57" customWidth="1"/>
    <col min="9518" max="9518" width="12.83984375" style="57" customWidth="1"/>
    <col min="9519" max="9519" width="10" style="57" bestFit="1" customWidth="1"/>
    <col min="9520" max="9758" width="9.15625" style="57"/>
    <col min="9759" max="9759" width="53" style="57" customWidth="1"/>
    <col min="9760" max="9760" width="14.41796875" style="57" customWidth="1"/>
    <col min="9761" max="9773" width="11" style="57" customWidth="1"/>
    <col min="9774" max="9774" width="12.83984375" style="57" customWidth="1"/>
    <col min="9775" max="9775" width="10" style="57" bestFit="1" customWidth="1"/>
    <col min="9776" max="10014" width="9.15625" style="57"/>
    <col min="10015" max="10015" width="53" style="57" customWidth="1"/>
    <col min="10016" max="10016" width="14.41796875" style="57" customWidth="1"/>
    <col min="10017" max="10029" width="11" style="57" customWidth="1"/>
    <col min="10030" max="10030" width="12.83984375" style="57" customWidth="1"/>
    <col min="10031" max="10031" width="10" style="57" bestFit="1" customWidth="1"/>
    <col min="10032" max="10270" width="9.15625" style="57"/>
    <col min="10271" max="10271" width="53" style="57" customWidth="1"/>
    <col min="10272" max="10272" width="14.41796875" style="57" customWidth="1"/>
    <col min="10273" max="10285" width="11" style="57" customWidth="1"/>
    <col min="10286" max="10286" width="12.83984375" style="57" customWidth="1"/>
    <col min="10287" max="10287" width="10" style="57" bestFit="1" customWidth="1"/>
    <col min="10288" max="10526" width="9.15625" style="57"/>
    <col min="10527" max="10527" width="53" style="57" customWidth="1"/>
    <col min="10528" max="10528" width="14.41796875" style="57" customWidth="1"/>
    <col min="10529" max="10541" width="11" style="57" customWidth="1"/>
    <col min="10542" max="10542" width="12.83984375" style="57" customWidth="1"/>
    <col min="10543" max="10543" width="10" style="57" bestFit="1" customWidth="1"/>
    <col min="10544" max="10782" width="9.15625" style="57"/>
    <col min="10783" max="10783" width="53" style="57" customWidth="1"/>
    <col min="10784" max="10784" width="14.41796875" style="57" customWidth="1"/>
    <col min="10785" max="10797" width="11" style="57" customWidth="1"/>
    <col min="10798" max="10798" width="12.83984375" style="57" customWidth="1"/>
    <col min="10799" max="10799" width="10" style="57" bestFit="1" customWidth="1"/>
    <col min="10800" max="11038" width="9.15625" style="57"/>
    <col min="11039" max="11039" width="53" style="57" customWidth="1"/>
    <col min="11040" max="11040" width="14.41796875" style="57" customWidth="1"/>
    <col min="11041" max="11053" width="11" style="57" customWidth="1"/>
    <col min="11054" max="11054" width="12.83984375" style="57" customWidth="1"/>
    <col min="11055" max="11055" width="10" style="57" bestFit="1" customWidth="1"/>
    <col min="11056" max="11294" width="9.15625" style="57"/>
    <col min="11295" max="11295" width="53" style="57" customWidth="1"/>
    <col min="11296" max="11296" width="14.41796875" style="57" customWidth="1"/>
    <col min="11297" max="11309" width="11" style="57" customWidth="1"/>
    <col min="11310" max="11310" width="12.83984375" style="57" customWidth="1"/>
    <col min="11311" max="11311" width="10" style="57" bestFit="1" customWidth="1"/>
    <col min="11312" max="11550" width="9.15625" style="57"/>
    <col min="11551" max="11551" width="53" style="57" customWidth="1"/>
    <col min="11552" max="11552" width="14.41796875" style="57" customWidth="1"/>
    <col min="11553" max="11565" width="11" style="57" customWidth="1"/>
    <col min="11566" max="11566" width="12.83984375" style="57" customWidth="1"/>
    <col min="11567" max="11567" width="10" style="57" bestFit="1" customWidth="1"/>
    <col min="11568" max="11806" width="9.15625" style="57"/>
    <col min="11807" max="11807" width="53" style="57" customWidth="1"/>
    <col min="11808" max="11808" width="14.41796875" style="57" customWidth="1"/>
    <col min="11809" max="11821" width="11" style="57" customWidth="1"/>
    <col min="11822" max="11822" width="12.83984375" style="57" customWidth="1"/>
    <col min="11823" max="11823" width="10" style="57" bestFit="1" customWidth="1"/>
    <col min="11824" max="12062" width="9.15625" style="57"/>
    <col min="12063" max="12063" width="53" style="57" customWidth="1"/>
    <col min="12064" max="12064" width="14.41796875" style="57" customWidth="1"/>
    <col min="12065" max="12077" width="11" style="57" customWidth="1"/>
    <col min="12078" max="12078" width="12.83984375" style="57" customWidth="1"/>
    <col min="12079" max="12079" width="10" style="57" bestFit="1" customWidth="1"/>
    <col min="12080" max="12318" width="9.15625" style="57"/>
    <col min="12319" max="12319" width="53" style="57" customWidth="1"/>
    <col min="12320" max="12320" width="14.41796875" style="57" customWidth="1"/>
    <col min="12321" max="12333" width="11" style="57" customWidth="1"/>
    <col min="12334" max="12334" width="12.83984375" style="57" customWidth="1"/>
    <col min="12335" max="12335" width="10" style="57" bestFit="1" customWidth="1"/>
    <col min="12336" max="12574" width="9.15625" style="57"/>
    <col min="12575" max="12575" width="53" style="57" customWidth="1"/>
    <col min="12576" max="12576" width="14.41796875" style="57" customWidth="1"/>
    <col min="12577" max="12589" width="11" style="57" customWidth="1"/>
    <col min="12590" max="12590" width="12.83984375" style="57" customWidth="1"/>
    <col min="12591" max="12591" width="10" style="57" bestFit="1" customWidth="1"/>
    <col min="12592" max="12830" width="9.15625" style="57"/>
    <col min="12831" max="12831" width="53" style="57" customWidth="1"/>
    <col min="12832" max="12832" width="14.41796875" style="57" customWidth="1"/>
    <col min="12833" max="12845" width="11" style="57" customWidth="1"/>
    <col min="12846" max="12846" width="12.83984375" style="57" customWidth="1"/>
    <col min="12847" max="12847" width="10" style="57" bestFit="1" customWidth="1"/>
    <col min="12848" max="13086" width="9.15625" style="57"/>
    <col min="13087" max="13087" width="53" style="57" customWidth="1"/>
    <col min="13088" max="13088" width="14.41796875" style="57" customWidth="1"/>
    <col min="13089" max="13101" width="11" style="57" customWidth="1"/>
    <col min="13102" max="13102" width="12.83984375" style="57" customWidth="1"/>
    <col min="13103" max="13103" width="10" style="57" bestFit="1" customWidth="1"/>
    <col min="13104" max="13342" width="9.15625" style="57"/>
    <col min="13343" max="13343" width="53" style="57" customWidth="1"/>
    <col min="13344" max="13344" width="14.41796875" style="57" customWidth="1"/>
    <col min="13345" max="13357" width="11" style="57" customWidth="1"/>
    <col min="13358" max="13358" width="12.83984375" style="57" customWidth="1"/>
    <col min="13359" max="13359" width="10" style="57" bestFit="1" customWidth="1"/>
    <col min="13360" max="13598" width="9.15625" style="57"/>
    <col min="13599" max="13599" width="53" style="57" customWidth="1"/>
    <col min="13600" max="13600" width="14.41796875" style="57" customWidth="1"/>
    <col min="13601" max="13613" width="11" style="57" customWidth="1"/>
    <col min="13614" max="13614" width="12.83984375" style="57" customWidth="1"/>
    <col min="13615" max="13615" width="10" style="57" bestFit="1" customWidth="1"/>
    <col min="13616" max="13854" width="9.15625" style="57"/>
    <col min="13855" max="13855" width="53" style="57" customWidth="1"/>
    <col min="13856" max="13856" width="14.41796875" style="57" customWidth="1"/>
    <col min="13857" max="13869" width="11" style="57" customWidth="1"/>
    <col min="13870" max="13870" width="12.83984375" style="57" customWidth="1"/>
    <col min="13871" max="13871" width="10" style="57" bestFit="1" customWidth="1"/>
    <col min="13872" max="14110" width="9.15625" style="57"/>
    <col min="14111" max="14111" width="53" style="57" customWidth="1"/>
    <col min="14112" max="14112" width="14.41796875" style="57" customWidth="1"/>
    <col min="14113" max="14125" width="11" style="57" customWidth="1"/>
    <col min="14126" max="14126" width="12.83984375" style="57" customWidth="1"/>
    <col min="14127" max="14127" width="10" style="57" bestFit="1" customWidth="1"/>
    <col min="14128" max="14366" width="9.15625" style="57"/>
    <col min="14367" max="14367" width="53" style="57" customWidth="1"/>
    <col min="14368" max="14368" width="14.41796875" style="57" customWidth="1"/>
    <col min="14369" max="14381" width="11" style="57" customWidth="1"/>
    <col min="14382" max="14382" width="12.83984375" style="57" customWidth="1"/>
    <col min="14383" max="14383" width="10" style="57" bestFit="1" customWidth="1"/>
    <col min="14384" max="14622" width="9.15625" style="57"/>
    <col min="14623" max="14623" width="53" style="57" customWidth="1"/>
    <col min="14624" max="14624" width="14.41796875" style="57" customWidth="1"/>
    <col min="14625" max="14637" width="11" style="57" customWidth="1"/>
    <col min="14638" max="14638" width="12.83984375" style="57" customWidth="1"/>
    <col min="14639" max="14639" width="10" style="57" bestFit="1" customWidth="1"/>
    <col min="14640" max="14878" width="9.15625" style="57"/>
    <col min="14879" max="14879" width="53" style="57" customWidth="1"/>
    <col min="14880" max="14880" width="14.41796875" style="57" customWidth="1"/>
    <col min="14881" max="14893" width="11" style="57" customWidth="1"/>
    <col min="14894" max="14894" width="12.83984375" style="57" customWidth="1"/>
    <col min="14895" max="14895" width="10" style="57" bestFit="1" customWidth="1"/>
    <col min="14896" max="15134" width="9.15625" style="57"/>
    <col min="15135" max="15135" width="53" style="57" customWidth="1"/>
    <col min="15136" max="15136" width="14.41796875" style="57" customWidth="1"/>
    <col min="15137" max="15149" width="11" style="57" customWidth="1"/>
    <col min="15150" max="15150" width="12.83984375" style="57" customWidth="1"/>
    <col min="15151" max="15151" width="10" style="57" bestFit="1" customWidth="1"/>
    <col min="15152" max="15390" width="9.15625" style="57"/>
    <col min="15391" max="15391" width="53" style="57" customWidth="1"/>
    <col min="15392" max="15392" width="14.41796875" style="57" customWidth="1"/>
    <col min="15393" max="15405" width="11" style="57" customWidth="1"/>
    <col min="15406" max="15406" width="12.83984375" style="57" customWidth="1"/>
    <col min="15407" max="15407" width="10" style="57" bestFit="1" customWidth="1"/>
    <col min="15408" max="15646" width="9.15625" style="57"/>
    <col min="15647" max="15647" width="53" style="57" customWidth="1"/>
    <col min="15648" max="15648" width="14.41796875" style="57" customWidth="1"/>
    <col min="15649" max="15661" width="11" style="57" customWidth="1"/>
    <col min="15662" max="15662" width="12.83984375" style="57" customWidth="1"/>
    <col min="15663" max="15663" width="10" style="57" bestFit="1" customWidth="1"/>
    <col min="15664" max="15902" width="9.15625" style="57"/>
    <col min="15903" max="15903" width="53" style="57" customWidth="1"/>
    <col min="15904" max="15904" width="14.41796875" style="57" customWidth="1"/>
    <col min="15905" max="15917" width="11" style="57" customWidth="1"/>
    <col min="15918" max="15918" width="12.83984375" style="57" customWidth="1"/>
    <col min="15919" max="15919" width="10" style="57" bestFit="1" customWidth="1"/>
    <col min="15920" max="16158" width="9.15625" style="57"/>
    <col min="16159" max="16159" width="53" style="57" customWidth="1"/>
    <col min="16160" max="16160" width="14.41796875" style="57" customWidth="1"/>
    <col min="16161" max="16173" width="11" style="57" customWidth="1"/>
    <col min="16174" max="16174" width="12.83984375" style="57" customWidth="1"/>
    <col min="16175" max="16175" width="10" style="57" bestFit="1" customWidth="1"/>
    <col min="16176" max="16384" width="9.15625" style="57"/>
  </cols>
  <sheetData>
    <row r="1" spans="1:55" ht="12.75" customHeight="1" x14ac:dyDescent="0.4">
      <c r="A1" s="58"/>
      <c r="B1" s="59"/>
      <c r="C1" s="59"/>
      <c r="D1" s="60" t="str">
        <f>A110</f>
        <v>Строк окупності проекту з урахуванням інвестицій, міс.:</v>
      </c>
      <c r="E1" s="61">
        <f>B110</f>
        <v>9</v>
      </c>
      <c r="F1" s="59"/>
      <c r="G1" s="59"/>
      <c r="H1" s="59"/>
      <c r="I1" s="59"/>
      <c r="J1" s="62"/>
      <c r="K1" s="63"/>
      <c r="L1" s="63"/>
      <c r="M1" s="63"/>
      <c r="N1" s="63"/>
      <c r="O1" s="63"/>
      <c r="P1" s="64"/>
      <c r="Q1" s="64"/>
      <c r="R1" s="59"/>
      <c r="S1" s="65"/>
      <c r="T1" s="59"/>
      <c r="U1" s="59"/>
      <c r="V1" s="59"/>
      <c r="W1" s="59"/>
      <c r="X1" s="62"/>
      <c r="Y1" s="63"/>
      <c r="Z1" s="63"/>
      <c r="AA1" s="63"/>
      <c r="AB1" s="63"/>
      <c r="AC1" s="63"/>
      <c r="AD1" s="64"/>
      <c r="AE1" s="64"/>
      <c r="AF1" s="59"/>
      <c r="AG1" s="65"/>
      <c r="AH1" s="59"/>
      <c r="AI1" s="59"/>
      <c r="AJ1" s="59"/>
      <c r="AK1" s="59"/>
      <c r="AL1" s="62"/>
      <c r="AM1" s="63"/>
      <c r="AN1" s="63"/>
      <c r="AO1" s="63"/>
      <c r="AP1" s="63"/>
      <c r="AQ1" s="63"/>
      <c r="AR1" s="64"/>
      <c r="AS1" s="64"/>
      <c r="AT1" s="63"/>
      <c r="AW1" s="226" t="s">
        <v>6</v>
      </c>
      <c r="AX1" s="57" t="s">
        <v>237</v>
      </c>
    </row>
    <row r="2" spans="1:55" hidden="1" x14ac:dyDescent="0.4">
      <c r="C2" s="66">
        <f>IF(D2=1,12,D2-1)</f>
        <v>12</v>
      </c>
      <c r="D2" s="66">
        <f>'Исходные данные'!$Q$2</f>
        <v>1</v>
      </c>
      <c r="E2" s="66">
        <f>IF(D2=12,1,D2+1)</f>
        <v>2</v>
      </c>
      <c r="F2" s="66">
        <f t="shared" ref="F2:AC2" si="0">IF(E2=12,1,E2+1)</f>
        <v>3</v>
      </c>
      <c r="G2" s="66">
        <f t="shared" si="0"/>
        <v>4</v>
      </c>
      <c r="H2" s="66">
        <f t="shared" si="0"/>
        <v>5</v>
      </c>
      <c r="I2" s="66">
        <f t="shared" si="0"/>
        <v>6</v>
      </c>
      <c r="J2" s="66">
        <f t="shared" si="0"/>
        <v>7</v>
      </c>
      <c r="K2" s="66">
        <f t="shared" si="0"/>
        <v>8</v>
      </c>
      <c r="L2" s="66">
        <f t="shared" si="0"/>
        <v>9</v>
      </c>
      <c r="M2" s="66">
        <f t="shared" si="0"/>
        <v>10</v>
      </c>
      <c r="N2" s="66">
        <f t="shared" si="0"/>
        <v>11</v>
      </c>
      <c r="O2" s="66">
        <f t="shared" si="0"/>
        <v>12</v>
      </c>
      <c r="P2" s="67"/>
      <c r="Q2" s="67"/>
      <c r="R2" s="66">
        <f>IF(O2=12,1,O2+1)</f>
        <v>1</v>
      </c>
      <c r="S2" s="66">
        <f t="shared" si="0"/>
        <v>2</v>
      </c>
      <c r="T2" s="66">
        <f t="shared" si="0"/>
        <v>3</v>
      </c>
      <c r="U2" s="66">
        <f t="shared" si="0"/>
        <v>4</v>
      </c>
      <c r="V2" s="66">
        <f t="shared" si="0"/>
        <v>5</v>
      </c>
      <c r="W2" s="66">
        <f t="shared" si="0"/>
        <v>6</v>
      </c>
      <c r="X2" s="66">
        <f t="shared" si="0"/>
        <v>7</v>
      </c>
      <c r="Y2" s="66">
        <f t="shared" si="0"/>
        <v>8</v>
      </c>
      <c r="Z2" s="66">
        <f t="shared" si="0"/>
        <v>9</v>
      </c>
      <c r="AA2" s="66">
        <f t="shared" si="0"/>
        <v>10</v>
      </c>
      <c r="AB2" s="66">
        <f t="shared" si="0"/>
        <v>11</v>
      </c>
      <c r="AC2" s="66">
        <f t="shared" si="0"/>
        <v>12</v>
      </c>
      <c r="AD2" s="67"/>
      <c r="AE2" s="67"/>
      <c r="AF2" s="66">
        <f>IF(AC2=12,1,AC2+1)</f>
        <v>1</v>
      </c>
      <c r="AG2" s="66">
        <f t="shared" ref="AG2:AQ2" si="1">IF(AF2=12,1,AF2+1)</f>
        <v>2</v>
      </c>
      <c r="AH2" s="66">
        <f t="shared" si="1"/>
        <v>3</v>
      </c>
      <c r="AI2" s="66">
        <f t="shared" si="1"/>
        <v>4</v>
      </c>
      <c r="AJ2" s="66">
        <f t="shared" si="1"/>
        <v>5</v>
      </c>
      <c r="AK2" s="66">
        <f t="shared" si="1"/>
        <v>6</v>
      </c>
      <c r="AL2" s="66">
        <f t="shared" si="1"/>
        <v>7</v>
      </c>
      <c r="AM2" s="66">
        <f t="shared" si="1"/>
        <v>8</v>
      </c>
      <c r="AN2" s="66">
        <f t="shared" si="1"/>
        <v>9</v>
      </c>
      <c r="AO2" s="66">
        <f t="shared" si="1"/>
        <v>10</v>
      </c>
      <c r="AP2" s="66">
        <f t="shared" si="1"/>
        <v>11</v>
      </c>
      <c r="AQ2" s="66">
        <f t="shared" si="1"/>
        <v>12</v>
      </c>
      <c r="AR2" s="67"/>
      <c r="AS2" s="67"/>
      <c r="AW2" s="226" t="s">
        <v>68</v>
      </c>
      <c r="AX2" s="57" t="s">
        <v>238</v>
      </c>
    </row>
    <row r="3" spans="1:55" hidden="1" x14ac:dyDescent="0.4">
      <c r="A3" s="9" t="s">
        <v>354</v>
      </c>
      <c r="C3" s="66"/>
      <c r="D3" s="66">
        <v>1</v>
      </c>
      <c r="E3" s="66">
        <f>D3+1</f>
        <v>2</v>
      </c>
      <c r="F3" s="66">
        <f t="shared" ref="F3:O3" si="2">E3+1</f>
        <v>3</v>
      </c>
      <c r="G3" s="66">
        <f t="shared" si="2"/>
        <v>4</v>
      </c>
      <c r="H3" s="66">
        <f t="shared" si="2"/>
        <v>5</v>
      </c>
      <c r="I3" s="66">
        <f t="shared" si="2"/>
        <v>6</v>
      </c>
      <c r="J3" s="66">
        <f t="shared" si="2"/>
        <v>7</v>
      </c>
      <c r="K3" s="66">
        <f t="shared" si="2"/>
        <v>8</v>
      </c>
      <c r="L3" s="66">
        <f t="shared" si="2"/>
        <v>9</v>
      </c>
      <c r="M3" s="66">
        <f t="shared" si="2"/>
        <v>10</v>
      </c>
      <c r="N3" s="66">
        <f t="shared" si="2"/>
        <v>11</v>
      </c>
      <c r="O3" s="66">
        <f t="shared" si="2"/>
        <v>12</v>
      </c>
      <c r="P3" s="67"/>
      <c r="Q3" s="67"/>
      <c r="R3" s="66">
        <f>O3+1</f>
        <v>13</v>
      </c>
      <c r="S3" s="66">
        <f>R3+1</f>
        <v>14</v>
      </c>
      <c r="T3" s="66">
        <f t="shared" ref="T3:AC3" si="3">S3+1</f>
        <v>15</v>
      </c>
      <c r="U3" s="66">
        <f t="shared" si="3"/>
        <v>16</v>
      </c>
      <c r="V3" s="66">
        <f t="shared" si="3"/>
        <v>17</v>
      </c>
      <c r="W3" s="66">
        <f t="shared" si="3"/>
        <v>18</v>
      </c>
      <c r="X3" s="66">
        <f t="shared" si="3"/>
        <v>19</v>
      </c>
      <c r="Y3" s="66">
        <f t="shared" si="3"/>
        <v>20</v>
      </c>
      <c r="Z3" s="66">
        <f t="shared" si="3"/>
        <v>21</v>
      </c>
      <c r="AA3" s="66">
        <f t="shared" si="3"/>
        <v>22</v>
      </c>
      <c r="AB3" s="66">
        <f t="shared" si="3"/>
        <v>23</v>
      </c>
      <c r="AC3" s="66">
        <f t="shared" si="3"/>
        <v>24</v>
      </c>
      <c r="AD3" s="67"/>
      <c r="AE3" s="67"/>
      <c r="AF3" s="66">
        <f>AC3+1</f>
        <v>25</v>
      </c>
      <c r="AG3" s="66">
        <f>AF3+1</f>
        <v>26</v>
      </c>
      <c r="AH3" s="66">
        <f t="shared" ref="AH3:AQ3" si="4">AG3+1</f>
        <v>27</v>
      </c>
      <c r="AI3" s="66">
        <f t="shared" si="4"/>
        <v>28</v>
      </c>
      <c r="AJ3" s="66">
        <f t="shared" si="4"/>
        <v>29</v>
      </c>
      <c r="AK3" s="66">
        <f t="shared" si="4"/>
        <v>30</v>
      </c>
      <c r="AL3" s="66">
        <f t="shared" si="4"/>
        <v>31</v>
      </c>
      <c r="AM3" s="66">
        <f t="shared" si="4"/>
        <v>32</v>
      </c>
      <c r="AN3" s="66">
        <f t="shared" si="4"/>
        <v>33</v>
      </c>
      <c r="AO3" s="66">
        <f t="shared" si="4"/>
        <v>34</v>
      </c>
      <c r="AP3" s="66">
        <f t="shared" si="4"/>
        <v>35</v>
      </c>
      <c r="AQ3" s="66">
        <f t="shared" si="4"/>
        <v>36</v>
      </c>
      <c r="AR3" s="67"/>
      <c r="AS3" s="67"/>
      <c r="AW3" s="226"/>
    </row>
    <row r="4" spans="1:55" x14ac:dyDescent="0.4">
      <c r="B4" s="68"/>
      <c r="C4" s="68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70"/>
      <c r="Q4" s="70"/>
      <c r="R4" s="69"/>
      <c r="S4" s="69"/>
      <c r="T4" s="69"/>
      <c r="U4" s="69"/>
      <c r="V4" s="69"/>
      <c r="W4" s="69"/>
      <c r="X4" s="69"/>
      <c r="Y4" s="69"/>
      <c r="Z4" s="69"/>
      <c r="AD4" s="70"/>
      <c r="AE4" s="70"/>
      <c r="AF4" s="69"/>
      <c r="AG4" s="69"/>
      <c r="AH4" s="69"/>
      <c r="AI4" s="69"/>
      <c r="AJ4" s="69"/>
      <c r="AK4" s="69"/>
      <c r="AL4" s="69"/>
      <c r="AM4" s="69"/>
      <c r="AN4" s="69"/>
      <c r="AR4" s="70"/>
      <c r="AS4" s="70"/>
      <c r="AV4" s="6"/>
      <c r="AW4" s="226" t="s">
        <v>102</v>
      </c>
      <c r="AX4" s="226" t="s">
        <v>245</v>
      </c>
    </row>
    <row r="5" spans="1:55" s="9" customFormat="1" ht="14.25" customHeight="1" thickBot="1" x14ac:dyDescent="0.45">
      <c r="B5" s="71"/>
      <c r="C5" s="71"/>
      <c r="D5" s="371" t="str">
        <f>CHOOSE('Исходные данные'!$U$2,AW11,AX11)</f>
        <v>1-й рік роботи</v>
      </c>
      <c r="E5" s="372"/>
      <c r="F5" s="372"/>
      <c r="G5" s="372"/>
      <c r="H5" s="372"/>
      <c r="I5" s="372"/>
      <c r="J5" s="372"/>
      <c r="K5" s="372"/>
      <c r="L5" s="372"/>
      <c r="M5" s="372"/>
      <c r="N5" s="372"/>
      <c r="O5" s="372"/>
      <c r="P5" s="372"/>
      <c r="Q5" s="373"/>
      <c r="R5" s="374" t="str">
        <f>CHOOSE('Исходные данные'!$U$2,AW12,AX12)</f>
        <v>2-й рік роботи</v>
      </c>
      <c r="S5" s="375"/>
      <c r="T5" s="375"/>
      <c r="U5" s="375"/>
      <c r="V5" s="375"/>
      <c r="W5" s="375"/>
      <c r="X5" s="375"/>
      <c r="Y5" s="375"/>
      <c r="Z5" s="375"/>
      <c r="AA5" s="375"/>
      <c r="AB5" s="375"/>
      <c r="AC5" s="375"/>
      <c r="AD5" s="375"/>
      <c r="AE5" s="376"/>
      <c r="AF5" s="377" t="str">
        <f>CHOOSE('Исходные данные'!$U$2,AW13,AX13)</f>
        <v>3-й рік роботи</v>
      </c>
      <c r="AG5" s="377"/>
      <c r="AH5" s="377"/>
      <c r="AI5" s="377"/>
      <c r="AJ5" s="377"/>
      <c r="AK5" s="377"/>
      <c r="AL5" s="377"/>
      <c r="AM5" s="377"/>
      <c r="AN5" s="377"/>
      <c r="AO5" s="377"/>
      <c r="AP5" s="377"/>
      <c r="AQ5" s="377"/>
      <c r="AR5" s="377"/>
      <c r="AS5" s="377"/>
      <c r="AV5" s="6"/>
      <c r="AW5" s="227" t="s">
        <v>70</v>
      </c>
      <c r="AX5" s="57" t="s">
        <v>239</v>
      </c>
    </row>
    <row r="6" spans="1:55" s="9" customFormat="1" ht="11.1" thickTop="1" thickBot="1" x14ac:dyDescent="0.4">
      <c r="A6" s="72" t="str">
        <f>CHOOSE('Исходные данные'!$U$2,AW1,AX1)</f>
        <v>ЗАВАНТАЖЕННЯ</v>
      </c>
      <c r="B6" s="78"/>
      <c r="C6" s="73" t="str">
        <f>CHOOSE(C2,'Исходные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грудень</v>
      </c>
      <c r="D6" s="73" t="str">
        <f>CHOOSE(D2,'Исходные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січень</v>
      </c>
      <c r="E6" s="73" t="str">
        <f>CHOOSE(E2,'Исходные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лютий</v>
      </c>
      <c r="F6" s="73" t="str">
        <f>CHOOSE(F2,'Исходные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березень</v>
      </c>
      <c r="G6" s="73" t="str">
        <f>CHOOSE(G2,'Исходные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квітень</v>
      </c>
      <c r="H6" s="73" t="str">
        <f>CHOOSE(H2,'Исходные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травень</v>
      </c>
      <c r="I6" s="73" t="str">
        <f>CHOOSE(I2,'Исходные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червень</v>
      </c>
      <c r="J6" s="73" t="str">
        <f>CHOOSE(J2,'Исходные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липень</v>
      </c>
      <c r="K6" s="73" t="str">
        <f>CHOOSE(K2,'Исходные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серпень</v>
      </c>
      <c r="L6" s="73" t="str">
        <f>CHOOSE(L2,'Исходные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вересень</v>
      </c>
      <c r="M6" s="73" t="str">
        <f>CHOOSE(M2,'Исходные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жовтень</v>
      </c>
      <c r="N6" s="73" t="str">
        <f>CHOOSE(N2,'Исходные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листопад</v>
      </c>
      <c r="O6" s="73" t="str">
        <f>CHOOSE(O2,'Исходные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грудень</v>
      </c>
      <c r="P6" s="74"/>
      <c r="Q6" s="74"/>
      <c r="R6" s="73" t="str">
        <f>CHOOSE(R2,'Исходные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січень</v>
      </c>
      <c r="S6" s="73" t="str">
        <f>CHOOSE(S2,'Исходные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лютий</v>
      </c>
      <c r="T6" s="73" t="str">
        <f>CHOOSE(T2,'Исходные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березень</v>
      </c>
      <c r="U6" s="73" t="str">
        <f>CHOOSE(U2,'Исходные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квітень</v>
      </c>
      <c r="V6" s="73" t="str">
        <f>CHOOSE(V2,'Исходные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травень</v>
      </c>
      <c r="W6" s="73" t="str">
        <f>CHOOSE(W2,'Исходные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червень</v>
      </c>
      <c r="X6" s="73" t="str">
        <f>CHOOSE(X2,'Исходные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липень</v>
      </c>
      <c r="Y6" s="73" t="str">
        <f>CHOOSE(Y2,'Исходные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серпень</v>
      </c>
      <c r="Z6" s="73" t="str">
        <f>CHOOSE(Z2,'Исходные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вересень</v>
      </c>
      <c r="AA6" s="73" t="str">
        <f>CHOOSE(AA2,'Исходные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жовтень</v>
      </c>
      <c r="AB6" s="73" t="str">
        <f>CHOOSE(AB2,'Исходные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листопад</v>
      </c>
      <c r="AC6" s="73" t="str">
        <f>CHOOSE(AC2,'Исходные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грудень</v>
      </c>
      <c r="AD6" s="74"/>
      <c r="AE6" s="74"/>
      <c r="AF6" s="73" t="str">
        <f>CHOOSE(AF2,'Исходные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січень</v>
      </c>
      <c r="AG6" s="73" t="str">
        <f>CHOOSE(AG2,'Исходные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лютий</v>
      </c>
      <c r="AH6" s="73" t="str">
        <f>CHOOSE(AH2,'Исходные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березень</v>
      </c>
      <c r="AI6" s="73" t="str">
        <f>CHOOSE(AI2,'Исходные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квітень</v>
      </c>
      <c r="AJ6" s="73" t="str">
        <f>CHOOSE(AJ2,'Исходные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травень</v>
      </c>
      <c r="AK6" s="73" t="str">
        <f>CHOOSE(AK2,'Исходные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червень</v>
      </c>
      <c r="AL6" s="73" t="str">
        <f>CHOOSE(AL2,'Исходные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липень</v>
      </c>
      <c r="AM6" s="73" t="str">
        <f>CHOOSE(AM2,'Исходные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серпень</v>
      </c>
      <c r="AN6" s="73" t="str">
        <f>CHOOSE(AN2,'Исходные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вересень</v>
      </c>
      <c r="AO6" s="73" t="str">
        <f>CHOOSE(AO2,'Исходные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жовтень</v>
      </c>
      <c r="AP6" s="73" t="str">
        <f>CHOOSE(AP2,'Исходные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листопад</v>
      </c>
      <c r="AQ6" s="73" t="str">
        <f>CHOOSE(AQ2,'Исходные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грудень</v>
      </c>
      <c r="AR6" s="74"/>
      <c r="AS6" s="74"/>
      <c r="AT6" s="75"/>
      <c r="AV6" s="6"/>
      <c r="AW6" s="227" t="s">
        <v>69</v>
      </c>
      <c r="AX6" s="9" t="s">
        <v>240</v>
      </c>
    </row>
    <row r="7" spans="1:55" s="8" customFormat="1" ht="10.8" outlineLevel="1" thickTop="1" x14ac:dyDescent="0.35">
      <c r="A7" s="4" t="str">
        <f>CHOOSE('Исходные данные'!$U$2,AW2,AX2)</f>
        <v>Вихід продажів на планові показники та подальше збільшення обсягів*</v>
      </c>
      <c r="B7" s="5"/>
      <c r="C7" s="5"/>
      <c r="D7" s="6">
        <f>'Исходные данные'!$C22</f>
        <v>0.6</v>
      </c>
      <c r="E7" s="6">
        <f>'Исходные данные'!$C23</f>
        <v>0.7</v>
      </c>
      <c r="F7" s="6">
        <f>'Исходные данные'!$C24</f>
        <v>0.8</v>
      </c>
      <c r="G7" s="6">
        <f>'Исходные данные'!$C25</f>
        <v>0.9</v>
      </c>
      <c r="H7" s="6">
        <f>'Исходные данные'!$C26</f>
        <v>1</v>
      </c>
      <c r="I7" s="6">
        <f>'Исходные данные'!$C27</f>
        <v>1</v>
      </c>
      <c r="J7" s="6">
        <f>'Исходные данные'!$C28</f>
        <v>1</v>
      </c>
      <c r="K7" s="6">
        <f>'Исходные данные'!$C29</f>
        <v>1</v>
      </c>
      <c r="L7" s="6">
        <f>'Исходные данные'!$C30</f>
        <v>1</v>
      </c>
      <c r="M7" s="6">
        <f>'Исходные данные'!$C31</f>
        <v>1</v>
      </c>
      <c r="N7" s="6">
        <f>'Исходные данные'!$C32</f>
        <v>1</v>
      </c>
      <c r="O7" s="6">
        <f>'Исходные данные'!$C33</f>
        <v>1</v>
      </c>
      <c r="P7" s="7"/>
      <c r="Q7" s="7"/>
      <c r="R7" s="6">
        <f>'Исходные данные'!$C$36</f>
        <v>1.1000000000000001</v>
      </c>
      <c r="S7" s="6">
        <f>'Исходные данные'!$C$36</f>
        <v>1.1000000000000001</v>
      </c>
      <c r="T7" s="6">
        <f>'Исходные данные'!$C$36</f>
        <v>1.1000000000000001</v>
      </c>
      <c r="U7" s="6">
        <f>'Исходные данные'!$C$36</f>
        <v>1.1000000000000001</v>
      </c>
      <c r="V7" s="6">
        <f>'Исходные данные'!$C$36</f>
        <v>1.1000000000000001</v>
      </c>
      <c r="W7" s="6">
        <f>'Исходные данные'!$C$36</f>
        <v>1.1000000000000001</v>
      </c>
      <c r="X7" s="6">
        <f>'Исходные данные'!$C$36</f>
        <v>1.1000000000000001</v>
      </c>
      <c r="Y7" s="6">
        <f>'Исходные данные'!$C$36</f>
        <v>1.1000000000000001</v>
      </c>
      <c r="Z7" s="6">
        <f>'Исходные данные'!$C$36</f>
        <v>1.1000000000000001</v>
      </c>
      <c r="AA7" s="6">
        <f>'Исходные данные'!$C$36</f>
        <v>1.1000000000000001</v>
      </c>
      <c r="AB7" s="6">
        <f>'Исходные данные'!$C$36</f>
        <v>1.1000000000000001</v>
      </c>
      <c r="AC7" s="6">
        <f>'Исходные данные'!$C$36</f>
        <v>1.1000000000000001</v>
      </c>
      <c r="AD7" s="7"/>
      <c r="AE7" s="7"/>
      <c r="AF7" s="6">
        <f>'Исходные данные'!$C$37</f>
        <v>1.2</v>
      </c>
      <c r="AG7" s="6">
        <f>'Исходные данные'!$C$37</f>
        <v>1.2</v>
      </c>
      <c r="AH7" s="6">
        <f>'Исходные данные'!$C$37</f>
        <v>1.2</v>
      </c>
      <c r="AI7" s="6">
        <f>'Исходные данные'!$C$37</f>
        <v>1.2</v>
      </c>
      <c r="AJ7" s="6">
        <f>'Исходные данные'!$C$37</f>
        <v>1.2</v>
      </c>
      <c r="AK7" s="6">
        <f>'Исходные данные'!$C$37</f>
        <v>1.2</v>
      </c>
      <c r="AL7" s="6">
        <f>'Исходные данные'!$C$37</f>
        <v>1.2</v>
      </c>
      <c r="AM7" s="6">
        <f>'Исходные данные'!$C$37</f>
        <v>1.2</v>
      </c>
      <c r="AN7" s="6">
        <f>'Исходные данные'!$C$37</f>
        <v>1.2</v>
      </c>
      <c r="AO7" s="6">
        <f>'Исходные данные'!$C$37</f>
        <v>1.2</v>
      </c>
      <c r="AP7" s="6">
        <f>'Исходные данные'!$C$37</f>
        <v>1.2</v>
      </c>
      <c r="AQ7" s="6">
        <f>'Исходные данные'!$C$37</f>
        <v>1.2</v>
      </c>
      <c r="AR7" s="7"/>
      <c r="AS7" s="7"/>
      <c r="AT7" s="6"/>
      <c r="AV7" s="6"/>
      <c r="AW7" s="228" t="s">
        <v>95</v>
      </c>
      <c r="AX7" s="9" t="s">
        <v>241</v>
      </c>
    </row>
    <row r="8" spans="1:55" s="8" customFormat="1" ht="10.5" outlineLevel="1" x14ac:dyDescent="0.35">
      <c r="A8" s="4" t="str">
        <f>CHOOSE('Исходные данные'!$U$2,AW4,AX4)</f>
        <v>Процент впливу сезону на планові показники по виручці*</v>
      </c>
      <c r="B8" s="5"/>
      <c r="C8" s="5"/>
      <c r="D8" s="6">
        <f>CHOOSE(D2,'Исходные данные'!$H$22,'Исходные данные'!$H$23,'Исходные данные'!$H$24,'Исходные данные'!$H$25,'Исходные данные'!$H$26,'Исходные данные'!$H$27,'Исходные данные'!$H$28,'Исходные данные'!$H$29,'Исходные данные'!$H$30,'Исходные данные'!$H$31,'Исходные данные'!$H$32,'Исходные данные'!$H$33)</f>
        <v>0.7</v>
      </c>
      <c r="E8" s="6">
        <f>CHOOSE(E2,'Исходные данные'!$H$22,'Исходные данные'!$H$23,'Исходные данные'!$H$24,'Исходные данные'!$H$25,'Исходные данные'!$H$26,'Исходные данные'!$H$27,'Исходные данные'!$H$28,'Исходные данные'!$H$29,'Исходные данные'!$H$30,'Исходные данные'!$H$31,'Исходные данные'!$H$32,'Исходные данные'!$H$33)</f>
        <v>1</v>
      </c>
      <c r="F8" s="6">
        <f>CHOOSE(F2,'Исходные данные'!$H$22,'Исходные данные'!$H$23,'Исходные данные'!$H$24,'Исходные данные'!$H$25,'Исходные данные'!$H$26,'Исходные данные'!$H$27,'Исходные данные'!$H$28,'Исходные данные'!$H$29,'Исходные данные'!$H$30,'Исходные данные'!$H$31,'Исходные данные'!$H$32,'Исходные данные'!$H$33)</f>
        <v>1.1499999999999999</v>
      </c>
      <c r="G8" s="6">
        <f>CHOOSE(G2,'Исходные данные'!$H$22,'Исходные данные'!$H$23,'Исходные данные'!$H$24,'Исходные данные'!$H$25,'Исходные данные'!$H$26,'Исходные данные'!$H$27,'Исходные данные'!$H$28,'Исходные данные'!$H$29,'Исходные данные'!$H$30,'Исходные данные'!$H$31,'Исходные данные'!$H$32,'Исходные данные'!$H$33)</f>
        <v>1</v>
      </c>
      <c r="H8" s="6">
        <f>CHOOSE(H2,'Исходные данные'!$H$22,'Исходные данные'!$H$23,'Исходные данные'!$H$24,'Исходные данные'!$H$25,'Исходные данные'!$H$26,'Исходные данные'!$H$27,'Исходные данные'!$H$28,'Исходные данные'!$H$29,'Исходные данные'!$H$30,'Исходные данные'!$H$31,'Исходные данные'!$H$32,'Исходные данные'!$H$33)</f>
        <v>1</v>
      </c>
      <c r="I8" s="6">
        <f>CHOOSE(I2,'Исходные данные'!$H$22,'Исходные данные'!$H$23,'Исходные данные'!$H$24,'Исходные данные'!$H$25,'Исходные данные'!$H$26,'Исходные данные'!$H$27,'Исходные данные'!$H$28,'Исходные данные'!$H$29,'Исходные данные'!$H$30,'Исходные данные'!$H$31,'Исходные данные'!$H$32,'Исходные данные'!$H$33)</f>
        <v>0.8</v>
      </c>
      <c r="J8" s="6">
        <f>CHOOSE(J2,'Исходные данные'!$H$22,'Исходные данные'!$H$23,'Исходные данные'!$H$24,'Исходные данные'!$H$25,'Исходные данные'!$H$26,'Исходные данные'!$H$27,'Исходные данные'!$H$28,'Исходные данные'!$H$29,'Исходные данные'!$H$30,'Исходные данные'!$H$31,'Исходные данные'!$H$32,'Исходные данные'!$H$33)</f>
        <v>0.9</v>
      </c>
      <c r="K8" s="6">
        <f>CHOOSE(K2,'Исходные данные'!$H$22,'Исходные данные'!$H$23,'Исходные данные'!$H$24,'Исходные данные'!$H$25,'Исходные данные'!$H$26,'Исходные данные'!$H$27,'Исходные данные'!$H$28,'Исходные данные'!$H$29,'Исходные данные'!$H$30,'Исходные данные'!$H$31,'Исходные данные'!$H$32,'Исходные данные'!$H$33)</f>
        <v>0.95</v>
      </c>
      <c r="L8" s="6">
        <f>CHOOSE(L2,'Исходные данные'!$H$22,'Исходные данные'!$H$23,'Исходные данные'!$H$24,'Исходные данные'!$H$25,'Исходные данные'!$H$26,'Исходные данные'!$H$27,'Исходные данные'!$H$28,'Исходные данные'!$H$29,'Исходные данные'!$H$30,'Исходные данные'!$H$31,'Исходные данные'!$H$32,'Исходные данные'!$H$33)</f>
        <v>1</v>
      </c>
      <c r="M8" s="6">
        <f>CHOOSE(M2,'Исходные данные'!$H$22,'Исходные данные'!$H$23,'Исходные данные'!$H$24,'Исходные данные'!$H$25,'Исходные данные'!$H$26,'Исходные данные'!$H$27,'Исходные данные'!$H$28,'Исходные данные'!$H$29,'Исходные данные'!$H$30,'Исходные данные'!$H$31,'Исходные данные'!$H$32,'Исходные данные'!$H$33)</f>
        <v>1</v>
      </c>
      <c r="N8" s="6">
        <f>CHOOSE(N2,'Исходные данные'!$H$22,'Исходные данные'!$H$23,'Исходные данные'!$H$24,'Исходные данные'!$H$25,'Исходные данные'!$H$26,'Исходные данные'!$H$27,'Исходные данные'!$H$28,'Исходные данные'!$H$29,'Исходные данные'!$H$30,'Исходные данные'!$H$31,'Исходные данные'!$H$32,'Исходные данные'!$H$33)</f>
        <v>1</v>
      </c>
      <c r="O8" s="6">
        <f>CHOOSE(O2,'Исходные данные'!$H$22,'Исходные данные'!$H$23,'Исходные данные'!$H$24,'Исходные данные'!$H$25,'Исходные данные'!$H$26,'Исходные данные'!$H$27,'Исходные данные'!$H$28,'Исходные данные'!$H$29,'Исходные данные'!$H$30,'Исходные данные'!$H$31,'Исходные данные'!$H$32,'Исходные данные'!$H$33)</f>
        <v>1</v>
      </c>
      <c r="P8" s="7"/>
      <c r="Q8" s="7"/>
      <c r="R8" s="6">
        <f>CHOOSE(R2,'Исходные данные'!$H$22,'Исходные данные'!$H$23,'Исходные данные'!$H$24,'Исходные данные'!$H$25,'Исходные данные'!$H$26,'Исходные данные'!$H$27,'Исходные данные'!$H$28,'Исходные данные'!$H$29,'Исходные данные'!$H$30,'Исходные данные'!$H$31,'Исходные данные'!$H$32,'Исходные данные'!$H$33)</f>
        <v>0.7</v>
      </c>
      <c r="S8" s="6">
        <f>CHOOSE(S2,'Исходные данные'!$H$22,'Исходные данные'!$H$23,'Исходные данные'!$H$24,'Исходные данные'!$H$25,'Исходные данные'!$H$26,'Исходные данные'!$H$27,'Исходные данные'!$H$28,'Исходные данные'!$H$29,'Исходные данные'!$H$30,'Исходные данные'!$H$31,'Исходные данные'!$H$32,'Исходные данные'!$H$33)</f>
        <v>1</v>
      </c>
      <c r="T8" s="6">
        <f>CHOOSE(T2,'Исходные данные'!$H$22,'Исходные данные'!$H$23,'Исходные данные'!$H$24,'Исходные данные'!$H$25,'Исходные данные'!$H$26,'Исходные данные'!$H$27,'Исходные данные'!$H$28,'Исходные данные'!$H$29,'Исходные данные'!$H$30,'Исходные данные'!$H$31,'Исходные данные'!$H$32,'Исходные данные'!$H$33)</f>
        <v>1.1499999999999999</v>
      </c>
      <c r="U8" s="6">
        <f>CHOOSE(U2,'Исходные данные'!$H$22,'Исходные данные'!$H$23,'Исходные данные'!$H$24,'Исходные данные'!$H$25,'Исходные данные'!$H$26,'Исходные данные'!$H$27,'Исходные данные'!$H$28,'Исходные данные'!$H$29,'Исходные данные'!$H$30,'Исходные данные'!$H$31,'Исходные данные'!$H$32,'Исходные данные'!$H$33)</f>
        <v>1</v>
      </c>
      <c r="V8" s="6">
        <f>CHOOSE(V2,'Исходные данные'!$H$22,'Исходные данные'!$H$23,'Исходные данные'!$H$24,'Исходные данные'!$H$25,'Исходные данные'!$H$26,'Исходные данные'!$H$27,'Исходные данные'!$H$28,'Исходные данные'!$H$29,'Исходные данные'!$H$30,'Исходные данные'!$H$31,'Исходные данные'!$H$32,'Исходные данные'!$H$33)</f>
        <v>1</v>
      </c>
      <c r="W8" s="6">
        <f>CHOOSE(W2,'Исходные данные'!$H$22,'Исходные данные'!$H$23,'Исходные данные'!$H$24,'Исходные данные'!$H$25,'Исходные данные'!$H$26,'Исходные данные'!$H$27,'Исходные данные'!$H$28,'Исходные данные'!$H$29,'Исходные данные'!$H$30,'Исходные данные'!$H$31,'Исходные данные'!$H$32,'Исходные данные'!$H$33)</f>
        <v>0.8</v>
      </c>
      <c r="X8" s="6">
        <f>CHOOSE(X2,'Исходные данные'!$H$22,'Исходные данные'!$H$23,'Исходные данные'!$H$24,'Исходные данные'!$H$25,'Исходные данные'!$H$26,'Исходные данные'!$H$27,'Исходные данные'!$H$28,'Исходные данные'!$H$29,'Исходные данные'!$H$30,'Исходные данные'!$H$31,'Исходные данные'!$H$32,'Исходные данные'!$H$33)</f>
        <v>0.9</v>
      </c>
      <c r="Y8" s="6">
        <f>CHOOSE(Y2,'Исходные данные'!$H$22,'Исходные данные'!$H$23,'Исходные данные'!$H$24,'Исходные данные'!$H$25,'Исходные данные'!$H$26,'Исходные данные'!$H$27,'Исходные данные'!$H$28,'Исходные данные'!$H$29,'Исходные данные'!$H$30,'Исходные данные'!$H$31,'Исходные данные'!$H$32,'Исходные данные'!$H$33)</f>
        <v>0.95</v>
      </c>
      <c r="Z8" s="6">
        <f>CHOOSE(Z2,'Исходные данные'!$H$22,'Исходные данные'!$H$23,'Исходные данные'!$H$24,'Исходные данные'!$H$25,'Исходные данные'!$H$26,'Исходные данные'!$H$27,'Исходные данные'!$H$28,'Исходные данные'!$H$29,'Исходные данные'!$H$30,'Исходные данные'!$H$31,'Исходные данные'!$H$32,'Исходные данные'!$H$33)</f>
        <v>1</v>
      </c>
      <c r="AA8" s="6">
        <f>CHOOSE(AA2,'Исходные данные'!$H$22,'Исходные данные'!$H$23,'Исходные данные'!$H$24,'Исходные данные'!$H$25,'Исходные данные'!$H$26,'Исходные данные'!$H$27,'Исходные данные'!$H$28,'Исходные данные'!$H$29,'Исходные данные'!$H$30,'Исходные данные'!$H$31,'Исходные данные'!$H$32,'Исходные данные'!$H$33)</f>
        <v>1</v>
      </c>
      <c r="AB8" s="6">
        <f>CHOOSE(AB2,'Исходные данные'!$H$22,'Исходные данные'!$H$23,'Исходные данные'!$H$24,'Исходные данные'!$H$25,'Исходные данные'!$H$26,'Исходные данные'!$H$27,'Исходные данные'!$H$28,'Исходные данные'!$H$29,'Исходные данные'!$H$30,'Исходные данные'!$H$31,'Исходные данные'!$H$32,'Исходные данные'!$H$33)</f>
        <v>1</v>
      </c>
      <c r="AC8" s="6">
        <f>CHOOSE(AC2,'Исходные данные'!$H$22,'Исходные данные'!$H$23,'Исходные данные'!$H$24,'Исходные данные'!$H$25,'Исходные данные'!$H$26,'Исходные данные'!$H$27,'Исходные данные'!$H$28,'Исходные данные'!$H$29,'Исходные данные'!$H$30,'Исходные данные'!$H$31,'Исходные данные'!$H$32,'Исходные данные'!$H$33)</f>
        <v>1</v>
      </c>
      <c r="AD8" s="7"/>
      <c r="AE8" s="7"/>
      <c r="AF8" s="6">
        <f>CHOOSE(AF2,'Исходные данные'!$H$22,'Исходные данные'!$H$23,'Исходные данные'!$H$24,'Исходные данные'!$H$25,'Исходные данные'!$H$26,'Исходные данные'!$H$27,'Исходные данные'!$H$28,'Исходные данные'!$H$29,'Исходные данные'!$H$30,'Исходные данные'!$H$31,'Исходные данные'!$H$32,'Исходные данные'!$H$33)</f>
        <v>0.7</v>
      </c>
      <c r="AG8" s="6">
        <f>CHOOSE(AG2,'Исходные данные'!$H$22,'Исходные данные'!$H$23,'Исходные данные'!$H$24,'Исходные данные'!$H$25,'Исходные данные'!$H$26,'Исходные данные'!$H$27,'Исходные данные'!$H$28,'Исходные данные'!$H$29,'Исходные данные'!$H$30,'Исходные данные'!$H$31,'Исходные данные'!$H$32,'Исходные данные'!$H$33)</f>
        <v>1</v>
      </c>
      <c r="AH8" s="6">
        <f>CHOOSE(AH2,'Исходные данные'!$H$22,'Исходные данные'!$H$23,'Исходные данные'!$H$24,'Исходные данные'!$H$25,'Исходные данные'!$H$26,'Исходные данные'!$H$27,'Исходные данные'!$H$28,'Исходные данные'!$H$29,'Исходные данные'!$H$30,'Исходные данные'!$H$31,'Исходные данные'!$H$32,'Исходные данные'!$H$33)</f>
        <v>1.1499999999999999</v>
      </c>
      <c r="AI8" s="6">
        <f>CHOOSE(AI2,'Исходные данные'!$H$22,'Исходные данные'!$H$23,'Исходные данные'!$H$24,'Исходные данные'!$H$25,'Исходные данные'!$H$26,'Исходные данные'!$H$27,'Исходные данные'!$H$28,'Исходные данные'!$H$29,'Исходные данные'!$H$30,'Исходные данные'!$H$31,'Исходные данные'!$H$32,'Исходные данные'!$H$33)</f>
        <v>1</v>
      </c>
      <c r="AJ8" s="6">
        <f>CHOOSE(AJ2,'Исходные данные'!$H$22,'Исходные данные'!$H$23,'Исходные данные'!$H$24,'Исходные данные'!$H$25,'Исходные данные'!$H$26,'Исходные данные'!$H$27,'Исходные данные'!$H$28,'Исходные данные'!$H$29,'Исходные данные'!$H$30,'Исходные данные'!$H$31,'Исходные данные'!$H$32,'Исходные данные'!$H$33)</f>
        <v>1</v>
      </c>
      <c r="AK8" s="6">
        <f>CHOOSE(AK2,'Исходные данные'!$H$22,'Исходные данные'!$H$23,'Исходные данные'!$H$24,'Исходные данные'!$H$25,'Исходные данные'!$H$26,'Исходные данные'!$H$27,'Исходные данные'!$H$28,'Исходные данные'!$H$29,'Исходные данные'!$H$30,'Исходные данные'!$H$31,'Исходные данные'!$H$32,'Исходные данные'!$H$33)</f>
        <v>0.8</v>
      </c>
      <c r="AL8" s="6">
        <f>CHOOSE(AL2,'Исходные данные'!$H$22,'Исходные данные'!$H$23,'Исходные данные'!$H$24,'Исходные данные'!$H$25,'Исходные данные'!$H$26,'Исходные данные'!$H$27,'Исходные данные'!$H$28,'Исходные данные'!$H$29,'Исходные данные'!$H$30,'Исходные данные'!$H$31,'Исходные данные'!$H$32,'Исходные данные'!$H$33)</f>
        <v>0.9</v>
      </c>
      <c r="AM8" s="6">
        <f>CHOOSE(AM2,'Исходные данные'!$H$22,'Исходные данные'!$H$23,'Исходные данные'!$H$24,'Исходные данные'!$H$25,'Исходные данные'!$H$26,'Исходные данные'!$H$27,'Исходные данные'!$H$28,'Исходные данные'!$H$29,'Исходные данные'!$H$30,'Исходные данные'!$H$31,'Исходные данные'!$H$32,'Исходные данные'!$H$33)</f>
        <v>0.95</v>
      </c>
      <c r="AN8" s="6">
        <f>CHOOSE(AN2,'Исходные данные'!$H$22,'Исходные данные'!$H$23,'Исходные данные'!$H$24,'Исходные данные'!$H$25,'Исходные данные'!$H$26,'Исходные данные'!$H$27,'Исходные данные'!$H$28,'Исходные данные'!$H$29,'Исходные данные'!$H$30,'Исходные данные'!$H$31,'Исходные данные'!$H$32,'Исходные данные'!$H$33)</f>
        <v>1</v>
      </c>
      <c r="AO8" s="6">
        <f>CHOOSE(AO2,'Исходные данные'!$H$22,'Исходные данные'!$H$23,'Исходные данные'!$H$24,'Исходные данные'!$H$25,'Исходные данные'!$H$26,'Исходные данные'!$H$27,'Исходные данные'!$H$28,'Исходные данные'!$H$29,'Исходные данные'!$H$30,'Исходные данные'!$H$31,'Исходные данные'!$H$32,'Исходные данные'!$H$33)</f>
        <v>1</v>
      </c>
      <c r="AP8" s="6">
        <f>CHOOSE(AP2,'Исходные данные'!$H$22,'Исходные данные'!$H$23,'Исходные данные'!$H$24,'Исходные данные'!$H$25,'Исходные данные'!$H$26,'Исходные данные'!$H$27,'Исходные данные'!$H$28,'Исходные данные'!$H$29,'Исходные данные'!$H$30,'Исходные данные'!$H$31,'Исходные данные'!$H$32,'Исходные данные'!$H$33)</f>
        <v>1</v>
      </c>
      <c r="AQ8" s="6">
        <f>CHOOSE(AQ2,'Исходные данные'!$H$22,'Исходные данные'!$H$23,'Исходные данные'!$H$24,'Исходные данные'!$H$25,'Исходные данные'!$H$26,'Исходные данные'!$H$27,'Исходные данные'!$H$28,'Исходные данные'!$H$29,'Исходные данные'!$H$30,'Исходные данные'!$H$31,'Исходные данные'!$H$32,'Исходные данные'!$H$33)</f>
        <v>1</v>
      </c>
      <c r="AR8" s="7"/>
      <c r="AS8" s="7"/>
      <c r="AT8" s="6"/>
      <c r="AV8" s="6"/>
      <c r="AW8" s="228" t="s">
        <v>96</v>
      </c>
      <c r="AX8" s="8" t="s">
        <v>242</v>
      </c>
    </row>
    <row r="9" spans="1:55" s="8" customFormat="1" ht="10.5" outlineLevel="1" x14ac:dyDescent="0.35">
      <c r="A9" s="4" t="str">
        <f>CHOOSE('Исходные данные'!$U$2,AW5,AX5)</f>
        <v>Ріст заробітної плати (фіксованого окладу)*</v>
      </c>
      <c r="B9" s="5"/>
      <c r="C9" s="5"/>
      <c r="D9" s="6">
        <v>1</v>
      </c>
      <c r="E9" s="6">
        <v>1</v>
      </c>
      <c r="F9" s="6">
        <v>1</v>
      </c>
      <c r="G9" s="6">
        <v>1</v>
      </c>
      <c r="H9" s="6">
        <v>1</v>
      </c>
      <c r="I9" s="6">
        <v>1</v>
      </c>
      <c r="J9" s="6">
        <v>1</v>
      </c>
      <c r="K9" s="6">
        <v>1</v>
      </c>
      <c r="L9" s="6">
        <v>1</v>
      </c>
      <c r="M9" s="6">
        <v>1</v>
      </c>
      <c r="N9" s="6">
        <v>1</v>
      </c>
      <c r="O9" s="6">
        <v>1</v>
      </c>
      <c r="P9" s="7"/>
      <c r="Q9" s="7"/>
      <c r="R9" s="6">
        <f>'Исходные данные'!$D$36</f>
        <v>1</v>
      </c>
      <c r="S9" s="6">
        <f>'Исходные данные'!$D$36</f>
        <v>1</v>
      </c>
      <c r="T9" s="6">
        <f>'Исходные данные'!$D$36</f>
        <v>1</v>
      </c>
      <c r="U9" s="6">
        <f>'Исходные данные'!$D$36</f>
        <v>1</v>
      </c>
      <c r="V9" s="6">
        <f>'Исходные данные'!$D$36</f>
        <v>1</v>
      </c>
      <c r="W9" s="6">
        <f>'Исходные данные'!$D$36</f>
        <v>1</v>
      </c>
      <c r="X9" s="6">
        <f>'Исходные данные'!$D$36</f>
        <v>1</v>
      </c>
      <c r="Y9" s="6">
        <f>'Исходные данные'!$D$36</f>
        <v>1</v>
      </c>
      <c r="Z9" s="6">
        <f>'Исходные данные'!$D$36</f>
        <v>1</v>
      </c>
      <c r="AA9" s="6">
        <f>'Исходные данные'!$D$36</f>
        <v>1</v>
      </c>
      <c r="AB9" s="6">
        <f>'Исходные данные'!$D$36</f>
        <v>1</v>
      </c>
      <c r="AC9" s="6">
        <f>'Исходные данные'!$D$36</f>
        <v>1</v>
      </c>
      <c r="AD9" s="7"/>
      <c r="AE9" s="7"/>
      <c r="AF9" s="6">
        <f>'Исходные данные'!$D$37</f>
        <v>1</v>
      </c>
      <c r="AG9" s="6">
        <f>'Исходные данные'!$D$37</f>
        <v>1</v>
      </c>
      <c r="AH9" s="6">
        <f>'Исходные данные'!$D$37</f>
        <v>1</v>
      </c>
      <c r="AI9" s="6">
        <f>'Исходные данные'!$D$37</f>
        <v>1</v>
      </c>
      <c r="AJ9" s="6">
        <f>'Исходные данные'!$D$37</f>
        <v>1</v>
      </c>
      <c r="AK9" s="6">
        <f>'Исходные данные'!$D$37</f>
        <v>1</v>
      </c>
      <c r="AL9" s="6">
        <f>'Исходные данные'!$D$37</f>
        <v>1</v>
      </c>
      <c r="AM9" s="6">
        <f>'Исходные данные'!$D$37</f>
        <v>1</v>
      </c>
      <c r="AN9" s="6">
        <f>'Исходные данные'!$D$37</f>
        <v>1</v>
      </c>
      <c r="AO9" s="6">
        <f>'Исходные данные'!$D$37</f>
        <v>1</v>
      </c>
      <c r="AP9" s="6">
        <f>'Исходные данные'!$D$37</f>
        <v>1</v>
      </c>
      <c r="AQ9" s="6">
        <f>'Исходные данные'!$D$37</f>
        <v>1</v>
      </c>
      <c r="AR9" s="7"/>
      <c r="AS9" s="7"/>
      <c r="AT9" s="6"/>
      <c r="AV9" s="6"/>
      <c r="AW9" s="228" t="s">
        <v>97</v>
      </c>
      <c r="AX9" s="8" t="s">
        <v>243</v>
      </c>
    </row>
    <row r="10" spans="1:55" s="10" customFormat="1" outlineLevel="1" x14ac:dyDescent="0.4">
      <c r="A10" s="8" t="str">
        <f>CHOOSE('Исходные данные'!$U$2,AW6,AX6)</f>
        <v>Ріст орендної плати*</v>
      </c>
      <c r="B10" s="8"/>
      <c r="C10" s="8"/>
      <c r="D10" s="6">
        <v>1</v>
      </c>
      <c r="E10" s="6">
        <v>1</v>
      </c>
      <c r="F10" s="6">
        <v>1</v>
      </c>
      <c r="G10" s="6">
        <v>1</v>
      </c>
      <c r="H10" s="6">
        <v>1</v>
      </c>
      <c r="I10" s="6">
        <v>1</v>
      </c>
      <c r="J10" s="6">
        <v>1</v>
      </c>
      <c r="K10" s="6">
        <v>1</v>
      </c>
      <c r="L10" s="6">
        <v>1</v>
      </c>
      <c r="M10" s="6">
        <v>1</v>
      </c>
      <c r="N10" s="6">
        <v>1</v>
      </c>
      <c r="O10" s="6">
        <v>1</v>
      </c>
      <c r="P10" s="7"/>
      <c r="Q10" s="7"/>
      <c r="R10" s="6">
        <f>'Исходные данные'!$F$36</f>
        <v>1</v>
      </c>
      <c r="S10" s="6">
        <f>'Исходные данные'!$F$36</f>
        <v>1</v>
      </c>
      <c r="T10" s="6">
        <f>'Исходные данные'!$F$36</f>
        <v>1</v>
      </c>
      <c r="U10" s="6">
        <f>'Исходные данные'!$F$36</f>
        <v>1</v>
      </c>
      <c r="V10" s="6">
        <f>'Исходные данные'!$F$36</f>
        <v>1</v>
      </c>
      <c r="W10" s="6">
        <f>'Исходные данные'!$F$36</f>
        <v>1</v>
      </c>
      <c r="X10" s="6">
        <f>'Исходные данные'!$F$36</f>
        <v>1</v>
      </c>
      <c r="Y10" s="6">
        <f>'Исходные данные'!$F$36</f>
        <v>1</v>
      </c>
      <c r="Z10" s="6">
        <f>'Исходные данные'!$F$36</f>
        <v>1</v>
      </c>
      <c r="AA10" s="6">
        <f>'Исходные данные'!$F$36</f>
        <v>1</v>
      </c>
      <c r="AB10" s="6">
        <f>'Исходные данные'!$F$36</f>
        <v>1</v>
      </c>
      <c r="AC10" s="6">
        <f>'Исходные данные'!$F$36</f>
        <v>1</v>
      </c>
      <c r="AD10" s="7"/>
      <c r="AE10" s="7"/>
      <c r="AF10" s="6">
        <f>'Исходные данные'!$F$37</f>
        <v>1</v>
      </c>
      <c r="AG10" s="6">
        <f>'Исходные данные'!$F$37</f>
        <v>1</v>
      </c>
      <c r="AH10" s="6">
        <f>'Исходные данные'!$F$37</f>
        <v>1</v>
      </c>
      <c r="AI10" s="6">
        <f>'Исходные данные'!$F$37</f>
        <v>1</v>
      </c>
      <c r="AJ10" s="6">
        <f>'Исходные данные'!$F$37</f>
        <v>1</v>
      </c>
      <c r="AK10" s="6">
        <f>'Исходные данные'!$F$37</f>
        <v>1</v>
      </c>
      <c r="AL10" s="6">
        <f>'Исходные данные'!$F$37</f>
        <v>1</v>
      </c>
      <c r="AM10" s="6">
        <f>'Исходные данные'!$F$37</f>
        <v>1</v>
      </c>
      <c r="AN10" s="6">
        <f>'Исходные данные'!$F$37</f>
        <v>1</v>
      </c>
      <c r="AO10" s="6">
        <f>'Исходные данные'!$F$37</f>
        <v>1</v>
      </c>
      <c r="AP10" s="6">
        <f>'Исходные данные'!$F$37</f>
        <v>1</v>
      </c>
      <c r="AQ10" s="6">
        <f>'Исходные данные'!$F$37</f>
        <v>1</v>
      </c>
      <c r="AR10" s="7"/>
      <c r="AS10" s="7"/>
      <c r="AV10" s="6"/>
      <c r="AW10" s="229" t="s">
        <v>71</v>
      </c>
      <c r="AX10" s="8" t="s">
        <v>244</v>
      </c>
    </row>
    <row r="11" spans="1:55" s="8" customFormat="1" outlineLevel="1" x14ac:dyDescent="0.4">
      <c r="A11" s="4" t="str">
        <f>CHOOSE('Исходные данные'!$U$2,AW7,AX7)</f>
        <v>Ріст комунальних платежів*</v>
      </c>
      <c r="B11" s="5"/>
      <c r="C11" s="5"/>
      <c r="D11" s="6">
        <v>1</v>
      </c>
      <c r="E11" s="6">
        <v>1</v>
      </c>
      <c r="F11" s="6">
        <v>1</v>
      </c>
      <c r="G11" s="6">
        <v>1</v>
      </c>
      <c r="H11" s="6">
        <v>1</v>
      </c>
      <c r="I11" s="6">
        <v>1</v>
      </c>
      <c r="J11" s="6">
        <v>1</v>
      </c>
      <c r="K11" s="6">
        <v>1</v>
      </c>
      <c r="L11" s="6">
        <v>1</v>
      </c>
      <c r="M11" s="6">
        <v>1</v>
      </c>
      <c r="N11" s="6">
        <v>1</v>
      </c>
      <c r="O11" s="6">
        <v>1</v>
      </c>
      <c r="P11" s="7"/>
      <c r="Q11" s="7"/>
      <c r="R11" s="6">
        <f>'Исходные данные'!$G$36</f>
        <v>1</v>
      </c>
      <c r="S11" s="6">
        <f>'Исходные данные'!$G$36</f>
        <v>1</v>
      </c>
      <c r="T11" s="6">
        <f>'Исходные данные'!$G$36</f>
        <v>1</v>
      </c>
      <c r="U11" s="6">
        <f>'Исходные данные'!$G$36</f>
        <v>1</v>
      </c>
      <c r="V11" s="6">
        <f>'Исходные данные'!$G$36</f>
        <v>1</v>
      </c>
      <c r="W11" s="6">
        <f>'Исходные данные'!$G$36</f>
        <v>1</v>
      </c>
      <c r="X11" s="6">
        <f>'Исходные данные'!$G$36</f>
        <v>1</v>
      </c>
      <c r="Y11" s="6">
        <f>'Исходные данные'!$G$36</f>
        <v>1</v>
      </c>
      <c r="Z11" s="6">
        <f>'Исходные данные'!$G$36</f>
        <v>1</v>
      </c>
      <c r="AA11" s="6">
        <f>'Исходные данные'!$G$36</f>
        <v>1</v>
      </c>
      <c r="AB11" s="6">
        <f>'Исходные данные'!$G$36</f>
        <v>1</v>
      </c>
      <c r="AC11" s="6">
        <f>'Исходные данные'!$G$36</f>
        <v>1</v>
      </c>
      <c r="AD11" s="7"/>
      <c r="AE11" s="7"/>
      <c r="AF11" s="6">
        <f>'Исходные данные'!$G$37</f>
        <v>1</v>
      </c>
      <c r="AG11" s="6">
        <f>'Исходные данные'!$G$37</f>
        <v>1</v>
      </c>
      <c r="AH11" s="6">
        <f>'Исходные данные'!$G$37</f>
        <v>1</v>
      </c>
      <c r="AI11" s="6">
        <f>'Исходные данные'!$G$37</f>
        <v>1</v>
      </c>
      <c r="AJ11" s="6">
        <f>'Исходные данные'!$G$37</f>
        <v>1</v>
      </c>
      <c r="AK11" s="6">
        <f>'Исходные данные'!$G$37</f>
        <v>1</v>
      </c>
      <c r="AL11" s="6">
        <f>'Исходные данные'!$G$37</f>
        <v>1</v>
      </c>
      <c r="AM11" s="6">
        <f>'Исходные данные'!$G$37</f>
        <v>1</v>
      </c>
      <c r="AN11" s="6">
        <f>'Исходные данные'!$G$37</f>
        <v>1</v>
      </c>
      <c r="AO11" s="6">
        <f>'Исходные данные'!$G$37</f>
        <v>1</v>
      </c>
      <c r="AP11" s="6">
        <f>'Исходные данные'!$G$37</f>
        <v>1</v>
      </c>
      <c r="AQ11" s="6">
        <f>'Исходные данные'!$G$37</f>
        <v>1</v>
      </c>
      <c r="AR11" s="7"/>
      <c r="AS11" s="7"/>
      <c r="AT11" s="6"/>
      <c r="AV11" s="6"/>
      <c r="AW11" s="229" t="s">
        <v>31</v>
      </c>
      <c r="AX11" s="229" t="s">
        <v>246</v>
      </c>
      <c r="AY11" s="9"/>
      <c r="AZ11" s="9"/>
      <c r="BA11" s="9"/>
      <c r="BB11" s="9"/>
      <c r="BC11" s="9"/>
    </row>
    <row r="12" spans="1:55" s="10" customFormat="1" outlineLevel="1" x14ac:dyDescent="0.4">
      <c r="A12" s="8" t="str">
        <f>CHOOSE('Исходные данные'!$U$2,AW8,AX8)</f>
        <v>Ріст витрат на послуги зв'язку та інтернет*</v>
      </c>
      <c r="B12" s="8"/>
      <c r="C12" s="8"/>
      <c r="D12" s="6">
        <v>1</v>
      </c>
      <c r="E12" s="6">
        <v>1</v>
      </c>
      <c r="F12" s="6">
        <v>1</v>
      </c>
      <c r="G12" s="6">
        <v>1</v>
      </c>
      <c r="H12" s="6">
        <v>1</v>
      </c>
      <c r="I12" s="6">
        <v>1</v>
      </c>
      <c r="J12" s="6">
        <v>1</v>
      </c>
      <c r="K12" s="6">
        <v>1</v>
      </c>
      <c r="L12" s="6">
        <v>1</v>
      </c>
      <c r="M12" s="6">
        <v>1</v>
      </c>
      <c r="N12" s="6">
        <v>1</v>
      </c>
      <c r="O12" s="6">
        <v>1</v>
      </c>
      <c r="P12" s="7"/>
      <c r="Q12" s="7"/>
      <c r="R12" s="6">
        <f>'Исходные данные'!$H$36</f>
        <v>1</v>
      </c>
      <c r="S12" s="6">
        <f>'Исходные данные'!$H$36</f>
        <v>1</v>
      </c>
      <c r="T12" s="6">
        <f>'Исходные данные'!$H$36</f>
        <v>1</v>
      </c>
      <c r="U12" s="6">
        <f>'Исходные данные'!$H$36</f>
        <v>1</v>
      </c>
      <c r="V12" s="6">
        <f>'Исходные данные'!$H$36</f>
        <v>1</v>
      </c>
      <c r="W12" s="6">
        <f>'Исходные данные'!$H$36</f>
        <v>1</v>
      </c>
      <c r="X12" s="6">
        <f>'Исходные данные'!$H$36</f>
        <v>1</v>
      </c>
      <c r="Y12" s="6">
        <f>'Исходные данные'!$H$36</f>
        <v>1</v>
      </c>
      <c r="Z12" s="6">
        <f>'Исходные данные'!$H$36</f>
        <v>1</v>
      </c>
      <c r="AA12" s="6">
        <f>'Исходные данные'!$H$36</f>
        <v>1</v>
      </c>
      <c r="AB12" s="6">
        <f>'Исходные данные'!$H$36</f>
        <v>1</v>
      </c>
      <c r="AC12" s="6">
        <f>'Исходные данные'!$H$36</f>
        <v>1</v>
      </c>
      <c r="AD12" s="7"/>
      <c r="AE12" s="7"/>
      <c r="AF12" s="6">
        <f>'Исходные данные'!$H$37</f>
        <v>1</v>
      </c>
      <c r="AG12" s="6">
        <f>'Исходные данные'!$H$37</f>
        <v>1</v>
      </c>
      <c r="AH12" s="6">
        <f>'Исходные данные'!$H$37</f>
        <v>1</v>
      </c>
      <c r="AI12" s="6">
        <f>'Исходные данные'!$H$37</f>
        <v>1</v>
      </c>
      <c r="AJ12" s="6">
        <f>'Исходные данные'!$H$37</f>
        <v>1</v>
      </c>
      <c r="AK12" s="6">
        <f>'Исходные данные'!$H$37</f>
        <v>1</v>
      </c>
      <c r="AL12" s="6">
        <f>'Исходные данные'!$H$37</f>
        <v>1</v>
      </c>
      <c r="AM12" s="6">
        <f>'Исходные данные'!$H$37</f>
        <v>1</v>
      </c>
      <c r="AN12" s="6">
        <f>'Исходные данные'!$H$37</f>
        <v>1</v>
      </c>
      <c r="AO12" s="6">
        <f>'Исходные данные'!$H$37</f>
        <v>1</v>
      </c>
      <c r="AP12" s="6">
        <f>'Исходные данные'!$H$37</f>
        <v>1</v>
      </c>
      <c r="AQ12" s="6">
        <f>'Исходные данные'!$H$37</f>
        <v>1</v>
      </c>
      <c r="AR12" s="7"/>
      <c r="AS12" s="7"/>
      <c r="AV12" s="6"/>
      <c r="AW12" s="229" t="s">
        <v>32</v>
      </c>
      <c r="AX12" s="10" t="s">
        <v>160</v>
      </c>
      <c r="AY12" s="9"/>
      <c r="AZ12" s="9"/>
      <c r="BA12" s="9"/>
      <c r="BB12" s="9"/>
      <c r="BC12" s="9"/>
    </row>
    <row r="13" spans="1:55" s="8" customFormat="1" outlineLevel="1" x14ac:dyDescent="0.4">
      <c r="A13" s="4" t="str">
        <f>CHOOSE('Исходные данные'!$U$2,AW9,AX9)</f>
        <v>Ріст витрат на податки*</v>
      </c>
      <c r="B13" s="5"/>
      <c r="C13" s="5"/>
      <c r="D13" s="6">
        <v>1</v>
      </c>
      <c r="E13" s="6">
        <v>1</v>
      </c>
      <c r="F13" s="6">
        <v>1</v>
      </c>
      <c r="G13" s="6">
        <v>1</v>
      </c>
      <c r="H13" s="6">
        <v>1</v>
      </c>
      <c r="I13" s="6">
        <v>1</v>
      </c>
      <c r="J13" s="6">
        <v>1</v>
      </c>
      <c r="K13" s="6">
        <v>1</v>
      </c>
      <c r="L13" s="6">
        <v>1</v>
      </c>
      <c r="M13" s="6">
        <v>1</v>
      </c>
      <c r="N13" s="6">
        <v>1</v>
      </c>
      <c r="O13" s="6">
        <v>1</v>
      </c>
      <c r="P13" s="7"/>
      <c r="Q13" s="7"/>
      <c r="R13" s="6">
        <f>'Исходные данные'!$I$36</f>
        <v>1</v>
      </c>
      <c r="S13" s="6">
        <f>'Исходные данные'!$I$36</f>
        <v>1</v>
      </c>
      <c r="T13" s="6">
        <f>'Исходные данные'!$I$36</f>
        <v>1</v>
      </c>
      <c r="U13" s="6">
        <f>'Исходные данные'!$I$36</f>
        <v>1</v>
      </c>
      <c r="V13" s="6">
        <f>'Исходные данные'!$I$36</f>
        <v>1</v>
      </c>
      <c r="W13" s="6">
        <f>'Исходные данные'!$I$36</f>
        <v>1</v>
      </c>
      <c r="X13" s="6">
        <f>'Исходные данные'!$I$36</f>
        <v>1</v>
      </c>
      <c r="Y13" s="6">
        <f>'Исходные данные'!$I$36</f>
        <v>1</v>
      </c>
      <c r="Z13" s="6">
        <f>'Исходные данные'!$I$36</f>
        <v>1</v>
      </c>
      <c r="AA13" s="6">
        <f>'Исходные данные'!$I$36</f>
        <v>1</v>
      </c>
      <c r="AB13" s="6">
        <f>'Исходные данные'!$I$36</f>
        <v>1</v>
      </c>
      <c r="AC13" s="6">
        <f>'Исходные данные'!$I$36</f>
        <v>1</v>
      </c>
      <c r="AD13" s="7"/>
      <c r="AE13" s="7"/>
      <c r="AF13" s="6">
        <f>'Исходные данные'!$I$37</f>
        <v>1</v>
      </c>
      <c r="AG13" s="6">
        <f>'Исходные данные'!$I$37</f>
        <v>1</v>
      </c>
      <c r="AH13" s="6">
        <f>'Исходные данные'!$I$37</f>
        <v>1</v>
      </c>
      <c r="AI13" s="6">
        <f>'Исходные данные'!$I$37</f>
        <v>1</v>
      </c>
      <c r="AJ13" s="6">
        <f>'Исходные данные'!$I$37</f>
        <v>1</v>
      </c>
      <c r="AK13" s="6">
        <f>'Исходные данные'!$I$37</f>
        <v>1</v>
      </c>
      <c r="AL13" s="6">
        <f>'Исходные данные'!$I$37</f>
        <v>1</v>
      </c>
      <c r="AM13" s="6">
        <f>'Исходные данные'!$I$37</f>
        <v>1</v>
      </c>
      <c r="AN13" s="6">
        <f>'Исходные данные'!$I$37</f>
        <v>1</v>
      </c>
      <c r="AO13" s="6">
        <f>'Исходные данные'!$I$37</f>
        <v>1</v>
      </c>
      <c r="AP13" s="6">
        <f>'Исходные данные'!$I$37</f>
        <v>1</v>
      </c>
      <c r="AQ13" s="6">
        <f>'Исходные данные'!$I$37</f>
        <v>1</v>
      </c>
      <c r="AR13" s="7"/>
      <c r="AS13" s="7"/>
      <c r="AT13" s="6"/>
      <c r="AV13" s="6"/>
      <c r="AW13" s="229" t="s">
        <v>34</v>
      </c>
      <c r="AX13" s="8" t="s">
        <v>161</v>
      </c>
      <c r="AY13" s="9"/>
      <c r="AZ13" s="9"/>
      <c r="BA13" s="9"/>
      <c r="BB13" s="9"/>
      <c r="BC13" s="9"/>
    </row>
    <row r="14" spans="1:55" s="9" customFormat="1" outlineLevel="1" x14ac:dyDescent="0.4">
      <c r="A14" s="9" t="str">
        <f>CHOOSE('Исходные данные'!$U$2,AW10,AX10)</f>
        <v xml:space="preserve"> * - по відношенню до даних, що вказані на сторінці "Вхідні дані".</v>
      </c>
      <c r="P14" s="76"/>
      <c r="Q14" s="76"/>
      <c r="AD14" s="76"/>
      <c r="AE14" s="76"/>
      <c r="AR14" s="76"/>
      <c r="AS14" s="76"/>
      <c r="AV14" s="6"/>
      <c r="AW14" s="229" t="s">
        <v>35</v>
      </c>
      <c r="AX14" s="229" t="s">
        <v>247</v>
      </c>
    </row>
    <row r="15" spans="1:55" s="9" customFormat="1" ht="13.5" customHeight="1" thickBot="1" x14ac:dyDescent="0.45">
      <c r="A15" s="71"/>
      <c r="B15" s="71"/>
      <c r="C15" s="71"/>
      <c r="D15" s="374" t="str">
        <f>D5</f>
        <v>1-й рік роботи</v>
      </c>
      <c r="E15" s="375"/>
      <c r="F15" s="375"/>
      <c r="G15" s="375"/>
      <c r="H15" s="375"/>
      <c r="I15" s="375"/>
      <c r="J15" s="375"/>
      <c r="K15" s="375"/>
      <c r="L15" s="375"/>
      <c r="M15" s="375"/>
      <c r="N15" s="375"/>
      <c r="O15" s="375"/>
      <c r="P15" s="375"/>
      <c r="Q15" s="376"/>
      <c r="R15" s="374" t="str">
        <f>R5</f>
        <v>2-й рік роботи</v>
      </c>
      <c r="S15" s="375"/>
      <c r="T15" s="375"/>
      <c r="U15" s="375"/>
      <c r="V15" s="375"/>
      <c r="W15" s="375"/>
      <c r="X15" s="375"/>
      <c r="Y15" s="375"/>
      <c r="Z15" s="375"/>
      <c r="AA15" s="375"/>
      <c r="AB15" s="375"/>
      <c r="AC15" s="375"/>
      <c r="AD15" s="375"/>
      <c r="AE15" s="376"/>
      <c r="AF15" s="377" t="str">
        <f>AF5</f>
        <v>3-й рік роботи</v>
      </c>
      <c r="AG15" s="377"/>
      <c r="AH15" s="377"/>
      <c r="AI15" s="377"/>
      <c r="AJ15" s="377"/>
      <c r="AK15" s="377"/>
      <c r="AL15" s="377"/>
      <c r="AM15" s="377"/>
      <c r="AN15" s="377"/>
      <c r="AO15" s="377"/>
      <c r="AP15" s="377"/>
      <c r="AQ15" s="377"/>
      <c r="AR15" s="377"/>
      <c r="AS15" s="377"/>
      <c r="AT15" s="369" t="str">
        <f>CHOOSE('Исходные данные'!$U$2,AW26,AX26)</f>
        <v>Разом за три роки</v>
      </c>
      <c r="AV15" s="6"/>
      <c r="AW15" s="229" t="s">
        <v>38</v>
      </c>
      <c r="AX15" s="229" t="s">
        <v>249</v>
      </c>
    </row>
    <row r="16" spans="1:55" s="81" customFormat="1" ht="21.6" thickTop="1" thickBot="1" x14ac:dyDescent="0.45">
      <c r="A16" s="77" t="str">
        <f>CHOOSE('Исходные данные'!$U$2,AW43,AX43)</f>
        <v>ДИНАМІКА ПРОДАЖІВ</v>
      </c>
      <c r="B16" s="78"/>
      <c r="C16" s="79" t="str">
        <f t="shared" ref="C16:O16" si="5">C$6</f>
        <v>грудень</v>
      </c>
      <c r="D16" s="79" t="str">
        <f t="shared" si="5"/>
        <v>січень</v>
      </c>
      <c r="E16" s="79" t="str">
        <f t="shared" si="5"/>
        <v>лютий</v>
      </c>
      <c r="F16" s="79" t="str">
        <f t="shared" si="5"/>
        <v>березень</v>
      </c>
      <c r="G16" s="79" t="str">
        <f t="shared" si="5"/>
        <v>квітень</v>
      </c>
      <c r="H16" s="79" t="str">
        <f t="shared" si="5"/>
        <v>травень</v>
      </c>
      <c r="I16" s="79" t="str">
        <f t="shared" si="5"/>
        <v>червень</v>
      </c>
      <c r="J16" s="79" t="str">
        <f t="shared" si="5"/>
        <v>липень</v>
      </c>
      <c r="K16" s="79" t="str">
        <f t="shared" si="5"/>
        <v>серпень</v>
      </c>
      <c r="L16" s="79" t="str">
        <f t="shared" si="5"/>
        <v>вересень</v>
      </c>
      <c r="M16" s="79" t="str">
        <f t="shared" si="5"/>
        <v>жовтень</v>
      </c>
      <c r="N16" s="79" t="str">
        <f t="shared" si="5"/>
        <v>листопад</v>
      </c>
      <c r="O16" s="79" t="str">
        <f t="shared" si="5"/>
        <v>грудень</v>
      </c>
      <c r="P16" s="80" t="str">
        <f>CHOOSE('Исходные данные'!$U$2,AW11,AX11)</f>
        <v>1-й рік роботи</v>
      </c>
      <c r="Q16" s="80" t="str">
        <f>CHOOSE('Исходные данные'!$U$2,AW17,AX17)</f>
        <v>Середньомісячно за 1-й рік</v>
      </c>
      <c r="R16" s="79" t="str">
        <f t="shared" ref="R16:AC16" si="6">R$6</f>
        <v>січень</v>
      </c>
      <c r="S16" s="79" t="str">
        <f t="shared" si="6"/>
        <v>лютий</v>
      </c>
      <c r="T16" s="79" t="str">
        <f t="shared" si="6"/>
        <v>березень</v>
      </c>
      <c r="U16" s="79" t="str">
        <f t="shared" si="6"/>
        <v>квітень</v>
      </c>
      <c r="V16" s="79" t="str">
        <f t="shared" si="6"/>
        <v>травень</v>
      </c>
      <c r="W16" s="79" t="str">
        <f t="shared" si="6"/>
        <v>червень</v>
      </c>
      <c r="X16" s="79" t="str">
        <f t="shared" si="6"/>
        <v>липень</v>
      </c>
      <c r="Y16" s="79" t="str">
        <f t="shared" si="6"/>
        <v>серпень</v>
      </c>
      <c r="Z16" s="79" t="str">
        <f t="shared" si="6"/>
        <v>вересень</v>
      </c>
      <c r="AA16" s="79" t="str">
        <f t="shared" si="6"/>
        <v>жовтень</v>
      </c>
      <c r="AB16" s="79" t="str">
        <f t="shared" si="6"/>
        <v>листопад</v>
      </c>
      <c r="AC16" s="79" t="str">
        <f t="shared" si="6"/>
        <v>грудень</v>
      </c>
      <c r="AD16" s="80" t="str">
        <f>CHOOSE('Исходные данные'!$U$2,AW12,AX12)</f>
        <v>2-й рік роботи</v>
      </c>
      <c r="AE16" s="80" t="str">
        <f>CHOOSE('Исходные данные'!$U$2,AW24,AX24)</f>
        <v>Середньомісячно за 2-й рік</v>
      </c>
      <c r="AF16" s="79" t="str">
        <f t="shared" ref="AF16:AQ16" si="7">AF$6</f>
        <v>січень</v>
      </c>
      <c r="AG16" s="79" t="str">
        <f t="shared" si="7"/>
        <v>лютий</v>
      </c>
      <c r="AH16" s="79" t="str">
        <f t="shared" si="7"/>
        <v>березень</v>
      </c>
      <c r="AI16" s="79" t="str">
        <f t="shared" si="7"/>
        <v>квітень</v>
      </c>
      <c r="AJ16" s="79" t="str">
        <f t="shared" si="7"/>
        <v>травень</v>
      </c>
      <c r="AK16" s="79" t="str">
        <f t="shared" si="7"/>
        <v>червень</v>
      </c>
      <c r="AL16" s="79" t="str">
        <f t="shared" si="7"/>
        <v>липень</v>
      </c>
      <c r="AM16" s="79" t="str">
        <f t="shared" si="7"/>
        <v>серпень</v>
      </c>
      <c r="AN16" s="79" t="str">
        <f t="shared" si="7"/>
        <v>вересень</v>
      </c>
      <c r="AO16" s="79" t="str">
        <f t="shared" si="7"/>
        <v>жовтень</v>
      </c>
      <c r="AP16" s="79" t="str">
        <f t="shared" si="7"/>
        <v>листопад</v>
      </c>
      <c r="AQ16" s="79" t="str">
        <f t="shared" si="7"/>
        <v>грудень</v>
      </c>
      <c r="AR16" s="80" t="str">
        <f>CHOOSE('Исходные данные'!$U$2,AW13,AX13)</f>
        <v>3-й рік роботи</v>
      </c>
      <c r="AS16" s="80" t="str">
        <f>CHOOSE('Исходные данные'!$U$2,AW25,AX25)</f>
        <v>Середньомісячно за 3-й рік</v>
      </c>
      <c r="AT16" s="370"/>
      <c r="AV16" s="6"/>
      <c r="AW16" s="229" t="s">
        <v>39</v>
      </c>
      <c r="AX16" s="81" t="s">
        <v>250</v>
      </c>
    </row>
    <row r="17" spans="1:50" s="87" customFormat="1" ht="12.6" thickTop="1" x14ac:dyDescent="0.4">
      <c r="A17" s="105" t="str">
        <f>'Исходные данные'!$A$11</f>
        <v>Detox</v>
      </c>
      <c r="B17" s="82" t="str">
        <f>CHOOSE('Исходные данные'!$O$2,'Исходные данные'!$P$2,'Исходные данные'!$P$3,'Исходные данные'!$P$4,'Исходные данные'!$P$5)</f>
        <v>UAH</v>
      </c>
      <c r="C17" s="82"/>
      <c r="D17" s="83">
        <f>D$7*D$8*'Исходные данные'!$D11*'Исходные данные'!$E11</f>
        <v>29694</v>
      </c>
      <c r="E17" s="83">
        <f>E$7*E$8*'Исходные данные'!$D11*'Исходные данные'!$E11</f>
        <v>49489.999999999993</v>
      </c>
      <c r="F17" s="83">
        <f>F$7*F$8*'Исходные данные'!$D11*'Исходные данные'!$E11</f>
        <v>65044</v>
      </c>
      <c r="G17" s="83">
        <f>G$7*G$8*'Исходные данные'!$D11*'Исходные данные'!$E11</f>
        <v>63630</v>
      </c>
      <c r="H17" s="83">
        <f>H$7*H$8*'Исходные данные'!$D11*'Исходные данные'!$E11</f>
        <v>70700</v>
      </c>
      <c r="I17" s="83">
        <f>I$7*I$8*'Исходные данные'!$D11*'Исходные данные'!$E11</f>
        <v>56560</v>
      </c>
      <c r="J17" s="83">
        <f>J$7*J$8*'Исходные данные'!$D11*'Исходные данные'!$E11</f>
        <v>63630</v>
      </c>
      <c r="K17" s="83">
        <f>K$7*K$8*'Исходные данные'!$D11*'Исходные данные'!$E11</f>
        <v>67165</v>
      </c>
      <c r="L17" s="83">
        <f>L$7*L$8*'Исходные данные'!$D11*'Исходные данные'!$E11</f>
        <v>70700</v>
      </c>
      <c r="M17" s="83">
        <f>M$7*M$8*'Исходные данные'!$D11*'Исходные данные'!$E11</f>
        <v>70700</v>
      </c>
      <c r="N17" s="83">
        <f>N$7*N$8*'Исходные данные'!$D11*'Исходные данные'!$E11</f>
        <v>70700</v>
      </c>
      <c r="O17" s="83">
        <f>O$7*O$8*'Исходные данные'!$D11*'Исходные данные'!$E11</f>
        <v>70700</v>
      </c>
      <c r="P17" s="84">
        <f t="shared" ref="P17:P23" si="8">SUM(D17:O17)</f>
        <v>748713</v>
      </c>
      <c r="Q17" s="84">
        <f t="shared" ref="Q17:Q23" si="9">P17/12</f>
        <v>62392.75</v>
      </c>
      <c r="R17" s="83">
        <f>R$7*R$8*'Исходные данные'!$D11*'Исходные данные'!$E11</f>
        <v>54439</v>
      </c>
      <c r="S17" s="83">
        <f>S$7*S$8*'Исходные данные'!$D11*'Исходные данные'!$E11</f>
        <v>77770.000000000015</v>
      </c>
      <c r="T17" s="83">
        <f>T$7*T$8*'Исходные данные'!$D11*'Исходные данные'!$E11</f>
        <v>89435.499999999985</v>
      </c>
      <c r="U17" s="83">
        <f>U$7*U$8*'Исходные данные'!$D11*'Исходные данные'!$E11</f>
        <v>77770.000000000015</v>
      </c>
      <c r="V17" s="83">
        <f>V$7*V$8*'Исходные данные'!$D11*'Исходные данные'!$E11</f>
        <v>77770.000000000015</v>
      </c>
      <c r="W17" s="83">
        <f>W$7*W$8*'Исходные данные'!$D11*'Исходные данные'!$E11</f>
        <v>62216.000000000015</v>
      </c>
      <c r="X17" s="83">
        <f>X$7*X$8*'Исходные данные'!$D11*'Исходные данные'!$E11</f>
        <v>69993.000000000015</v>
      </c>
      <c r="Y17" s="83">
        <f>Y$7*Y$8*'Исходные данные'!$D11*'Исходные данные'!$E11</f>
        <v>73881.5</v>
      </c>
      <c r="Z17" s="83">
        <f>Z$7*Z$8*'Исходные данные'!$D11*'Исходные данные'!$E11</f>
        <v>77770.000000000015</v>
      </c>
      <c r="AA17" s="83">
        <f>AA$7*AA$8*'Исходные данные'!$D11*'Исходные данные'!$E11</f>
        <v>77770.000000000015</v>
      </c>
      <c r="AB17" s="83">
        <f>AB$7*AB$8*'Исходные данные'!$D11*'Исходные данные'!$E11</f>
        <v>77770.000000000015</v>
      </c>
      <c r="AC17" s="83">
        <f>AC$7*AC$8*'Исходные данные'!$D11*'Исходные данные'!$E11</f>
        <v>77770.000000000015</v>
      </c>
      <c r="AD17" s="84">
        <f t="shared" ref="AD17:AD23" si="10">SUM(R17:AC17)</f>
        <v>894355</v>
      </c>
      <c r="AE17" s="84">
        <f t="shared" ref="AE17:AE23" si="11">AD17/12</f>
        <v>74529.583333333328</v>
      </c>
      <c r="AF17" s="83">
        <f>AF$7*AF$8*'Исходные данные'!$D11*'Исходные данные'!$E11</f>
        <v>59388</v>
      </c>
      <c r="AG17" s="83">
        <f>AG$7*AG$8*'Исходные данные'!$D11*'Исходные данные'!$E11</f>
        <v>84840</v>
      </c>
      <c r="AH17" s="83">
        <f>AH$7*AH$8*'Исходные данные'!$D11*'Исходные данные'!$E11</f>
        <v>97565.999999999985</v>
      </c>
      <c r="AI17" s="83">
        <f>AI$7*AI$8*'Исходные данные'!$D11*'Исходные данные'!$E11</f>
        <v>84840</v>
      </c>
      <c r="AJ17" s="83">
        <f>AJ$7*AJ$8*'Исходные данные'!$D11*'Исходные данные'!$E11</f>
        <v>84840</v>
      </c>
      <c r="AK17" s="83">
        <f>AK$7*AK$8*'Исходные данные'!$D11*'Исходные данные'!$E11</f>
        <v>67872</v>
      </c>
      <c r="AL17" s="83">
        <f>AL$7*AL$8*'Исходные данные'!$D11*'Исходные данные'!$E11</f>
        <v>76356</v>
      </c>
      <c r="AM17" s="83">
        <f>AM$7*AM$8*'Исходные данные'!$D11*'Исходные данные'!$E11</f>
        <v>80597.999999999985</v>
      </c>
      <c r="AN17" s="83">
        <f>AN$7*AN$8*'Исходные данные'!$D11*'Исходные данные'!$E11</f>
        <v>84840</v>
      </c>
      <c r="AO17" s="83">
        <f>AO$7*AO$8*'Исходные данные'!$D11*'Исходные данные'!$E11</f>
        <v>84840</v>
      </c>
      <c r="AP17" s="83">
        <f>AP$7*AP$8*'Исходные данные'!$D11*'Исходные данные'!$E11</f>
        <v>84840</v>
      </c>
      <c r="AQ17" s="83">
        <f>AQ$7*AQ$8*'Исходные данные'!$D11*'Исходные данные'!$E11</f>
        <v>84840</v>
      </c>
      <c r="AR17" s="84">
        <f t="shared" ref="AR17:AR23" si="12">SUM(AF17:AQ17)</f>
        <v>975660</v>
      </c>
      <c r="AS17" s="84">
        <f t="shared" ref="AS17:AS23" si="13">AR17/12</f>
        <v>81305</v>
      </c>
      <c r="AT17" s="85">
        <f t="shared" ref="AT17:AT23" si="14">P17+AD17+AR17</f>
        <v>2618728</v>
      </c>
      <c r="AU17" s="86"/>
      <c r="AW17" s="229" t="s">
        <v>36</v>
      </c>
      <c r="AX17" s="229" t="s">
        <v>248</v>
      </c>
    </row>
    <row r="18" spans="1:50" s="135" customFormat="1" x14ac:dyDescent="0.4">
      <c r="A18" s="236" t="str">
        <f>'Исходные данные'!$A$12</f>
        <v>Light Woman</v>
      </c>
      <c r="B18" s="125" t="str">
        <f>CHOOSE('Исходные данные'!$O$2,'Исходные данные'!$P$2,'Исходные данные'!$P$3,'Исходные данные'!$P$4,'Исходные данные'!$P$5)</f>
        <v>UAH</v>
      </c>
      <c r="C18" s="125"/>
      <c r="D18" s="133">
        <f>D$7*D$8*'Исходные данные'!$D12*'Исходные данные'!$E12</f>
        <v>55104</v>
      </c>
      <c r="E18" s="133">
        <f>E$7*E$8*'Исходные данные'!$D12*'Исходные данные'!$E12</f>
        <v>91840</v>
      </c>
      <c r="F18" s="133">
        <f>F$7*F$8*'Исходные данные'!$D12*'Исходные данные'!$E12</f>
        <v>120703.99999999999</v>
      </c>
      <c r="G18" s="133">
        <f>G$7*G$8*'Исходные данные'!$D12*'Исходные данные'!$E12</f>
        <v>118080</v>
      </c>
      <c r="H18" s="133">
        <f>H$7*H$8*'Исходные данные'!$D12*'Исходные данные'!$E12</f>
        <v>131200</v>
      </c>
      <c r="I18" s="133">
        <f>I$7*I$8*'Исходные данные'!$D12*'Исходные данные'!$E12</f>
        <v>104960</v>
      </c>
      <c r="J18" s="133">
        <f>J$7*J$8*'Исходные данные'!$D12*'Исходные данные'!$E12</f>
        <v>118080</v>
      </c>
      <c r="K18" s="133">
        <f>K$7*K$8*'Исходные данные'!$D12*'Исходные данные'!$E12</f>
        <v>124640</v>
      </c>
      <c r="L18" s="133">
        <f>L$7*L$8*'Исходные данные'!$D12*'Исходные данные'!$E12</f>
        <v>131200</v>
      </c>
      <c r="M18" s="133">
        <f>M$7*M$8*'Исходные данные'!$D12*'Исходные данные'!$E12</f>
        <v>131200</v>
      </c>
      <c r="N18" s="133">
        <f>N$7*N$8*'Исходные данные'!$D12*'Исходные данные'!$E12</f>
        <v>131200</v>
      </c>
      <c r="O18" s="133">
        <f>O$7*O$8*'Исходные данные'!$D12*'Исходные данные'!$E12</f>
        <v>131200</v>
      </c>
      <c r="P18" s="237">
        <f t="shared" si="8"/>
        <v>1389408</v>
      </c>
      <c r="Q18" s="237">
        <f t="shared" si="9"/>
        <v>115784</v>
      </c>
      <c r="R18" s="133">
        <f>R$7*R$8*'Исходные данные'!$D12*'Исходные данные'!$E12</f>
        <v>101024</v>
      </c>
      <c r="S18" s="133">
        <f>S$7*S$8*'Исходные данные'!$D12*'Исходные данные'!$E12</f>
        <v>144320</v>
      </c>
      <c r="T18" s="133">
        <f>T$7*T$8*'Исходные данные'!$D12*'Исходные данные'!$E12</f>
        <v>165967.99999999997</v>
      </c>
      <c r="U18" s="133">
        <f>U$7*U$8*'Исходные данные'!$D12*'Исходные данные'!$E12</f>
        <v>144320</v>
      </c>
      <c r="V18" s="133">
        <f>V$7*V$8*'Исходные данные'!$D12*'Исходные данные'!$E12</f>
        <v>144320</v>
      </c>
      <c r="W18" s="133">
        <f>W$7*W$8*'Исходные данные'!$D12*'Исходные данные'!$E12</f>
        <v>115456.00000000001</v>
      </c>
      <c r="X18" s="133">
        <f>X$7*X$8*'Исходные данные'!$D12*'Исходные данные'!$E12</f>
        <v>129888</v>
      </c>
      <c r="Y18" s="133">
        <f>Y$7*Y$8*'Исходные данные'!$D12*'Исходные данные'!$E12</f>
        <v>137104</v>
      </c>
      <c r="Z18" s="133">
        <f>Z$7*Z$8*'Исходные данные'!$D12*'Исходные данные'!$E12</f>
        <v>144320</v>
      </c>
      <c r="AA18" s="133">
        <f>AA$7*AA$8*'Исходные данные'!$D12*'Исходные данные'!$E12</f>
        <v>144320</v>
      </c>
      <c r="AB18" s="133">
        <f>AB$7*AB$8*'Исходные данные'!$D12*'Исходные данные'!$E12</f>
        <v>144320</v>
      </c>
      <c r="AC18" s="133">
        <f>AC$7*AC$8*'Исходные данные'!$D12*'Исходные данные'!$E12</f>
        <v>144320</v>
      </c>
      <c r="AD18" s="237">
        <f t="shared" si="10"/>
        <v>1659680</v>
      </c>
      <c r="AE18" s="237">
        <f t="shared" si="11"/>
        <v>138306.66666666666</v>
      </c>
      <c r="AF18" s="133">
        <f>AF$7*AF$8*'Исходные данные'!$D12*'Исходные данные'!$E12</f>
        <v>110208</v>
      </c>
      <c r="AG18" s="133">
        <f>AG$7*AG$8*'Исходные данные'!$D12*'Исходные данные'!$E12</f>
        <v>157440</v>
      </c>
      <c r="AH18" s="133">
        <f>AH$7*AH$8*'Исходные данные'!$D12*'Исходные данные'!$E12</f>
        <v>181056</v>
      </c>
      <c r="AI18" s="133">
        <f>AI$7*AI$8*'Исходные данные'!$D12*'Исходные данные'!$E12</f>
        <v>157440</v>
      </c>
      <c r="AJ18" s="133">
        <f>AJ$7*AJ$8*'Исходные данные'!$D12*'Исходные данные'!$E12</f>
        <v>157440</v>
      </c>
      <c r="AK18" s="133">
        <f>AK$7*AK$8*'Исходные данные'!$D12*'Исходные данные'!$E12</f>
        <v>125952</v>
      </c>
      <c r="AL18" s="133">
        <f>AL$7*AL$8*'Исходные данные'!$D12*'Исходные данные'!$E12</f>
        <v>141696</v>
      </c>
      <c r="AM18" s="133">
        <f>AM$7*AM$8*'Исходные данные'!$D12*'Исходные данные'!$E12</f>
        <v>149567.99999999997</v>
      </c>
      <c r="AN18" s="133">
        <f>AN$7*AN$8*'Исходные данные'!$D12*'Исходные данные'!$E12</f>
        <v>157440</v>
      </c>
      <c r="AO18" s="133">
        <f>AO$7*AO$8*'Исходные данные'!$D12*'Исходные данные'!$E12</f>
        <v>157440</v>
      </c>
      <c r="AP18" s="133">
        <f>AP$7*AP$8*'Исходные данные'!$D12*'Исходные данные'!$E12</f>
        <v>157440</v>
      </c>
      <c r="AQ18" s="133">
        <f>AQ$7*AQ$8*'Исходные данные'!$D12*'Исходные данные'!$E12</f>
        <v>157440</v>
      </c>
      <c r="AR18" s="237">
        <f t="shared" si="12"/>
        <v>1810560</v>
      </c>
      <c r="AS18" s="237">
        <f t="shared" si="13"/>
        <v>150880</v>
      </c>
      <c r="AT18" s="85">
        <f t="shared" si="14"/>
        <v>4859648</v>
      </c>
      <c r="AU18" s="238"/>
      <c r="AW18" s="229"/>
      <c r="AX18" s="229"/>
    </row>
    <row r="19" spans="1:50" s="87" customFormat="1" x14ac:dyDescent="0.4">
      <c r="A19" s="105" t="str">
        <f>'Исходные данные'!$A$13</f>
        <v>Light Man</v>
      </c>
      <c r="B19" s="82" t="str">
        <f>CHOOSE('Исходные данные'!$O$2,'Исходные данные'!$P$2,'Исходные данные'!$P$3,'Исходные данные'!$P$4,'Исходные данные'!$P$5)</f>
        <v>UAH</v>
      </c>
      <c r="C19" s="82"/>
      <c r="D19" s="83">
        <f>D$7*D$8*'Исходные данные'!$D13*'Исходные данные'!$E13</f>
        <v>14279.999999999998</v>
      </c>
      <c r="E19" s="83">
        <f>E$7*E$8*'Исходные данные'!$D13*'Исходные данные'!$E13</f>
        <v>23799.999999999996</v>
      </c>
      <c r="F19" s="83">
        <f>F$7*F$8*'Исходные данные'!$D13*'Исходные данные'!$E13</f>
        <v>31279.999999999996</v>
      </c>
      <c r="G19" s="83">
        <f>G$7*G$8*'Исходные данные'!$D13*'Исходные данные'!$E13</f>
        <v>30600</v>
      </c>
      <c r="H19" s="83">
        <f>H$7*H$8*'Исходные данные'!$D13*'Исходные данные'!$E13</f>
        <v>34000</v>
      </c>
      <c r="I19" s="83">
        <f>I$7*I$8*'Исходные данные'!$D13*'Исходные данные'!$E13</f>
        <v>27200</v>
      </c>
      <c r="J19" s="83">
        <f>J$7*J$8*'Исходные данные'!$D13*'Исходные данные'!$E13</f>
        <v>30600</v>
      </c>
      <c r="K19" s="83">
        <f>K$7*K$8*'Исходные данные'!$D13*'Исходные данные'!$E13</f>
        <v>32300</v>
      </c>
      <c r="L19" s="83">
        <f>L$7*L$8*'Исходные данные'!$D13*'Исходные данные'!$E13</f>
        <v>34000</v>
      </c>
      <c r="M19" s="83">
        <f>M$7*M$8*'Исходные данные'!$D13*'Исходные данные'!$E13</f>
        <v>34000</v>
      </c>
      <c r="N19" s="83">
        <f>N$7*N$8*'Исходные данные'!$D13*'Исходные данные'!$E13</f>
        <v>34000</v>
      </c>
      <c r="O19" s="83">
        <f>O$7*O$8*'Исходные данные'!$D13*'Исходные данные'!$E13</f>
        <v>34000</v>
      </c>
      <c r="P19" s="84">
        <f t="shared" si="8"/>
        <v>360060</v>
      </c>
      <c r="Q19" s="84">
        <f t="shared" si="9"/>
        <v>30005</v>
      </c>
      <c r="R19" s="83">
        <f>R$7*R$8*'Исходные данные'!$D13*'Исходные данные'!$E13</f>
        <v>26180</v>
      </c>
      <c r="S19" s="83">
        <f>S$7*S$8*'Исходные данные'!$D13*'Исходные данные'!$E13</f>
        <v>37400.000000000007</v>
      </c>
      <c r="T19" s="83">
        <f>T$7*T$8*'Исходные данные'!$D13*'Исходные данные'!$E13</f>
        <v>43010</v>
      </c>
      <c r="U19" s="83">
        <f>U$7*U$8*'Исходные данные'!$D13*'Исходные данные'!$E13</f>
        <v>37400.000000000007</v>
      </c>
      <c r="V19" s="83">
        <f>V$7*V$8*'Исходные данные'!$D13*'Исходные данные'!$E13</f>
        <v>37400.000000000007</v>
      </c>
      <c r="W19" s="83">
        <f>W$7*W$8*'Исходные данные'!$D13*'Исходные данные'!$E13</f>
        <v>29920.000000000004</v>
      </c>
      <c r="X19" s="83">
        <f>X$7*X$8*'Исходные данные'!$D13*'Исходные данные'!$E13</f>
        <v>33660</v>
      </c>
      <c r="Y19" s="83">
        <f>Y$7*Y$8*'Исходные данные'!$D13*'Исходные данные'!$E13</f>
        <v>35529.999999999993</v>
      </c>
      <c r="Z19" s="83">
        <f>Z$7*Z$8*'Исходные данные'!$D13*'Исходные данные'!$E13</f>
        <v>37400.000000000007</v>
      </c>
      <c r="AA19" s="83">
        <f>AA$7*AA$8*'Исходные данные'!$D13*'Исходные данные'!$E13</f>
        <v>37400.000000000007</v>
      </c>
      <c r="AB19" s="83">
        <f>AB$7*AB$8*'Исходные данные'!$D13*'Исходные данные'!$E13</f>
        <v>37400.000000000007</v>
      </c>
      <c r="AC19" s="83">
        <f>AC$7*AC$8*'Исходные данные'!$D13*'Исходные данные'!$E13</f>
        <v>37400.000000000007</v>
      </c>
      <c r="AD19" s="84">
        <f t="shared" si="10"/>
        <v>430100</v>
      </c>
      <c r="AE19" s="84">
        <f t="shared" si="11"/>
        <v>35841.666666666664</v>
      </c>
      <c r="AF19" s="83">
        <f>AF$7*AF$8*'Исходные данные'!$D13*'Исходные данные'!$E13</f>
        <v>28559.999999999996</v>
      </c>
      <c r="AG19" s="83">
        <f>AG$7*AG$8*'Исходные данные'!$D13*'Исходные данные'!$E13</f>
        <v>40800</v>
      </c>
      <c r="AH19" s="83">
        <f>AH$7*AH$8*'Исходные данные'!$D13*'Исходные данные'!$E13</f>
        <v>46920</v>
      </c>
      <c r="AI19" s="83">
        <f>AI$7*AI$8*'Исходные данные'!$D13*'Исходные данные'!$E13</f>
        <v>40800</v>
      </c>
      <c r="AJ19" s="83">
        <f>AJ$7*AJ$8*'Исходные данные'!$D13*'Исходные данные'!$E13</f>
        <v>40800</v>
      </c>
      <c r="AK19" s="83">
        <f>AK$7*AK$8*'Исходные данные'!$D13*'Исходные данные'!$E13</f>
        <v>32639.999999999996</v>
      </c>
      <c r="AL19" s="83">
        <f>AL$7*AL$8*'Исходные данные'!$D13*'Исходные данные'!$E13</f>
        <v>36720.000000000007</v>
      </c>
      <c r="AM19" s="83">
        <f>AM$7*AM$8*'Исходные данные'!$D13*'Исходные данные'!$E13</f>
        <v>38760</v>
      </c>
      <c r="AN19" s="83">
        <f>AN$7*AN$8*'Исходные данные'!$D13*'Исходные данные'!$E13</f>
        <v>40800</v>
      </c>
      <c r="AO19" s="83">
        <f>AO$7*AO$8*'Исходные данные'!$D13*'Исходные данные'!$E13</f>
        <v>40800</v>
      </c>
      <c r="AP19" s="83">
        <f>AP$7*AP$8*'Исходные данные'!$D13*'Исходные данные'!$E13</f>
        <v>40800</v>
      </c>
      <c r="AQ19" s="83">
        <f>AQ$7*AQ$8*'Исходные данные'!$D13*'Исходные данные'!$E13</f>
        <v>40800</v>
      </c>
      <c r="AR19" s="84">
        <f t="shared" si="12"/>
        <v>469200</v>
      </c>
      <c r="AS19" s="84">
        <f t="shared" si="13"/>
        <v>39100</v>
      </c>
      <c r="AT19" s="85">
        <f t="shared" si="14"/>
        <v>1259360</v>
      </c>
      <c r="AU19" s="86"/>
      <c r="AW19" s="229"/>
      <c r="AX19" s="229"/>
    </row>
    <row r="20" spans="1:50" s="135" customFormat="1" x14ac:dyDescent="0.4">
      <c r="A20" s="236" t="str">
        <f>'Исходные данные'!$A$14</f>
        <v>Balance Woman</v>
      </c>
      <c r="B20" s="125" t="str">
        <f>CHOOSE('Исходные данные'!$O$2,'Исходные данные'!$P$2,'Исходные данные'!$P$3,'Исходные данные'!$P$4,'Исходные данные'!$P$5)</f>
        <v>UAH</v>
      </c>
      <c r="C20" s="125"/>
      <c r="D20" s="133">
        <f>D$7*D$8*'Исходные данные'!$D14*'Исходные данные'!$E14</f>
        <v>4141.2</v>
      </c>
      <c r="E20" s="133">
        <f>E$7*E$8*'Исходные данные'!$D14*'Исходные данные'!$E14</f>
        <v>6901.9999999999991</v>
      </c>
      <c r="F20" s="133">
        <f>F$7*F$8*'Исходные данные'!$D14*'Исходные данные'!$E14</f>
        <v>9071.1999999999989</v>
      </c>
      <c r="G20" s="133">
        <f>G$7*G$8*'Исходные данные'!$D14*'Исходные данные'!$E14</f>
        <v>8874</v>
      </c>
      <c r="H20" s="133">
        <f>H$7*H$8*'Исходные данные'!$D14*'Исходные данные'!$E14</f>
        <v>9860</v>
      </c>
      <c r="I20" s="133">
        <f>I$7*I$8*'Исходные данные'!$D14*'Исходные данные'!$E14</f>
        <v>7888</v>
      </c>
      <c r="J20" s="133">
        <f>J$7*J$8*'Исходные данные'!$D14*'Исходные данные'!$E14</f>
        <v>8874</v>
      </c>
      <c r="K20" s="133">
        <f>K$7*K$8*'Исходные данные'!$D14*'Исходные данные'!$E14</f>
        <v>9367</v>
      </c>
      <c r="L20" s="133">
        <f>L$7*L$8*'Исходные данные'!$D14*'Исходные данные'!$E14</f>
        <v>9860</v>
      </c>
      <c r="M20" s="133">
        <f>M$7*M$8*'Исходные данные'!$D14*'Исходные данные'!$E14</f>
        <v>9860</v>
      </c>
      <c r="N20" s="133">
        <f>N$7*N$8*'Исходные данные'!$D14*'Исходные данные'!$E14</f>
        <v>9860</v>
      </c>
      <c r="O20" s="133">
        <f>O$7*O$8*'Исходные данные'!$D14*'Исходные данные'!$E14</f>
        <v>9860</v>
      </c>
      <c r="P20" s="237">
        <f t="shared" si="8"/>
        <v>104417.4</v>
      </c>
      <c r="Q20" s="237">
        <f t="shared" si="9"/>
        <v>8701.4499999999989</v>
      </c>
      <c r="R20" s="133">
        <f>R$7*R$8*'Исходные данные'!$D14*'Исходные данные'!$E14</f>
        <v>7592.2000000000007</v>
      </c>
      <c r="S20" s="133">
        <f>S$7*S$8*'Исходные данные'!$D14*'Исходные данные'!$E14</f>
        <v>10846.000000000002</v>
      </c>
      <c r="T20" s="133">
        <f>T$7*T$8*'Исходные данные'!$D14*'Исходные данные'!$E14</f>
        <v>12472.9</v>
      </c>
      <c r="U20" s="133">
        <f>U$7*U$8*'Исходные данные'!$D14*'Исходные данные'!$E14</f>
        <v>10846.000000000002</v>
      </c>
      <c r="V20" s="133">
        <f>V$7*V$8*'Исходные данные'!$D14*'Исходные данные'!$E14</f>
        <v>10846.000000000002</v>
      </c>
      <c r="W20" s="133">
        <f>W$7*W$8*'Исходные данные'!$D14*'Исходные данные'!$E14</f>
        <v>8676.8000000000011</v>
      </c>
      <c r="X20" s="133">
        <f>X$7*X$8*'Исходные данные'!$D14*'Исходные данные'!$E14</f>
        <v>9761.4000000000015</v>
      </c>
      <c r="Y20" s="133">
        <f>Y$7*Y$8*'Исходные данные'!$D14*'Исходные данные'!$E14</f>
        <v>10303.699999999999</v>
      </c>
      <c r="Z20" s="133">
        <f>Z$7*Z$8*'Исходные данные'!$D14*'Исходные данные'!$E14</f>
        <v>10846.000000000002</v>
      </c>
      <c r="AA20" s="133">
        <f>AA$7*AA$8*'Исходные данные'!$D14*'Исходные данные'!$E14</f>
        <v>10846.000000000002</v>
      </c>
      <c r="AB20" s="133">
        <f>AB$7*AB$8*'Исходные данные'!$D14*'Исходные данные'!$E14</f>
        <v>10846.000000000002</v>
      </c>
      <c r="AC20" s="133">
        <f>AC$7*AC$8*'Исходные данные'!$D14*'Исходные данные'!$E14</f>
        <v>10846.000000000002</v>
      </c>
      <c r="AD20" s="237">
        <f t="shared" si="10"/>
        <v>124729.00000000001</v>
      </c>
      <c r="AE20" s="237">
        <f t="shared" si="11"/>
        <v>10394.083333333334</v>
      </c>
      <c r="AF20" s="133">
        <f>AF$7*AF$8*'Исходные данные'!$D14*'Исходные данные'!$E14</f>
        <v>8282.4</v>
      </c>
      <c r="AG20" s="133">
        <f>AG$7*AG$8*'Исходные данные'!$D14*'Исходные данные'!$E14</f>
        <v>11832</v>
      </c>
      <c r="AH20" s="133">
        <f>AH$7*AH$8*'Исходные данные'!$D14*'Исходные данные'!$E14</f>
        <v>13606.8</v>
      </c>
      <c r="AI20" s="133">
        <f>AI$7*AI$8*'Исходные данные'!$D14*'Исходные данные'!$E14</f>
        <v>11832</v>
      </c>
      <c r="AJ20" s="133">
        <f>AJ$7*AJ$8*'Исходные данные'!$D14*'Исходные данные'!$E14</f>
        <v>11832</v>
      </c>
      <c r="AK20" s="133">
        <f>AK$7*AK$8*'Исходные данные'!$D14*'Исходные данные'!$E14</f>
        <v>9465.5999999999985</v>
      </c>
      <c r="AL20" s="133">
        <f>AL$7*AL$8*'Исходные данные'!$D14*'Исходные данные'!$E14</f>
        <v>10648.800000000001</v>
      </c>
      <c r="AM20" s="133">
        <f>AM$7*AM$8*'Исходные данные'!$D14*'Исходные данные'!$E14</f>
        <v>11240.4</v>
      </c>
      <c r="AN20" s="133">
        <f>AN$7*AN$8*'Исходные данные'!$D14*'Исходные данные'!$E14</f>
        <v>11832</v>
      </c>
      <c r="AO20" s="133">
        <f>AO$7*AO$8*'Исходные данные'!$D14*'Исходные данные'!$E14</f>
        <v>11832</v>
      </c>
      <c r="AP20" s="133">
        <f>AP$7*AP$8*'Исходные данные'!$D14*'Исходные данные'!$E14</f>
        <v>11832</v>
      </c>
      <c r="AQ20" s="133">
        <f>AQ$7*AQ$8*'Исходные данные'!$D14*'Исходные данные'!$E14</f>
        <v>11832</v>
      </c>
      <c r="AR20" s="237">
        <f t="shared" si="12"/>
        <v>136068</v>
      </c>
      <c r="AS20" s="237">
        <f t="shared" si="13"/>
        <v>11339</v>
      </c>
      <c r="AT20" s="85">
        <f t="shared" si="14"/>
        <v>365214.4</v>
      </c>
      <c r="AU20" s="238"/>
      <c r="AW20" s="229"/>
      <c r="AX20" s="229"/>
    </row>
    <row r="21" spans="1:50" s="87" customFormat="1" x14ac:dyDescent="0.4">
      <c r="A21" s="105" t="str">
        <f>'Исходные данные'!$A$15</f>
        <v>Balance Man</v>
      </c>
      <c r="B21" s="82" t="str">
        <f>CHOOSE('Исходные данные'!$O$2,'Исходные данные'!$P$2,'Исходные данные'!$P$3,'Исходные данные'!$P$4,'Исходные данные'!$P$5)</f>
        <v>UAH</v>
      </c>
      <c r="C21" s="82"/>
      <c r="D21" s="83">
        <f>D$7*D$8*'Исходные данные'!$D15*'Исходные данные'!$E15</f>
        <v>10886.4</v>
      </c>
      <c r="E21" s="83">
        <f>E$7*E$8*'Исходные данные'!$D15*'Исходные данные'!$E15</f>
        <v>18143.999999999996</v>
      </c>
      <c r="F21" s="83">
        <f>F$7*F$8*'Исходные данные'!$D15*'Исходные данные'!$E15</f>
        <v>23846.399999999998</v>
      </c>
      <c r="G21" s="83">
        <f>G$7*G$8*'Исходные данные'!$D15*'Исходные данные'!$E15</f>
        <v>23328</v>
      </c>
      <c r="H21" s="83">
        <f>H$7*H$8*'Исходные данные'!$D15*'Исходные данные'!$E15</f>
        <v>25920</v>
      </c>
      <c r="I21" s="83">
        <f>I$7*I$8*'Исходные данные'!$D15*'Исходные данные'!$E15</f>
        <v>20736</v>
      </c>
      <c r="J21" s="83">
        <f>J$7*J$8*'Исходные данные'!$D15*'Исходные данные'!$E15</f>
        <v>23328</v>
      </c>
      <c r="K21" s="83">
        <f>K$7*K$8*'Исходные данные'!$D15*'Исходные данные'!$E15</f>
        <v>24624</v>
      </c>
      <c r="L21" s="83">
        <f>L$7*L$8*'Исходные данные'!$D15*'Исходные данные'!$E15</f>
        <v>25920</v>
      </c>
      <c r="M21" s="83">
        <f>M$7*M$8*'Исходные данные'!$D15*'Исходные данные'!$E15</f>
        <v>25920</v>
      </c>
      <c r="N21" s="83">
        <f>N$7*N$8*'Исходные данные'!$D15*'Исходные данные'!$E15</f>
        <v>25920</v>
      </c>
      <c r="O21" s="83">
        <f>O$7*O$8*'Исходные данные'!$D15*'Исходные данные'!$E15</f>
        <v>25920</v>
      </c>
      <c r="P21" s="84">
        <f t="shared" si="8"/>
        <v>274492.79999999999</v>
      </c>
      <c r="Q21" s="84">
        <f t="shared" si="9"/>
        <v>22874.399999999998</v>
      </c>
      <c r="R21" s="83">
        <f>R$7*R$8*'Исходные данные'!$D15*'Исходные данные'!$E15</f>
        <v>19958.399999999998</v>
      </c>
      <c r="S21" s="83">
        <f>S$7*S$8*'Исходные данные'!$D15*'Исходные данные'!$E15</f>
        <v>28512.000000000004</v>
      </c>
      <c r="T21" s="83">
        <f>T$7*T$8*'Исходные данные'!$D15*'Исходные данные'!$E15</f>
        <v>32788.799999999996</v>
      </c>
      <c r="U21" s="83">
        <f>U$7*U$8*'Исходные данные'!$D15*'Исходные данные'!$E15</f>
        <v>28512.000000000004</v>
      </c>
      <c r="V21" s="83">
        <f>V$7*V$8*'Исходные данные'!$D15*'Исходные данные'!$E15</f>
        <v>28512.000000000004</v>
      </c>
      <c r="W21" s="83">
        <f>W$7*W$8*'Исходные данные'!$D15*'Исходные данные'!$E15</f>
        <v>22809.600000000006</v>
      </c>
      <c r="X21" s="83">
        <f>X$7*X$8*'Исходные данные'!$D15*'Исходные данные'!$E15</f>
        <v>25660.800000000003</v>
      </c>
      <c r="Y21" s="83">
        <f>Y$7*Y$8*'Исходные данные'!$D15*'Исходные данные'!$E15</f>
        <v>27086.399999999998</v>
      </c>
      <c r="Z21" s="83">
        <f>Z$7*Z$8*'Исходные данные'!$D15*'Исходные данные'!$E15</f>
        <v>28512.000000000004</v>
      </c>
      <c r="AA21" s="83">
        <f>AA$7*AA$8*'Исходные данные'!$D15*'Исходные данные'!$E15</f>
        <v>28512.000000000004</v>
      </c>
      <c r="AB21" s="83">
        <f>AB$7*AB$8*'Исходные данные'!$D15*'Исходные данные'!$E15</f>
        <v>28512.000000000004</v>
      </c>
      <c r="AC21" s="83">
        <f>AC$7*AC$8*'Исходные данные'!$D15*'Исходные данные'!$E15</f>
        <v>28512.000000000004</v>
      </c>
      <c r="AD21" s="84">
        <f t="shared" si="10"/>
        <v>327888.00000000006</v>
      </c>
      <c r="AE21" s="84">
        <f t="shared" si="11"/>
        <v>27324.000000000004</v>
      </c>
      <c r="AF21" s="83">
        <f>AF$7*AF$8*'Исходные данные'!$D15*'Исходные данные'!$E15</f>
        <v>21772.799999999999</v>
      </c>
      <c r="AG21" s="83">
        <f>AG$7*AG$8*'Исходные данные'!$D15*'Исходные данные'!$E15</f>
        <v>31104</v>
      </c>
      <c r="AH21" s="83">
        <f>AH$7*AH$8*'Исходные данные'!$D15*'Исходные данные'!$E15</f>
        <v>35769.599999999999</v>
      </c>
      <c r="AI21" s="83">
        <f>AI$7*AI$8*'Исходные данные'!$D15*'Исходные данные'!$E15</f>
        <v>31104</v>
      </c>
      <c r="AJ21" s="83">
        <f>AJ$7*AJ$8*'Исходные данные'!$D15*'Исходные данные'!$E15</f>
        <v>31104</v>
      </c>
      <c r="AK21" s="83">
        <f>AK$7*AK$8*'Исходные данные'!$D15*'Исходные данные'!$E15</f>
        <v>24883.199999999997</v>
      </c>
      <c r="AL21" s="83">
        <f>AL$7*AL$8*'Исходные данные'!$D15*'Исходные данные'!$E15</f>
        <v>27993.600000000002</v>
      </c>
      <c r="AM21" s="83">
        <f>AM$7*AM$8*'Исходные данные'!$D15*'Исходные данные'!$E15</f>
        <v>29548.799999999999</v>
      </c>
      <c r="AN21" s="83">
        <f>AN$7*AN$8*'Исходные данные'!$D15*'Исходные данные'!$E15</f>
        <v>31104</v>
      </c>
      <c r="AO21" s="83">
        <f>AO$7*AO$8*'Исходные данные'!$D15*'Исходные данные'!$E15</f>
        <v>31104</v>
      </c>
      <c r="AP21" s="83">
        <f>AP$7*AP$8*'Исходные данные'!$D15*'Исходные данные'!$E15</f>
        <v>31104</v>
      </c>
      <c r="AQ21" s="83">
        <f>AQ$7*AQ$8*'Исходные данные'!$D15*'Исходные данные'!$E15</f>
        <v>31104</v>
      </c>
      <c r="AR21" s="84">
        <f t="shared" si="12"/>
        <v>357696</v>
      </c>
      <c r="AS21" s="84">
        <f t="shared" si="13"/>
        <v>29808</v>
      </c>
      <c r="AT21" s="85">
        <f t="shared" si="14"/>
        <v>960076.80000000005</v>
      </c>
      <c r="AU21" s="86"/>
      <c r="AW21" s="229"/>
      <c r="AX21" s="229"/>
    </row>
    <row r="22" spans="1:50" s="135" customFormat="1" x14ac:dyDescent="0.4">
      <c r="A22" s="236" t="str">
        <f>'Исходные данные'!$A$16</f>
        <v>Набір ваги</v>
      </c>
      <c r="B22" s="125" t="str">
        <f>CHOOSE('Исходные данные'!$O$2,'Исходные данные'!$P$2,'Исходные данные'!$P$3,'Исходные данные'!$P$4,'Исходные данные'!$P$5)</f>
        <v>UAH</v>
      </c>
      <c r="C22" s="125"/>
      <c r="D22" s="133">
        <f>D$7*D$8*'Исходные данные'!$D16*'Исходные данные'!$E16</f>
        <v>510.29999999999995</v>
      </c>
      <c r="E22" s="133">
        <f>E$7*E$8*'Исходные данные'!$D16*'Исходные данные'!$E16</f>
        <v>850.5</v>
      </c>
      <c r="F22" s="133">
        <f>F$7*F$8*'Исходные данные'!$D16*'Исходные данные'!$E16</f>
        <v>1117.8</v>
      </c>
      <c r="G22" s="133">
        <f>G$7*G$8*'Исходные данные'!$D16*'Исходные данные'!$E16</f>
        <v>1093.5</v>
      </c>
      <c r="H22" s="133">
        <f>H$7*H$8*'Исходные данные'!$D16*'Исходные данные'!$E16</f>
        <v>1215</v>
      </c>
      <c r="I22" s="133">
        <f>I$7*I$8*'Исходные данные'!$D16*'Исходные данные'!$E16</f>
        <v>972</v>
      </c>
      <c r="J22" s="133">
        <f>J$7*J$8*'Исходные данные'!$D16*'Исходные данные'!$E16</f>
        <v>1093.5</v>
      </c>
      <c r="K22" s="133">
        <f>K$7*K$8*'Исходные данные'!$D16*'Исходные данные'!$E16</f>
        <v>1154.25</v>
      </c>
      <c r="L22" s="133">
        <f>L$7*L$8*'Исходные данные'!$D16*'Исходные данные'!$E16</f>
        <v>1215</v>
      </c>
      <c r="M22" s="133">
        <f>M$7*M$8*'Исходные данные'!$D16*'Исходные данные'!$E16</f>
        <v>1215</v>
      </c>
      <c r="N22" s="133">
        <f>N$7*N$8*'Исходные данные'!$D16*'Исходные данные'!$E16</f>
        <v>1215</v>
      </c>
      <c r="O22" s="133">
        <f>O$7*O$8*'Исходные данные'!$D16*'Исходные данные'!$E16</f>
        <v>1215</v>
      </c>
      <c r="P22" s="237">
        <f t="shared" si="8"/>
        <v>12866.85</v>
      </c>
      <c r="Q22" s="237">
        <f t="shared" si="9"/>
        <v>1072.2375</v>
      </c>
      <c r="R22" s="133">
        <f>R$7*R$8*'Исходные данные'!$D16*'Исходные данные'!$E16</f>
        <v>935.55000000000007</v>
      </c>
      <c r="S22" s="133">
        <f>S$7*S$8*'Исходные данные'!$D16*'Исходные данные'!$E16</f>
        <v>1336.5000000000002</v>
      </c>
      <c r="T22" s="133">
        <f>T$7*T$8*'Исходные данные'!$D16*'Исходные данные'!$E16</f>
        <v>1536.9749999999999</v>
      </c>
      <c r="U22" s="133">
        <f>U$7*U$8*'Исходные данные'!$D16*'Исходные данные'!$E16</f>
        <v>1336.5000000000002</v>
      </c>
      <c r="V22" s="133">
        <f>V$7*V$8*'Исходные данные'!$D16*'Исходные данные'!$E16</f>
        <v>1336.5000000000002</v>
      </c>
      <c r="W22" s="133">
        <f>W$7*W$8*'Исходные данные'!$D16*'Исходные данные'!$E16</f>
        <v>1069.2</v>
      </c>
      <c r="X22" s="133">
        <f>X$7*X$8*'Исходные данные'!$D16*'Исходные данные'!$E16</f>
        <v>1202.8500000000001</v>
      </c>
      <c r="Y22" s="133">
        <f>Y$7*Y$8*'Исходные данные'!$D16*'Исходные данные'!$E16</f>
        <v>1269.675</v>
      </c>
      <c r="Z22" s="133">
        <f>Z$7*Z$8*'Исходные данные'!$D16*'Исходные данные'!$E16</f>
        <v>1336.5000000000002</v>
      </c>
      <c r="AA22" s="133">
        <f>AA$7*AA$8*'Исходные данные'!$D16*'Исходные данные'!$E16</f>
        <v>1336.5000000000002</v>
      </c>
      <c r="AB22" s="133">
        <f>AB$7*AB$8*'Исходные данные'!$D16*'Исходные данные'!$E16</f>
        <v>1336.5000000000002</v>
      </c>
      <c r="AC22" s="133">
        <f>AC$7*AC$8*'Исходные данные'!$D16*'Исходные данные'!$E16</f>
        <v>1336.5000000000002</v>
      </c>
      <c r="AD22" s="237">
        <f t="shared" si="10"/>
        <v>15369.75</v>
      </c>
      <c r="AE22" s="237">
        <f t="shared" si="11"/>
        <v>1280.8125</v>
      </c>
      <c r="AF22" s="133">
        <f>AF$7*AF$8*'Исходные данные'!$D16*'Исходные данные'!$E16</f>
        <v>1020.5999999999999</v>
      </c>
      <c r="AG22" s="133">
        <f>AG$7*AG$8*'Исходные данные'!$D16*'Исходные данные'!$E16</f>
        <v>1458</v>
      </c>
      <c r="AH22" s="133">
        <f>AH$7*AH$8*'Исходные данные'!$D16*'Исходные данные'!$E16</f>
        <v>1676.6999999999998</v>
      </c>
      <c r="AI22" s="133">
        <f>AI$7*AI$8*'Исходные данные'!$D16*'Исходные данные'!$E16</f>
        <v>1458</v>
      </c>
      <c r="AJ22" s="133">
        <f>AJ$7*AJ$8*'Исходные данные'!$D16*'Исходные данные'!$E16</f>
        <v>1458</v>
      </c>
      <c r="AK22" s="133">
        <f>AK$7*AK$8*'Исходные данные'!$D16*'Исходные данные'!$E16</f>
        <v>1166.4000000000001</v>
      </c>
      <c r="AL22" s="133">
        <f>AL$7*AL$8*'Исходные данные'!$D16*'Исходные данные'!$E16</f>
        <v>1312.2</v>
      </c>
      <c r="AM22" s="133">
        <f>AM$7*AM$8*'Исходные данные'!$D16*'Исходные данные'!$E16</f>
        <v>1385.1</v>
      </c>
      <c r="AN22" s="133">
        <f>AN$7*AN$8*'Исходные данные'!$D16*'Исходные данные'!$E16</f>
        <v>1458</v>
      </c>
      <c r="AO22" s="133">
        <f>AO$7*AO$8*'Исходные данные'!$D16*'Исходные данные'!$E16</f>
        <v>1458</v>
      </c>
      <c r="AP22" s="133">
        <f>AP$7*AP$8*'Исходные данные'!$D16*'Исходные данные'!$E16</f>
        <v>1458</v>
      </c>
      <c r="AQ22" s="133">
        <f>AQ$7*AQ$8*'Исходные данные'!$D16*'Исходные данные'!$E16</f>
        <v>1458</v>
      </c>
      <c r="AR22" s="237">
        <f t="shared" si="12"/>
        <v>16767</v>
      </c>
      <c r="AS22" s="237">
        <f t="shared" si="13"/>
        <v>1397.25</v>
      </c>
      <c r="AT22" s="85">
        <f t="shared" si="14"/>
        <v>45003.6</v>
      </c>
      <c r="AU22" s="238"/>
      <c r="AW22" s="229"/>
      <c r="AX22" s="229"/>
    </row>
    <row r="23" spans="1:50" s="87" customFormat="1" x14ac:dyDescent="0.4">
      <c r="A23" s="105" t="str">
        <f>'Исходные данные'!$A$17</f>
        <v>Обіди</v>
      </c>
      <c r="B23" s="82" t="str">
        <f>CHOOSE('Исходные данные'!$O$2,'Исходные данные'!$P$2,'Исходные данные'!$P$3,'Исходные данные'!$P$4,'Исходные данные'!$P$5)</f>
        <v>UAH</v>
      </c>
      <c r="C23" s="82"/>
      <c r="D23" s="83">
        <f>D$7*D$8*'Исходные данные'!$D17*'Исходные данные'!$E17</f>
        <v>28425.599999999999</v>
      </c>
      <c r="E23" s="83">
        <f>E$7*E$8*'Исходные данные'!$D17*'Исходные данные'!$E17</f>
        <v>47376</v>
      </c>
      <c r="F23" s="83">
        <f>F$7*F$8*'Исходные данные'!$D17*'Исходные данные'!$E17</f>
        <v>62265.599999999999</v>
      </c>
      <c r="G23" s="83">
        <f>G$7*G$8*'Исходные данные'!$D17*'Исходные данные'!$E17</f>
        <v>60912</v>
      </c>
      <c r="H23" s="83">
        <f>H$7*H$8*'Исходные данные'!$D17*'Исходные данные'!$E17</f>
        <v>67680</v>
      </c>
      <c r="I23" s="83">
        <f>I$7*I$8*'Исходные данные'!$D17*'Исходные данные'!$E17</f>
        <v>54144</v>
      </c>
      <c r="J23" s="83">
        <f>J$7*J$8*'Исходные данные'!$D17*'Исходные данные'!$E17</f>
        <v>60912</v>
      </c>
      <c r="K23" s="83">
        <f>K$7*K$8*'Исходные данные'!$D17*'Исходные данные'!$E17</f>
        <v>64296</v>
      </c>
      <c r="L23" s="83">
        <f>L$7*L$8*'Исходные данные'!$D17*'Исходные данные'!$E17</f>
        <v>67680</v>
      </c>
      <c r="M23" s="83">
        <f>M$7*M$8*'Исходные данные'!$D17*'Исходные данные'!$E17</f>
        <v>67680</v>
      </c>
      <c r="N23" s="83">
        <f>N$7*N$8*'Исходные данные'!$D17*'Исходные данные'!$E17</f>
        <v>67680</v>
      </c>
      <c r="O23" s="83">
        <f>O$7*O$8*'Исходные данные'!$D17*'Исходные данные'!$E17</f>
        <v>67680</v>
      </c>
      <c r="P23" s="84">
        <f t="shared" si="8"/>
        <v>716731.2</v>
      </c>
      <c r="Q23" s="84">
        <f t="shared" si="9"/>
        <v>59727.6</v>
      </c>
      <c r="R23" s="83">
        <f>R$7*R$8*'Исходные данные'!$D17*'Исходные данные'!$E17</f>
        <v>52113.600000000006</v>
      </c>
      <c r="S23" s="83">
        <f>S$7*S$8*'Исходные данные'!$D17*'Исходные данные'!$E17</f>
        <v>74448</v>
      </c>
      <c r="T23" s="83">
        <f>T$7*T$8*'Исходные данные'!$D17*'Исходные данные'!$E17</f>
        <v>85615.2</v>
      </c>
      <c r="U23" s="83">
        <f>U$7*U$8*'Исходные данные'!$D17*'Исходные данные'!$E17</f>
        <v>74448</v>
      </c>
      <c r="V23" s="83">
        <f>V$7*V$8*'Исходные данные'!$D17*'Исходные данные'!$E17</f>
        <v>74448</v>
      </c>
      <c r="W23" s="83">
        <f>W$7*W$8*'Исходные данные'!$D17*'Исходные данные'!$E17</f>
        <v>59558.400000000001</v>
      </c>
      <c r="X23" s="83">
        <f>X$7*X$8*'Исходные данные'!$D17*'Исходные данные'!$E17</f>
        <v>67003.200000000012</v>
      </c>
      <c r="Y23" s="83">
        <f>Y$7*Y$8*'Исходные данные'!$D17*'Исходные данные'!$E17</f>
        <v>70725.599999999991</v>
      </c>
      <c r="Z23" s="83">
        <f>Z$7*Z$8*'Исходные данные'!$D17*'Исходные данные'!$E17</f>
        <v>74448</v>
      </c>
      <c r="AA23" s="83">
        <f>AA$7*AA$8*'Исходные данные'!$D17*'Исходные данные'!$E17</f>
        <v>74448</v>
      </c>
      <c r="AB23" s="83">
        <f>AB$7*AB$8*'Исходные данные'!$D17*'Исходные данные'!$E17</f>
        <v>74448</v>
      </c>
      <c r="AC23" s="83">
        <f>AC$7*AC$8*'Исходные данные'!$D17*'Исходные данные'!$E17</f>
        <v>74448</v>
      </c>
      <c r="AD23" s="84">
        <f t="shared" si="10"/>
        <v>856152</v>
      </c>
      <c r="AE23" s="84">
        <f t="shared" si="11"/>
        <v>71346</v>
      </c>
      <c r="AF23" s="83">
        <f>AF$7*AF$8*'Исходные данные'!$D17*'Исходные данные'!$E17</f>
        <v>56851.199999999997</v>
      </c>
      <c r="AG23" s="83">
        <f>AG$7*AG$8*'Исходные данные'!$D17*'Исходные данные'!$E17</f>
        <v>81216</v>
      </c>
      <c r="AH23" s="83">
        <f>AH$7*AH$8*'Исходные данные'!$D17*'Исходные данные'!$E17</f>
        <v>93398.399999999994</v>
      </c>
      <c r="AI23" s="83">
        <f>AI$7*AI$8*'Исходные данные'!$D17*'Исходные данные'!$E17</f>
        <v>81216</v>
      </c>
      <c r="AJ23" s="83">
        <f>AJ$7*AJ$8*'Исходные данные'!$D17*'Исходные данные'!$E17</f>
        <v>81216</v>
      </c>
      <c r="AK23" s="83">
        <f>AK$7*AK$8*'Исходные данные'!$D17*'Исходные данные'!$E17</f>
        <v>64972.799999999996</v>
      </c>
      <c r="AL23" s="83">
        <f>AL$7*AL$8*'Исходные данные'!$D17*'Исходные данные'!$E17</f>
        <v>73094.400000000009</v>
      </c>
      <c r="AM23" s="83">
        <f>AM$7*AM$8*'Исходные данные'!$D17*'Исходные данные'!$E17</f>
        <v>77155.199999999997</v>
      </c>
      <c r="AN23" s="83">
        <f>AN$7*AN$8*'Исходные данные'!$D17*'Исходные данные'!$E17</f>
        <v>81216</v>
      </c>
      <c r="AO23" s="83">
        <f>AO$7*AO$8*'Исходные данные'!$D17*'Исходные данные'!$E17</f>
        <v>81216</v>
      </c>
      <c r="AP23" s="83">
        <f>AP$7*AP$8*'Исходные данные'!$D17*'Исходные данные'!$E17</f>
        <v>81216</v>
      </c>
      <c r="AQ23" s="83">
        <f>AQ$7*AQ$8*'Исходные данные'!$D17*'Исходные данные'!$E17</f>
        <v>81216</v>
      </c>
      <c r="AR23" s="84">
        <f t="shared" si="12"/>
        <v>933983.99999999988</v>
      </c>
      <c r="AS23" s="84">
        <f t="shared" si="13"/>
        <v>77831.999999999985</v>
      </c>
      <c r="AT23" s="85">
        <f t="shared" si="14"/>
        <v>2506867.1999999997</v>
      </c>
      <c r="AU23" s="86"/>
      <c r="AW23" s="229"/>
      <c r="AX23" s="229"/>
    </row>
    <row r="24" spans="1:50" s="97" customFormat="1" x14ac:dyDescent="0.4">
      <c r="A24" s="93" t="str">
        <f>CHOOSE('Исходные данные'!$U$2,AW50,AX50)</f>
        <v>Разом</v>
      </c>
      <c r="B24" s="94" t="str">
        <f>CHOOSE('Исходные данные'!$O$2,'Исходные данные'!$P$2,'Исходные данные'!$P$3,'Исходные данные'!$P$4,'Исходные данные'!$P$5)</f>
        <v>UAH</v>
      </c>
      <c r="C24" s="94"/>
      <c r="D24" s="95">
        <f>SUM(D17:D23)</f>
        <v>143041.5</v>
      </c>
      <c r="E24" s="95">
        <f t="shared" ref="E24:AT24" si="15">SUM(E17:E23)</f>
        <v>238402.5</v>
      </c>
      <c r="F24" s="95">
        <f t="shared" si="15"/>
        <v>313329</v>
      </c>
      <c r="G24" s="95">
        <f t="shared" si="15"/>
        <v>306517.5</v>
      </c>
      <c r="H24" s="95">
        <f t="shared" si="15"/>
        <v>340575</v>
      </c>
      <c r="I24" s="95">
        <f t="shared" si="15"/>
        <v>272460</v>
      </c>
      <c r="J24" s="95">
        <f t="shared" si="15"/>
        <v>306517.5</v>
      </c>
      <c r="K24" s="95">
        <f t="shared" si="15"/>
        <v>323546.25</v>
      </c>
      <c r="L24" s="95">
        <f t="shared" si="15"/>
        <v>340575</v>
      </c>
      <c r="M24" s="95">
        <f t="shared" si="15"/>
        <v>340575</v>
      </c>
      <c r="N24" s="95">
        <f t="shared" si="15"/>
        <v>340575</v>
      </c>
      <c r="O24" s="95">
        <f t="shared" si="15"/>
        <v>340575</v>
      </c>
      <c r="P24" s="95">
        <f t="shared" si="15"/>
        <v>3606689.25</v>
      </c>
      <c r="Q24" s="95">
        <f t="shared" si="15"/>
        <v>300557.4375</v>
      </c>
      <c r="R24" s="95">
        <f t="shared" si="15"/>
        <v>262242.75</v>
      </c>
      <c r="S24" s="95">
        <f t="shared" si="15"/>
        <v>374632.5</v>
      </c>
      <c r="T24" s="95">
        <f t="shared" si="15"/>
        <v>430827.37499999994</v>
      </c>
      <c r="U24" s="95">
        <f t="shared" si="15"/>
        <v>374632.5</v>
      </c>
      <c r="V24" s="95">
        <f t="shared" si="15"/>
        <v>374632.5</v>
      </c>
      <c r="W24" s="95">
        <f t="shared" si="15"/>
        <v>299706.00000000006</v>
      </c>
      <c r="X24" s="95">
        <f t="shared" si="15"/>
        <v>337169.25</v>
      </c>
      <c r="Y24" s="95">
        <f t="shared" si="15"/>
        <v>355900.875</v>
      </c>
      <c r="Z24" s="95">
        <f t="shared" si="15"/>
        <v>374632.5</v>
      </c>
      <c r="AA24" s="95">
        <f t="shared" si="15"/>
        <v>374632.5</v>
      </c>
      <c r="AB24" s="95">
        <f t="shared" si="15"/>
        <v>374632.5</v>
      </c>
      <c r="AC24" s="95">
        <f t="shared" si="15"/>
        <v>374632.5</v>
      </c>
      <c r="AD24" s="95">
        <f t="shared" si="15"/>
        <v>4308273.75</v>
      </c>
      <c r="AE24" s="95">
        <f t="shared" si="15"/>
        <v>359022.8125</v>
      </c>
      <c r="AF24" s="95">
        <f t="shared" si="15"/>
        <v>286083</v>
      </c>
      <c r="AG24" s="95">
        <f t="shared" si="15"/>
        <v>408690</v>
      </c>
      <c r="AH24" s="95">
        <f t="shared" si="15"/>
        <v>469993.5</v>
      </c>
      <c r="AI24" s="95">
        <f t="shared" si="15"/>
        <v>408690</v>
      </c>
      <c r="AJ24" s="95">
        <f t="shared" si="15"/>
        <v>408690</v>
      </c>
      <c r="AK24" s="95">
        <f t="shared" si="15"/>
        <v>326952</v>
      </c>
      <c r="AL24" s="95">
        <f t="shared" si="15"/>
        <v>367821</v>
      </c>
      <c r="AM24" s="95">
        <f t="shared" si="15"/>
        <v>388255.49999999994</v>
      </c>
      <c r="AN24" s="95">
        <f t="shared" si="15"/>
        <v>408690</v>
      </c>
      <c r="AO24" s="95">
        <f t="shared" si="15"/>
        <v>408690</v>
      </c>
      <c r="AP24" s="95">
        <f t="shared" si="15"/>
        <v>408690</v>
      </c>
      <c r="AQ24" s="95">
        <f t="shared" si="15"/>
        <v>408690</v>
      </c>
      <c r="AR24" s="95">
        <f t="shared" si="15"/>
        <v>4699935</v>
      </c>
      <c r="AS24" s="95">
        <f t="shared" si="15"/>
        <v>391661.25</v>
      </c>
      <c r="AT24" s="95">
        <f t="shared" si="15"/>
        <v>12614898</v>
      </c>
      <c r="AU24" s="96"/>
      <c r="AW24" s="229" t="s">
        <v>37</v>
      </c>
      <c r="AX24" s="97" t="s">
        <v>251</v>
      </c>
    </row>
    <row r="25" spans="1:50" s="81" customFormat="1" ht="12.6" thickBot="1" x14ac:dyDescent="0.45">
      <c r="A25" s="98"/>
      <c r="B25" s="99"/>
      <c r="C25" s="99"/>
      <c r="D25" s="100"/>
      <c r="E25" s="98"/>
      <c r="F25" s="98"/>
      <c r="G25" s="98"/>
      <c r="H25" s="98"/>
      <c r="I25" s="98"/>
      <c r="J25" s="98"/>
      <c r="K25" s="98"/>
      <c r="P25" s="101"/>
      <c r="Q25" s="101"/>
      <c r="R25" s="100"/>
      <c r="S25" s="98"/>
      <c r="T25" s="98"/>
      <c r="U25" s="98"/>
      <c r="V25" s="98"/>
      <c r="W25" s="98"/>
      <c r="X25" s="98"/>
      <c r="Y25" s="98"/>
      <c r="AD25" s="101"/>
      <c r="AE25" s="101"/>
      <c r="AF25" s="100"/>
      <c r="AG25" s="98"/>
      <c r="AH25" s="98"/>
      <c r="AI25" s="98"/>
      <c r="AJ25" s="98"/>
      <c r="AK25" s="98"/>
      <c r="AL25" s="98"/>
      <c r="AM25" s="98"/>
      <c r="AR25" s="101"/>
      <c r="AS25" s="101"/>
      <c r="AW25" s="229" t="s">
        <v>40</v>
      </c>
      <c r="AX25" s="81" t="s">
        <v>252</v>
      </c>
    </row>
    <row r="26" spans="1:50" s="81" customFormat="1" ht="21.6" thickTop="1" thickBot="1" x14ac:dyDescent="0.45">
      <c r="A26" s="77" t="str">
        <f>CHOOSE('Исходные данные'!$U$2,AW47,AX47)</f>
        <v>ДИНАМІКА СОБІВАРТОСТІ</v>
      </c>
      <c r="B26" s="78"/>
      <c r="C26" s="79" t="str">
        <f t="shared" ref="C26:O26" si="16">C$6</f>
        <v>грудень</v>
      </c>
      <c r="D26" s="79" t="str">
        <f t="shared" si="16"/>
        <v>січень</v>
      </c>
      <c r="E26" s="79" t="str">
        <f t="shared" si="16"/>
        <v>лютий</v>
      </c>
      <c r="F26" s="79" t="str">
        <f t="shared" si="16"/>
        <v>березень</v>
      </c>
      <c r="G26" s="79" t="str">
        <f t="shared" si="16"/>
        <v>квітень</v>
      </c>
      <c r="H26" s="79" t="str">
        <f t="shared" si="16"/>
        <v>травень</v>
      </c>
      <c r="I26" s="79" t="str">
        <f t="shared" si="16"/>
        <v>червень</v>
      </c>
      <c r="J26" s="79" t="str">
        <f t="shared" si="16"/>
        <v>липень</v>
      </c>
      <c r="K26" s="79" t="str">
        <f t="shared" si="16"/>
        <v>серпень</v>
      </c>
      <c r="L26" s="79" t="str">
        <f t="shared" si="16"/>
        <v>вересень</v>
      </c>
      <c r="M26" s="79" t="str">
        <f t="shared" si="16"/>
        <v>жовтень</v>
      </c>
      <c r="N26" s="79" t="str">
        <f t="shared" si="16"/>
        <v>листопад</v>
      </c>
      <c r="O26" s="79" t="str">
        <f t="shared" si="16"/>
        <v>грудень</v>
      </c>
      <c r="P26" s="215" t="str">
        <f>P16</f>
        <v>1-й рік роботи</v>
      </c>
      <c r="Q26" s="80" t="str">
        <f>Q16</f>
        <v>Середньомісячно за 1-й рік</v>
      </c>
      <c r="R26" s="79" t="str">
        <f t="shared" ref="R26:AC26" si="17">R$6</f>
        <v>січень</v>
      </c>
      <c r="S26" s="79" t="str">
        <f t="shared" si="17"/>
        <v>лютий</v>
      </c>
      <c r="T26" s="79" t="str">
        <f t="shared" si="17"/>
        <v>березень</v>
      </c>
      <c r="U26" s="79" t="str">
        <f t="shared" si="17"/>
        <v>квітень</v>
      </c>
      <c r="V26" s="79" t="str">
        <f t="shared" si="17"/>
        <v>травень</v>
      </c>
      <c r="W26" s="79" t="str">
        <f t="shared" si="17"/>
        <v>червень</v>
      </c>
      <c r="X26" s="79" t="str">
        <f t="shared" si="17"/>
        <v>липень</v>
      </c>
      <c r="Y26" s="79" t="str">
        <f t="shared" si="17"/>
        <v>серпень</v>
      </c>
      <c r="Z26" s="79" t="str">
        <f t="shared" si="17"/>
        <v>вересень</v>
      </c>
      <c r="AA26" s="79" t="str">
        <f t="shared" si="17"/>
        <v>жовтень</v>
      </c>
      <c r="AB26" s="79" t="str">
        <f t="shared" si="17"/>
        <v>листопад</v>
      </c>
      <c r="AC26" s="79" t="str">
        <f t="shared" si="17"/>
        <v>грудень</v>
      </c>
      <c r="AD26" s="215" t="str">
        <f>AD16</f>
        <v>2-й рік роботи</v>
      </c>
      <c r="AE26" s="215" t="str">
        <f>AE16</f>
        <v>Середньомісячно за 2-й рік</v>
      </c>
      <c r="AF26" s="79" t="str">
        <f t="shared" ref="AF26:AQ26" si="18">AF$6</f>
        <v>січень</v>
      </c>
      <c r="AG26" s="79" t="str">
        <f t="shared" si="18"/>
        <v>лютий</v>
      </c>
      <c r="AH26" s="79" t="str">
        <f t="shared" si="18"/>
        <v>березень</v>
      </c>
      <c r="AI26" s="79" t="str">
        <f t="shared" si="18"/>
        <v>квітень</v>
      </c>
      <c r="AJ26" s="79" t="str">
        <f t="shared" si="18"/>
        <v>травень</v>
      </c>
      <c r="AK26" s="79" t="str">
        <f t="shared" si="18"/>
        <v>червень</v>
      </c>
      <c r="AL26" s="79" t="str">
        <f t="shared" si="18"/>
        <v>липень</v>
      </c>
      <c r="AM26" s="79" t="str">
        <f t="shared" si="18"/>
        <v>серпень</v>
      </c>
      <c r="AN26" s="79" t="str">
        <f t="shared" si="18"/>
        <v>вересень</v>
      </c>
      <c r="AO26" s="79" t="str">
        <f t="shared" si="18"/>
        <v>жовтень</v>
      </c>
      <c r="AP26" s="79" t="str">
        <f t="shared" si="18"/>
        <v>листопад</v>
      </c>
      <c r="AQ26" s="79" t="str">
        <f t="shared" si="18"/>
        <v>грудень</v>
      </c>
      <c r="AR26" s="215" t="str">
        <f>AR16</f>
        <v>3-й рік роботи</v>
      </c>
      <c r="AS26" s="215" t="str">
        <f>AS16</f>
        <v>Середньомісячно за 3-й рік</v>
      </c>
      <c r="AT26" s="193" t="str">
        <f>AT15</f>
        <v>Разом за три роки</v>
      </c>
      <c r="AV26" s="6"/>
      <c r="AW26" s="229" t="s">
        <v>41</v>
      </c>
      <c r="AX26" s="81" t="s">
        <v>253</v>
      </c>
    </row>
    <row r="27" spans="1:50" s="135" customFormat="1" ht="12.6" thickTop="1" x14ac:dyDescent="0.4">
      <c r="A27" s="236" t="str">
        <f>CHOOSE('Исходные данные'!$U$2,AW27,AX27)</f>
        <v>Продукти</v>
      </c>
      <c r="B27" s="125"/>
      <c r="C27" s="125"/>
      <c r="D27" s="133"/>
      <c r="E27" s="133"/>
      <c r="F27" s="133"/>
      <c r="G27" s="133"/>
      <c r="H27" s="133"/>
      <c r="I27" s="133"/>
      <c r="J27" s="133"/>
      <c r="K27" s="133"/>
      <c r="L27" s="133"/>
      <c r="M27" s="133"/>
      <c r="N27" s="133"/>
      <c r="O27" s="133"/>
      <c r="P27" s="237"/>
      <c r="Q27" s="237"/>
      <c r="R27" s="133"/>
      <c r="S27" s="133"/>
      <c r="T27" s="133"/>
      <c r="U27" s="133"/>
      <c r="V27" s="133"/>
      <c r="W27" s="133"/>
      <c r="X27" s="133"/>
      <c r="Y27" s="133"/>
      <c r="Z27" s="133"/>
      <c r="AA27" s="133"/>
      <c r="AB27" s="133"/>
      <c r="AC27" s="133"/>
      <c r="AD27" s="237"/>
      <c r="AE27" s="237"/>
      <c r="AF27" s="133"/>
      <c r="AG27" s="133"/>
      <c r="AH27" s="133"/>
      <c r="AI27" s="133"/>
      <c r="AJ27" s="133"/>
      <c r="AK27" s="133"/>
      <c r="AL27" s="133"/>
      <c r="AM27" s="133"/>
      <c r="AN27" s="133"/>
      <c r="AO27" s="133"/>
      <c r="AP27" s="133"/>
      <c r="AQ27" s="133"/>
      <c r="AR27" s="237"/>
      <c r="AS27" s="237"/>
      <c r="AT27" s="85"/>
      <c r="AU27" s="238"/>
      <c r="AW27" s="229" t="s">
        <v>336</v>
      </c>
      <c r="AX27" s="229" t="s">
        <v>337</v>
      </c>
    </row>
    <row r="28" spans="1:50" s="87" customFormat="1" x14ac:dyDescent="0.4">
      <c r="A28" s="105" t="str">
        <f>'Исходные данные'!$A$11</f>
        <v>Detox</v>
      </c>
      <c r="B28" s="82" t="str">
        <f>CHOOSE('Исходные данные'!$O$2,'Исходные данные'!$P$2,'Исходные данные'!$P$3,'Исходные данные'!$P$4,'Исходные данные'!$P$5)</f>
        <v>UAH</v>
      </c>
      <c r="C28" s="82"/>
      <c r="D28" s="83">
        <f>D$7*D$8*'Исходные данные'!$E11*'Исходные данные'!$G11</f>
        <v>12726</v>
      </c>
      <c r="E28" s="83">
        <f>E$7*E$8*'Исходные данные'!$E11*'Исходные данные'!$G11</f>
        <v>21209.999999999996</v>
      </c>
      <c r="F28" s="83">
        <f>F$7*F$8*'Исходные данные'!$E11*'Исходные данные'!$G11</f>
        <v>27875.999999999996</v>
      </c>
      <c r="G28" s="83">
        <f>G$7*G$8*'Исходные данные'!$E11*'Исходные данные'!$G11</f>
        <v>27270</v>
      </c>
      <c r="H28" s="83">
        <f>H$7*H$8*'Исходные данные'!$E11*'Исходные данные'!$G11</f>
        <v>30300</v>
      </c>
      <c r="I28" s="83">
        <f>I$7*I$8*'Исходные данные'!$E11*'Исходные данные'!$G11</f>
        <v>24240.000000000004</v>
      </c>
      <c r="J28" s="83">
        <f>J$7*J$8*'Исходные данные'!$E11*'Исходные данные'!$G11</f>
        <v>27270</v>
      </c>
      <c r="K28" s="83">
        <f>K$7*K$8*'Исходные данные'!$E11*'Исходные данные'!$G11</f>
        <v>28784.999999999996</v>
      </c>
      <c r="L28" s="83">
        <f>L$7*L$8*'Исходные данные'!$E11*'Исходные данные'!$G11</f>
        <v>30300</v>
      </c>
      <c r="M28" s="83">
        <f>M$7*M$8*'Исходные данные'!$E11*'Исходные данные'!$G11</f>
        <v>30300</v>
      </c>
      <c r="N28" s="83">
        <f>N$7*N$8*'Исходные данные'!$E11*'Исходные данные'!$G11</f>
        <v>30300</v>
      </c>
      <c r="O28" s="83">
        <f>O$7*O$8*'Исходные данные'!$E11*'Исходные данные'!$G11</f>
        <v>30300</v>
      </c>
      <c r="P28" s="84">
        <f t="shared" ref="P28:P34" si="19">SUM(D28:O28)</f>
        <v>320877</v>
      </c>
      <c r="Q28" s="84">
        <f t="shared" ref="Q28:Q34" si="20">P28/12</f>
        <v>26739.75</v>
      </c>
      <c r="R28" s="83">
        <f>R$7*R$8*'Исходные данные'!$E11*'Исходные данные'!$G11</f>
        <v>23331</v>
      </c>
      <c r="S28" s="83">
        <f>S$7*S$8*'Исходные данные'!$E11*'Исходные данные'!$G11</f>
        <v>33330</v>
      </c>
      <c r="T28" s="83">
        <f>T$7*T$8*'Исходные данные'!$E11*'Исходные данные'!$G11</f>
        <v>38329.499999999993</v>
      </c>
      <c r="U28" s="83">
        <f>U$7*U$8*'Исходные данные'!$E11*'Исходные данные'!$G11</f>
        <v>33330</v>
      </c>
      <c r="V28" s="83">
        <f>V$7*V$8*'Исходные данные'!$E11*'Исходные данные'!$G11</f>
        <v>33330</v>
      </c>
      <c r="W28" s="83">
        <f>W$7*W$8*'Исходные данные'!$E11*'Исходные данные'!$G11</f>
        <v>26664.000000000004</v>
      </c>
      <c r="X28" s="83">
        <f>X$7*X$8*'Исходные данные'!$E11*'Исходные данные'!$G11</f>
        <v>29997.000000000004</v>
      </c>
      <c r="Y28" s="83">
        <f>Y$7*Y$8*'Исходные данные'!$E11*'Исходные данные'!$G11</f>
        <v>31663.499999999996</v>
      </c>
      <c r="Z28" s="83">
        <f>Z$7*Z$8*'Исходные данные'!$E11*'Исходные данные'!$G11</f>
        <v>33330</v>
      </c>
      <c r="AA28" s="83">
        <f>AA$7*AA$8*'Исходные данные'!$E11*'Исходные данные'!$G11</f>
        <v>33330</v>
      </c>
      <c r="AB28" s="83">
        <f>AB$7*AB$8*'Исходные данные'!$E11*'Исходные данные'!$G11</f>
        <v>33330</v>
      </c>
      <c r="AC28" s="83">
        <f>AC$7*AC$8*'Исходные данные'!$E11*'Исходные данные'!$G11</f>
        <v>33330</v>
      </c>
      <c r="AD28" s="84">
        <f t="shared" ref="AD28:AD34" si="21">SUM(R28:AC28)</f>
        <v>383295</v>
      </c>
      <c r="AE28" s="84">
        <f t="shared" ref="AE28:AE34" si="22">AD28/12</f>
        <v>31941.25</v>
      </c>
      <c r="AF28" s="83">
        <f>AF$7*AF$8*'Исходные данные'!$E11*'Исходные данные'!$G11</f>
        <v>25452</v>
      </c>
      <c r="AG28" s="83">
        <f>AG$7*AG$8*'Исходные данные'!$E11*'Исходные данные'!$G11</f>
        <v>36360</v>
      </c>
      <c r="AH28" s="83">
        <f>AH$7*AH$8*'Исходные данные'!$E11*'Исходные данные'!$G11</f>
        <v>41814</v>
      </c>
      <c r="AI28" s="83">
        <f>AI$7*AI$8*'Исходные данные'!$E11*'Исходные данные'!$G11</f>
        <v>36360</v>
      </c>
      <c r="AJ28" s="83">
        <f>AJ$7*AJ$8*'Исходные данные'!$E11*'Исходные данные'!$G11</f>
        <v>36360</v>
      </c>
      <c r="AK28" s="83">
        <f>AK$7*AK$8*'Исходные данные'!$E11*'Исходные данные'!$G11</f>
        <v>29087.999999999996</v>
      </c>
      <c r="AL28" s="83">
        <f>AL$7*AL$8*'Исходные данные'!$E11*'Исходные данные'!$G11</f>
        <v>32724.000000000004</v>
      </c>
      <c r="AM28" s="83">
        <f>AM$7*AM$8*'Исходные данные'!$E11*'Исходные данные'!$G11</f>
        <v>34541.999999999993</v>
      </c>
      <c r="AN28" s="83">
        <f>AN$7*AN$8*'Исходные данные'!$E11*'Исходные данные'!$G11</f>
        <v>36360</v>
      </c>
      <c r="AO28" s="83">
        <f>AO$7*AO$8*'Исходные данные'!$E11*'Исходные данные'!$G11</f>
        <v>36360</v>
      </c>
      <c r="AP28" s="83">
        <f>AP$7*AP$8*'Исходные данные'!$E11*'Исходные данные'!$G11</f>
        <v>36360</v>
      </c>
      <c r="AQ28" s="83">
        <f>AQ$7*AQ$8*'Исходные данные'!$E11*'Исходные данные'!$G11</f>
        <v>36360</v>
      </c>
      <c r="AR28" s="84">
        <f t="shared" ref="AR28:AR34" si="23">SUM(AF28:AQ28)</f>
        <v>418140</v>
      </c>
      <c r="AS28" s="84">
        <f t="shared" ref="AS28:AS34" si="24">AR28/12</f>
        <v>34845</v>
      </c>
      <c r="AT28" s="85">
        <f t="shared" ref="AT28:AT34" si="25">P28+AD28+AR28</f>
        <v>1122312</v>
      </c>
      <c r="AU28" s="86"/>
      <c r="AW28" s="229"/>
      <c r="AX28" s="229"/>
    </row>
    <row r="29" spans="1:50" s="135" customFormat="1" x14ac:dyDescent="0.4">
      <c r="A29" s="236" t="str">
        <f>'Исходные данные'!$A$12</f>
        <v>Light Woman</v>
      </c>
      <c r="B29" s="125" t="str">
        <f>CHOOSE('Исходные данные'!$O$2,'Исходные данные'!$P$2,'Исходные данные'!$P$3,'Исходные данные'!$P$4,'Исходные данные'!$P$5)</f>
        <v>UAH</v>
      </c>
      <c r="C29" s="125"/>
      <c r="D29" s="133">
        <f>D$7*D$8*'Исходные данные'!$E12*'Исходные данные'!$G12</f>
        <v>22386</v>
      </c>
      <c r="E29" s="133">
        <f>E$7*E$8*'Исходные данные'!$E12*'Исходные данные'!$G12</f>
        <v>37310</v>
      </c>
      <c r="F29" s="133">
        <f>F$7*F$8*'Исходные данные'!$E12*'Исходные данные'!$G12</f>
        <v>49036</v>
      </c>
      <c r="G29" s="133">
        <f>G$7*G$8*'Исходные данные'!$E12*'Исходные данные'!$G12</f>
        <v>47970</v>
      </c>
      <c r="H29" s="133">
        <f>H$7*H$8*'Исходные данные'!$E12*'Исходные данные'!$G12</f>
        <v>53300</v>
      </c>
      <c r="I29" s="133">
        <f>I$7*I$8*'Исходные данные'!$E12*'Исходные данные'!$G12</f>
        <v>42640</v>
      </c>
      <c r="J29" s="133">
        <f>J$7*J$8*'Исходные данные'!$E12*'Исходные данные'!$G12</f>
        <v>47970</v>
      </c>
      <c r="K29" s="133">
        <f>K$7*K$8*'Исходные данные'!$E12*'Исходные данные'!$G12</f>
        <v>50635</v>
      </c>
      <c r="L29" s="133">
        <f>L$7*L$8*'Исходные данные'!$E12*'Исходные данные'!$G12</f>
        <v>53300</v>
      </c>
      <c r="M29" s="133">
        <f>M$7*M$8*'Исходные данные'!$E12*'Исходные данные'!$G12</f>
        <v>53300</v>
      </c>
      <c r="N29" s="133">
        <f>N$7*N$8*'Исходные данные'!$E12*'Исходные данные'!$G12</f>
        <v>53300</v>
      </c>
      <c r="O29" s="133">
        <f>O$7*O$8*'Исходные данные'!$E12*'Исходные данные'!$G12</f>
        <v>53300</v>
      </c>
      <c r="P29" s="237">
        <f t="shared" si="19"/>
        <v>564447</v>
      </c>
      <c r="Q29" s="237">
        <f t="shared" si="20"/>
        <v>47037.25</v>
      </c>
      <c r="R29" s="133">
        <f>R$7*R$8*'Исходные данные'!$E12*'Исходные данные'!$G12</f>
        <v>41041</v>
      </c>
      <c r="S29" s="133">
        <f>S$7*S$8*'Исходные данные'!$E12*'Исходные данные'!$G12</f>
        <v>58630.000000000007</v>
      </c>
      <c r="T29" s="133">
        <f>T$7*T$8*'Исходные данные'!$E12*'Исходные данные'!$G12</f>
        <v>67424.5</v>
      </c>
      <c r="U29" s="133">
        <f>U$7*U$8*'Исходные данные'!$E12*'Исходные данные'!$G12</f>
        <v>58630.000000000007</v>
      </c>
      <c r="V29" s="133">
        <f>V$7*V$8*'Исходные данные'!$E12*'Исходные данные'!$G12</f>
        <v>58630.000000000007</v>
      </c>
      <c r="W29" s="133">
        <f>W$7*W$8*'Исходные данные'!$E12*'Исходные данные'!$G12</f>
        <v>46904.000000000007</v>
      </c>
      <c r="X29" s="133">
        <f>X$7*X$8*'Исходные данные'!$E12*'Исходные данные'!$G12</f>
        <v>52767.000000000007</v>
      </c>
      <c r="Y29" s="133">
        <f>Y$7*Y$8*'Исходные данные'!$E12*'Исходные данные'!$G12</f>
        <v>55698.5</v>
      </c>
      <c r="Z29" s="133">
        <f>Z$7*Z$8*'Исходные данные'!$E12*'Исходные данные'!$G12</f>
        <v>58630.000000000007</v>
      </c>
      <c r="AA29" s="133">
        <f>AA$7*AA$8*'Исходные данные'!$E12*'Исходные данные'!$G12</f>
        <v>58630.000000000007</v>
      </c>
      <c r="AB29" s="133">
        <f>AB$7*AB$8*'Исходные данные'!$E12*'Исходные данные'!$G12</f>
        <v>58630.000000000007</v>
      </c>
      <c r="AC29" s="133">
        <f>AC$7*AC$8*'Исходные данные'!$E12*'Исходные данные'!$G12</f>
        <v>58630.000000000007</v>
      </c>
      <c r="AD29" s="237">
        <f t="shared" si="21"/>
        <v>674245</v>
      </c>
      <c r="AE29" s="237">
        <f t="shared" si="22"/>
        <v>56187.083333333336</v>
      </c>
      <c r="AF29" s="133">
        <f>AF$7*AF$8*'Исходные данные'!$E12*'Исходные данные'!$G12</f>
        <v>44772</v>
      </c>
      <c r="AG29" s="133">
        <f>AG$7*AG$8*'Исходные данные'!$E12*'Исходные данные'!$G12</f>
        <v>63960</v>
      </c>
      <c r="AH29" s="133">
        <f>AH$7*AH$8*'Исходные данные'!$E12*'Исходные данные'!$G12</f>
        <v>73554</v>
      </c>
      <c r="AI29" s="133">
        <f>AI$7*AI$8*'Исходные данные'!$E12*'Исходные данные'!$G12</f>
        <v>63960</v>
      </c>
      <c r="AJ29" s="133">
        <f>AJ$7*AJ$8*'Исходные данные'!$E12*'Исходные данные'!$G12</f>
        <v>63960</v>
      </c>
      <c r="AK29" s="133">
        <f>AK$7*AK$8*'Исходные данные'!$E12*'Исходные данные'!$G12</f>
        <v>51167.999999999993</v>
      </c>
      <c r="AL29" s="133">
        <f>AL$7*AL$8*'Исходные данные'!$E12*'Исходные данные'!$G12</f>
        <v>57564</v>
      </c>
      <c r="AM29" s="133">
        <f>AM$7*AM$8*'Исходные данные'!$E12*'Исходные данные'!$G12</f>
        <v>60762</v>
      </c>
      <c r="AN29" s="133">
        <f>AN$7*AN$8*'Исходные данные'!$E12*'Исходные данные'!$G12</f>
        <v>63960</v>
      </c>
      <c r="AO29" s="133">
        <f>AO$7*AO$8*'Исходные данные'!$E12*'Исходные данные'!$G12</f>
        <v>63960</v>
      </c>
      <c r="AP29" s="133">
        <f>AP$7*AP$8*'Исходные данные'!$E12*'Исходные данные'!$G12</f>
        <v>63960</v>
      </c>
      <c r="AQ29" s="133">
        <f>AQ$7*AQ$8*'Исходные данные'!$E12*'Исходные данные'!$G12</f>
        <v>63960</v>
      </c>
      <c r="AR29" s="237">
        <f t="shared" si="23"/>
        <v>735540</v>
      </c>
      <c r="AS29" s="237">
        <f t="shared" si="24"/>
        <v>61295</v>
      </c>
      <c r="AT29" s="85">
        <f t="shared" si="25"/>
        <v>1974232</v>
      </c>
      <c r="AU29" s="238"/>
      <c r="AW29" s="229"/>
      <c r="AX29" s="229"/>
    </row>
    <row r="30" spans="1:50" s="87" customFormat="1" x14ac:dyDescent="0.4">
      <c r="A30" s="105" t="str">
        <f>'Исходные данные'!$A$13</f>
        <v>Light Man</v>
      </c>
      <c r="B30" s="82" t="str">
        <f>CHOOSE('Исходные данные'!$O$2,'Исходные данные'!$P$2,'Исходные данные'!$P$3,'Исходные данные'!$P$4,'Исходные данные'!$P$5)</f>
        <v>UAH</v>
      </c>
      <c r="C30" s="82"/>
      <c r="D30" s="83">
        <f>D$7*D$8*'Исходные данные'!$E13*'Исходные данные'!$G13</f>
        <v>5460</v>
      </c>
      <c r="E30" s="83">
        <f>E$7*E$8*'Исходные данные'!$E13*'Исходные данные'!$G13</f>
        <v>9100</v>
      </c>
      <c r="F30" s="83">
        <f>F$7*F$8*'Исходные данные'!$E13*'Исходные данные'!$G13</f>
        <v>11960</v>
      </c>
      <c r="G30" s="83">
        <f>G$7*G$8*'Исходные данные'!$E13*'Исходные данные'!$G13</f>
        <v>11700</v>
      </c>
      <c r="H30" s="83">
        <f>H$7*H$8*'Исходные данные'!$E13*'Исходные данные'!$G13</f>
        <v>13000</v>
      </c>
      <c r="I30" s="83">
        <f>I$7*I$8*'Исходные данные'!$E13*'Исходные данные'!$G13</f>
        <v>10400</v>
      </c>
      <c r="J30" s="83">
        <f>J$7*J$8*'Исходные данные'!$E13*'Исходные данные'!$G13</f>
        <v>11700</v>
      </c>
      <c r="K30" s="83">
        <f>K$7*K$8*'Исходные данные'!$E13*'Исходные данные'!$G13</f>
        <v>12350</v>
      </c>
      <c r="L30" s="83">
        <f>L$7*L$8*'Исходные данные'!$E13*'Исходные данные'!$G13</f>
        <v>13000</v>
      </c>
      <c r="M30" s="83">
        <f>M$7*M$8*'Исходные данные'!$E13*'Исходные данные'!$G13</f>
        <v>13000</v>
      </c>
      <c r="N30" s="83">
        <f>N$7*N$8*'Исходные данные'!$E13*'Исходные данные'!$G13</f>
        <v>13000</v>
      </c>
      <c r="O30" s="83">
        <f>O$7*O$8*'Исходные данные'!$E13*'Исходные данные'!$G13</f>
        <v>13000</v>
      </c>
      <c r="P30" s="84">
        <f t="shared" si="19"/>
        <v>137670</v>
      </c>
      <c r="Q30" s="84">
        <f t="shared" si="20"/>
        <v>11472.5</v>
      </c>
      <c r="R30" s="83">
        <f>R$7*R$8*'Исходные данные'!$E13*'Исходные данные'!$G13</f>
        <v>10010</v>
      </c>
      <c r="S30" s="83">
        <f>S$7*S$8*'Исходные данные'!$E13*'Исходные данные'!$G13</f>
        <v>14300.000000000002</v>
      </c>
      <c r="T30" s="83">
        <f>T$7*T$8*'Исходные данные'!$E13*'Исходные данные'!$G13</f>
        <v>16444.999999999996</v>
      </c>
      <c r="U30" s="83">
        <f>U$7*U$8*'Исходные данные'!$E13*'Исходные данные'!$G13</f>
        <v>14300.000000000002</v>
      </c>
      <c r="V30" s="83">
        <f>V$7*V$8*'Исходные данные'!$E13*'Исходные данные'!$G13</f>
        <v>14300.000000000002</v>
      </c>
      <c r="W30" s="83">
        <f>W$7*W$8*'Исходные данные'!$E13*'Исходные данные'!$G13</f>
        <v>11440.000000000002</v>
      </c>
      <c r="X30" s="83">
        <f>X$7*X$8*'Исходные данные'!$E13*'Исходные данные'!$G13</f>
        <v>12870.000000000002</v>
      </c>
      <c r="Y30" s="83">
        <f>Y$7*Y$8*'Исходные данные'!$E13*'Исходные данные'!$G13</f>
        <v>13585</v>
      </c>
      <c r="Z30" s="83">
        <f>Z$7*Z$8*'Исходные данные'!$E13*'Исходные данные'!$G13</f>
        <v>14300.000000000002</v>
      </c>
      <c r="AA30" s="83">
        <f>AA$7*AA$8*'Исходные данные'!$E13*'Исходные данные'!$G13</f>
        <v>14300.000000000002</v>
      </c>
      <c r="AB30" s="83">
        <f>AB$7*AB$8*'Исходные данные'!$E13*'Исходные данные'!$G13</f>
        <v>14300.000000000002</v>
      </c>
      <c r="AC30" s="83">
        <f>AC$7*AC$8*'Исходные данные'!$E13*'Исходные данные'!$G13</f>
        <v>14300.000000000002</v>
      </c>
      <c r="AD30" s="84">
        <f t="shared" si="21"/>
        <v>164450</v>
      </c>
      <c r="AE30" s="84">
        <f t="shared" si="22"/>
        <v>13704.166666666666</v>
      </c>
      <c r="AF30" s="83">
        <f>AF$7*AF$8*'Исходные данные'!$E13*'Исходные данные'!$G13</f>
        <v>10920</v>
      </c>
      <c r="AG30" s="83">
        <f>AG$7*AG$8*'Исходные данные'!$E13*'Исходные данные'!$G13</f>
        <v>15600</v>
      </c>
      <c r="AH30" s="83">
        <f>AH$7*AH$8*'Исходные данные'!$E13*'Исходные данные'!$G13</f>
        <v>17940</v>
      </c>
      <c r="AI30" s="83">
        <f>AI$7*AI$8*'Исходные данные'!$E13*'Исходные данные'!$G13</f>
        <v>15600</v>
      </c>
      <c r="AJ30" s="83">
        <f>AJ$7*AJ$8*'Исходные данные'!$E13*'Исходные данные'!$G13</f>
        <v>15600</v>
      </c>
      <c r="AK30" s="83">
        <f>AK$7*AK$8*'Исходные данные'!$E13*'Исходные данные'!$G13</f>
        <v>12480</v>
      </c>
      <c r="AL30" s="83">
        <f>AL$7*AL$8*'Исходные данные'!$E13*'Исходные данные'!$G13</f>
        <v>14040</v>
      </c>
      <c r="AM30" s="83">
        <f>AM$7*AM$8*'Исходные данные'!$E13*'Исходные данные'!$G13</f>
        <v>14819.999999999998</v>
      </c>
      <c r="AN30" s="83">
        <f>AN$7*AN$8*'Исходные данные'!$E13*'Исходные данные'!$G13</f>
        <v>15600</v>
      </c>
      <c r="AO30" s="83">
        <f>AO$7*AO$8*'Исходные данные'!$E13*'Исходные данные'!$G13</f>
        <v>15600</v>
      </c>
      <c r="AP30" s="83">
        <f>AP$7*AP$8*'Исходные данные'!$E13*'Исходные данные'!$G13</f>
        <v>15600</v>
      </c>
      <c r="AQ30" s="83">
        <f>AQ$7*AQ$8*'Исходные данные'!$E13*'Исходные данные'!$G13</f>
        <v>15600</v>
      </c>
      <c r="AR30" s="84">
        <f t="shared" si="23"/>
        <v>179400</v>
      </c>
      <c r="AS30" s="84">
        <f t="shared" si="24"/>
        <v>14950</v>
      </c>
      <c r="AT30" s="85">
        <f t="shared" si="25"/>
        <v>481520</v>
      </c>
      <c r="AU30" s="86"/>
      <c r="AW30" s="229"/>
      <c r="AX30" s="229"/>
    </row>
    <row r="31" spans="1:50" s="135" customFormat="1" x14ac:dyDescent="0.4">
      <c r="A31" s="236" t="str">
        <f>'Исходные данные'!$A$14</f>
        <v>Balance Woman</v>
      </c>
      <c r="B31" s="125" t="str">
        <f>CHOOSE('Исходные данные'!$O$2,'Исходные данные'!$P$2,'Исходные данные'!$P$3,'Исходные данные'!$P$4,'Исходные данные'!$P$5)</f>
        <v>UAH</v>
      </c>
      <c r="C31" s="125"/>
      <c r="D31" s="133">
        <f>D$7*D$8*'Исходные данные'!$E14*'Исходные данные'!$G14</f>
        <v>1644.3</v>
      </c>
      <c r="E31" s="133">
        <f>E$7*E$8*'Исходные данные'!$E14*'Исходные данные'!$G14</f>
        <v>2740.4999999999995</v>
      </c>
      <c r="F31" s="133">
        <f>F$7*F$8*'Исходные данные'!$E14*'Исходные данные'!$G14</f>
        <v>3601.8</v>
      </c>
      <c r="G31" s="133">
        <f>G$7*G$8*'Исходные данные'!$E14*'Исходные данные'!$G14</f>
        <v>3523.5</v>
      </c>
      <c r="H31" s="133">
        <f>H$7*H$8*'Исходные данные'!$E14*'Исходные данные'!$G14</f>
        <v>3915</v>
      </c>
      <c r="I31" s="133">
        <f>I$7*I$8*'Исходные данные'!$E14*'Исходные данные'!$G14</f>
        <v>3132.0000000000005</v>
      </c>
      <c r="J31" s="133">
        <f>J$7*J$8*'Исходные данные'!$E14*'Исходные данные'!$G14</f>
        <v>3523.5</v>
      </c>
      <c r="K31" s="133">
        <f>K$7*K$8*'Исходные данные'!$E14*'Исходные данные'!$G14</f>
        <v>3719.2499999999995</v>
      </c>
      <c r="L31" s="133">
        <f>L$7*L$8*'Исходные данные'!$E14*'Исходные данные'!$G14</f>
        <v>3915</v>
      </c>
      <c r="M31" s="133">
        <f>M$7*M$8*'Исходные данные'!$E14*'Исходные данные'!$G14</f>
        <v>3915</v>
      </c>
      <c r="N31" s="133">
        <f>N$7*N$8*'Исходные данные'!$E14*'Исходные данные'!$G14</f>
        <v>3915</v>
      </c>
      <c r="O31" s="133">
        <f>O$7*O$8*'Исходные данные'!$E14*'Исходные данные'!$G14</f>
        <v>3915</v>
      </c>
      <c r="P31" s="237">
        <f t="shared" si="19"/>
        <v>41459.85</v>
      </c>
      <c r="Q31" s="237">
        <f t="shared" si="20"/>
        <v>3454.9874999999997</v>
      </c>
      <c r="R31" s="133">
        <f>R$7*R$8*'Исходные данные'!$E14*'Исходные данные'!$G14</f>
        <v>3014.55</v>
      </c>
      <c r="S31" s="133">
        <f>S$7*S$8*'Исходные данные'!$E14*'Исходные данные'!$G14</f>
        <v>4306.5</v>
      </c>
      <c r="T31" s="133">
        <f>T$7*T$8*'Исходные данные'!$E14*'Исходные данные'!$G14</f>
        <v>4952.4749999999995</v>
      </c>
      <c r="U31" s="133">
        <f>U$7*U$8*'Исходные данные'!$E14*'Исходные данные'!$G14</f>
        <v>4306.5</v>
      </c>
      <c r="V31" s="133">
        <f>V$7*V$8*'Исходные данные'!$E14*'Исходные данные'!$G14</f>
        <v>4306.5</v>
      </c>
      <c r="W31" s="133">
        <f>W$7*W$8*'Исходные данные'!$E14*'Исходные данные'!$G14</f>
        <v>3445.2000000000003</v>
      </c>
      <c r="X31" s="133">
        <f>X$7*X$8*'Исходные данные'!$E14*'Исходные данные'!$G14</f>
        <v>3875.8500000000008</v>
      </c>
      <c r="Y31" s="133">
        <f>Y$7*Y$8*'Исходные данные'!$E14*'Исходные данные'!$G14</f>
        <v>4091.1750000000002</v>
      </c>
      <c r="Z31" s="133">
        <f>Z$7*Z$8*'Исходные данные'!$E14*'Исходные данные'!$G14</f>
        <v>4306.5</v>
      </c>
      <c r="AA31" s="133">
        <f>AA$7*AA$8*'Исходные данные'!$E14*'Исходные данные'!$G14</f>
        <v>4306.5</v>
      </c>
      <c r="AB31" s="133">
        <f>AB$7*AB$8*'Исходные данные'!$E14*'Исходные данные'!$G14</f>
        <v>4306.5</v>
      </c>
      <c r="AC31" s="133">
        <f>AC$7*AC$8*'Исходные данные'!$E14*'Исходные данные'!$G14</f>
        <v>4306.5</v>
      </c>
      <c r="AD31" s="237">
        <f t="shared" si="21"/>
        <v>49524.75</v>
      </c>
      <c r="AE31" s="237">
        <f t="shared" si="22"/>
        <v>4127.0625</v>
      </c>
      <c r="AF31" s="133">
        <f>AF$7*AF$8*'Исходные данные'!$E14*'Исходные данные'!$G14</f>
        <v>3288.6</v>
      </c>
      <c r="AG31" s="133">
        <f>AG$7*AG$8*'Исходные данные'!$E14*'Исходные данные'!$G14</f>
        <v>4698</v>
      </c>
      <c r="AH31" s="133">
        <f>AH$7*AH$8*'Исходные данные'!$E14*'Исходные данные'!$G14</f>
        <v>5402.7</v>
      </c>
      <c r="AI31" s="133">
        <f>AI$7*AI$8*'Исходные данные'!$E14*'Исходные данные'!$G14</f>
        <v>4698</v>
      </c>
      <c r="AJ31" s="133">
        <f>AJ$7*AJ$8*'Исходные данные'!$E14*'Исходные данные'!$G14</f>
        <v>4698</v>
      </c>
      <c r="AK31" s="133">
        <f>AK$7*AK$8*'Исходные данные'!$E14*'Исходные данные'!$G14</f>
        <v>3758.4</v>
      </c>
      <c r="AL31" s="133">
        <f>AL$7*AL$8*'Исходные данные'!$E14*'Исходные данные'!$G14</f>
        <v>4228.2</v>
      </c>
      <c r="AM31" s="133">
        <f>AM$7*AM$8*'Исходные данные'!$E14*'Исходные данные'!$G14</f>
        <v>4463.0999999999995</v>
      </c>
      <c r="AN31" s="133">
        <f>AN$7*AN$8*'Исходные данные'!$E14*'Исходные данные'!$G14</f>
        <v>4698</v>
      </c>
      <c r="AO31" s="133">
        <f>AO$7*AO$8*'Исходные данные'!$E14*'Исходные данные'!$G14</f>
        <v>4698</v>
      </c>
      <c r="AP31" s="133">
        <f>AP$7*AP$8*'Исходные данные'!$E14*'Исходные данные'!$G14</f>
        <v>4698</v>
      </c>
      <c r="AQ31" s="133">
        <f>AQ$7*AQ$8*'Исходные данные'!$E14*'Исходные данные'!$G14</f>
        <v>4698</v>
      </c>
      <c r="AR31" s="237">
        <f t="shared" si="23"/>
        <v>54027</v>
      </c>
      <c r="AS31" s="237">
        <f t="shared" si="24"/>
        <v>4502.25</v>
      </c>
      <c r="AT31" s="85">
        <f t="shared" si="25"/>
        <v>145011.6</v>
      </c>
      <c r="AU31" s="238"/>
      <c r="AW31" s="229"/>
      <c r="AX31" s="229"/>
    </row>
    <row r="32" spans="1:50" s="87" customFormat="1" x14ac:dyDescent="0.4">
      <c r="A32" s="105" t="str">
        <f>'Исходные данные'!$A$15</f>
        <v>Balance Man</v>
      </c>
      <c r="B32" s="82" t="str">
        <f>CHOOSE('Исходные данные'!$O$2,'Исходные данные'!$P$2,'Исходные данные'!$P$3,'Исходные данные'!$P$4,'Исходные данные'!$P$5)</f>
        <v>UAH</v>
      </c>
      <c r="C32" s="82"/>
      <c r="D32" s="83">
        <f>D$7*D$8*'Исходные данные'!$E15*'Исходные данные'!$G15</f>
        <v>4838.3999999999996</v>
      </c>
      <c r="E32" s="83">
        <f>E$7*E$8*'Исходные данные'!$E15*'Исходные данные'!$G15</f>
        <v>8064</v>
      </c>
      <c r="F32" s="83">
        <f>F$7*F$8*'Исходные данные'!$E15*'Исходные данные'!$G15</f>
        <v>10598.4</v>
      </c>
      <c r="G32" s="83">
        <f>G$7*G$8*'Исходные данные'!$E15*'Исходные данные'!$G15</f>
        <v>10368</v>
      </c>
      <c r="H32" s="83">
        <f>H$7*H$8*'Исходные данные'!$E15*'Исходные данные'!$G15</f>
        <v>11520</v>
      </c>
      <c r="I32" s="83">
        <f>I$7*I$8*'Исходные данные'!$E15*'Исходные данные'!$G15</f>
        <v>9216</v>
      </c>
      <c r="J32" s="83">
        <f>J$7*J$8*'Исходные данные'!$E15*'Исходные данные'!$G15</f>
        <v>10368</v>
      </c>
      <c r="K32" s="83">
        <f>K$7*K$8*'Исходные данные'!$E15*'Исходные данные'!$G15</f>
        <v>10943.999999999998</v>
      </c>
      <c r="L32" s="83">
        <f>L$7*L$8*'Исходные данные'!$E15*'Исходные данные'!$G15</f>
        <v>11520</v>
      </c>
      <c r="M32" s="83">
        <f>M$7*M$8*'Исходные данные'!$E15*'Исходные данные'!$G15</f>
        <v>11520</v>
      </c>
      <c r="N32" s="83">
        <f>N$7*N$8*'Исходные данные'!$E15*'Исходные данные'!$G15</f>
        <v>11520</v>
      </c>
      <c r="O32" s="83">
        <f>O$7*O$8*'Исходные данные'!$E15*'Исходные данные'!$G15</f>
        <v>11520</v>
      </c>
      <c r="P32" s="84">
        <f t="shared" si="19"/>
        <v>121996.8</v>
      </c>
      <c r="Q32" s="84">
        <f t="shared" si="20"/>
        <v>10166.4</v>
      </c>
      <c r="R32" s="83">
        <f>R$7*R$8*'Исходные данные'!$E15*'Исходные данные'!$G15</f>
        <v>8870.4</v>
      </c>
      <c r="S32" s="83">
        <f>S$7*S$8*'Исходные данные'!$E15*'Исходные данные'!$G15</f>
        <v>12672</v>
      </c>
      <c r="T32" s="83">
        <f>T$7*T$8*'Исходные данные'!$E15*'Исходные данные'!$G15</f>
        <v>14572.8</v>
      </c>
      <c r="U32" s="83">
        <f>U$7*U$8*'Исходные данные'!$E15*'Исходные данные'!$G15</f>
        <v>12672</v>
      </c>
      <c r="V32" s="83">
        <f>V$7*V$8*'Исходные данные'!$E15*'Исходные данные'!$G15</f>
        <v>12672</v>
      </c>
      <c r="W32" s="83">
        <f>W$7*W$8*'Исходные данные'!$E15*'Исходные данные'!$G15</f>
        <v>10137.6</v>
      </c>
      <c r="X32" s="83">
        <f>X$7*X$8*'Исходные данные'!$E15*'Исходные данные'!$G15</f>
        <v>11404.8</v>
      </c>
      <c r="Y32" s="83">
        <f>Y$7*Y$8*'Исходные данные'!$E15*'Исходные данные'!$G15</f>
        <v>12038.4</v>
      </c>
      <c r="Z32" s="83">
        <f>Z$7*Z$8*'Исходные данные'!$E15*'Исходные данные'!$G15</f>
        <v>12672</v>
      </c>
      <c r="AA32" s="83">
        <f>AA$7*AA$8*'Исходные данные'!$E15*'Исходные данные'!$G15</f>
        <v>12672</v>
      </c>
      <c r="AB32" s="83">
        <f>AB$7*AB$8*'Исходные данные'!$E15*'Исходные данные'!$G15</f>
        <v>12672</v>
      </c>
      <c r="AC32" s="83">
        <f>AC$7*AC$8*'Исходные данные'!$E15*'Исходные данные'!$G15</f>
        <v>12672</v>
      </c>
      <c r="AD32" s="84">
        <f t="shared" si="21"/>
        <v>145728</v>
      </c>
      <c r="AE32" s="84">
        <f t="shared" si="22"/>
        <v>12144</v>
      </c>
      <c r="AF32" s="83">
        <f>AF$7*AF$8*'Исходные данные'!$E15*'Исходные данные'!$G15</f>
        <v>9676.7999999999993</v>
      </c>
      <c r="AG32" s="83">
        <f>AG$7*AG$8*'Исходные данные'!$E15*'Исходные данные'!$G15</f>
        <v>13823.999999999998</v>
      </c>
      <c r="AH32" s="83">
        <f>AH$7*AH$8*'Исходные данные'!$E15*'Исходные данные'!$G15</f>
        <v>15897.599999999999</v>
      </c>
      <c r="AI32" s="83">
        <f>AI$7*AI$8*'Исходные данные'!$E15*'Исходные данные'!$G15</f>
        <v>13823.999999999998</v>
      </c>
      <c r="AJ32" s="83">
        <f>AJ$7*AJ$8*'Исходные данные'!$E15*'Исходные данные'!$G15</f>
        <v>13823.999999999998</v>
      </c>
      <c r="AK32" s="83">
        <f>AK$7*AK$8*'Исходные данные'!$E15*'Исходные данные'!$G15</f>
        <v>11059.2</v>
      </c>
      <c r="AL32" s="83">
        <f>AL$7*AL$8*'Исходные данные'!$E15*'Исходные данные'!$G15</f>
        <v>12441.6</v>
      </c>
      <c r="AM32" s="83">
        <f>AM$7*AM$8*'Исходные данные'!$E15*'Исходные данные'!$G15</f>
        <v>13132.8</v>
      </c>
      <c r="AN32" s="83">
        <f>AN$7*AN$8*'Исходные данные'!$E15*'Исходные данные'!$G15</f>
        <v>13823.999999999998</v>
      </c>
      <c r="AO32" s="83">
        <f>AO$7*AO$8*'Исходные данные'!$E15*'Исходные данные'!$G15</f>
        <v>13823.999999999998</v>
      </c>
      <c r="AP32" s="83">
        <f>AP$7*AP$8*'Исходные данные'!$E15*'Исходные данные'!$G15</f>
        <v>13823.999999999998</v>
      </c>
      <c r="AQ32" s="83">
        <f>AQ$7*AQ$8*'Исходные данные'!$E15*'Исходные данные'!$G15</f>
        <v>13823.999999999998</v>
      </c>
      <c r="AR32" s="84">
        <f t="shared" si="23"/>
        <v>158976</v>
      </c>
      <c r="AS32" s="84">
        <f t="shared" si="24"/>
        <v>13248</v>
      </c>
      <c r="AT32" s="85">
        <f t="shared" si="25"/>
        <v>426700.79999999999</v>
      </c>
      <c r="AU32" s="86"/>
      <c r="AW32" s="229"/>
      <c r="AX32" s="229"/>
    </row>
    <row r="33" spans="1:50" s="135" customFormat="1" x14ac:dyDescent="0.4">
      <c r="A33" s="236" t="str">
        <f>'Исходные данные'!$A$16</f>
        <v>Набір ваги</v>
      </c>
      <c r="B33" s="125" t="str">
        <f>CHOOSE('Исходные данные'!$O$2,'Исходные данные'!$P$2,'Исходные данные'!$P$3,'Исходные данные'!$P$4,'Исходные данные'!$P$5)</f>
        <v>UAH</v>
      </c>
      <c r="C33" s="125"/>
      <c r="D33" s="133">
        <f>D$7*D$8*'Исходные данные'!$E16*'Исходные данные'!$G16</f>
        <v>252</v>
      </c>
      <c r="E33" s="133">
        <f>E$7*E$8*'Исходные данные'!$E16*'Исходные данные'!$G16</f>
        <v>419.99999999999994</v>
      </c>
      <c r="F33" s="133">
        <f>F$7*F$8*'Исходные данные'!$E16*'Исходные данные'!$G16</f>
        <v>552</v>
      </c>
      <c r="G33" s="133">
        <f>G$7*G$8*'Исходные данные'!$E16*'Исходные данные'!$G16</f>
        <v>540</v>
      </c>
      <c r="H33" s="133">
        <f>H$7*H$8*'Исходные данные'!$E16*'Исходные данные'!$G16</f>
        <v>600</v>
      </c>
      <c r="I33" s="133">
        <f>I$7*I$8*'Исходные данные'!$E16*'Исходные данные'!$G16</f>
        <v>480.00000000000006</v>
      </c>
      <c r="J33" s="133">
        <f>J$7*J$8*'Исходные данные'!$E16*'Исходные данные'!$G16</f>
        <v>540</v>
      </c>
      <c r="K33" s="133">
        <f>K$7*K$8*'Исходные данные'!$E16*'Исходные данные'!$G16</f>
        <v>569.99999999999989</v>
      </c>
      <c r="L33" s="133">
        <f>L$7*L$8*'Исходные данные'!$E16*'Исходные данные'!$G16</f>
        <v>600</v>
      </c>
      <c r="M33" s="133">
        <f>M$7*M$8*'Исходные данные'!$E16*'Исходные данные'!$G16</f>
        <v>600</v>
      </c>
      <c r="N33" s="133">
        <f>N$7*N$8*'Исходные данные'!$E16*'Исходные данные'!$G16</f>
        <v>600</v>
      </c>
      <c r="O33" s="133">
        <f>O$7*O$8*'Исходные данные'!$E16*'Исходные данные'!$G16</f>
        <v>600</v>
      </c>
      <c r="P33" s="237">
        <f t="shared" si="19"/>
        <v>6354</v>
      </c>
      <c r="Q33" s="237">
        <f t="shared" si="20"/>
        <v>529.5</v>
      </c>
      <c r="R33" s="133">
        <f>R$7*R$8*'Исходные данные'!$E16*'Исходные данные'!$G16</f>
        <v>462</v>
      </c>
      <c r="S33" s="133">
        <f>S$7*S$8*'Исходные данные'!$E16*'Исходные данные'!$G16</f>
        <v>660</v>
      </c>
      <c r="T33" s="133">
        <f>T$7*T$8*'Исходные данные'!$E16*'Исходные данные'!$G16</f>
        <v>759</v>
      </c>
      <c r="U33" s="133">
        <f>U$7*U$8*'Исходные данные'!$E16*'Исходные данные'!$G16</f>
        <v>660</v>
      </c>
      <c r="V33" s="133">
        <f>V$7*V$8*'Исходные данные'!$E16*'Исходные данные'!$G16</f>
        <v>660</v>
      </c>
      <c r="W33" s="133">
        <f>W$7*W$8*'Исходные данные'!$E16*'Исходные данные'!$G16</f>
        <v>528.00000000000011</v>
      </c>
      <c r="X33" s="133">
        <f>X$7*X$8*'Исходные данные'!$E16*'Исходные данные'!$G16</f>
        <v>594</v>
      </c>
      <c r="Y33" s="133">
        <f>Y$7*Y$8*'Исходные данные'!$E16*'Исходные данные'!$G16</f>
        <v>627</v>
      </c>
      <c r="Z33" s="133">
        <f>Z$7*Z$8*'Исходные данные'!$E16*'Исходные данные'!$G16</f>
        <v>660</v>
      </c>
      <c r="AA33" s="133">
        <f>AA$7*AA$8*'Исходные данные'!$E16*'Исходные данные'!$G16</f>
        <v>660</v>
      </c>
      <c r="AB33" s="133">
        <f>AB$7*AB$8*'Исходные данные'!$E16*'Исходные данные'!$G16</f>
        <v>660</v>
      </c>
      <c r="AC33" s="133">
        <f>AC$7*AC$8*'Исходные данные'!$E16*'Исходные данные'!$G16</f>
        <v>660</v>
      </c>
      <c r="AD33" s="237">
        <f t="shared" si="21"/>
        <v>7590</v>
      </c>
      <c r="AE33" s="237">
        <f t="shared" si="22"/>
        <v>632.5</v>
      </c>
      <c r="AF33" s="133">
        <f>AF$7*AF$8*'Исходные данные'!$E16*'Исходные данные'!$G16</f>
        <v>504</v>
      </c>
      <c r="AG33" s="133">
        <f>AG$7*AG$8*'Исходные данные'!$E16*'Исходные данные'!$G16</f>
        <v>719.99999999999989</v>
      </c>
      <c r="AH33" s="133">
        <f>AH$7*AH$8*'Исходные данные'!$E16*'Исходные данные'!$G16</f>
        <v>827.99999999999989</v>
      </c>
      <c r="AI33" s="133">
        <f>AI$7*AI$8*'Исходные данные'!$E16*'Исходные данные'!$G16</f>
        <v>719.99999999999989</v>
      </c>
      <c r="AJ33" s="133">
        <f>AJ$7*AJ$8*'Исходные данные'!$E16*'Исходные данные'!$G16</f>
        <v>719.99999999999989</v>
      </c>
      <c r="AK33" s="133">
        <f>AK$7*AK$8*'Исходные данные'!$E16*'Исходные данные'!$G16</f>
        <v>576</v>
      </c>
      <c r="AL33" s="133">
        <f>AL$7*AL$8*'Исходные данные'!$E16*'Исходные данные'!$G16</f>
        <v>648</v>
      </c>
      <c r="AM33" s="133">
        <f>AM$7*AM$8*'Исходные данные'!$E16*'Исходные данные'!$G16</f>
        <v>684</v>
      </c>
      <c r="AN33" s="133">
        <f>AN$7*AN$8*'Исходные данные'!$E16*'Исходные данные'!$G16</f>
        <v>719.99999999999989</v>
      </c>
      <c r="AO33" s="133">
        <f>AO$7*AO$8*'Исходные данные'!$E16*'Исходные данные'!$G16</f>
        <v>719.99999999999989</v>
      </c>
      <c r="AP33" s="133">
        <f>AP$7*AP$8*'Исходные данные'!$E16*'Исходные данные'!$G16</f>
        <v>719.99999999999989</v>
      </c>
      <c r="AQ33" s="133">
        <f>AQ$7*AQ$8*'Исходные данные'!$E16*'Исходные данные'!$G16</f>
        <v>719.99999999999989</v>
      </c>
      <c r="AR33" s="237">
        <f t="shared" si="23"/>
        <v>8280</v>
      </c>
      <c r="AS33" s="237">
        <f t="shared" si="24"/>
        <v>690</v>
      </c>
      <c r="AT33" s="85">
        <f t="shared" si="25"/>
        <v>22224</v>
      </c>
      <c r="AU33" s="238"/>
      <c r="AW33" s="229"/>
      <c r="AX33" s="229"/>
    </row>
    <row r="34" spans="1:50" s="87" customFormat="1" x14ac:dyDescent="0.4">
      <c r="A34" s="105" t="str">
        <f>'Исходные данные'!$A$17</f>
        <v>Обіди</v>
      </c>
      <c r="B34" s="82" t="str">
        <f>CHOOSE('Исходные данные'!$O$2,'Исходные данные'!$P$2,'Исходные данные'!$P$3,'Исходные данные'!$P$4,'Исходные данные'!$P$5)</f>
        <v>UAH</v>
      </c>
      <c r="C34" s="82"/>
      <c r="D34" s="83">
        <f>D$7*D$8*'Исходные данные'!$E17*'Исходные данные'!$G17</f>
        <v>9475.2000000000007</v>
      </c>
      <c r="E34" s="83">
        <f>E$7*E$8*'Исходные данные'!$E17*'Исходные данные'!$G17</f>
        <v>15791.999999999998</v>
      </c>
      <c r="F34" s="83">
        <f>F$7*F$8*'Исходные данные'!$E17*'Исходные данные'!$G17</f>
        <v>20755.2</v>
      </c>
      <c r="G34" s="83">
        <f>G$7*G$8*'Исходные данные'!$E17*'Исходные данные'!$G17</f>
        <v>20304</v>
      </c>
      <c r="H34" s="83">
        <f>H$7*H$8*'Исходные данные'!$E17*'Исходные данные'!$G17</f>
        <v>22560</v>
      </c>
      <c r="I34" s="83">
        <f>I$7*I$8*'Исходные данные'!$E17*'Исходные данные'!$G17</f>
        <v>18048</v>
      </c>
      <c r="J34" s="83">
        <f>J$7*J$8*'Исходные данные'!$E17*'Исходные данные'!$G17</f>
        <v>20304</v>
      </c>
      <c r="K34" s="83">
        <f>K$7*K$8*'Исходные данные'!$E17*'Исходные данные'!$G17</f>
        <v>21432</v>
      </c>
      <c r="L34" s="83">
        <f>L$7*L$8*'Исходные данные'!$E17*'Исходные данные'!$G17</f>
        <v>22560</v>
      </c>
      <c r="M34" s="83">
        <f>M$7*M$8*'Исходные данные'!$E17*'Исходные данные'!$G17</f>
        <v>22560</v>
      </c>
      <c r="N34" s="83">
        <f>N$7*N$8*'Исходные данные'!$E17*'Исходные данные'!$G17</f>
        <v>22560</v>
      </c>
      <c r="O34" s="83">
        <f>O$7*O$8*'Исходные данные'!$E17*'Исходные данные'!$G17</f>
        <v>22560</v>
      </c>
      <c r="P34" s="84">
        <f t="shared" si="19"/>
        <v>238910.4</v>
      </c>
      <c r="Q34" s="84">
        <f t="shared" si="20"/>
        <v>19909.2</v>
      </c>
      <c r="R34" s="83">
        <f>R$7*R$8*'Исходные данные'!$E17*'Исходные данные'!$G17</f>
        <v>17371.2</v>
      </c>
      <c r="S34" s="83">
        <f>S$7*S$8*'Исходные данные'!$E17*'Исходные данные'!$G17</f>
        <v>24816.000000000004</v>
      </c>
      <c r="T34" s="83">
        <f>T$7*T$8*'Исходные данные'!$E17*'Исходные данные'!$G17</f>
        <v>28538.399999999998</v>
      </c>
      <c r="U34" s="83">
        <f>U$7*U$8*'Исходные данные'!$E17*'Исходные данные'!$G17</f>
        <v>24816.000000000004</v>
      </c>
      <c r="V34" s="83">
        <f>V$7*V$8*'Исходные данные'!$E17*'Исходные данные'!$G17</f>
        <v>24816.000000000004</v>
      </c>
      <c r="W34" s="83">
        <f>W$7*W$8*'Исходные данные'!$E17*'Исходные данные'!$G17</f>
        <v>19852.800000000003</v>
      </c>
      <c r="X34" s="83">
        <f>X$7*X$8*'Исходные данные'!$E17*'Исходные данные'!$G17</f>
        <v>22334.400000000001</v>
      </c>
      <c r="Y34" s="83">
        <f>Y$7*Y$8*'Исходные данные'!$E17*'Исходные данные'!$G17</f>
        <v>23575.200000000001</v>
      </c>
      <c r="Z34" s="83">
        <f>Z$7*Z$8*'Исходные данные'!$E17*'Исходные данные'!$G17</f>
        <v>24816.000000000004</v>
      </c>
      <c r="AA34" s="83">
        <f>AA$7*AA$8*'Исходные данные'!$E17*'Исходные данные'!$G17</f>
        <v>24816.000000000004</v>
      </c>
      <c r="AB34" s="83">
        <f>AB$7*AB$8*'Исходные данные'!$E17*'Исходные данные'!$G17</f>
        <v>24816.000000000004</v>
      </c>
      <c r="AC34" s="83">
        <f>AC$7*AC$8*'Исходные данные'!$E17*'Исходные данные'!$G17</f>
        <v>24816.000000000004</v>
      </c>
      <c r="AD34" s="84">
        <f t="shared" si="21"/>
        <v>285384.00000000006</v>
      </c>
      <c r="AE34" s="84">
        <f t="shared" si="22"/>
        <v>23782.000000000004</v>
      </c>
      <c r="AF34" s="83">
        <f>AF$7*AF$8*'Исходные данные'!$E17*'Исходные данные'!$G17</f>
        <v>18950.400000000001</v>
      </c>
      <c r="AG34" s="83">
        <f>AG$7*AG$8*'Исходные данные'!$E17*'Исходные данные'!$G17</f>
        <v>27072</v>
      </c>
      <c r="AH34" s="83">
        <f>AH$7*AH$8*'Исходные данные'!$E17*'Исходные данные'!$G17</f>
        <v>31132.799999999996</v>
      </c>
      <c r="AI34" s="83">
        <f>AI$7*AI$8*'Исходные данные'!$E17*'Исходные данные'!$G17</f>
        <v>27072</v>
      </c>
      <c r="AJ34" s="83">
        <f>AJ$7*AJ$8*'Исходные данные'!$E17*'Исходные данные'!$G17</f>
        <v>27072</v>
      </c>
      <c r="AK34" s="83">
        <f>AK$7*AK$8*'Исходные данные'!$E17*'Исходные данные'!$G17</f>
        <v>21657.599999999999</v>
      </c>
      <c r="AL34" s="83">
        <f>AL$7*AL$8*'Исходные данные'!$E17*'Исходные данные'!$G17</f>
        <v>24364.799999999999</v>
      </c>
      <c r="AM34" s="83">
        <f>AM$7*AM$8*'Исходные данные'!$E17*'Исходные данные'!$G17</f>
        <v>25718.399999999998</v>
      </c>
      <c r="AN34" s="83">
        <f>AN$7*AN$8*'Исходные данные'!$E17*'Исходные данные'!$G17</f>
        <v>27072</v>
      </c>
      <c r="AO34" s="83">
        <f>AO$7*AO$8*'Исходные данные'!$E17*'Исходные данные'!$G17</f>
        <v>27072</v>
      </c>
      <c r="AP34" s="83">
        <f>AP$7*AP$8*'Исходные данные'!$E17*'Исходные данные'!$G17</f>
        <v>27072</v>
      </c>
      <c r="AQ34" s="83">
        <f>AQ$7*AQ$8*'Исходные данные'!$E17*'Исходные данные'!$G17</f>
        <v>27072</v>
      </c>
      <c r="AR34" s="84">
        <f t="shared" si="23"/>
        <v>311328</v>
      </c>
      <c r="AS34" s="84">
        <f t="shared" si="24"/>
        <v>25944</v>
      </c>
      <c r="AT34" s="85">
        <f t="shared" si="25"/>
        <v>835622.40000000002</v>
      </c>
      <c r="AU34" s="86"/>
      <c r="AW34" s="229" t="s">
        <v>7</v>
      </c>
      <c r="AX34" s="87" t="s">
        <v>254</v>
      </c>
    </row>
    <row r="35" spans="1:50" s="97" customFormat="1" x14ac:dyDescent="0.4">
      <c r="A35" s="93" t="str">
        <f>A24</f>
        <v>Разом</v>
      </c>
      <c r="B35" s="94" t="str">
        <f>CHOOSE('Исходные данные'!$O$2,'Исходные данные'!$P$2,'Исходные данные'!$P$3,'Исходные данные'!$P$4,'Исходные данные'!$P$5)</f>
        <v>UAH</v>
      </c>
      <c r="C35" s="94"/>
      <c r="D35" s="95">
        <f>SUM(D28:D34)</f>
        <v>56781.900000000009</v>
      </c>
      <c r="E35" s="95">
        <f t="shared" ref="E35:O35" si="26">SUM(E28:E34)</f>
        <v>94636.5</v>
      </c>
      <c r="F35" s="95">
        <f t="shared" si="26"/>
        <v>124379.4</v>
      </c>
      <c r="G35" s="95">
        <f t="shared" si="26"/>
        <v>121675.5</v>
      </c>
      <c r="H35" s="95">
        <f t="shared" si="26"/>
        <v>135195</v>
      </c>
      <c r="I35" s="95">
        <f t="shared" si="26"/>
        <v>108156</v>
      </c>
      <c r="J35" s="95">
        <f t="shared" si="26"/>
        <v>121675.5</v>
      </c>
      <c r="K35" s="95">
        <f t="shared" si="26"/>
        <v>128435.25</v>
      </c>
      <c r="L35" s="95">
        <f t="shared" si="26"/>
        <v>135195</v>
      </c>
      <c r="M35" s="95">
        <f t="shared" si="26"/>
        <v>135195</v>
      </c>
      <c r="N35" s="95">
        <f t="shared" si="26"/>
        <v>135195</v>
      </c>
      <c r="O35" s="95">
        <f t="shared" si="26"/>
        <v>135195</v>
      </c>
      <c r="P35" s="95">
        <f t="shared" ref="P35:AT35" si="27">SUM(P28:P34)</f>
        <v>1431715.05</v>
      </c>
      <c r="Q35" s="95">
        <f t="shared" si="27"/>
        <v>119309.58749999999</v>
      </c>
      <c r="R35" s="95">
        <f>SUM(R28:R34)</f>
        <v>104100.15</v>
      </c>
      <c r="S35" s="95">
        <f t="shared" ref="S35" si="28">SUM(S28:S34)</f>
        <v>148714.5</v>
      </c>
      <c r="T35" s="95">
        <f t="shared" ref="T35" si="29">SUM(T28:T34)</f>
        <v>171021.67499999999</v>
      </c>
      <c r="U35" s="95">
        <f t="shared" ref="U35" si="30">SUM(U28:U34)</f>
        <v>148714.5</v>
      </c>
      <c r="V35" s="95">
        <f t="shared" ref="V35" si="31">SUM(V28:V34)</f>
        <v>148714.5</v>
      </c>
      <c r="W35" s="95">
        <f t="shared" ref="W35" si="32">SUM(W28:W34)</f>
        <v>118971.60000000002</v>
      </c>
      <c r="X35" s="95">
        <f t="shared" ref="X35" si="33">SUM(X28:X34)</f>
        <v>133843.05000000002</v>
      </c>
      <c r="Y35" s="95">
        <f t="shared" ref="Y35" si="34">SUM(Y28:Y34)</f>
        <v>141278.77499999999</v>
      </c>
      <c r="Z35" s="95">
        <f t="shared" ref="Z35" si="35">SUM(Z28:Z34)</f>
        <v>148714.5</v>
      </c>
      <c r="AA35" s="95">
        <f t="shared" ref="AA35" si="36">SUM(AA28:AA34)</f>
        <v>148714.5</v>
      </c>
      <c r="AB35" s="95">
        <f t="shared" ref="AB35" si="37">SUM(AB28:AB34)</f>
        <v>148714.5</v>
      </c>
      <c r="AC35" s="95">
        <f t="shared" ref="AC35" si="38">SUM(AC28:AC34)</f>
        <v>148714.5</v>
      </c>
      <c r="AD35" s="95">
        <f t="shared" si="27"/>
        <v>1710216.75</v>
      </c>
      <c r="AE35" s="95">
        <f t="shared" si="27"/>
        <v>142518.06250000003</v>
      </c>
      <c r="AF35" s="95">
        <f>SUM(AF28:AF34)</f>
        <v>113563.80000000002</v>
      </c>
      <c r="AG35" s="95">
        <f t="shared" ref="AG35" si="39">SUM(AG28:AG34)</f>
        <v>162234</v>
      </c>
      <c r="AH35" s="95">
        <f t="shared" ref="AH35" si="40">SUM(AH28:AH34)</f>
        <v>186569.1</v>
      </c>
      <c r="AI35" s="95">
        <f t="shared" ref="AI35" si="41">SUM(AI28:AI34)</f>
        <v>162234</v>
      </c>
      <c r="AJ35" s="95">
        <f t="shared" ref="AJ35" si="42">SUM(AJ28:AJ34)</f>
        <v>162234</v>
      </c>
      <c r="AK35" s="95">
        <f t="shared" ref="AK35" si="43">SUM(AK28:AK34)</f>
        <v>129787.19999999998</v>
      </c>
      <c r="AL35" s="95">
        <f t="shared" ref="AL35" si="44">SUM(AL28:AL34)</f>
        <v>146010.6</v>
      </c>
      <c r="AM35" s="95">
        <f t="shared" ref="AM35" si="45">SUM(AM28:AM34)</f>
        <v>154122.30000000002</v>
      </c>
      <c r="AN35" s="95">
        <f t="shared" ref="AN35" si="46">SUM(AN28:AN34)</f>
        <v>162234</v>
      </c>
      <c r="AO35" s="95">
        <f t="shared" ref="AO35" si="47">SUM(AO28:AO34)</f>
        <v>162234</v>
      </c>
      <c r="AP35" s="95">
        <f t="shared" ref="AP35" si="48">SUM(AP28:AP34)</f>
        <v>162234</v>
      </c>
      <c r="AQ35" s="95">
        <f t="shared" ref="AQ35" si="49">SUM(AQ28:AQ34)</f>
        <v>162234</v>
      </c>
      <c r="AR35" s="95">
        <f t="shared" si="27"/>
        <v>1865691</v>
      </c>
      <c r="AS35" s="95">
        <f t="shared" si="27"/>
        <v>155474.25</v>
      </c>
      <c r="AT35" s="95">
        <f t="shared" si="27"/>
        <v>5007622.8</v>
      </c>
      <c r="AU35" s="96"/>
      <c r="AW35" s="229" t="s">
        <v>128</v>
      </c>
      <c r="AX35" s="97" t="s">
        <v>257</v>
      </c>
    </row>
    <row r="36" spans="1:50" s="135" customFormat="1" x14ac:dyDescent="0.4">
      <c r="A36" s="236" t="str">
        <f>CHOOSE('Исходные данные'!$U$2,AW36,AX36)</f>
        <v>Упаковка</v>
      </c>
      <c r="B36" s="125"/>
      <c r="C36" s="125"/>
      <c r="D36" s="133"/>
      <c r="E36" s="133"/>
      <c r="F36" s="133"/>
      <c r="G36" s="133"/>
      <c r="H36" s="133"/>
      <c r="I36" s="133"/>
      <c r="J36" s="133"/>
      <c r="K36" s="133"/>
      <c r="L36" s="133"/>
      <c r="M36" s="133"/>
      <c r="N36" s="133"/>
      <c r="O36" s="133"/>
      <c r="P36" s="237"/>
      <c r="Q36" s="237"/>
      <c r="R36" s="133"/>
      <c r="S36" s="133"/>
      <c r="T36" s="133"/>
      <c r="U36" s="133"/>
      <c r="V36" s="133"/>
      <c r="W36" s="133"/>
      <c r="X36" s="133"/>
      <c r="Y36" s="133"/>
      <c r="Z36" s="133"/>
      <c r="AA36" s="133"/>
      <c r="AB36" s="133"/>
      <c r="AC36" s="133"/>
      <c r="AD36" s="237"/>
      <c r="AE36" s="237"/>
      <c r="AF36" s="133"/>
      <c r="AG36" s="133"/>
      <c r="AH36" s="133"/>
      <c r="AI36" s="133"/>
      <c r="AJ36" s="133"/>
      <c r="AK36" s="133"/>
      <c r="AL36" s="133"/>
      <c r="AM36" s="133"/>
      <c r="AN36" s="133"/>
      <c r="AO36" s="133"/>
      <c r="AP36" s="133"/>
      <c r="AQ36" s="133"/>
      <c r="AR36" s="237"/>
      <c r="AS36" s="237"/>
      <c r="AT36" s="85"/>
      <c r="AU36" s="238"/>
      <c r="AW36" s="229" t="s">
        <v>338</v>
      </c>
      <c r="AX36" s="229" t="s">
        <v>338</v>
      </c>
    </row>
    <row r="37" spans="1:50" s="87" customFormat="1" x14ac:dyDescent="0.4">
      <c r="A37" s="105" t="str">
        <f t="shared" ref="A37:A43" si="50">A17</f>
        <v>Detox</v>
      </c>
      <c r="B37" s="82" t="str">
        <f>CHOOSE('Исходные данные'!$O$2,'Исходные данные'!$P$2,'Исходные данные'!$P$3,'Исходные данные'!$P$4,'Исходные данные'!$P$5)</f>
        <v>UAH</v>
      </c>
      <c r="C37" s="82"/>
      <c r="D37" s="83">
        <f>D$7*D$8*'Исходные данные'!$E11*'Исходные данные'!$I11</f>
        <v>2545.2000000000003</v>
      </c>
      <c r="E37" s="83">
        <f>E$7*E$8*'Исходные данные'!$E11*'Исходные данные'!$I11</f>
        <v>4241.9999999999991</v>
      </c>
      <c r="F37" s="83">
        <f>F$7*F$8*'Исходные данные'!$E11*'Исходные данные'!$I11</f>
        <v>5575.1999999999989</v>
      </c>
      <c r="G37" s="83">
        <f>G$7*G$8*'Исходные данные'!$E11*'Исходные данные'!$I11</f>
        <v>5454</v>
      </c>
      <c r="H37" s="83">
        <f>H$7*H$8*'Исходные данные'!$E11*'Исходные данные'!$I11</f>
        <v>6060</v>
      </c>
      <c r="I37" s="83">
        <f>I$7*I$8*'Исходные данные'!$E11*'Исходные данные'!$I11</f>
        <v>4848.0000000000009</v>
      </c>
      <c r="J37" s="83">
        <f>J$7*J$8*'Исходные данные'!$E11*'Исходные данные'!$I11</f>
        <v>5454</v>
      </c>
      <c r="K37" s="83">
        <f>K$7*K$8*'Исходные данные'!$E11*'Исходные данные'!$I11</f>
        <v>5756.9999999999991</v>
      </c>
      <c r="L37" s="83">
        <f>L$7*L$8*'Исходные данные'!$E11*'Исходные данные'!$I11</f>
        <v>6060</v>
      </c>
      <c r="M37" s="83">
        <f>M$7*M$8*'Исходные данные'!$E11*'Исходные данные'!$I11</f>
        <v>6060</v>
      </c>
      <c r="N37" s="83">
        <f>N$7*N$8*'Исходные данные'!$E11*'Исходные данные'!$I11</f>
        <v>6060</v>
      </c>
      <c r="O37" s="83">
        <f>O$7*O$8*'Исходные данные'!$E11*'Исходные данные'!$I11</f>
        <v>6060</v>
      </c>
      <c r="P37" s="84">
        <f t="shared" ref="P37:P42" si="51">SUM(D37:O37)</f>
        <v>64175.399999999994</v>
      </c>
      <c r="Q37" s="84">
        <f t="shared" ref="Q37:Q42" si="52">P37/12</f>
        <v>5347.95</v>
      </c>
      <c r="R37" s="83">
        <f>R$7*R$8*'Исходные данные'!$E11*'Исходные данные'!$I11</f>
        <v>4666.2</v>
      </c>
      <c r="S37" s="83">
        <f>S$7*S$8*'Исходные данные'!$E11*'Исходные данные'!$I11</f>
        <v>6666.0000000000009</v>
      </c>
      <c r="T37" s="83">
        <f>T$7*T$8*'Исходные данные'!$E11*'Исходные данные'!$I11</f>
        <v>7665.9</v>
      </c>
      <c r="U37" s="83">
        <f>U$7*U$8*'Исходные данные'!$E11*'Исходные данные'!$I11</f>
        <v>6666.0000000000009</v>
      </c>
      <c r="V37" s="83">
        <f>V$7*V$8*'Исходные данные'!$E11*'Исходные данные'!$I11</f>
        <v>6666.0000000000009</v>
      </c>
      <c r="W37" s="83">
        <f>W$7*W$8*'Исходные данные'!$E11*'Исходные данные'!$I11</f>
        <v>5332.8</v>
      </c>
      <c r="X37" s="83">
        <f>X$7*X$8*'Исходные данные'!$E11*'Исходные данные'!$I11</f>
        <v>5999.4000000000005</v>
      </c>
      <c r="Y37" s="83">
        <f>Y$7*Y$8*'Исходные данные'!$E11*'Исходные данные'!$I11</f>
        <v>6332.6999999999989</v>
      </c>
      <c r="Z37" s="83">
        <f>Z$7*Z$8*'Исходные данные'!$E11*'Исходные данные'!$I11</f>
        <v>6666.0000000000009</v>
      </c>
      <c r="AA37" s="83">
        <f>AA$7*AA$8*'Исходные данные'!$E11*'Исходные данные'!$I11</f>
        <v>6666.0000000000009</v>
      </c>
      <c r="AB37" s="83">
        <f>AB$7*AB$8*'Исходные данные'!$E11*'Исходные данные'!$I11</f>
        <v>6666.0000000000009</v>
      </c>
      <c r="AC37" s="83">
        <f>AC$7*AC$8*'Исходные данные'!$E11*'Исходные данные'!$I11</f>
        <v>6666.0000000000009</v>
      </c>
      <c r="AD37" s="84">
        <f t="shared" ref="AD37:AD42" si="53">SUM(R37:AC37)</f>
        <v>76659</v>
      </c>
      <c r="AE37" s="84">
        <f t="shared" ref="AE37:AE42" si="54">AD37/12</f>
        <v>6388.25</v>
      </c>
      <c r="AF37" s="83">
        <f>AF$7*AF$8*'Исходные данные'!$E11*'Исходные данные'!$I11</f>
        <v>5090.4000000000005</v>
      </c>
      <c r="AG37" s="83">
        <f>AG$7*AG$8*'Исходные данные'!$E11*'Исходные данные'!$I11</f>
        <v>7271.9999999999991</v>
      </c>
      <c r="AH37" s="83">
        <f>AH$7*AH$8*'Исходные данные'!$E11*'Исходные данные'!$I11</f>
        <v>8362.7999999999993</v>
      </c>
      <c r="AI37" s="83">
        <f>AI$7*AI$8*'Исходные данные'!$E11*'Исходные данные'!$I11</f>
        <v>7271.9999999999991</v>
      </c>
      <c r="AJ37" s="83">
        <f>AJ$7*AJ$8*'Исходные данные'!$E11*'Исходные данные'!$I11</f>
        <v>7271.9999999999991</v>
      </c>
      <c r="AK37" s="83">
        <f>AK$7*AK$8*'Исходные данные'!$E11*'Исходные данные'!$I11</f>
        <v>5817.5999999999995</v>
      </c>
      <c r="AL37" s="83">
        <f>AL$7*AL$8*'Исходные данные'!$E11*'Исходные данные'!$I11</f>
        <v>6544.8000000000011</v>
      </c>
      <c r="AM37" s="83">
        <f>AM$7*AM$8*'Исходные данные'!$E11*'Исходные данные'!$I11</f>
        <v>6908.4</v>
      </c>
      <c r="AN37" s="83">
        <f>AN$7*AN$8*'Исходные данные'!$E11*'Исходные данные'!$I11</f>
        <v>7271.9999999999991</v>
      </c>
      <c r="AO37" s="83">
        <f>AO$7*AO$8*'Исходные данные'!$E11*'Исходные данные'!$I11</f>
        <v>7271.9999999999991</v>
      </c>
      <c r="AP37" s="83">
        <f>AP$7*AP$8*'Исходные данные'!$E11*'Исходные данные'!$I11</f>
        <v>7271.9999999999991</v>
      </c>
      <c r="AQ37" s="83">
        <f>AQ$7*AQ$8*'Исходные данные'!$E11*'Исходные данные'!$I11</f>
        <v>7271.9999999999991</v>
      </c>
      <c r="AR37" s="84">
        <f t="shared" ref="AR37:AR42" si="55">SUM(AF37:AQ37)</f>
        <v>83628</v>
      </c>
      <c r="AS37" s="84">
        <f t="shared" ref="AS37:AS42" si="56">AR37/12</f>
        <v>6969</v>
      </c>
      <c r="AT37" s="85">
        <f t="shared" ref="AT37:AT42" si="57">P37+AD37+AR37</f>
        <v>224462.4</v>
      </c>
      <c r="AU37" s="86"/>
      <c r="AW37" s="229" t="s">
        <v>339</v>
      </c>
      <c r="AX37" s="229" t="s">
        <v>340</v>
      </c>
    </row>
    <row r="38" spans="1:50" s="135" customFormat="1" x14ac:dyDescent="0.4">
      <c r="A38" s="236" t="str">
        <f t="shared" si="50"/>
        <v>Light Woman</v>
      </c>
      <c r="B38" s="125" t="str">
        <f>CHOOSE('Исходные данные'!$O$2,'Исходные данные'!$P$2,'Исходные данные'!$P$3,'Исходные данные'!$P$4,'Исходные данные'!$P$5)</f>
        <v>UAH</v>
      </c>
      <c r="C38" s="125"/>
      <c r="D38" s="133">
        <f>D$7*D$8*'Исходные данные'!$E12*'Исходные данные'!$I12</f>
        <v>5166</v>
      </c>
      <c r="E38" s="133">
        <f>E$7*E$8*'Исходные данные'!$E12*'Исходные данные'!$I12</f>
        <v>8610</v>
      </c>
      <c r="F38" s="133">
        <f>F$7*F$8*'Исходные данные'!$E12*'Исходные данные'!$I12</f>
        <v>11316</v>
      </c>
      <c r="G38" s="133">
        <f>G$7*G$8*'Исходные данные'!$E12*'Исходные данные'!$I12</f>
        <v>11070</v>
      </c>
      <c r="H38" s="133">
        <f>H$7*H$8*'Исходные данные'!$E12*'Исходные данные'!$I12</f>
        <v>12300</v>
      </c>
      <c r="I38" s="133">
        <f>I$7*I$8*'Исходные данные'!$E12*'Исходные данные'!$I12</f>
        <v>9840</v>
      </c>
      <c r="J38" s="133">
        <f>J$7*J$8*'Исходные данные'!$E12*'Исходные данные'!$I12</f>
        <v>11070</v>
      </c>
      <c r="K38" s="133">
        <f>K$7*K$8*'Исходные данные'!$E12*'Исходные данные'!$I12</f>
        <v>11685</v>
      </c>
      <c r="L38" s="133">
        <f>L$7*L$8*'Исходные данные'!$E12*'Исходные данные'!$I12</f>
        <v>12300</v>
      </c>
      <c r="M38" s="133">
        <f>M$7*M$8*'Исходные данные'!$E12*'Исходные данные'!$I12</f>
        <v>12300</v>
      </c>
      <c r="N38" s="133">
        <f>N$7*N$8*'Исходные данные'!$E12*'Исходные данные'!$I12</f>
        <v>12300</v>
      </c>
      <c r="O38" s="133">
        <f>O$7*O$8*'Исходные данные'!$E12*'Исходные данные'!$I12</f>
        <v>12300</v>
      </c>
      <c r="P38" s="237">
        <f t="shared" si="51"/>
        <v>130257</v>
      </c>
      <c r="Q38" s="237">
        <f t="shared" si="52"/>
        <v>10854.75</v>
      </c>
      <c r="R38" s="133">
        <f>R$7*R$8*'Исходные данные'!$E12*'Исходные данные'!$I12</f>
        <v>9471</v>
      </c>
      <c r="S38" s="133">
        <f>S$7*S$8*'Исходные данные'!$E12*'Исходные данные'!$I12</f>
        <v>13530.000000000002</v>
      </c>
      <c r="T38" s="133">
        <f>T$7*T$8*'Исходные данные'!$E12*'Исходные данные'!$I12</f>
        <v>15559.5</v>
      </c>
      <c r="U38" s="133">
        <f>U$7*U$8*'Исходные данные'!$E12*'Исходные данные'!$I12</f>
        <v>13530.000000000002</v>
      </c>
      <c r="V38" s="133">
        <f>V$7*V$8*'Исходные данные'!$E12*'Исходные данные'!$I12</f>
        <v>13530.000000000002</v>
      </c>
      <c r="W38" s="133">
        <f>W$7*W$8*'Исходные данные'!$E12*'Исходные данные'!$I12</f>
        <v>10824.000000000002</v>
      </c>
      <c r="X38" s="133">
        <f>X$7*X$8*'Исходные данные'!$E12*'Исходные данные'!$I12</f>
        <v>12177.000000000002</v>
      </c>
      <c r="Y38" s="133">
        <f>Y$7*Y$8*'Исходные данные'!$E12*'Исходные данные'!$I12</f>
        <v>12853.5</v>
      </c>
      <c r="Z38" s="133">
        <f>Z$7*Z$8*'Исходные данные'!$E12*'Исходные данные'!$I12</f>
        <v>13530.000000000002</v>
      </c>
      <c r="AA38" s="133">
        <f>AA$7*AA$8*'Исходные данные'!$E12*'Исходные данные'!$I12</f>
        <v>13530.000000000002</v>
      </c>
      <c r="AB38" s="133">
        <f>AB$7*AB$8*'Исходные данные'!$E12*'Исходные данные'!$I12</f>
        <v>13530.000000000002</v>
      </c>
      <c r="AC38" s="133">
        <f>AC$7*AC$8*'Исходные данные'!$E12*'Исходные данные'!$I12</f>
        <v>13530.000000000002</v>
      </c>
      <c r="AD38" s="237">
        <f t="shared" si="53"/>
        <v>155595</v>
      </c>
      <c r="AE38" s="237">
        <f t="shared" si="54"/>
        <v>12966.25</v>
      </c>
      <c r="AF38" s="133">
        <f>AF$7*AF$8*'Исходные данные'!$E12*'Исходные данные'!$I12</f>
        <v>10332</v>
      </c>
      <c r="AG38" s="133">
        <f>AG$7*AG$8*'Исходные данные'!$E12*'Исходные данные'!$I12</f>
        <v>14760</v>
      </c>
      <c r="AH38" s="133">
        <f>AH$7*AH$8*'Исходные данные'!$E12*'Исходные данные'!$I12</f>
        <v>16974</v>
      </c>
      <c r="AI38" s="133">
        <f>AI$7*AI$8*'Исходные данные'!$E12*'Исходные данные'!$I12</f>
        <v>14760</v>
      </c>
      <c r="AJ38" s="133">
        <f>AJ$7*AJ$8*'Исходные данные'!$E12*'Исходные данные'!$I12</f>
        <v>14760</v>
      </c>
      <c r="AK38" s="133">
        <f>AK$7*AK$8*'Исходные данные'!$E12*'Исходные данные'!$I12</f>
        <v>11807.999999999998</v>
      </c>
      <c r="AL38" s="133">
        <f>AL$7*AL$8*'Исходные данные'!$E12*'Исходные данные'!$I12</f>
        <v>13284</v>
      </c>
      <c r="AM38" s="133">
        <f>AM$7*AM$8*'Исходные данные'!$E12*'Исходные данные'!$I12</f>
        <v>14022</v>
      </c>
      <c r="AN38" s="133">
        <f>AN$7*AN$8*'Исходные данные'!$E12*'Исходные данные'!$I12</f>
        <v>14760</v>
      </c>
      <c r="AO38" s="133">
        <f>AO$7*AO$8*'Исходные данные'!$E12*'Исходные данные'!$I12</f>
        <v>14760</v>
      </c>
      <c r="AP38" s="133">
        <f>AP$7*AP$8*'Исходные данные'!$E12*'Исходные данные'!$I12</f>
        <v>14760</v>
      </c>
      <c r="AQ38" s="133">
        <f>AQ$7*AQ$8*'Исходные данные'!$E12*'Исходные данные'!$I12</f>
        <v>14760</v>
      </c>
      <c r="AR38" s="237">
        <f t="shared" si="55"/>
        <v>169740</v>
      </c>
      <c r="AS38" s="237">
        <f t="shared" si="56"/>
        <v>14145</v>
      </c>
      <c r="AT38" s="85">
        <f t="shared" si="57"/>
        <v>455592</v>
      </c>
      <c r="AU38" s="238"/>
      <c r="AW38" s="229"/>
      <c r="AX38" s="229"/>
    </row>
    <row r="39" spans="1:50" s="87" customFormat="1" x14ac:dyDescent="0.4">
      <c r="A39" s="105" t="str">
        <f t="shared" si="50"/>
        <v>Light Man</v>
      </c>
      <c r="B39" s="82" t="str">
        <f>CHOOSE('Исходные данные'!$O$2,'Исходные данные'!$P$2,'Исходные данные'!$P$3,'Исходные данные'!$P$4,'Исходные данные'!$P$5)</f>
        <v>UAH</v>
      </c>
      <c r="C39" s="82"/>
      <c r="D39" s="83">
        <f>D$7*D$8*'Исходные данные'!$E13*'Исходные данные'!$I13</f>
        <v>1260</v>
      </c>
      <c r="E39" s="83">
        <f>E$7*E$8*'Исходные данные'!$E13*'Исходные данные'!$I13</f>
        <v>2100</v>
      </c>
      <c r="F39" s="83">
        <f>F$7*F$8*'Исходные данные'!$E13*'Исходные данные'!$I13</f>
        <v>2760</v>
      </c>
      <c r="G39" s="83">
        <f>G$7*G$8*'Исходные данные'!$E13*'Исходные данные'!$I13</f>
        <v>2700</v>
      </c>
      <c r="H39" s="83">
        <f>H$7*H$8*'Исходные данные'!$E13*'Исходные данные'!$I13</f>
        <v>3000</v>
      </c>
      <c r="I39" s="83">
        <f>I$7*I$8*'Исходные данные'!$E13*'Исходные данные'!$I13</f>
        <v>2400</v>
      </c>
      <c r="J39" s="83">
        <f>J$7*J$8*'Исходные данные'!$E13*'Исходные данные'!$I13</f>
        <v>2700</v>
      </c>
      <c r="K39" s="83">
        <f>K$7*K$8*'Исходные данные'!$E13*'Исходные данные'!$I13</f>
        <v>2850</v>
      </c>
      <c r="L39" s="83">
        <f>L$7*L$8*'Исходные данные'!$E13*'Исходные данные'!$I13</f>
        <v>3000</v>
      </c>
      <c r="M39" s="83">
        <f>M$7*M$8*'Исходные данные'!$E13*'Исходные данные'!$I13</f>
        <v>3000</v>
      </c>
      <c r="N39" s="83">
        <f>N$7*N$8*'Исходные данные'!$E13*'Исходные данные'!$I13</f>
        <v>3000</v>
      </c>
      <c r="O39" s="83">
        <f>O$7*O$8*'Исходные данные'!$E13*'Исходные данные'!$I13</f>
        <v>3000</v>
      </c>
      <c r="P39" s="84">
        <f t="shared" si="51"/>
        <v>31770</v>
      </c>
      <c r="Q39" s="84">
        <f t="shared" si="52"/>
        <v>2647.5</v>
      </c>
      <c r="R39" s="83">
        <f>R$7*R$8*'Исходные данные'!$E13*'Исходные данные'!$I13</f>
        <v>2310</v>
      </c>
      <c r="S39" s="83">
        <f>S$7*S$8*'Исходные данные'!$E13*'Исходные данные'!$I13</f>
        <v>3300.0000000000005</v>
      </c>
      <c r="T39" s="83">
        <f>T$7*T$8*'Исходные данные'!$E13*'Исходные данные'!$I13</f>
        <v>3794.9999999999995</v>
      </c>
      <c r="U39" s="83">
        <f>U$7*U$8*'Исходные данные'!$E13*'Исходные данные'!$I13</f>
        <v>3300.0000000000005</v>
      </c>
      <c r="V39" s="83">
        <f>V$7*V$8*'Исходные данные'!$E13*'Исходные данные'!$I13</f>
        <v>3300.0000000000005</v>
      </c>
      <c r="W39" s="83">
        <f>W$7*W$8*'Исходные данные'!$E13*'Исходные данные'!$I13</f>
        <v>2640.0000000000005</v>
      </c>
      <c r="X39" s="83">
        <f>X$7*X$8*'Исходные данные'!$E13*'Исходные данные'!$I13</f>
        <v>2970.0000000000005</v>
      </c>
      <c r="Y39" s="83">
        <f>Y$7*Y$8*'Исходные данные'!$E13*'Исходные данные'!$I13</f>
        <v>3135</v>
      </c>
      <c r="Z39" s="83">
        <f>Z$7*Z$8*'Исходные данные'!$E13*'Исходные данные'!$I13</f>
        <v>3300.0000000000005</v>
      </c>
      <c r="AA39" s="83">
        <f>AA$7*AA$8*'Исходные данные'!$E13*'Исходные данные'!$I13</f>
        <v>3300.0000000000005</v>
      </c>
      <c r="AB39" s="83">
        <f>AB$7*AB$8*'Исходные данные'!$E13*'Исходные данные'!$I13</f>
        <v>3300.0000000000005</v>
      </c>
      <c r="AC39" s="83">
        <f>AC$7*AC$8*'Исходные данные'!$E13*'Исходные данные'!$I13</f>
        <v>3300.0000000000005</v>
      </c>
      <c r="AD39" s="84">
        <f t="shared" si="53"/>
        <v>37950</v>
      </c>
      <c r="AE39" s="84">
        <f t="shared" si="54"/>
        <v>3162.5</v>
      </c>
      <c r="AF39" s="83">
        <f>AF$7*AF$8*'Исходные данные'!$E13*'Исходные данные'!$I13</f>
        <v>2520</v>
      </c>
      <c r="AG39" s="83">
        <f>AG$7*AG$8*'Исходные данные'!$E13*'Исходные данные'!$I13</f>
        <v>3600</v>
      </c>
      <c r="AH39" s="83">
        <f>AH$7*AH$8*'Исходные данные'!$E13*'Исходные данные'!$I13</f>
        <v>4140</v>
      </c>
      <c r="AI39" s="83">
        <f>AI$7*AI$8*'Исходные данные'!$E13*'Исходные данные'!$I13</f>
        <v>3600</v>
      </c>
      <c r="AJ39" s="83">
        <f>AJ$7*AJ$8*'Исходные данные'!$E13*'Исходные данные'!$I13</f>
        <v>3600</v>
      </c>
      <c r="AK39" s="83">
        <f>AK$7*AK$8*'Исходные данные'!$E13*'Исходные данные'!$I13</f>
        <v>2880</v>
      </c>
      <c r="AL39" s="83">
        <f>AL$7*AL$8*'Исходные данные'!$E13*'Исходные данные'!$I13</f>
        <v>3240</v>
      </c>
      <c r="AM39" s="83">
        <f>AM$7*AM$8*'Исходные данные'!$E13*'Исходные данные'!$I13</f>
        <v>3419.9999999999995</v>
      </c>
      <c r="AN39" s="83">
        <f>AN$7*AN$8*'Исходные данные'!$E13*'Исходные данные'!$I13</f>
        <v>3600</v>
      </c>
      <c r="AO39" s="83">
        <f>AO$7*AO$8*'Исходные данные'!$E13*'Исходные данные'!$I13</f>
        <v>3600</v>
      </c>
      <c r="AP39" s="83">
        <f>AP$7*AP$8*'Исходные данные'!$E13*'Исходные данные'!$I13</f>
        <v>3600</v>
      </c>
      <c r="AQ39" s="83">
        <f>AQ$7*AQ$8*'Исходные данные'!$E13*'Исходные данные'!$I13</f>
        <v>3600</v>
      </c>
      <c r="AR39" s="84">
        <f t="shared" si="55"/>
        <v>41400</v>
      </c>
      <c r="AS39" s="84">
        <f t="shared" si="56"/>
        <v>3450</v>
      </c>
      <c r="AT39" s="85">
        <f t="shared" si="57"/>
        <v>111120</v>
      </c>
      <c r="AU39" s="86"/>
      <c r="AW39" s="229"/>
      <c r="AX39" s="229"/>
    </row>
    <row r="40" spans="1:50" s="135" customFormat="1" x14ac:dyDescent="0.4">
      <c r="A40" s="236" t="str">
        <f t="shared" si="50"/>
        <v>Balance Woman</v>
      </c>
      <c r="B40" s="125" t="str">
        <f>CHOOSE('Исходные данные'!$O$2,'Исходные данные'!$P$2,'Исходные данные'!$P$3,'Исходные данные'!$P$4,'Исходные данные'!$P$5)</f>
        <v>UAH</v>
      </c>
      <c r="C40" s="125"/>
      <c r="D40" s="133">
        <f>D$7*D$8*'Исходные данные'!$E14*'Исходные данные'!$I14</f>
        <v>365.4</v>
      </c>
      <c r="E40" s="133">
        <f>E$7*E$8*'Исходные данные'!$E14*'Исходные данные'!$I14</f>
        <v>608.99999999999989</v>
      </c>
      <c r="F40" s="133">
        <f>F$7*F$8*'Исходные данные'!$E14*'Исходные данные'!$I14</f>
        <v>800.4</v>
      </c>
      <c r="G40" s="133">
        <f>G$7*G$8*'Исходные данные'!$E14*'Исходные данные'!$I14</f>
        <v>783</v>
      </c>
      <c r="H40" s="133">
        <f>H$7*H$8*'Исходные данные'!$E14*'Исходные данные'!$I14</f>
        <v>870</v>
      </c>
      <c r="I40" s="133">
        <f>I$7*I$8*'Исходные данные'!$E14*'Исходные данные'!$I14</f>
        <v>696.00000000000011</v>
      </c>
      <c r="J40" s="133">
        <f>J$7*J$8*'Исходные данные'!$E14*'Исходные данные'!$I14</f>
        <v>783</v>
      </c>
      <c r="K40" s="133">
        <f>K$7*K$8*'Исходные данные'!$E14*'Исходные данные'!$I14</f>
        <v>826.49999999999989</v>
      </c>
      <c r="L40" s="133">
        <f>L$7*L$8*'Исходные данные'!$E14*'Исходные данные'!$I14</f>
        <v>870</v>
      </c>
      <c r="M40" s="133">
        <f>M$7*M$8*'Исходные данные'!$E14*'Исходные данные'!$I14</f>
        <v>870</v>
      </c>
      <c r="N40" s="133">
        <f>N$7*N$8*'Исходные данные'!$E14*'Исходные данные'!$I14</f>
        <v>870</v>
      </c>
      <c r="O40" s="133">
        <f>O$7*O$8*'Исходные данные'!$E14*'Исходные данные'!$I14</f>
        <v>870</v>
      </c>
      <c r="P40" s="237">
        <f t="shared" si="51"/>
        <v>9213.2999999999993</v>
      </c>
      <c r="Q40" s="237">
        <f t="shared" si="52"/>
        <v>767.77499999999998</v>
      </c>
      <c r="R40" s="133">
        <f>R$7*R$8*'Исходные данные'!$E14*'Исходные данные'!$I14</f>
        <v>669.90000000000009</v>
      </c>
      <c r="S40" s="133">
        <f>S$7*S$8*'Исходные данные'!$E14*'Исходные данные'!$I14</f>
        <v>957.00000000000011</v>
      </c>
      <c r="T40" s="133">
        <f>T$7*T$8*'Исходные данные'!$E14*'Исходные данные'!$I14</f>
        <v>1100.55</v>
      </c>
      <c r="U40" s="133">
        <f>U$7*U$8*'Исходные данные'!$E14*'Исходные данные'!$I14</f>
        <v>957.00000000000011</v>
      </c>
      <c r="V40" s="133">
        <f>V$7*V$8*'Исходные данные'!$E14*'Исходные данные'!$I14</f>
        <v>957.00000000000011</v>
      </c>
      <c r="W40" s="133">
        <f>W$7*W$8*'Исходные данные'!$E14*'Исходные данные'!$I14</f>
        <v>765.60000000000014</v>
      </c>
      <c r="X40" s="133">
        <f>X$7*X$8*'Исходные данные'!$E14*'Исходные данные'!$I14</f>
        <v>861.30000000000018</v>
      </c>
      <c r="Y40" s="133">
        <f>Y$7*Y$8*'Исходные данные'!$E14*'Исходные данные'!$I14</f>
        <v>909.15</v>
      </c>
      <c r="Z40" s="133">
        <f>Z$7*Z$8*'Исходные данные'!$E14*'Исходные данные'!$I14</f>
        <v>957.00000000000011</v>
      </c>
      <c r="AA40" s="133">
        <f>AA$7*AA$8*'Исходные данные'!$E14*'Исходные данные'!$I14</f>
        <v>957.00000000000011</v>
      </c>
      <c r="AB40" s="133">
        <f>AB$7*AB$8*'Исходные данные'!$E14*'Исходные данные'!$I14</f>
        <v>957.00000000000011</v>
      </c>
      <c r="AC40" s="133">
        <f>AC$7*AC$8*'Исходные данные'!$E14*'Исходные данные'!$I14</f>
        <v>957.00000000000011</v>
      </c>
      <c r="AD40" s="237">
        <f t="shared" si="53"/>
        <v>11005.5</v>
      </c>
      <c r="AE40" s="237">
        <f t="shared" si="54"/>
        <v>917.125</v>
      </c>
      <c r="AF40" s="133">
        <f>AF$7*AF$8*'Исходные данные'!$E14*'Исходные данные'!$I14</f>
        <v>730.8</v>
      </c>
      <c r="AG40" s="133">
        <f>AG$7*AG$8*'Исходные данные'!$E14*'Исходные данные'!$I14</f>
        <v>1044</v>
      </c>
      <c r="AH40" s="133">
        <f>AH$7*AH$8*'Исходные данные'!$E14*'Исходные данные'!$I14</f>
        <v>1200.5999999999999</v>
      </c>
      <c r="AI40" s="133">
        <f>AI$7*AI$8*'Исходные данные'!$E14*'Исходные данные'!$I14</f>
        <v>1044</v>
      </c>
      <c r="AJ40" s="133">
        <f>AJ$7*AJ$8*'Исходные данные'!$E14*'Исходные данные'!$I14</f>
        <v>1044</v>
      </c>
      <c r="AK40" s="133">
        <f>AK$7*AK$8*'Исходные данные'!$E14*'Исходные данные'!$I14</f>
        <v>835.2</v>
      </c>
      <c r="AL40" s="133">
        <f>AL$7*AL$8*'Исходные данные'!$E14*'Исходные данные'!$I14</f>
        <v>939.6</v>
      </c>
      <c r="AM40" s="133">
        <f>AM$7*AM$8*'Исходные данные'!$E14*'Исходные данные'!$I14</f>
        <v>991.79999999999984</v>
      </c>
      <c r="AN40" s="133">
        <f>AN$7*AN$8*'Исходные данные'!$E14*'Исходные данные'!$I14</f>
        <v>1044</v>
      </c>
      <c r="AO40" s="133">
        <f>AO$7*AO$8*'Исходные данные'!$E14*'Исходные данные'!$I14</f>
        <v>1044</v>
      </c>
      <c r="AP40" s="133">
        <f>AP$7*AP$8*'Исходные данные'!$E14*'Исходные данные'!$I14</f>
        <v>1044</v>
      </c>
      <c r="AQ40" s="133">
        <f>AQ$7*AQ$8*'Исходные данные'!$E14*'Исходные данные'!$I14</f>
        <v>1044</v>
      </c>
      <c r="AR40" s="237">
        <f t="shared" si="55"/>
        <v>12006</v>
      </c>
      <c r="AS40" s="237">
        <f t="shared" si="56"/>
        <v>1000.5</v>
      </c>
      <c r="AT40" s="85">
        <f t="shared" si="57"/>
        <v>32224.799999999999</v>
      </c>
      <c r="AU40" s="238"/>
      <c r="AW40" s="229"/>
      <c r="AX40" s="229"/>
    </row>
    <row r="41" spans="1:50" s="87" customFormat="1" x14ac:dyDescent="0.4">
      <c r="A41" s="105" t="str">
        <f t="shared" si="50"/>
        <v>Balance Man</v>
      </c>
      <c r="B41" s="82" t="str">
        <f>CHOOSE('Исходные данные'!$O$2,'Исходные данные'!$P$2,'Исходные данные'!$P$3,'Исходные данные'!$P$4,'Исходные данные'!$P$5)</f>
        <v>UAH</v>
      </c>
      <c r="C41" s="82"/>
      <c r="D41" s="83">
        <f>D$7*D$8*'Исходные данные'!$E15*'Исходные данные'!$I15</f>
        <v>907.19999999999993</v>
      </c>
      <c r="E41" s="83">
        <f>E$7*E$8*'Исходные данные'!$E15*'Исходные данные'!$I15</f>
        <v>1512</v>
      </c>
      <c r="F41" s="83">
        <f>F$7*F$8*'Исходные данные'!$E15*'Исходные данные'!$I15</f>
        <v>1987.1999999999998</v>
      </c>
      <c r="G41" s="83">
        <f>G$7*G$8*'Исходные данные'!$E15*'Исходные данные'!$I15</f>
        <v>1944</v>
      </c>
      <c r="H41" s="83">
        <f>H$7*H$8*'Исходные данные'!$E15*'Исходные данные'!$I15</f>
        <v>2160</v>
      </c>
      <c r="I41" s="83">
        <f>I$7*I$8*'Исходные данные'!$E15*'Исходные данные'!$I15</f>
        <v>1728</v>
      </c>
      <c r="J41" s="83">
        <f>J$7*J$8*'Исходные данные'!$E15*'Исходные данные'!$I15</f>
        <v>1944</v>
      </c>
      <c r="K41" s="83">
        <f>K$7*K$8*'Исходные данные'!$E15*'Исходные данные'!$I15</f>
        <v>2051.9999999999995</v>
      </c>
      <c r="L41" s="83">
        <f>L$7*L$8*'Исходные данные'!$E15*'Исходные данные'!$I15</f>
        <v>2160</v>
      </c>
      <c r="M41" s="83">
        <f>M$7*M$8*'Исходные данные'!$E15*'Исходные данные'!$I15</f>
        <v>2160</v>
      </c>
      <c r="N41" s="83">
        <f>N$7*N$8*'Исходные данные'!$E15*'Исходные данные'!$I15</f>
        <v>2160</v>
      </c>
      <c r="O41" s="83">
        <f>O$7*O$8*'Исходные данные'!$E15*'Исходные данные'!$I15</f>
        <v>2160</v>
      </c>
      <c r="P41" s="84">
        <f t="shared" si="51"/>
        <v>22874.400000000001</v>
      </c>
      <c r="Q41" s="84">
        <f t="shared" si="52"/>
        <v>1906.2</v>
      </c>
      <c r="R41" s="83">
        <f>R$7*R$8*'Исходные данные'!$E15*'Исходные данные'!$I15</f>
        <v>1663.1999999999998</v>
      </c>
      <c r="S41" s="83">
        <f>S$7*S$8*'Исходные данные'!$E15*'Исходные данные'!$I15</f>
        <v>2376</v>
      </c>
      <c r="T41" s="83">
        <f>T$7*T$8*'Исходные данные'!$E15*'Исходные данные'!$I15</f>
        <v>2732.4</v>
      </c>
      <c r="U41" s="83">
        <f>U$7*U$8*'Исходные данные'!$E15*'Исходные данные'!$I15</f>
        <v>2376</v>
      </c>
      <c r="V41" s="83">
        <f>V$7*V$8*'Исходные данные'!$E15*'Исходные данные'!$I15</f>
        <v>2376</v>
      </c>
      <c r="W41" s="83">
        <f>W$7*W$8*'Исходные данные'!$E15*'Исходные данные'!$I15</f>
        <v>1900.8000000000002</v>
      </c>
      <c r="X41" s="83">
        <f>X$7*X$8*'Исходные данные'!$E15*'Исходные данные'!$I15</f>
        <v>2138.4</v>
      </c>
      <c r="Y41" s="83">
        <f>Y$7*Y$8*'Исходные данные'!$E15*'Исходные данные'!$I15</f>
        <v>2257.1999999999998</v>
      </c>
      <c r="Z41" s="83">
        <f>Z$7*Z$8*'Исходные данные'!$E15*'Исходные данные'!$I15</f>
        <v>2376</v>
      </c>
      <c r="AA41" s="83">
        <f>AA$7*AA$8*'Исходные данные'!$E15*'Исходные данные'!$I15</f>
        <v>2376</v>
      </c>
      <c r="AB41" s="83">
        <f>AB$7*AB$8*'Исходные данные'!$E15*'Исходные данные'!$I15</f>
        <v>2376</v>
      </c>
      <c r="AC41" s="83">
        <f>AC$7*AC$8*'Исходные данные'!$E15*'Исходные данные'!$I15</f>
        <v>2376</v>
      </c>
      <c r="AD41" s="84">
        <f t="shared" si="53"/>
        <v>27324</v>
      </c>
      <c r="AE41" s="84">
        <f t="shared" si="54"/>
        <v>2277</v>
      </c>
      <c r="AF41" s="83">
        <f>AF$7*AF$8*'Исходные данные'!$E15*'Исходные данные'!$I15</f>
        <v>1814.3999999999999</v>
      </c>
      <c r="AG41" s="83">
        <f>AG$7*AG$8*'Исходные данные'!$E15*'Исходные данные'!$I15</f>
        <v>2591.9999999999995</v>
      </c>
      <c r="AH41" s="83">
        <f>AH$7*AH$8*'Исходные данные'!$E15*'Исходные данные'!$I15</f>
        <v>2980.7999999999997</v>
      </c>
      <c r="AI41" s="83">
        <f>AI$7*AI$8*'Исходные данные'!$E15*'Исходные данные'!$I15</f>
        <v>2591.9999999999995</v>
      </c>
      <c r="AJ41" s="83">
        <f>AJ$7*AJ$8*'Исходные данные'!$E15*'Исходные данные'!$I15</f>
        <v>2591.9999999999995</v>
      </c>
      <c r="AK41" s="83">
        <f>AK$7*AK$8*'Исходные данные'!$E15*'Исходные данные'!$I15</f>
        <v>2073.6000000000004</v>
      </c>
      <c r="AL41" s="83">
        <f>AL$7*AL$8*'Исходные данные'!$E15*'Исходные данные'!$I15</f>
        <v>2332.8000000000002</v>
      </c>
      <c r="AM41" s="83">
        <f>AM$7*AM$8*'Исходные данные'!$E15*'Исходные данные'!$I15</f>
        <v>2462.4</v>
      </c>
      <c r="AN41" s="83">
        <f>AN$7*AN$8*'Исходные данные'!$E15*'Исходные данные'!$I15</f>
        <v>2591.9999999999995</v>
      </c>
      <c r="AO41" s="83">
        <f>AO$7*AO$8*'Исходные данные'!$E15*'Исходные данные'!$I15</f>
        <v>2591.9999999999995</v>
      </c>
      <c r="AP41" s="83">
        <f>AP$7*AP$8*'Исходные данные'!$E15*'Исходные данные'!$I15</f>
        <v>2591.9999999999995</v>
      </c>
      <c r="AQ41" s="83">
        <f>AQ$7*AQ$8*'Исходные данные'!$E15*'Исходные данные'!$I15</f>
        <v>2591.9999999999995</v>
      </c>
      <c r="AR41" s="84">
        <f t="shared" si="55"/>
        <v>29808</v>
      </c>
      <c r="AS41" s="84">
        <f t="shared" si="56"/>
        <v>2484</v>
      </c>
      <c r="AT41" s="85">
        <f t="shared" si="57"/>
        <v>80006.399999999994</v>
      </c>
      <c r="AU41" s="86"/>
      <c r="AW41" s="229"/>
      <c r="AX41" s="229"/>
    </row>
    <row r="42" spans="1:50" s="135" customFormat="1" x14ac:dyDescent="0.4">
      <c r="A42" s="236" t="str">
        <f t="shared" si="50"/>
        <v>Набір ваги</v>
      </c>
      <c r="B42" s="125" t="str">
        <f>CHOOSE('Исходные данные'!$O$2,'Исходные данные'!$P$2,'Исходные данные'!$P$3,'Исходные данные'!$P$4,'Исходные данные'!$P$5)</f>
        <v>UAH</v>
      </c>
      <c r="C42" s="125"/>
      <c r="D42" s="133">
        <f>D$7*D$8*'Исходные данные'!$E16*'Исходные данные'!$I16</f>
        <v>37.799999999999997</v>
      </c>
      <c r="E42" s="133">
        <f>E$7*E$8*'Исходные данные'!$E16*'Исходные данные'!$I16</f>
        <v>62.999999999999986</v>
      </c>
      <c r="F42" s="133">
        <f>F$7*F$8*'Исходные данные'!$E16*'Исходные данные'!$I16</f>
        <v>82.8</v>
      </c>
      <c r="G42" s="133">
        <f>G$7*G$8*'Исходные данные'!$E16*'Исходные данные'!$I16</f>
        <v>81</v>
      </c>
      <c r="H42" s="133">
        <f>H$7*H$8*'Исходные данные'!$E16*'Исходные данные'!$I16</f>
        <v>90</v>
      </c>
      <c r="I42" s="133">
        <f>I$7*I$8*'Исходные данные'!$E16*'Исходные данные'!$I16</f>
        <v>72.000000000000014</v>
      </c>
      <c r="J42" s="133">
        <f>J$7*J$8*'Исходные данные'!$E16*'Исходные данные'!$I16</f>
        <v>81</v>
      </c>
      <c r="K42" s="133">
        <f>K$7*K$8*'Исходные данные'!$E16*'Исходные данные'!$I16</f>
        <v>85.499999999999986</v>
      </c>
      <c r="L42" s="133">
        <f>L$7*L$8*'Исходные данные'!$E16*'Исходные данные'!$I16</f>
        <v>90</v>
      </c>
      <c r="M42" s="133">
        <f>M$7*M$8*'Исходные данные'!$E16*'Исходные данные'!$I16</f>
        <v>90</v>
      </c>
      <c r="N42" s="133">
        <f>N$7*N$8*'Исходные данные'!$E16*'Исходные данные'!$I16</f>
        <v>90</v>
      </c>
      <c r="O42" s="133">
        <f>O$7*O$8*'Исходные данные'!$E16*'Исходные данные'!$I16</f>
        <v>90</v>
      </c>
      <c r="P42" s="237">
        <f t="shared" si="51"/>
        <v>953.09999999999991</v>
      </c>
      <c r="Q42" s="237">
        <f t="shared" si="52"/>
        <v>79.424999999999997</v>
      </c>
      <c r="R42" s="133">
        <f>R$7*R$8*'Исходные данные'!$E16*'Исходные данные'!$I16</f>
        <v>69.3</v>
      </c>
      <c r="S42" s="133">
        <f>S$7*S$8*'Исходные данные'!$E16*'Исходные данные'!$I16</f>
        <v>99.000000000000014</v>
      </c>
      <c r="T42" s="133">
        <f>T$7*T$8*'Исходные данные'!$E16*'Исходные данные'!$I16</f>
        <v>113.85</v>
      </c>
      <c r="U42" s="133">
        <f>U$7*U$8*'Исходные данные'!$E16*'Исходные данные'!$I16</f>
        <v>99.000000000000014</v>
      </c>
      <c r="V42" s="133">
        <f>V$7*V$8*'Исходные данные'!$E16*'Исходные данные'!$I16</f>
        <v>99.000000000000014</v>
      </c>
      <c r="W42" s="133">
        <f>W$7*W$8*'Исходные данные'!$E16*'Исходные данные'!$I16</f>
        <v>79.200000000000017</v>
      </c>
      <c r="X42" s="133">
        <f>X$7*X$8*'Исходные данные'!$E16*'Исходные данные'!$I16</f>
        <v>89.100000000000009</v>
      </c>
      <c r="Y42" s="133">
        <f>Y$7*Y$8*'Исходные данные'!$E16*'Исходные данные'!$I16</f>
        <v>94.05</v>
      </c>
      <c r="Z42" s="133">
        <f>Z$7*Z$8*'Исходные данные'!$E16*'Исходные данные'!$I16</f>
        <v>99.000000000000014</v>
      </c>
      <c r="AA42" s="133">
        <f>AA$7*AA$8*'Исходные данные'!$E16*'Исходные данные'!$I16</f>
        <v>99.000000000000014</v>
      </c>
      <c r="AB42" s="133">
        <f>AB$7*AB$8*'Исходные данные'!$E16*'Исходные данные'!$I16</f>
        <v>99.000000000000014</v>
      </c>
      <c r="AC42" s="133">
        <f>AC$7*AC$8*'Исходные данные'!$E16*'Исходные данные'!$I16</f>
        <v>99.000000000000014</v>
      </c>
      <c r="AD42" s="237">
        <f t="shared" si="53"/>
        <v>1138.5</v>
      </c>
      <c r="AE42" s="237">
        <f t="shared" si="54"/>
        <v>94.875</v>
      </c>
      <c r="AF42" s="133">
        <f>AF$7*AF$8*'Исходные данные'!$E16*'Исходные данные'!$I16</f>
        <v>75.599999999999994</v>
      </c>
      <c r="AG42" s="133">
        <f>AG$7*AG$8*'Исходные данные'!$E16*'Исходные данные'!$I16</f>
        <v>107.99999999999999</v>
      </c>
      <c r="AH42" s="133">
        <f>AH$7*AH$8*'Исходные данные'!$E16*'Исходные данные'!$I16</f>
        <v>124.19999999999999</v>
      </c>
      <c r="AI42" s="133">
        <f>AI$7*AI$8*'Исходные данные'!$E16*'Исходные данные'!$I16</f>
        <v>107.99999999999999</v>
      </c>
      <c r="AJ42" s="133">
        <f>AJ$7*AJ$8*'Исходные данные'!$E16*'Исходные данные'!$I16</f>
        <v>107.99999999999999</v>
      </c>
      <c r="AK42" s="133">
        <f>AK$7*AK$8*'Исходные данные'!$E16*'Исходные данные'!$I16</f>
        <v>86.399999999999991</v>
      </c>
      <c r="AL42" s="133">
        <f>AL$7*AL$8*'Исходные данные'!$E16*'Исходные данные'!$I16</f>
        <v>97.2</v>
      </c>
      <c r="AM42" s="133">
        <f>AM$7*AM$8*'Исходные данные'!$E16*'Исходные данные'!$I16</f>
        <v>102.6</v>
      </c>
      <c r="AN42" s="133">
        <f>AN$7*AN$8*'Исходные данные'!$E16*'Исходные данные'!$I16</f>
        <v>107.99999999999999</v>
      </c>
      <c r="AO42" s="133">
        <f>AO$7*AO$8*'Исходные данные'!$E16*'Исходные данные'!$I16</f>
        <v>107.99999999999999</v>
      </c>
      <c r="AP42" s="133">
        <f>AP$7*AP$8*'Исходные данные'!$E16*'Исходные данные'!$I16</f>
        <v>107.99999999999999</v>
      </c>
      <c r="AQ42" s="133">
        <f>AQ$7*AQ$8*'Исходные данные'!$E16*'Исходные данные'!$I16</f>
        <v>107.99999999999999</v>
      </c>
      <c r="AR42" s="237">
        <f t="shared" si="55"/>
        <v>1242</v>
      </c>
      <c r="AS42" s="237">
        <f t="shared" si="56"/>
        <v>103.5</v>
      </c>
      <c r="AT42" s="85">
        <f t="shared" si="57"/>
        <v>3333.6</v>
      </c>
      <c r="AU42" s="238"/>
      <c r="AW42" s="229"/>
      <c r="AX42" s="229"/>
    </row>
    <row r="43" spans="1:50" s="87" customFormat="1" x14ac:dyDescent="0.4">
      <c r="A43" s="105" t="str">
        <f t="shared" si="50"/>
        <v>Обіди</v>
      </c>
      <c r="B43" s="82" t="str">
        <f>CHOOSE('Исходные данные'!$O$2,'Исходные данные'!$P$2,'Исходные данные'!$P$3,'Исходные данные'!$P$4,'Исходные данные'!$P$5)</f>
        <v>UAH</v>
      </c>
      <c r="C43" s="82"/>
      <c r="D43" s="83">
        <f>D$7*D$8*'Исходные данные'!$E17*'Исходные данные'!$I17</f>
        <v>3553.2</v>
      </c>
      <c r="E43" s="83">
        <f>E$7*E$8*'Исходные данные'!$E17*'Исходные данные'!$I17</f>
        <v>5921.9999999999991</v>
      </c>
      <c r="F43" s="83">
        <f>F$7*F$8*'Исходные данные'!$E17*'Исходные данные'!$I17</f>
        <v>7783.2</v>
      </c>
      <c r="G43" s="83">
        <f>G$7*G$8*'Исходные данные'!$E17*'Исходные данные'!$I17</f>
        <v>7614</v>
      </c>
      <c r="H43" s="83">
        <f>H$7*H$8*'Исходные данные'!$E17*'Исходные данные'!$I17</f>
        <v>8460</v>
      </c>
      <c r="I43" s="83">
        <f>I$7*I$8*'Исходные данные'!$E17*'Исходные данные'!$I17</f>
        <v>6768.0000000000009</v>
      </c>
      <c r="J43" s="83">
        <f>J$7*J$8*'Исходные данные'!$E17*'Исходные данные'!$I17</f>
        <v>7614</v>
      </c>
      <c r="K43" s="83">
        <f>K$7*K$8*'Исходные данные'!$E17*'Исходные данные'!$I17</f>
        <v>8036.9999999999991</v>
      </c>
      <c r="L43" s="83">
        <f>L$7*L$8*'Исходные данные'!$E17*'Исходные данные'!$I17</f>
        <v>8460</v>
      </c>
      <c r="M43" s="83">
        <f>M$7*M$8*'Исходные данные'!$E17*'Исходные данные'!$I17</f>
        <v>8460</v>
      </c>
      <c r="N43" s="83">
        <f>N$7*N$8*'Исходные данные'!$E17*'Исходные данные'!$I17</f>
        <v>8460</v>
      </c>
      <c r="O43" s="83">
        <f>O$7*O$8*'Исходные данные'!$E17*'Исходные данные'!$I17</f>
        <v>8460</v>
      </c>
      <c r="P43" s="84">
        <f t="shared" ref="P43" si="58">SUM(D43:O43)</f>
        <v>89591.4</v>
      </c>
      <c r="Q43" s="84">
        <f t="shared" ref="Q43" si="59">P43/12</f>
        <v>7465.95</v>
      </c>
      <c r="R43" s="83">
        <f>R$7*R$8*'Исходные данные'!$E17*'Исходные данные'!$I17</f>
        <v>6514.2000000000007</v>
      </c>
      <c r="S43" s="83">
        <f>S$7*S$8*'Исходные данные'!$E17*'Исходные данные'!$I17</f>
        <v>9306.0000000000018</v>
      </c>
      <c r="T43" s="83">
        <f>T$7*T$8*'Исходные данные'!$E17*'Исходные данные'!$I17</f>
        <v>10701.9</v>
      </c>
      <c r="U43" s="83">
        <f>U$7*U$8*'Исходные данные'!$E17*'Исходные данные'!$I17</f>
        <v>9306.0000000000018</v>
      </c>
      <c r="V43" s="83">
        <f>V$7*V$8*'Исходные данные'!$E17*'Исходные данные'!$I17</f>
        <v>9306.0000000000018</v>
      </c>
      <c r="W43" s="83">
        <f>W$7*W$8*'Исходные данные'!$E17*'Исходные данные'!$I17</f>
        <v>7444.8000000000011</v>
      </c>
      <c r="X43" s="83">
        <f>X$7*X$8*'Исходные данные'!$E17*'Исходные данные'!$I17</f>
        <v>8375.4</v>
      </c>
      <c r="Y43" s="83">
        <f>Y$7*Y$8*'Исходные данные'!$E17*'Исходные данные'!$I17</f>
        <v>8840.7000000000007</v>
      </c>
      <c r="Z43" s="83">
        <f>Z$7*Z$8*'Исходные данные'!$E17*'Исходные данные'!$I17</f>
        <v>9306.0000000000018</v>
      </c>
      <c r="AA43" s="83">
        <f>AA$7*AA$8*'Исходные данные'!$E17*'Исходные данные'!$I17</f>
        <v>9306.0000000000018</v>
      </c>
      <c r="AB43" s="83">
        <f>AB$7*AB$8*'Исходные данные'!$E17*'Исходные данные'!$I17</f>
        <v>9306.0000000000018</v>
      </c>
      <c r="AC43" s="83">
        <f>AC$7*AC$8*'Исходные данные'!$E17*'Исходные данные'!$I17</f>
        <v>9306.0000000000018</v>
      </c>
      <c r="AD43" s="84">
        <f t="shared" ref="AD43" si="60">SUM(R43:AC43)</f>
        <v>107019.00000000001</v>
      </c>
      <c r="AE43" s="84">
        <f t="shared" ref="AE43" si="61">AD43/12</f>
        <v>8918.2500000000018</v>
      </c>
      <c r="AF43" s="83">
        <f>AF$7*AF$8*'Исходные данные'!$E17*'Исходные данные'!$I17</f>
        <v>7106.4</v>
      </c>
      <c r="AG43" s="83">
        <f>AG$7*AG$8*'Исходные данные'!$E17*'Исходные данные'!$I17</f>
        <v>10152</v>
      </c>
      <c r="AH43" s="83">
        <f>AH$7*AH$8*'Исходные данные'!$E17*'Исходные данные'!$I17</f>
        <v>11674.8</v>
      </c>
      <c r="AI43" s="83">
        <f>AI$7*AI$8*'Исходные данные'!$E17*'Исходные данные'!$I17</f>
        <v>10152</v>
      </c>
      <c r="AJ43" s="83">
        <f>AJ$7*AJ$8*'Исходные данные'!$E17*'Исходные данные'!$I17</f>
        <v>10152</v>
      </c>
      <c r="AK43" s="83">
        <f>AK$7*AK$8*'Исходные данные'!$E17*'Исходные данные'!$I17</f>
        <v>8121.5999999999995</v>
      </c>
      <c r="AL43" s="83">
        <f>AL$7*AL$8*'Исходные данные'!$E17*'Исходные данные'!$I17</f>
        <v>9136.7999999999993</v>
      </c>
      <c r="AM43" s="83">
        <f>AM$7*AM$8*'Исходные данные'!$E17*'Исходные данные'!$I17</f>
        <v>9644.4</v>
      </c>
      <c r="AN43" s="83">
        <f>AN$7*AN$8*'Исходные данные'!$E17*'Исходные данные'!$I17</f>
        <v>10152</v>
      </c>
      <c r="AO43" s="83">
        <f>AO$7*AO$8*'Исходные данные'!$E17*'Исходные данные'!$I17</f>
        <v>10152</v>
      </c>
      <c r="AP43" s="83">
        <f>AP$7*AP$8*'Исходные данные'!$E17*'Исходные данные'!$I17</f>
        <v>10152</v>
      </c>
      <c r="AQ43" s="83">
        <f>AQ$7*AQ$8*'Исходные данные'!$E17*'Исходные данные'!$I17</f>
        <v>10152</v>
      </c>
      <c r="AR43" s="84">
        <f t="shared" ref="AR43" si="62">SUM(AF43:AQ43)</f>
        <v>116747.99999999999</v>
      </c>
      <c r="AS43" s="84">
        <f t="shared" ref="AS43" si="63">AR43/12</f>
        <v>9728.9999999999982</v>
      </c>
      <c r="AT43" s="85">
        <f t="shared" ref="AT43" si="64">P43+AD43+AR43</f>
        <v>313358.40000000002</v>
      </c>
      <c r="AU43" s="86"/>
      <c r="AW43" s="229" t="s">
        <v>7</v>
      </c>
      <c r="AX43" s="87" t="s">
        <v>254</v>
      </c>
    </row>
    <row r="44" spans="1:50" s="97" customFormat="1" x14ac:dyDescent="0.4">
      <c r="A44" s="93" t="str">
        <f>A35</f>
        <v>Разом</v>
      </c>
      <c r="B44" s="94" t="str">
        <f>CHOOSE('Исходные данные'!$O$2,'Исходные данные'!$P$2,'Исходные данные'!$P$3,'Исходные данные'!$P$4,'Исходные данные'!$P$5)</f>
        <v>UAH</v>
      </c>
      <c r="C44" s="94"/>
      <c r="D44" s="95">
        <f>SUM(D37:D43)</f>
        <v>13834.8</v>
      </c>
      <c r="E44" s="95">
        <f t="shared" ref="E44:O44" si="65">SUM(E37:E43)</f>
        <v>23058</v>
      </c>
      <c r="F44" s="95">
        <f t="shared" si="65"/>
        <v>30304.799999999999</v>
      </c>
      <c r="G44" s="95">
        <f t="shared" si="65"/>
        <v>29646</v>
      </c>
      <c r="H44" s="95">
        <f t="shared" si="65"/>
        <v>32940</v>
      </c>
      <c r="I44" s="95">
        <f t="shared" si="65"/>
        <v>26352</v>
      </c>
      <c r="J44" s="95">
        <f t="shared" si="65"/>
        <v>29646</v>
      </c>
      <c r="K44" s="95">
        <f t="shared" si="65"/>
        <v>31293</v>
      </c>
      <c r="L44" s="95">
        <f t="shared" si="65"/>
        <v>32940</v>
      </c>
      <c r="M44" s="95">
        <f t="shared" si="65"/>
        <v>32940</v>
      </c>
      <c r="N44" s="95">
        <f t="shared" si="65"/>
        <v>32940</v>
      </c>
      <c r="O44" s="95">
        <f t="shared" si="65"/>
        <v>32940</v>
      </c>
      <c r="P44" s="95">
        <f t="shared" ref="P44:AT44" si="66">SUM(P37:P43)</f>
        <v>348834.6</v>
      </c>
      <c r="Q44" s="95">
        <f t="shared" si="66"/>
        <v>29069.550000000003</v>
      </c>
      <c r="R44" s="95">
        <f>SUM(R37:R43)</f>
        <v>25363.800000000003</v>
      </c>
      <c r="S44" s="95">
        <f t="shared" ref="S44" si="67">SUM(S37:S43)</f>
        <v>36234.000000000007</v>
      </c>
      <c r="T44" s="95">
        <f t="shared" ref="T44" si="68">SUM(T37:T43)</f>
        <v>41669.1</v>
      </c>
      <c r="U44" s="95">
        <f t="shared" ref="U44" si="69">SUM(U37:U43)</f>
        <v>36234.000000000007</v>
      </c>
      <c r="V44" s="95">
        <f t="shared" ref="V44" si="70">SUM(V37:V43)</f>
        <v>36234.000000000007</v>
      </c>
      <c r="W44" s="95">
        <f t="shared" ref="W44" si="71">SUM(W37:W43)</f>
        <v>28987.200000000004</v>
      </c>
      <c r="X44" s="95">
        <f t="shared" ref="X44" si="72">SUM(X37:X43)</f>
        <v>32610.6</v>
      </c>
      <c r="Y44" s="95">
        <f t="shared" ref="Y44" si="73">SUM(Y37:Y43)</f>
        <v>34422.300000000003</v>
      </c>
      <c r="Z44" s="95">
        <f t="shared" ref="Z44" si="74">SUM(Z37:Z43)</f>
        <v>36234.000000000007</v>
      </c>
      <c r="AA44" s="95">
        <f t="shared" ref="AA44" si="75">SUM(AA37:AA43)</f>
        <v>36234.000000000007</v>
      </c>
      <c r="AB44" s="95">
        <f t="shared" ref="AB44" si="76">SUM(AB37:AB43)</f>
        <v>36234.000000000007</v>
      </c>
      <c r="AC44" s="95">
        <f t="shared" ref="AC44" si="77">SUM(AC37:AC43)</f>
        <v>36234.000000000007</v>
      </c>
      <c r="AD44" s="95">
        <f t="shared" si="66"/>
        <v>416691</v>
      </c>
      <c r="AE44" s="95">
        <f t="shared" si="66"/>
        <v>34724.25</v>
      </c>
      <c r="AF44" s="95">
        <f>SUM(AF37:AF43)</f>
        <v>27669.599999999999</v>
      </c>
      <c r="AG44" s="95">
        <f t="shared" ref="AG44" si="78">SUM(AG37:AG43)</f>
        <v>39528</v>
      </c>
      <c r="AH44" s="95">
        <f t="shared" ref="AH44" si="79">SUM(AH37:AH43)</f>
        <v>45457.2</v>
      </c>
      <c r="AI44" s="95">
        <f t="shared" ref="AI44" si="80">SUM(AI37:AI43)</f>
        <v>39528</v>
      </c>
      <c r="AJ44" s="95">
        <f t="shared" ref="AJ44" si="81">SUM(AJ37:AJ43)</f>
        <v>39528</v>
      </c>
      <c r="AK44" s="95">
        <f t="shared" ref="AK44" si="82">SUM(AK37:AK43)</f>
        <v>31622.400000000001</v>
      </c>
      <c r="AL44" s="95">
        <f t="shared" ref="AL44" si="83">SUM(AL37:AL43)</f>
        <v>35575.199999999997</v>
      </c>
      <c r="AM44" s="95">
        <f t="shared" ref="AM44" si="84">SUM(AM37:AM43)</f>
        <v>37551.599999999999</v>
      </c>
      <c r="AN44" s="95">
        <f t="shared" ref="AN44" si="85">SUM(AN37:AN43)</f>
        <v>39528</v>
      </c>
      <c r="AO44" s="95">
        <f t="shared" ref="AO44" si="86">SUM(AO37:AO43)</f>
        <v>39528</v>
      </c>
      <c r="AP44" s="95">
        <f t="shared" ref="AP44" si="87">SUM(AP37:AP43)</f>
        <v>39528</v>
      </c>
      <c r="AQ44" s="95">
        <f t="shared" ref="AQ44" si="88">SUM(AQ37:AQ43)</f>
        <v>39528</v>
      </c>
      <c r="AR44" s="95">
        <f t="shared" si="66"/>
        <v>454572</v>
      </c>
      <c r="AS44" s="95">
        <f t="shared" si="66"/>
        <v>37881</v>
      </c>
      <c r="AT44" s="95">
        <f t="shared" si="66"/>
        <v>1220097.6000000001</v>
      </c>
      <c r="AU44" s="96"/>
      <c r="AW44" s="229" t="s">
        <v>128</v>
      </c>
      <c r="AX44" s="97" t="s">
        <v>257</v>
      </c>
    </row>
    <row r="45" spans="1:50" s="135" customFormat="1" x14ac:dyDescent="0.4">
      <c r="A45" s="236"/>
      <c r="B45" s="125"/>
      <c r="C45" s="125"/>
      <c r="D45" s="133"/>
      <c r="E45" s="133"/>
      <c r="F45" s="133"/>
      <c r="G45" s="133"/>
      <c r="H45" s="133"/>
      <c r="I45" s="133"/>
      <c r="J45" s="133"/>
      <c r="K45" s="133"/>
      <c r="L45" s="133"/>
      <c r="M45" s="133"/>
      <c r="N45" s="133"/>
      <c r="O45" s="133"/>
      <c r="P45" s="237"/>
      <c r="Q45" s="237"/>
      <c r="R45" s="133"/>
      <c r="S45" s="133"/>
      <c r="T45" s="133"/>
      <c r="U45" s="133"/>
      <c r="V45" s="133"/>
      <c r="W45" s="133"/>
      <c r="X45" s="133"/>
      <c r="Y45" s="133"/>
      <c r="Z45" s="133"/>
      <c r="AA45" s="133"/>
      <c r="AB45" s="133"/>
      <c r="AC45" s="133"/>
      <c r="AD45" s="237"/>
      <c r="AE45" s="237"/>
      <c r="AF45" s="133"/>
      <c r="AG45" s="133"/>
      <c r="AH45" s="133"/>
      <c r="AI45" s="133"/>
      <c r="AJ45" s="133"/>
      <c r="AK45" s="133"/>
      <c r="AL45" s="133"/>
      <c r="AM45" s="133"/>
      <c r="AN45" s="133"/>
      <c r="AO45" s="133"/>
      <c r="AP45" s="133"/>
      <c r="AQ45" s="133"/>
      <c r="AR45" s="237"/>
      <c r="AS45" s="237"/>
      <c r="AT45" s="85"/>
      <c r="AU45" s="238"/>
      <c r="AW45" s="229" t="s">
        <v>338</v>
      </c>
      <c r="AX45" s="229" t="s">
        <v>338</v>
      </c>
    </row>
    <row r="46" spans="1:50" s="97" customFormat="1" x14ac:dyDescent="0.4">
      <c r="A46" s="93" t="str">
        <f>CHOOSE('Исходные данные'!$U$2,AW37,AX37)</f>
        <v>Разом собівартість</v>
      </c>
      <c r="B46" s="94" t="str">
        <f>CHOOSE('Исходные данные'!$O$2,'Исходные данные'!$P$2,'Исходные данные'!$P$3,'Исходные данные'!$P$4,'Исходные данные'!$P$5)</f>
        <v>UAH</v>
      </c>
      <c r="C46" s="94"/>
      <c r="D46" s="95">
        <f>D35+D44</f>
        <v>70616.700000000012</v>
      </c>
      <c r="E46" s="95">
        <f t="shared" ref="E46:AT46" si="89">E35+E44</f>
        <v>117694.5</v>
      </c>
      <c r="F46" s="95">
        <f t="shared" si="89"/>
        <v>154684.19999999998</v>
      </c>
      <c r="G46" s="95">
        <f t="shared" si="89"/>
        <v>151321.5</v>
      </c>
      <c r="H46" s="95">
        <f t="shared" si="89"/>
        <v>168135</v>
      </c>
      <c r="I46" s="95">
        <f t="shared" si="89"/>
        <v>134508</v>
      </c>
      <c r="J46" s="95">
        <f t="shared" si="89"/>
        <v>151321.5</v>
      </c>
      <c r="K46" s="95">
        <f t="shared" si="89"/>
        <v>159728.25</v>
      </c>
      <c r="L46" s="95">
        <f t="shared" si="89"/>
        <v>168135</v>
      </c>
      <c r="M46" s="95">
        <f t="shared" si="89"/>
        <v>168135</v>
      </c>
      <c r="N46" s="95">
        <f t="shared" si="89"/>
        <v>168135</v>
      </c>
      <c r="O46" s="95">
        <f t="shared" si="89"/>
        <v>168135</v>
      </c>
      <c r="P46" s="95">
        <f t="shared" si="89"/>
        <v>1780549.65</v>
      </c>
      <c r="Q46" s="95">
        <f t="shared" si="89"/>
        <v>148379.13750000001</v>
      </c>
      <c r="R46" s="95">
        <f t="shared" si="89"/>
        <v>129463.95</v>
      </c>
      <c r="S46" s="95">
        <f t="shared" si="89"/>
        <v>184948.5</v>
      </c>
      <c r="T46" s="95">
        <f t="shared" si="89"/>
        <v>212690.77499999999</v>
      </c>
      <c r="U46" s="95">
        <f t="shared" si="89"/>
        <v>184948.5</v>
      </c>
      <c r="V46" s="95">
        <f t="shared" si="89"/>
        <v>184948.5</v>
      </c>
      <c r="W46" s="95">
        <f t="shared" si="89"/>
        <v>147958.80000000002</v>
      </c>
      <c r="X46" s="95">
        <f t="shared" si="89"/>
        <v>166453.65000000002</v>
      </c>
      <c r="Y46" s="95">
        <f t="shared" si="89"/>
        <v>175701.07500000001</v>
      </c>
      <c r="Z46" s="95">
        <f t="shared" si="89"/>
        <v>184948.5</v>
      </c>
      <c r="AA46" s="95">
        <f t="shared" si="89"/>
        <v>184948.5</v>
      </c>
      <c r="AB46" s="95">
        <f t="shared" si="89"/>
        <v>184948.5</v>
      </c>
      <c r="AC46" s="95">
        <f t="shared" si="89"/>
        <v>184948.5</v>
      </c>
      <c r="AD46" s="95">
        <f t="shared" si="89"/>
        <v>2126907.75</v>
      </c>
      <c r="AE46" s="95">
        <f t="shared" si="89"/>
        <v>177242.31250000003</v>
      </c>
      <c r="AF46" s="95">
        <f t="shared" si="89"/>
        <v>141233.40000000002</v>
      </c>
      <c r="AG46" s="95">
        <f t="shared" si="89"/>
        <v>201762</v>
      </c>
      <c r="AH46" s="95">
        <f t="shared" si="89"/>
        <v>232026.3</v>
      </c>
      <c r="AI46" s="95">
        <f t="shared" si="89"/>
        <v>201762</v>
      </c>
      <c r="AJ46" s="95">
        <f t="shared" si="89"/>
        <v>201762</v>
      </c>
      <c r="AK46" s="95">
        <f t="shared" si="89"/>
        <v>161409.59999999998</v>
      </c>
      <c r="AL46" s="95">
        <f t="shared" si="89"/>
        <v>181585.8</v>
      </c>
      <c r="AM46" s="95">
        <f t="shared" si="89"/>
        <v>191673.90000000002</v>
      </c>
      <c r="AN46" s="95">
        <f t="shared" si="89"/>
        <v>201762</v>
      </c>
      <c r="AO46" s="95">
        <f t="shared" si="89"/>
        <v>201762</v>
      </c>
      <c r="AP46" s="95">
        <f t="shared" si="89"/>
        <v>201762</v>
      </c>
      <c r="AQ46" s="95">
        <f t="shared" si="89"/>
        <v>201762</v>
      </c>
      <c r="AR46" s="95">
        <f t="shared" si="89"/>
        <v>2320263</v>
      </c>
      <c r="AS46" s="95">
        <f t="shared" si="89"/>
        <v>193355.25</v>
      </c>
      <c r="AT46" s="95">
        <f t="shared" si="89"/>
        <v>6227720.4000000004</v>
      </c>
      <c r="AU46" s="96"/>
      <c r="AW46" s="229" t="s">
        <v>128</v>
      </c>
      <c r="AX46" s="97" t="s">
        <v>257</v>
      </c>
    </row>
    <row r="47" spans="1:50" s="81" customFormat="1" ht="12.6" thickBot="1" x14ac:dyDescent="0.45">
      <c r="A47" s="98"/>
      <c r="B47" s="99"/>
      <c r="C47" s="99"/>
      <c r="D47" s="100"/>
      <c r="E47" s="98"/>
      <c r="F47" s="98"/>
      <c r="G47" s="98"/>
      <c r="H47" s="98"/>
      <c r="I47" s="98"/>
      <c r="J47" s="98"/>
      <c r="K47" s="98"/>
      <c r="P47" s="101"/>
      <c r="Q47" s="101"/>
      <c r="R47" s="100"/>
      <c r="S47" s="98"/>
      <c r="T47" s="98"/>
      <c r="U47" s="98"/>
      <c r="V47" s="98"/>
      <c r="W47" s="98"/>
      <c r="X47" s="98"/>
      <c r="Y47" s="98"/>
      <c r="AD47" s="101"/>
      <c r="AE47" s="101"/>
      <c r="AF47" s="100"/>
      <c r="AG47" s="98"/>
      <c r="AH47" s="98"/>
      <c r="AI47" s="98"/>
      <c r="AJ47" s="98"/>
      <c r="AK47" s="98"/>
      <c r="AL47" s="98"/>
      <c r="AM47" s="98"/>
      <c r="AR47" s="101"/>
      <c r="AS47" s="101"/>
      <c r="AW47" s="229" t="s">
        <v>98</v>
      </c>
      <c r="AX47" s="81" t="s">
        <v>258</v>
      </c>
    </row>
    <row r="48" spans="1:50" s="9" customFormat="1" ht="21.6" thickTop="1" thickBot="1" x14ac:dyDescent="0.45">
      <c r="A48" s="72" t="str">
        <f>CHOOSE('Исходные данные'!$U$2,AW49,AX49)</f>
        <v>ІНВЕСТИЦІЇ</v>
      </c>
      <c r="B48" s="102"/>
      <c r="C48" s="78" t="str">
        <f t="shared" ref="C48:O48" si="90">C$6</f>
        <v>грудень</v>
      </c>
      <c r="D48" s="78" t="str">
        <f t="shared" si="90"/>
        <v>січень</v>
      </c>
      <c r="E48" s="78" t="str">
        <f t="shared" si="90"/>
        <v>лютий</v>
      </c>
      <c r="F48" s="78" t="str">
        <f t="shared" si="90"/>
        <v>березень</v>
      </c>
      <c r="G48" s="78" t="str">
        <f t="shared" si="90"/>
        <v>квітень</v>
      </c>
      <c r="H48" s="78" t="str">
        <f t="shared" si="90"/>
        <v>травень</v>
      </c>
      <c r="I48" s="78" t="str">
        <f t="shared" si="90"/>
        <v>червень</v>
      </c>
      <c r="J48" s="78" t="str">
        <f t="shared" si="90"/>
        <v>липень</v>
      </c>
      <c r="K48" s="78" t="str">
        <f t="shared" si="90"/>
        <v>серпень</v>
      </c>
      <c r="L48" s="78" t="str">
        <f t="shared" si="90"/>
        <v>вересень</v>
      </c>
      <c r="M48" s="78" t="str">
        <f t="shared" si="90"/>
        <v>жовтень</v>
      </c>
      <c r="N48" s="78" t="str">
        <f t="shared" si="90"/>
        <v>листопад</v>
      </c>
      <c r="O48" s="78" t="str">
        <f t="shared" si="90"/>
        <v>грудень</v>
      </c>
      <c r="P48" s="103" t="str">
        <f>$P$16</f>
        <v>1-й рік роботи</v>
      </c>
      <c r="Q48" s="103" t="str">
        <f>$Q$16</f>
        <v>Середньомісячно за 1-й рік</v>
      </c>
      <c r="R48" s="78" t="str">
        <f t="shared" ref="R48:AC48" si="91">R$6</f>
        <v>січень</v>
      </c>
      <c r="S48" s="78" t="str">
        <f t="shared" si="91"/>
        <v>лютий</v>
      </c>
      <c r="T48" s="78" t="str">
        <f t="shared" si="91"/>
        <v>березень</v>
      </c>
      <c r="U48" s="78" t="str">
        <f t="shared" si="91"/>
        <v>квітень</v>
      </c>
      <c r="V48" s="78" t="str">
        <f t="shared" si="91"/>
        <v>травень</v>
      </c>
      <c r="W48" s="78" t="str">
        <f t="shared" si="91"/>
        <v>червень</v>
      </c>
      <c r="X48" s="78" t="str">
        <f t="shared" si="91"/>
        <v>липень</v>
      </c>
      <c r="Y48" s="78" t="str">
        <f t="shared" si="91"/>
        <v>серпень</v>
      </c>
      <c r="Z48" s="78" t="str">
        <f t="shared" si="91"/>
        <v>вересень</v>
      </c>
      <c r="AA48" s="78" t="str">
        <f t="shared" si="91"/>
        <v>жовтень</v>
      </c>
      <c r="AB48" s="78" t="str">
        <f t="shared" si="91"/>
        <v>листопад</v>
      </c>
      <c r="AC48" s="78" t="str">
        <f t="shared" si="91"/>
        <v>грудень</v>
      </c>
      <c r="AD48" s="103" t="str">
        <f>$AD$16</f>
        <v>2-й рік роботи</v>
      </c>
      <c r="AE48" s="103" t="str">
        <f>$AE$16</f>
        <v>Середньомісячно за 2-й рік</v>
      </c>
      <c r="AF48" s="78" t="str">
        <f t="shared" ref="AF48:AQ48" si="92">AF$6</f>
        <v>січень</v>
      </c>
      <c r="AG48" s="78" t="str">
        <f t="shared" si="92"/>
        <v>лютий</v>
      </c>
      <c r="AH48" s="78" t="str">
        <f t="shared" si="92"/>
        <v>березень</v>
      </c>
      <c r="AI48" s="78" t="str">
        <f t="shared" si="92"/>
        <v>квітень</v>
      </c>
      <c r="AJ48" s="78" t="str">
        <f t="shared" si="92"/>
        <v>травень</v>
      </c>
      <c r="AK48" s="78" t="str">
        <f t="shared" si="92"/>
        <v>червень</v>
      </c>
      <c r="AL48" s="78" t="str">
        <f t="shared" si="92"/>
        <v>липень</v>
      </c>
      <c r="AM48" s="78" t="str">
        <f t="shared" si="92"/>
        <v>серпень</v>
      </c>
      <c r="AN48" s="78" t="str">
        <f t="shared" si="92"/>
        <v>вересень</v>
      </c>
      <c r="AO48" s="78" t="str">
        <f t="shared" si="92"/>
        <v>жовтень</v>
      </c>
      <c r="AP48" s="78" t="str">
        <f t="shared" si="92"/>
        <v>листопад</v>
      </c>
      <c r="AQ48" s="78" t="str">
        <f t="shared" si="92"/>
        <v>грудень</v>
      </c>
      <c r="AR48" s="103" t="str">
        <f>AR16</f>
        <v>3-й рік роботи</v>
      </c>
      <c r="AS48" s="103" t="str">
        <f>AS16</f>
        <v>Середньомісячно за 3-й рік</v>
      </c>
      <c r="AT48" s="195" t="str">
        <f>AT15</f>
        <v>Разом за три роки</v>
      </c>
      <c r="AW48" s="229" t="s">
        <v>129</v>
      </c>
      <c r="AX48" s="229" t="s">
        <v>259</v>
      </c>
    </row>
    <row r="49" spans="1:50" s="92" customFormat="1" ht="12.6" thickTop="1" x14ac:dyDescent="0.4">
      <c r="A49" s="104" t="str">
        <f>'Обобщенный расчет'!B18</f>
        <v>Ремонт приміщення</v>
      </c>
      <c r="B49" s="88" t="str">
        <f>CHOOSE('Исходные данные'!$O$2,'Исходные данные'!$P$2,'Исходные данные'!$P$3,'Исходные данные'!$P$4,'Исходные данные'!$P$5)</f>
        <v>UAH</v>
      </c>
      <c r="C49" s="89">
        <f>'Обобщенный расчет'!D18</f>
        <v>0</v>
      </c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90">
        <f>SUM(C49:O49)</f>
        <v>0</v>
      </c>
      <c r="Q49" s="90"/>
      <c r="R49" s="89"/>
      <c r="S49" s="89"/>
      <c r="T49" s="89"/>
      <c r="U49" s="89"/>
      <c r="V49" s="89"/>
      <c r="W49" s="89"/>
      <c r="X49" s="89"/>
      <c r="Y49" s="89"/>
      <c r="Z49" s="89"/>
      <c r="AA49" s="89"/>
      <c r="AB49" s="89"/>
      <c r="AC49" s="89"/>
      <c r="AD49" s="90">
        <f t="shared" ref="AD49:AD57" si="93">SUM(R49:AC49)</f>
        <v>0</v>
      </c>
      <c r="AE49" s="90"/>
      <c r="AF49" s="89"/>
      <c r="AG49" s="89"/>
      <c r="AH49" s="89"/>
      <c r="AI49" s="89"/>
      <c r="AJ49" s="89"/>
      <c r="AK49" s="89"/>
      <c r="AL49" s="89"/>
      <c r="AM49" s="89"/>
      <c r="AN49" s="89"/>
      <c r="AO49" s="89"/>
      <c r="AP49" s="89"/>
      <c r="AQ49" s="89"/>
      <c r="AR49" s="90">
        <f t="shared" ref="AR49:AR57" si="94">SUM(AF49:AQ49)</f>
        <v>0</v>
      </c>
      <c r="AS49" s="90"/>
      <c r="AT49" s="85">
        <f t="shared" ref="AT49:AT58" si="95">P49+AD49+AR49</f>
        <v>0</v>
      </c>
      <c r="AU49" s="91"/>
      <c r="AW49" s="229" t="s">
        <v>74</v>
      </c>
      <c r="AX49" s="92" t="s">
        <v>260</v>
      </c>
    </row>
    <row r="50" spans="1:50" s="87" customFormat="1" x14ac:dyDescent="0.4">
      <c r="A50" s="105" t="str">
        <f>'Обобщенный расчет'!B19</f>
        <v>Меблі та обладнання</v>
      </c>
      <c r="B50" s="82" t="str">
        <f>CHOOSE('Исходные данные'!$O$2,'Исходные данные'!$P$2,'Исходные данные'!$P$3,'Исходные данные'!$P$4,'Исходные данные'!$P$5)</f>
        <v>UAH</v>
      </c>
      <c r="C50" s="83">
        <f>'Обобщенный расчет'!D19</f>
        <v>265150</v>
      </c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4">
        <f t="shared" ref="P50:P57" si="96">SUM(C50:O50)</f>
        <v>265150</v>
      </c>
      <c r="Q50" s="84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  <c r="AC50" s="83"/>
      <c r="AD50" s="84">
        <f t="shared" si="93"/>
        <v>0</v>
      </c>
      <c r="AE50" s="84"/>
      <c r="AF50" s="83"/>
      <c r="AG50" s="83"/>
      <c r="AH50" s="83"/>
      <c r="AI50" s="83"/>
      <c r="AJ50" s="83"/>
      <c r="AK50" s="83"/>
      <c r="AL50" s="83"/>
      <c r="AM50" s="83"/>
      <c r="AN50" s="83"/>
      <c r="AO50" s="83"/>
      <c r="AP50" s="83"/>
      <c r="AQ50" s="83"/>
      <c r="AR50" s="84">
        <f t="shared" si="94"/>
        <v>0</v>
      </c>
      <c r="AS50" s="84"/>
      <c r="AT50" s="85">
        <f t="shared" si="95"/>
        <v>265150</v>
      </c>
      <c r="AU50" s="86"/>
      <c r="AW50" s="229" t="s">
        <v>3</v>
      </c>
      <c r="AX50" s="81" t="s">
        <v>256</v>
      </c>
    </row>
    <row r="51" spans="1:50" s="92" customFormat="1" x14ac:dyDescent="0.4">
      <c r="A51" s="104" t="str">
        <f>'Обобщенный расчет'!B20</f>
        <v>Відеоспостереження</v>
      </c>
      <c r="B51" s="88" t="str">
        <f>CHOOSE('Исходные данные'!$O$2,'Исходные данные'!$P$2,'Исходные данные'!$P$3,'Исходные данные'!$P$4,'Исходные данные'!$P$5)</f>
        <v>UAH</v>
      </c>
      <c r="C51" s="89">
        <f>'Обобщенный расчет'!D20</f>
        <v>0</v>
      </c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90">
        <f t="shared" si="96"/>
        <v>0</v>
      </c>
      <c r="Q51" s="90"/>
      <c r="R51" s="89"/>
      <c r="S51" s="89"/>
      <c r="T51" s="89"/>
      <c r="U51" s="89"/>
      <c r="V51" s="89"/>
      <c r="W51" s="89"/>
      <c r="X51" s="89"/>
      <c r="Y51" s="89"/>
      <c r="Z51" s="89"/>
      <c r="AA51" s="89"/>
      <c r="AB51" s="89"/>
      <c r="AC51" s="89"/>
      <c r="AD51" s="90">
        <f t="shared" si="93"/>
        <v>0</v>
      </c>
      <c r="AE51" s="90"/>
      <c r="AF51" s="89"/>
      <c r="AG51" s="89"/>
      <c r="AH51" s="89"/>
      <c r="AI51" s="89"/>
      <c r="AJ51" s="89"/>
      <c r="AK51" s="89"/>
      <c r="AL51" s="89"/>
      <c r="AM51" s="89"/>
      <c r="AN51" s="89"/>
      <c r="AO51" s="89"/>
      <c r="AP51" s="89"/>
      <c r="AQ51" s="89"/>
      <c r="AR51" s="90">
        <f t="shared" si="94"/>
        <v>0</v>
      </c>
      <c r="AS51" s="90"/>
      <c r="AT51" s="85">
        <f t="shared" si="95"/>
        <v>0</v>
      </c>
      <c r="AU51" s="91"/>
      <c r="AW51" s="229" t="s">
        <v>8</v>
      </c>
      <c r="AX51" s="92" t="s">
        <v>261</v>
      </c>
    </row>
    <row r="52" spans="1:50" s="87" customFormat="1" ht="10.5" x14ac:dyDescent="0.35">
      <c r="A52" s="105" t="str">
        <f>'Обобщенный расчет'!B21</f>
        <v>Сигналізація (охоронна та пожежна)</v>
      </c>
      <c r="B52" s="82" t="str">
        <f>CHOOSE('Исходные данные'!$O$2,'Исходные данные'!$P$2,'Исходные данные'!$P$3,'Исходные данные'!$P$4,'Исходные данные'!$P$5)</f>
        <v>UAH</v>
      </c>
      <c r="C52" s="83">
        <f>'Обобщенный расчет'!D21</f>
        <v>0</v>
      </c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4">
        <f t="shared" si="96"/>
        <v>0</v>
      </c>
      <c r="Q52" s="84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  <c r="AC52" s="83"/>
      <c r="AD52" s="84">
        <f t="shared" si="93"/>
        <v>0</v>
      </c>
      <c r="AE52" s="84"/>
      <c r="AF52" s="83"/>
      <c r="AG52" s="83"/>
      <c r="AH52" s="83"/>
      <c r="AI52" s="83"/>
      <c r="AJ52" s="83"/>
      <c r="AK52" s="83"/>
      <c r="AL52" s="83"/>
      <c r="AM52" s="83"/>
      <c r="AN52" s="83"/>
      <c r="AO52" s="83"/>
      <c r="AP52" s="83"/>
      <c r="AQ52" s="83"/>
      <c r="AR52" s="84">
        <f t="shared" si="94"/>
        <v>0</v>
      </c>
      <c r="AS52" s="84"/>
      <c r="AT52" s="85">
        <f t="shared" si="95"/>
        <v>0</v>
      </c>
      <c r="AU52" s="86"/>
    </row>
    <row r="53" spans="1:50" s="92" customFormat="1" ht="10.5" x14ac:dyDescent="0.35">
      <c r="A53" s="104" t="str">
        <f>'Обобщенный расчет'!B22</f>
        <v>Первісний закуп товару та інше*</v>
      </c>
      <c r="B53" s="88" t="str">
        <f>CHOOSE('Исходные данные'!$O$2,'Исходные данные'!$P$2,'Исходные данные'!$P$3,'Исходные данные'!$P$4,'Исходные данные'!$P$5)</f>
        <v>UAH</v>
      </c>
      <c r="C53" s="89">
        <f>'Обобщенный расчет'!D22</f>
        <v>0</v>
      </c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90">
        <f t="shared" ref="P53" si="97">SUM(C53:O53)</f>
        <v>0</v>
      </c>
      <c r="Q53" s="90"/>
      <c r="R53" s="89"/>
      <c r="S53" s="89"/>
      <c r="T53" s="89"/>
      <c r="U53" s="89"/>
      <c r="V53" s="89"/>
      <c r="W53" s="89"/>
      <c r="X53" s="89"/>
      <c r="Y53" s="89"/>
      <c r="Z53" s="89"/>
      <c r="AA53" s="89"/>
      <c r="AB53" s="89"/>
      <c r="AC53" s="89"/>
      <c r="AD53" s="90">
        <f t="shared" ref="AD53" si="98">SUM(R53:AC53)</f>
        <v>0</v>
      </c>
      <c r="AE53" s="90"/>
      <c r="AF53" s="89"/>
      <c r="AG53" s="89"/>
      <c r="AH53" s="89"/>
      <c r="AI53" s="89"/>
      <c r="AJ53" s="89"/>
      <c r="AK53" s="89"/>
      <c r="AL53" s="89"/>
      <c r="AM53" s="89"/>
      <c r="AN53" s="89"/>
      <c r="AO53" s="89"/>
      <c r="AP53" s="89"/>
      <c r="AQ53" s="89"/>
      <c r="AR53" s="90">
        <f t="shared" ref="AR53" si="99">SUM(AF53:AQ53)</f>
        <v>0</v>
      </c>
      <c r="AS53" s="90"/>
      <c r="AT53" s="85">
        <f t="shared" ref="AT53" si="100">P53+AD53+AR53</f>
        <v>0</v>
      </c>
      <c r="AU53" s="91"/>
    </row>
    <row r="54" spans="1:50" s="87" customFormat="1" ht="10.5" x14ac:dyDescent="0.35">
      <c r="A54" s="105" t="str">
        <f>'Обобщенный расчет'!B23</f>
        <v>Авансовий платіж по оренді</v>
      </c>
      <c r="B54" s="82" t="str">
        <f>CHOOSE('Исходные данные'!$O$2,'Исходные данные'!$P$2,'Исходные данные'!$P$3,'Исходные данные'!$P$4,'Исходные данные'!$P$5)</f>
        <v>UAH</v>
      </c>
      <c r="C54" s="83">
        <f>'Обобщенный расчет'!D23</f>
        <v>0</v>
      </c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4">
        <f t="shared" si="96"/>
        <v>0</v>
      </c>
      <c r="Q54" s="84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83"/>
      <c r="AD54" s="84">
        <f t="shared" si="93"/>
        <v>0</v>
      </c>
      <c r="AE54" s="84"/>
      <c r="AF54" s="83"/>
      <c r="AG54" s="83"/>
      <c r="AH54" s="83"/>
      <c r="AI54" s="83"/>
      <c r="AJ54" s="83"/>
      <c r="AK54" s="83"/>
      <c r="AL54" s="83"/>
      <c r="AM54" s="83"/>
      <c r="AN54" s="83"/>
      <c r="AO54" s="83"/>
      <c r="AP54" s="83"/>
      <c r="AQ54" s="83"/>
      <c r="AR54" s="84">
        <f t="shared" si="94"/>
        <v>0</v>
      </c>
      <c r="AS54" s="84"/>
      <c r="AT54" s="85">
        <f t="shared" si="95"/>
        <v>0</v>
      </c>
      <c r="AU54" s="86"/>
    </row>
    <row r="55" spans="1:50" s="92" customFormat="1" ht="10.5" x14ac:dyDescent="0.35">
      <c r="A55" s="104" t="str">
        <f>'Обобщенный расчет'!B24</f>
        <v>Рекламна кампанія</v>
      </c>
      <c r="B55" s="88" t="str">
        <f>CHOOSE('Исходные данные'!$O$2,'Исходные данные'!$P$2,'Исходные данные'!$P$3,'Исходные данные'!$P$4,'Исходные данные'!$P$5)</f>
        <v>UAH</v>
      </c>
      <c r="C55" s="89">
        <f>'Обобщенный расчет'!D24</f>
        <v>0</v>
      </c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90">
        <f t="shared" si="96"/>
        <v>0</v>
      </c>
      <c r="Q55" s="90"/>
      <c r="R55" s="89"/>
      <c r="S55" s="89"/>
      <c r="T55" s="89"/>
      <c r="U55" s="89"/>
      <c r="V55" s="89"/>
      <c r="W55" s="89"/>
      <c r="X55" s="89"/>
      <c r="Y55" s="89"/>
      <c r="Z55" s="89"/>
      <c r="AA55" s="89"/>
      <c r="AB55" s="89"/>
      <c r="AC55" s="89"/>
      <c r="AD55" s="90">
        <f t="shared" si="93"/>
        <v>0</v>
      </c>
      <c r="AE55" s="90"/>
      <c r="AF55" s="89"/>
      <c r="AG55" s="89"/>
      <c r="AH55" s="89"/>
      <c r="AI55" s="89"/>
      <c r="AJ55" s="89"/>
      <c r="AK55" s="89"/>
      <c r="AL55" s="89"/>
      <c r="AM55" s="89"/>
      <c r="AN55" s="89"/>
      <c r="AO55" s="89"/>
      <c r="AP55" s="89"/>
      <c r="AQ55" s="89"/>
      <c r="AR55" s="90">
        <f t="shared" si="94"/>
        <v>0</v>
      </c>
      <c r="AS55" s="90"/>
      <c r="AT55" s="85">
        <f t="shared" si="95"/>
        <v>0</v>
      </c>
      <c r="AU55" s="91"/>
    </row>
    <row r="56" spans="1:50" s="87" customFormat="1" ht="10.5" x14ac:dyDescent="0.35">
      <c r="A56" s="105" t="str">
        <f>'Обобщенный расчет'!B25</f>
        <v>Паушальний внесок</v>
      </c>
      <c r="B56" s="82" t="str">
        <f>CHOOSE('Исходные данные'!$O$2,'Исходные данные'!$P$2,'Исходные данные'!$P$3,'Исходные данные'!$P$4,'Исходные данные'!$P$5)</f>
        <v>UAH</v>
      </c>
      <c r="C56" s="83">
        <f>'Обобщенный расчет'!D25</f>
        <v>150000</v>
      </c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4">
        <f t="shared" si="96"/>
        <v>150000</v>
      </c>
      <c r="Q56" s="84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  <c r="AD56" s="84">
        <f t="shared" si="93"/>
        <v>0</v>
      </c>
      <c r="AE56" s="84"/>
      <c r="AF56" s="83"/>
      <c r="AG56" s="83"/>
      <c r="AH56" s="83"/>
      <c r="AI56" s="83"/>
      <c r="AJ56" s="83"/>
      <c r="AK56" s="83"/>
      <c r="AL56" s="83"/>
      <c r="AM56" s="83"/>
      <c r="AN56" s="83"/>
      <c r="AO56" s="83"/>
      <c r="AP56" s="83"/>
      <c r="AQ56" s="83"/>
      <c r="AR56" s="84">
        <f t="shared" si="94"/>
        <v>0</v>
      </c>
      <c r="AS56" s="84"/>
      <c r="AT56" s="85">
        <f t="shared" si="95"/>
        <v>150000</v>
      </c>
      <c r="AU56" s="86"/>
    </row>
    <row r="57" spans="1:50" s="92" customFormat="1" ht="10.5" x14ac:dyDescent="0.35">
      <c r="A57" s="104" t="str">
        <f>'Обобщенный расчет'!B26</f>
        <v>Інше</v>
      </c>
      <c r="B57" s="88" t="str">
        <f>CHOOSE('Исходные данные'!$O$2,'Исходные данные'!$P$2,'Исходные данные'!$P$3,'Исходные данные'!$P$4,'Исходные данные'!$P$5)</f>
        <v>UAH</v>
      </c>
      <c r="C57" s="89">
        <f>'Обобщенный расчет'!D26</f>
        <v>0</v>
      </c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90">
        <f t="shared" si="96"/>
        <v>0</v>
      </c>
      <c r="Q57" s="90"/>
      <c r="R57" s="89"/>
      <c r="S57" s="89"/>
      <c r="T57" s="89"/>
      <c r="U57" s="89"/>
      <c r="V57" s="89"/>
      <c r="W57" s="89"/>
      <c r="X57" s="89"/>
      <c r="Y57" s="89"/>
      <c r="Z57" s="89"/>
      <c r="AA57" s="89"/>
      <c r="AB57" s="89"/>
      <c r="AC57" s="89"/>
      <c r="AD57" s="90">
        <f t="shared" si="93"/>
        <v>0</v>
      </c>
      <c r="AE57" s="90"/>
      <c r="AF57" s="89"/>
      <c r="AG57" s="89"/>
      <c r="AH57" s="89"/>
      <c r="AI57" s="89"/>
      <c r="AJ57" s="89"/>
      <c r="AK57" s="89"/>
      <c r="AL57" s="89"/>
      <c r="AM57" s="89"/>
      <c r="AN57" s="89"/>
      <c r="AO57" s="89"/>
      <c r="AP57" s="89"/>
      <c r="AQ57" s="89"/>
      <c r="AR57" s="90">
        <f t="shared" si="94"/>
        <v>0</v>
      </c>
      <c r="AS57" s="90"/>
      <c r="AT57" s="85">
        <f t="shared" si="95"/>
        <v>0</v>
      </c>
      <c r="AU57" s="91"/>
    </row>
    <row r="58" spans="1:50" s="97" customFormat="1" ht="10.5" x14ac:dyDescent="0.35">
      <c r="A58" s="93" t="str">
        <f>A46</f>
        <v>Разом собівартість</v>
      </c>
      <c r="B58" s="94" t="str">
        <f>CHOOSE('Исходные данные'!$O$2,'Исходные данные'!$P$2,'Исходные данные'!$P$3,'Исходные данные'!$P$4,'Исходные данные'!$P$5)</f>
        <v>UAH</v>
      </c>
      <c r="C58" s="95">
        <f t="shared" ref="C58:P58" si="101">SUM(C49:C57)</f>
        <v>415150</v>
      </c>
      <c r="D58" s="95">
        <f t="shared" si="101"/>
        <v>0</v>
      </c>
      <c r="E58" s="95">
        <f t="shared" si="101"/>
        <v>0</v>
      </c>
      <c r="F58" s="95">
        <f t="shared" si="101"/>
        <v>0</v>
      </c>
      <c r="G58" s="95">
        <f t="shared" si="101"/>
        <v>0</v>
      </c>
      <c r="H58" s="95">
        <f t="shared" si="101"/>
        <v>0</v>
      </c>
      <c r="I58" s="95">
        <f t="shared" si="101"/>
        <v>0</v>
      </c>
      <c r="J58" s="95">
        <f t="shared" si="101"/>
        <v>0</v>
      </c>
      <c r="K58" s="95">
        <f t="shared" si="101"/>
        <v>0</v>
      </c>
      <c r="L58" s="95">
        <f t="shared" si="101"/>
        <v>0</v>
      </c>
      <c r="M58" s="95">
        <f t="shared" si="101"/>
        <v>0</v>
      </c>
      <c r="N58" s="95">
        <f t="shared" si="101"/>
        <v>0</v>
      </c>
      <c r="O58" s="95">
        <f t="shared" si="101"/>
        <v>0</v>
      </c>
      <c r="P58" s="95">
        <f t="shared" si="101"/>
        <v>415150</v>
      </c>
      <c r="Q58" s="95"/>
      <c r="R58" s="95">
        <f t="shared" ref="R58:AD58" si="102">SUM(R49:R57)</f>
        <v>0</v>
      </c>
      <c r="S58" s="95">
        <f t="shared" si="102"/>
        <v>0</v>
      </c>
      <c r="T58" s="95">
        <f t="shared" si="102"/>
        <v>0</v>
      </c>
      <c r="U58" s="95">
        <f t="shared" si="102"/>
        <v>0</v>
      </c>
      <c r="V58" s="95">
        <f t="shared" si="102"/>
        <v>0</v>
      </c>
      <c r="W58" s="95">
        <f t="shared" si="102"/>
        <v>0</v>
      </c>
      <c r="X58" s="95">
        <f t="shared" si="102"/>
        <v>0</v>
      </c>
      <c r="Y58" s="95">
        <f t="shared" si="102"/>
        <v>0</v>
      </c>
      <c r="Z58" s="95">
        <f t="shared" si="102"/>
        <v>0</v>
      </c>
      <c r="AA58" s="95">
        <f t="shared" si="102"/>
        <v>0</v>
      </c>
      <c r="AB58" s="95">
        <f t="shared" si="102"/>
        <v>0</v>
      </c>
      <c r="AC58" s="95">
        <f t="shared" si="102"/>
        <v>0</v>
      </c>
      <c r="AD58" s="95">
        <f t="shared" si="102"/>
        <v>0</v>
      </c>
      <c r="AE58" s="95"/>
      <c r="AF58" s="95">
        <f t="shared" ref="AF58:AR58" si="103">SUM(AF49:AF57)</f>
        <v>0</v>
      </c>
      <c r="AG58" s="95">
        <f t="shared" si="103"/>
        <v>0</v>
      </c>
      <c r="AH58" s="95">
        <f t="shared" si="103"/>
        <v>0</v>
      </c>
      <c r="AI58" s="95">
        <f t="shared" si="103"/>
        <v>0</v>
      </c>
      <c r="AJ58" s="95">
        <f t="shared" si="103"/>
        <v>0</v>
      </c>
      <c r="AK58" s="95">
        <f t="shared" si="103"/>
        <v>0</v>
      </c>
      <c r="AL58" s="95">
        <f t="shared" si="103"/>
        <v>0</v>
      </c>
      <c r="AM58" s="95">
        <f t="shared" si="103"/>
        <v>0</v>
      </c>
      <c r="AN58" s="95">
        <f t="shared" si="103"/>
        <v>0</v>
      </c>
      <c r="AO58" s="95">
        <f t="shared" si="103"/>
        <v>0</v>
      </c>
      <c r="AP58" s="95">
        <f t="shared" si="103"/>
        <v>0</v>
      </c>
      <c r="AQ58" s="95">
        <f t="shared" si="103"/>
        <v>0</v>
      </c>
      <c r="AR58" s="95">
        <f t="shared" si="103"/>
        <v>0</v>
      </c>
      <c r="AS58" s="95"/>
      <c r="AT58" s="106">
        <f t="shared" si="95"/>
        <v>415150</v>
      </c>
      <c r="AU58" s="96"/>
    </row>
    <row r="59" spans="1:50" s="111" customFormat="1" ht="10.8" thickBot="1" x14ac:dyDescent="0.4">
      <c r="A59" s="107"/>
      <c r="B59" s="108"/>
      <c r="C59" s="108"/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  <c r="AC59" s="109"/>
      <c r="AD59" s="109"/>
      <c r="AE59" s="109"/>
      <c r="AF59" s="109"/>
      <c r="AG59" s="109"/>
      <c r="AH59" s="109"/>
      <c r="AI59" s="109"/>
      <c r="AJ59" s="109"/>
      <c r="AK59" s="109"/>
      <c r="AL59" s="109"/>
      <c r="AM59" s="109"/>
      <c r="AN59" s="109"/>
      <c r="AO59" s="109"/>
      <c r="AP59" s="109"/>
      <c r="AQ59" s="109"/>
      <c r="AR59" s="109"/>
      <c r="AS59" s="109"/>
      <c r="AT59" s="110"/>
    </row>
    <row r="60" spans="1:50" s="9" customFormat="1" ht="21.6" thickTop="1" thickBot="1" x14ac:dyDescent="0.4">
      <c r="A60" s="72" t="str">
        <f>CHOOSE('Исходные данные'!$U$2,AW51,AX51)</f>
        <v>ПОТОЧНІ ВИТРАТИ</v>
      </c>
      <c r="B60" s="102"/>
      <c r="C60" s="78" t="str">
        <f t="shared" ref="C60:O60" si="104">C$6</f>
        <v>грудень</v>
      </c>
      <c r="D60" s="78" t="str">
        <f t="shared" si="104"/>
        <v>січень</v>
      </c>
      <c r="E60" s="78" t="str">
        <f t="shared" si="104"/>
        <v>лютий</v>
      </c>
      <c r="F60" s="78" t="str">
        <f t="shared" si="104"/>
        <v>березень</v>
      </c>
      <c r="G60" s="78" t="str">
        <f t="shared" si="104"/>
        <v>квітень</v>
      </c>
      <c r="H60" s="78" t="str">
        <f t="shared" si="104"/>
        <v>травень</v>
      </c>
      <c r="I60" s="78" t="str">
        <f t="shared" si="104"/>
        <v>червень</v>
      </c>
      <c r="J60" s="78" t="str">
        <f t="shared" si="104"/>
        <v>липень</v>
      </c>
      <c r="K60" s="78" t="str">
        <f t="shared" si="104"/>
        <v>серпень</v>
      </c>
      <c r="L60" s="78" t="str">
        <f t="shared" si="104"/>
        <v>вересень</v>
      </c>
      <c r="M60" s="78" t="str">
        <f t="shared" si="104"/>
        <v>жовтень</v>
      </c>
      <c r="N60" s="78" t="str">
        <f t="shared" si="104"/>
        <v>листопад</v>
      </c>
      <c r="O60" s="78" t="str">
        <f t="shared" si="104"/>
        <v>грудень</v>
      </c>
      <c r="P60" s="103" t="str">
        <f>$P$16</f>
        <v>1-й рік роботи</v>
      </c>
      <c r="Q60" s="103" t="str">
        <f>$Q$16</f>
        <v>Середньомісячно за 1-й рік</v>
      </c>
      <c r="R60" s="78" t="str">
        <f t="shared" ref="R60:AC60" si="105">R$6</f>
        <v>січень</v>
      </c>
      <c r="S60" s="78" t="str">
        <f t="shared" si="105"/>
        <v>лютий</v>
      </c>
      <c r="T60" s="78" t="str">
        <f t="shared" si="105"/>
        <v>березень</v>
      </c>
      <c r="U60" s="78" t="str">
        <f t="shared" si="105"/>
        <v>квітень</v>
      </c>
      <c r="V60" s="78" t="str">
        <f t="shared" si="105"/>
        <v>травень</v>
      </c>
      <c r="W60" s="78" t="str">
        <f t="shared" si="105"/>
        <v>червень</v>
      </c>
      <c r="X60" s="78" t="str">
        <f t="shared" si="105"/>
        <v>липень</v>
      </c>
      <c r="Y60" s="78" t="str">
        <f t="shared" si="105"/>
        <v>серпень</v>
      </c>
      <c r="Z60" s="78" t="str">
        <f t="shared" si="105"/>
        <v>вересень</v>
      </c>
      <c r="AA60" s="78" t="str">
        <f t="shared" si="105"/>
        <v>жовтень</v>
      </c>
      <c r="AB60" s="78" t="str">
        <f t="shared" si="105"/>
        <v>листопад</v>
      </c>
      <c r="AC60" s="78" t="str">
        <f t="shared" si="105"/>
        <v>грудень</v>
      </c>
      <c r="AD60" s="103" t="str">
        <f>AD48</f>
        <v>2-й рік роботи</v>
      </c>
      <c r="AE60" s="103" t="str">
        <f>AE48</f>
        <v>Середньомісячно за 2-й рік</v>
      </c>
      <c r="AF60" s="78" t="str">
        <f t="shared" ref="AF60:AQ60" si="106">AF$6</f>
        <v>січень</v>
      </c>
      <c r="AG60" s="78" t="str">
        <f t="shared" si="106"/>
        <v>лютий</v>
      </c>
      <c r="AH60" s="78" t="str">
        <f t="shared" si="106"/>
        <v>березень</v>
      </c>
      <c r="AI60" s="78" t="str">
        <f t="shared" si="106"/>
        <v>квітень</v>
      </c>
      <c r="AJ60" s="78" t="str">
        <f t="shared" si="106"/>
        <v>травень</v>
      </c>
      <c r="AK60" s="78" t="str">
        <f t="shared" si="106"/>
        <v>червень</v>
      </c>
      <c r="AL60" s="78" t="str">
        <f t="shared" si="106"/>
        <v>липень</v>
      </c>
      <c r="AM60" s="78" t="str">
        <f t="shared" si="106"/>
        <v>серпень</v>
      </c>
      <c r="AN60" s="78" t="str">
        <f t="shared" si="106"/>
        <v>вересень</v>
      </c>
      <c r="AO60" s="78" t="str">
        <f t="shared" si="106"/>
        <v>жовтень</v>
      </c>
      <c r="AP60" s="78" t="str">
        <f t="shared" si="106"/>
        <v>листопад</v>
      </c>
      <c r="AQ60" s="78" t="str">
        <f t="shared" si="106"/>
        <v>грудень</v>
      </c>
      <c r="AR60" s="103" t="str">
        <f>AR48</f>
        <v>3-й рік роботи</v>
      </c>
      <c r="AS60" s="103" t="str">
        <f>AS48</f>
        <v>Середньомісячно за 3-й рік</v>
      </c>
      <c r="AT60" s="195" t="str">
        <f>AT48</f>
        <v>Разом за три роки</v>
      </c>
    </row>
    <row r="61" spans="1:50" s="92" customFormat="1" ht="10.8" thickTop="1" x14ac:dyDescent="0.35">
      <c r="A61" s="104" t="str">
        <f>'Обобщенный расчет'!B42</f>
        <v>Зарплата персоналу</v>
      </c>
      <c r="B61" s="88" t="str">
        <f>CHOOSE('Исходные данные'!$O$2,'Исходные данные'!$P$2,'Исходные данные'!$P$3,'Исходные данные'!$P$4,'Исходные данные'!$P$5)</f>
        <v>UAH</v>
      </c>
      <c r="C61" s="89"/>
      <c r="D61" s="89">
        <f>D9*('Обобщенный расчет'!$D$31*'Обобщенный расчет'!$E$31*'Обобщенный расчет'!$G$31+'Обобщенный расчет'!$D$32*'Обобщенный расчет'!$E$32*'Обобщенный расчет'!$G$32+'Обобщенный расчет'!$D$33*'Обобщенный расчет'!$E$33*'Обобщенный расчет'!$G$33+'Обобщенный расчет'!$E$35*(D7*D8*('Исходные данные'!$E$11+'Исходные данные'!$E$12+'Исходные данные'!$E$13+'Исходные данные'!$E$14+'Исходные данные'!$E$15+'Исходные данные'!$E$16))+'Обобщенный расчет'!$E$37*'Обобщенный расчет'!$D$37*'Детальный расчет'!D7*'Детальный расчет'!D8)+('Обобщенный расчет'!$H$31+'Обобщенный расчет'!$H$32+'Обобщенный расчет'!$H$33+'Обобщенный расчет'!$H$35+'Обобщенный расчет'!$H$37)*D24</f>
        <v>53308.800000000003</v>
      </c>
      <c r="E61" s="89">
        <f>E9*('Обобщенный расчет'!$D$31*'Обобщенный расчет'!$E$31*'Обобщенный расчет'!$G$31+'Обобщенный расчет'!$D$32*'Обобщенный расчет'!$E$32*'Обобщенный расчет'!$G$32+'Обобщенный расчет'!$D$33*'Обобщенный расчет'!$E$33*'Обобщенный расчет'!$G$33+'Обобщенный расчет'!$E$35*(E7*E8*('Исходные данные'!$E$11+'Исходные данные'!$E$12+'Исходные данные'!$E$13+'Исходные данные'!$E$14+'Исходные данные'!$E$15+'Исходные данные'!$E$16))+'Обобщенный расчет'!$E$37*'Обобщенный расчет'!$D$37*'Детальный расчет'!E7*'Детальный расчет'!E8)+('Обобщенный расчет'!$H$31+'Обобщенный расчет'!$H$32+'Обобщенный расчет'!$H$33+'Обобщенный расчет'!$H$35+'Обобщенный расчет'!$H$37)*E24</f>
        <v>70848</v>
      </c>
      <c r="F61" s="89">
        <f>F9*('Обобщенный расчет'!$D$31*'Обобщенный расчет'!$E$31*'Обобщенный расчет'!$G$31+'Обобщенный расчет'!$D$32*'Обобщенный расчет'!$E$32*'Обобщенный расчет'!$G$32+'Обобщенный расчет'!$D$33*'Обобщенный расчет'!$E$33*'Обобщенный расчет'!$G$33+'Обобщенный расчет'!$E$35*(F7*F8*('Исходные данные'!$E$11+'Исходные данные'!$E$12+'Исходные данные'!$E$13+'Исходные данные'!$E$14+'Исходные данные'!$E$15+'Исходные данные'!$E$16))+'Обобщенный расчет'!$E$37*'Обобщенный расчет'!$D$37*'Детальный расчет'!F7*'Детальный расчет'!F8)+('Обобщенный расчет'!$H$31+'Обобщенный расчет'!$H$32+'Обобщенный расчет'!$H$33+'Обобщенный расчет'!$H$35+'Обобщенный расчет'!$H$37)*F24</f>
        <v>84628.799999999988</v>
      </c>
      <c r="G61" s="89">
        <f>G9*('Обобщенный расчет'!$D$31*'Обобщенный расчет'!$E$31*'Обобщенный расчет'!$G$31+'Обобщенный расчет'!$D$32*'Обобщенный расчет'!$E$32*'Обобщенный расчет'!$G$32+'Обобщенный расчет'!$D$33*'Обобщенный расчет'!$E$33*'Обобщенный расчет'!$G$33+'Обобщенный расчет'!$E$35*(G7*G8*('Исходные данные'!$E$11+'Исходные данные'!$E$12+'Исходные данные'!$E$13+'Исходные данные'!$E$14+'Исходные данные'!$E$15+'Исходные данные'!$E$16))+'Обобщенный расчет'!$E$37*'Обобщенный расчет'!$D$37*'Детальный расчет'!G7*'Детальный расчет'!G8)+('Обобщенный расчет'!$H$31+'Обобщенный расчет'!$H$32+'Обобщенный расчет'!$H$33+'Обобщенный расчет'!$H$35+'Обобщенный расчет'!$H$37)*G24</f>
        <v>83376</v>
      </c>
      <c r="H61" s="89">
        <f>H9*('Обобщенный расчет'!$D$31*'Обобщенный расчет'!$E$31*'Обобщенный расчет'!$G$31+'Обобщенный расчет'!$D$32*'Обобщенный расчет'!$E$32*'Обобщенный расчет'!$G$32+'Обобщенный расчет'!$D$33*'Обобщенный расчет'!$E$33*'Обобщенный расчет'!$G$33+'Обобщенный расчет'!$E$35*(H7*H8*('Исходные данные'!$E$11+'Исходные данные'!$E$12+'Исходные данные'!$E$13+'Исходные данные'!$E$14+'Исходные данные'!$E$15+'Исходные данные'!$E$16))+'Обобщенный расчет'!$E$37*'Обобщенный расчет'!$D$37*'Детальный расчет'!H7*'Детальный расчет'!H8)+('Обобщенный расчет'!$H$31+'Обобщенный расчет'!$H$32+'Обобщенный расчет'!$H$33+'Обобщенный расчет'!$H$35+'Обобщенный расчет'!$H$37)*H24</f>
        <v>89640</v>
      </c>
      <c r="I61" s="89">
        <f>I9*('Обобщенный расчет'!$D$31*'Обобщенный расчет'!$E$31*'Обобщенный расчет'!$G$31+'Обобщенный расчет'!$D$32*'Обобщенный расчет'!$E$32*'Обобщенный расчет'!$G$32+'Обобщенный расчет'!$D$33*'Обобщенный расчет'!$E$33*'Обобщенный расчет'!$G$33+'Обобщенный расчет'!$E$35*(I7*I8*('Исходные данные'!$E$11+'Исходные данные'!$E$12+'Исходные данные'!$E$13+'Исходные данные'!$E$14+'Исходные данные'!$E$15+'Исходные данные'!$E$16))+'Обобщенный расчет'!$E$37*'Обобщенный расчет'!$D$37*'Детальный расчет'!I7*'Детальный расчет'!I8)+('Обобщенный расчет'!$H$31+'Обобщенный расчет'!$H$32+'Обобщенный расчет'!$H$33+'Обобщенный расчет'!$H$35+'Обобщенный расчет'!$H$37)*I24</f>
        <v>77112</v>
      </c>
      <c r="J61" s="89">
        <f>J9*('Обобщенный расчет'!$D$31*'Обобщенный расчет'!$E$31*'Обобщенный расчет'!$G$31+'Обобщенный расчет'!$D$32*'Обобщенный расчет'!$E$32*'Обобщенный расчет'!$G$32+'Обобщенный расчет'!$D$33*'Обобщенный расчет'!$E$33*'Обобщенный расчет'!$G$33+'Обобщенный расчет'!$E$35*(J7*J8*('Исходные данные'!$E$11+'Исходные данные'!$E$12+'Исходные данные'!$E$13+'Исходные данные'!$E$14+'Исходные данные'!$E$15+'Исходные данные'!$E$16))+'Обобщенный расчет'!$E$37*'Обобщенный расчет'!$D$37*'Детальный расчет'!J7*'Детальный расчет'!J8)+('Обобщенный расчет'!$H$31+'Обобщенный расчет'!$H$32+'Обобщенный расчет'!$H$33+'Обобщенный расчет'!$H$35+'Обобщенный расчет'!$H$37)*J24</f>
        <v>83376</v>
      </c>
      <c r="K61" s="89">
        <f>K9*('Обобщенный расчет'!$D$31*'Обобщенный расчет'!$E$31*'Обобщенный расчет'!$G$31+'Обобщенный расчет'!$D$32*'Обобщенный расчет'!$E$32*'Обобщенный расчет'!$G$32+'Обобщенный расчет'!$D$33*'Обобщенный расчет'!$E$33*'Обобщенный расчет'!$G$33+'Обобщенный расчет'!$E$35*(K7*K8*('Исходные данные'!$E$11+'Исходные данные'!$E$12+'Исходные данные'!$E$13+'Исходные данные'!$E$14+'Исходные данные'!$E$15+'Исходные данные'!$E$16))+'Обобщенный расчет'!$E$37*'Обобщенный расчет'!$D$37*'Детальный расчет'!K7*'Детальный расчет'!K8)+('Обобщенный расчет'!$H$31+'Обобщенный расчет'!$H$32+'Обобщенный расчет'!$H$33+'Обобщенный расчет'!$H$35+'Обобщенный расчет'!$H$37)*K24</f>
        <v>86508</v>
      </c>
      <c r="L61" s="89">
        <f>L9*('Обобщенный расчет'!$D$31*'Обобщенный расчет'!$E$31*'Обобщенный расчет'!$G$31+'Обобщенный расчет'!$D$32*'Обобщенный расчет'!$E$32*'Обобщенный расчет'!$G$32+'Обобщенный расчет'!$D$33*'Обобщенный расчет'!$E$33*'Обобщенный расчет'!$G$33+'Обобщенный расчет'!$E$35*(L7*L8*('Исходные данные'!$E$11+'Исходные данные'!$E$12+'Исходные данные'!$E$13+'Исходные данные'!$E$14+'Исходные данные'!$E$15+'Исходные данные'!$E$16))+'Обобщенный расчет'!$E$37*'Обобщенный расчет'!$D$37*'Детальный расчет'!L7*'Детальный расчет'!L8)+('Обобщенный расчет'!$H$31+'Обобщенный расчет'!$H$32+'Обобщенный расчет'!$H$33+'Обобщенный расчет'!$H$35+'Обобщенный расчет'!$H$37)*L24</f>
        <v>89640</v>
      </c>
      <c r="M61" s="89">
        <f>M9*('Обобщенный расчет'!$D$31*'Обобщенный расчет'!$E$31*'Обобщенный расчет'!$G$31+'Обобщенный расчет'!$D$32*'Обобщенный расчет'!$E$32*'Обобщенный расчет'!$G$32+'Обобщенный расчет'!$D$33*'Обобщенный расчет'!$E$33*'Обобщенный расчет'!$G$33+'Обобщенный расчет'!$E$35*(M7*M8*('Исходные данные'!$E$11+'Исходные данные'!$E$12+'Исходные данные'!$E$13+'Исходные данные'!$E$14+'Исходные данные'!$E$15+'Исходные данные'!$E$16))+'Обобщенный расчет'!$E$37*'Обобщенный расчет'!$D$37*'Детальный расчет'!M7*'Детальный расчет'!M8)+('Обобщенный расчет'!$H$31+'Обобщенный расчет'!$H$32+'Обобщенный расчет'!$H$33+'Обобщенный расчет'!$H$35+'Обобщенный расчет'!$H$37)*M24</f>
        <v>89640</v>
      </c>
      <c r="N61" s="89">
        <f>N9*('Обобщенный расчет'!$D$31*'Обобщенный расчет'!$E$31*'Обобщенный расчет'!$G$31+'Обобщенный расчет'!$D$32*'Обобщенный расчет'!$E$32*'Обобщенный расчет'!$G$32+'Обобщенный расчет'!$D$33*'Обобщенный расчет'!$E$33*'Обобщенный расчет'!$G$33+'Обобщенный расчет'!$E$35*(N7*N8*('Исходные данные'!$E$11+'Исходные данные'!$E$12+'Исходные данные'!$E$13+'Исходные данные'!$E$14+'Исходные данные'!$E$15+'Исходные данные'!$E$16))+'Обобщенный расчет'!$E$37*'Обобщенный расчет'!$D$37*'Детальный расчет'!N7*'Детальный расчет'!N8)+('Обобщенный расчет'!$H$31+'Обобщенный расчет'!$H$32+'Обобщенный расчет'!$H$33+'Обобщенный расчет'!$H$35+'Обобщенный расчет'!$H$37)*N24</f>
        <v>89640</v>
      </c>
      <c r="O61" s="89">
        <f>O9*('Обобщенный расчет'!$D$31*'Обобщенный расчет'!$E$31*'Обобщенный расчет'!$G$31+'Обобщенный расчет'!$D$32*'Обобщенный расчет'!$E$32*'Обобщенный расчет'!$G$32+'Обобщенный расчет'!$D$33*'Обобщенный расчет'!$E$33*'Обобщенный расчет'!$G$33+'Обобщенный расчет'!$E$35*(O7*O8*('Исходные данные'!$E$11+'Исходные данные'!$E$12+'Исходные данные'!$E$13+'Исходные данные'!$E$14+'Исходные данные'!$E$15+'Исходные данные'!$E$16))+'Обобщенный расчет'!$E$37*'Обобщенный расчет'!$D$37*'Детальный расчет'!O7*'Детальный расчет'!O8)+('Обобщенный расчет'!$H$31+'Обобщенный расчет'!$H$32+'Обобщенный расчет'!$H$33+'Обобщенный расчет'!$H$35+'Обобщенный расчет'!$H$37)*O24</f>
        <v>89640</v>
      </c>
      <c r="P61" s="90">
        <f>SUM(D61:O61)</f>
        <v>987357.6</v>
      </c>
      <c r="Q61" s="90">
        <f>P61/12</f>
        <v>82279.8</v>
      </c>
      <c r="R61" s="89">
        <f>R9*('Обобщенный расчет'!$D$31*'Обобщенный расчет'!$E$31*'Обобщенный расчет'!$G$31+'Обобщенный расчет'!$D$32*'Обобщенный расчет'!$E$32*'Обобщенный расчет'!$G$32+'Обобщенный расчет'!$D$33*'Обобщенный расчет'!$E$33*'Обобщенный расчет'!$G$33+'Обобщенный расчет'!$E$35*(R7*R8*('Исходные данные'!$E$11+'Исходные данные'!$E$12+'Исходные данные'!$E$13+'Исходные данные'!$E$14+'Исходные данные'!$E$15+'Исходные данные'!$E$16))+'Обобщенный расчет'!$E$37*'Обобщенный расчет'!$D$37*'Детальный расчет'!R7*'Детальный расчет'!R8)+('Обобщенный расчет'!$H$31+'Обобщенный расчет'!$H$32+'Обобщенный расчет'!$H$33+'Обобщенный расчет'!$H$35+'Обобщенный расчет'!$H$37)*R24</f>
        <v>75232.800000000003</v>
      </c>
      <c r="S61" s="89">
        <f>S9*('Обобщенный расчет'!$D$31*'Обобщенный расчет'!$E$31*'Обобщенный расчет'!$G$31+'Обобщенный расчет'!$D$32*'Обобщенный расчет'!$E$32*'Обобщенный расчет'!$G$32+'Обобщенный расчет'!$D$33*'Обобщенный расчет'!$E$33*'Обобщенный расчет'!$G$33+'Обобщенный расчет'!$E$35*(S7*S8*('Исходные данные'!$E$11+'Исходные данные'!$E$12+'Исходные данные'!$E$13+'Исходные данные'!$E$14+'Исходные данные'!$E$15+'Исходные данные'!$E$16))+'Обобщенный расчет'!$E$37*'Обобщенный расчет'!$D$37*'Детальный расчет'!S7*'Детальный расчет'!S8)+('Обобщенный расчет'!$H$31+'Обобщенный расчет'!$H$32+'Обобщенный расчет'!$H$33+'Обобщенный расчет'!$H$35+'Обобщенный расчет'!$H$37)*S24</f>
        <v>95904</v>
      </c>
      <c r="T61" s="89">
        <f>T9*('Обобщенный расчет'!$D$31*'Обобщенный расчет'!$E$31*'Обобщенный расчет'!$G$31+'Обобщенный расчет'!$D$32*'Обобщенный расчет'!$E$32*'Обобщенный расчет'!$G$32+'Обобщенный расчет'!$D$33*'Обобщенный расчет'!$E$33*'Обобщенный расчет'!$G$33+'Обобщенный расчет'!$E$35*(T7*T8*('Исходные данные'!$E$11+'Исходные данные'!$E$12+'Исходные данные'!$E$13+'Исходные данные'!$E$14+'Исходные данные'!$E$15+'Исходные данные'!$E$16))+'Обобщенный расчет'!$E$37*'Обобщенный расчет'!$D$37*'Детальный расчет'!T7*'Детальный расчет'!T8)+('Обобщенный расчет'!$H$31+'Обобщенный расчет'!$H$32+'Обобщенный расчет'!$H$33+'Обобщенный расчет'!$H$35+'Обобщенный расчет'!$H$37)*T24</f>
        <v>106239.6</v>
      </c>
      <c r="U61" s="89">
        <f>U9*('Обобщенный расчет'!$D$31*'Обобщенный расчет'!$E$31*'Обобщенный расчет'!$G$31+'Обобщенный расчет'!$D$32*'Обобщенный расчет'!$E$32*'Обобщенный расчет'!$G$32+'Обобщенный расчет'!$D$33*'Обобщенный расчет'!$E$33*'Обобщенный расчет'!$G$33+'Обобщенный расчет'!$E$35*(U7*U8*('Исходные данные'!$E$11+'Исходные данные'!$E$12+'Исходные данные'!$E$13+'Исходные данные'!$E$14+'Исходные данные'!$E$15+'Исходные данные'!$E$16))+'Обобщенный расчет'!$E$37*'Обобщенный расчет'!$D$37*'Детальный расчет'!U7*'Детальный расчет'!U8)+('Обобщенный расчет'!$H$31+'Обобщенный расчет'!$H$32+'Обобщенный расчет'!$H$33+'Обобщенный расчет'!$H$35+'Обобщенный расчет'!$H$37)*U24</f>
        <v>95904</v>
      </c>
      <c r="V61" s="89">
        <f>V9*('Обобщенный расчет'!$D$31*'Обобщенный расчет'!$E$31*'Обобщенный расчет'!$G$31+'Обобщенный расчет'!$D$32*'Обобщенный расчет'!$E$32*'Обобщенный расчет'!$G$32+'Обобщенный расчет'!$D$33*'Обобщенный расчет'!$E$33*'Обобщенный расчет'!$G$33+'Обобщенный расчет'!$E$35*(V7*V8*('Исходные данные'!$E$11+'Исходные данные'!$E$12+'Исходные данные'!$E$13+'Исходные данные'!$E$14+'Исходные данные'!$E$15+'Исходные данные'!$E$16))+'Обобщенный расчет'!$E$37*'Обобщенный расчет'!$D$37*'Детальный расчет'!V7*'Детальный расчет'!V8)+('Обобщенный расчет'!$H$31+'Обобщенный расчет'!$H$32+'Обобщенный расчет'!$H$33+'Обобщенный расчет'!$H$35+'Обобщенный расчет'!$H$37)*V24</f>
        <v>95904</v>
      </c>
      <c r="W61" s="89">
        <f>W9*('Обобщенный расчет'!$D$31*'Обобщенный расчет'!$E$31*'Обобщенный расчет'!$G$31+'Обобщенный расчет'!$D$32*'Обобщенный расчет'!$E$32*'Обобщенный расчет'!$G$32+'Обобщенный расчет'!$D$33*'Обобщенный расчет'!$E$33*'Обобщенный расчет'!$G$33+'Обобщенный расчет'!$E$35*(W7*W8*('Исходные данные'!$E$11+'Исходные данные'!$E$12+'Исходные данные'!$E$13+'Исходные данные'!$E$14+'Исходные данные'!$E$15+'Исходные данные'!$E$16))+'Обобщенный расчет'!$E$37*'Обобщенный расчет'!$D$37*'Детальный расчет'!W7*'Детальный расчет'!W8)+('Обобщенный расчет'!$H$31+'Обобщенный расчет'!$H$32+'Обобщенный расчет'!$H$33+'Обобщенный расчет'!$H$35+'Обобщенный расчет'!$H$37)*W24</f>
        <v>82123.199999999997</v>
      </c>
      <c r="X61" s="89">
        <f>X9*('Обобщенный расчет'!$D$31*'Обобщенный расчет'!$E$31*'Обобщенный расчет'!$G$31+'Обобщенный расчет'!$D$32*'Обобщенный расчет'!$E$32*'Обобщенный расчет'!$G$32+'Обобщенный расчет'!$D$33*'Обобщенный расчет'!$E$33*'Обобщенный расчет'!$G$33+'Обобщенный расчет'!$E$35*(X7*X8*('Исходные данные'!$E$11+'Исходные данные'!$E$12+'Исходные данные'!$E$13+'Исходные данные'!$E$14+'Исходные данные'!$E$15+'Исходные данные'!$E$16))+'Обобщенный расчет'!$E$37*'Обобщенный расчет'!$D$37*'Детальный расчет'!X7*'Детальный расчет'!X8)+('Обобщенный расчет'!$H$31+'Обобщенный расчет'!$H$32+'Обобщенный расчет'!$H$33+'Обобщенный расчет'!$H$35+'Обобщенный расчет'!$H$37)*X24</f>
        <v>89013.6</v>
      </c>
      <c r="Y61" s="89">
        <f>Y9*('Обобщенный расчет'!$D$31*'Обобщенный расчет'!$E$31*'Обобщенный расчет'!$G$31+'Обобщенный расчет'!$D$32*'Обобщенный расчет'!$E$32*'Обобщенный расчет'!$G$32+'Обобщенный расчет'!$D$33*'Обобщенный расчет'!$E$33*'Обобщенный расчет'!$G$33+'Обобщенный расчет'!$E$35*(Y7*Y8*('Исходные данные'!$E$11+'Исходные данные'!$E$12+'Исходные данные'!$E$13+'Исходные данные'!$E$14+'Исходные данные'!$E$15+'Исходные данные'!$E$16))+'Обобщенный расчет'!$E$37*'Обобщенный расчет'!$D$37*'Детальный расчет'!Y7*'Детальный расчет'!Y8)+('Обобщенный расчет'!$H$31+'Обобщенный расчет'!$H$32+'Обобщенный расчет'!$H$33+'Обобщенный расчет'!$H$35+'Обобщенный расчет'!$H$37)*Y24</f>
        <v>92458.799999999988</v>
      </c>
      <c r="Z61" s="89">
        <f>Z9*('Обобщенный расчет'!$D$31*'Обобщенный расчет'!$E$31*'Обобщенный расчет'!$G$31+'Обобщенный расчет'!$D$32*'Обобщенный расчет'!$E$32*'Обобщенный расчет'!$G$32+'Обобщенный расчет'!$D$33*'Обобщенный расчет'!$E$33*'Обобщенный расчет'!$G$33+'Обобщенный расчет'!$E$35*(Z7*Z8*('Исходные данные'!$E$11+'Исходные данные'!$E$12+'Исходные данные'!$E$13+'Исходные данные'!$E$14+'Исходные данные'!$E$15+'Исходные данные'!$E$16))+'Обобщенный расчет'!$E$37*'Обобщенный расчет'!$D$37*'Детальный расчет'!Z7*'Детальный расчет'!Z8)+('Обобщенный расчет'!$H$31+'Обобщенный расчет'!$H$32+'Обобщенный расчет'!$H$33+'Обобщенный расчет'!$H$35+'Обобщенный расчет'!$H$37)*Z24</f>
        <v>95904</v>
      </c>
      <c r="AA61" s="89">
        <f>AA9*('Обобщенный расчет'!$D$31*'Обобщенный расчет'!$E$31*'Обобщенный расчет'!$G$31+'Обобщенный расчет'!$D$32*'Обобщенный расчет'!$E$32*'Обобщенный расчет'!$G$32+'Обобщенный расчет'!$D$33*'Обобщенный расчет'!$E$33*'Обобщенный расчет'!$G$33+'Обобщенный расчет'!$E$35*(AA7*AA8*('Исходные данные'!$E$11+'Исходные данные'!$E$12+'Исходные данные'!$E$13+'Исходные данные'!$E$14+'Исходные данные'!$E$15+'Исходные данные'!$E$16))+'Обобщенный расчет'!$E$37*'Обобщенный расчет'!$D$37*'Детальный расчет'!AA7*'Детальный расчет'!AA8)+('Обобщенный расчет'!$H$31+'Обобщенный расчет'!$H$32+'Обобщенный расчет'!$H$33+'Обобщенный расчет'!$H$35+'Обобщенный расчет'!$H$37)*AA24</f>
        <v>95904</v>
      </c>
      <c r="AB61" s="89">
        <f>AB9*('Обобщенный расчет'!$D$31*'Обобщенный расчет'!$E$31*'Обобщенный расчет'!$G$31+'Обобщенный расчет'!$D$32*'Обобщенный расчет'!$E$32*'Обобщенный расчет'!$G$32+'Обобщенный расчет'!$D$33*'Обобщенный расчет'!$E$33*'Обобщенный расчет'!$G$33+'Обобщенный расчет'!$E$35*(AB7*AB8*('Исходные данные'!$E$11+'Исходные данные'!$E$12+'Исходные данные'!$E$13+'Исходные данные'!$E$14+'Исходные данные'!$E$15+'Исходные данные'!$E$16))+'Обобщенный расчет'!$E$37*'Обобщенный расчет'!$D$37*'Детальный расчет'!AB7*'Детальный расчет'!AB8)+('Обобщенный расчет'!$H$31+'Обобщенный расчет'!$H$32+'Обобщенный расчет'!$H$33+'Обобщенный расчет'!$H$35+'Обобщенный расчет'!$H$37)*AB24</f>
        <v>95904</v>
      </c>
      <c r="AC61" s="89">
        <f>AC9*('Обобщенный расчет'!$D$31*'Обобщенный расчет'!$E$31*'Обобщенный расчет'!$G$31+'Обобщенный расчет'!$D$32*'Обобщенный расчет'!$E$32*'Обобщенный расчет'!$G$32+'Обобщенный расчет'!$D$33*'Обобщенный расчет'!$E$33*'Обобщенный расчет'!$G$33+'Обобщенный расчет'!$E$35*(AC7*AC8*('Исходные данные'!$E$11+'Исходные данные'!$E$12+'Исходные данные'!$E$13+'Исходные данные'!$E$14+'Исходные данные'!$E$15+'Исходные данные'!$E$16))+'Обобщенный расчет'!$E$37*'Обобщенный расчет'!$D$37*'Детальный расчет'!AC7*'Детальный расчет'!AC8)+('Обобщенный расчет'!$H$31+'Обобщенный расчет'!$H$32+'Обобщенный расчет'!$H$33+'Обобщенный расчет'!$H$35+'Обобщенный расчет'!$H$37)*AC24</f>
        <v>95904</v>
      </c>
      <c r="AD61" s="90">
        <f t="shared" ref="AD61:AD67" si="107">SUM(R61:AC61)</f>
        <v>1116396</v>
      </c>
      <c r="AE61" s="90">
        <f t="shared" ref="AE61:AE67" si="108">AD61/12</f>
        <v>93033</v>
      </c>
      <c r="AF61" s="89">
        <f>AF9*('Обобщенный расчет'!$D$31*'Обобщенный расчет'!$E$31*'Обобщенный расчет'!$G$31+'Обобщенный расчет'!$D$32*'Обобщенный расчет'!$E$32*'Обобщенный расчет'!$G$32+'Обобщенный расчет'!$D$33*'Обобщенный расчет'!$E$33*'Обобщенный расчет'!$G$33+'Обобщенный расчет'!$E$35*(AF7*AF8*('Исходные данные'!$E$11+'Исходные данные'!$E$12+'Исходные данные'!$E$13+'Исходные данные'!$E$14+'Исходные данные'!$E$15+'Исходные данные'!$E$16))+'Обобщенный расчет'!$E$37*'Обобщенный расчет'!$D$37*'Детальный расчет'!AF7*'Детальный расчет'!AF8)+('Обобщенный расчет'!$H$31+'Обобщенный расчет'!$H$32+'Обобщенный расчет'!$H$33+'Обобщенный расчет'!$H$35+'Обобщенный расчет'!$H$37)*AF24</f>
        <v>79617.600000000006</v>
      </c>
      <c r="AG61" s="89">
        <f>AG9*('Обобщенный расчет'!$D$31*'Обобщенный расчет'!$E$31*'Обобщенный расчет'!$G$31+'Обобщенный расчет'!$D$32*'Обобщенный расчет'!$E$32*'Обобщенный расчет'!$G$32+'Обобщенный расчет'!$D$33*'Обобщенный расчет'!$E$33*'Обобщенный расчет'!$G$33+'Обобщенный расчет'!$E$35*(AG7*AG8*('Исходные данные'!$E$11+'Исходные данные'!$E$12+'Исходные данные'!$E$13+'Исходные данные'!$E$14+'Исходные данные'!$E$15+'Исходные данные'!$E$16))+'Обобщенный расчет'!$E$37*'Обобщенный расчет'!$D$37*'Детальный расчет'!AG7*'Детальный расчет'!AG8)+('Обобщенный расчет'!$H$31+'Обобщенный расчет'!$H$32+'Обобщенный расчет'!$H$33+'Обобщенный расчет'!$H$35+'Обобщенный расчет'!$H$37)*AG24</f>
        <v>102168</v>
      </c>
      <c r="AH61" s="89">
        <f>AH9*('Обобщенный расчет'!$D$31*'Обобщенный расчет'!$E$31*'Обобщенный расчет'!$G$31+'Обобщенный расчет'!$D$32*'Обобщенный расчет'!$E$32*'Обобщенный расчет'!$G$32+'Обобщенный расчет'!$D$33*'Обобщенный расчет'!$E$33*'Обобщенный расчет'!$G$33+'Обобщенный расчет'!$E$35*(AH7*AH8*('Исходные данные'!$E$11+'Исходные данные'!$E$12+'Исходные данные'!$E$13+'Исходные данные'!$E$14+'Исходные данные'!$E$15+'Исходные данные'!$E$16))+'Обобщенный расчет'!$E$37*'Обобщенный расчет'!$D$37*'Детальный расчет'!AH7*'Детальный расчет'!AH8)+('Обобщенный расчет'!$H$31+'Обобщенный расчет'!$H$32+'Обобщенный расчет'!$H$33+'Обобщенный расчет'!$H$35+'Обобщенный расчет'!$H$37)*AH24</f>
        <v>113443.2</v>
      </c>
      <c r="AI61" s="89">
        <f>AI9*('Обобщенный расчет'!$D$31*'Обобщенный расчет'!$E$31*'Обобщенный расчет'!$G$31+'Обобщенный расчет'!$D$32*'Обобщенный расчет'!$E$32*'Обобщенный расчет'!$G$32+'Обобщенный расчет'!$D$33*'Обобщенный расчет'!$E$33*'Обобщенный расчет'!$G$33+'Обобщенный расчет'!$E$35*(AI7*AI8*('Исходные данные'!$E$11+'Исходные данные'!$E$12+'Исходные данные'!$E$13+'Исходные данные'!$E$14+'Исходные данные'!$E$15+'Исходные данные'!$E$16))+'Обобщенный расчет'!$E$37*'Обобщенный расчет'!$D$37*'Детальный расчет'!AI7*'Детальный расчет'!AI8)+('Обобщенный расчет'!$H$31+'Обобщенный расчет'!$H$32+'Обобщенный расчет'!$H$33+'Обобщенный расчет'!$H$35+'Обобщенный расчет'!$H$37)*AI24</f>
        <v>102168</v>
      </c>
      <c r="AJ61" s="89">
        <f>AJ9*('Обобщенный расчет'!$D$31*'Обобщенный расчет'!$E$31*'Обобщенный расчет'!$G$31+'Обобщенный расчет'!$D$32*'Обобщенный расчет'!$E$32*'Обобщенный расчет'!$G$32+'Обобщенный расчет'!$D$33*'Обобщенный расчет'!$E$33*'Обобщенный расчет'!$G$33+'Обобщенный расчет'!$E$35*(AJ7*AJ8*('Исходные данные'!$E$11+'Исходные данные'!$E$12+'Исходные данные'!$E$13+'Исходные данные'!$E$14+'Исходные данные'!$E$15+'Исходные данные'!$E$16))+'Обобщенный расчет'!$E$37*'Обобщенный расчет'!$D$37*'Детальный расчет'!AJ7*'Детальный расчет'!AJ8)+('Обобщенный расчет'!$H$31+'Обобщенный расчет'!$H$32+'Обобщенный расчет'!$H$33+'Обобщенный расчет'!$H$35+'Обобщенный расчет'!$H$37)*AJ24</f>
        <v>102168</v>
      </c>
      <c r="AK61" s="89">
        <f>AK9*('Обобщенный расчет'!$D$31*'Обобщенный расчет'!$E$31*'Обобщенный расчет'!$G$31+'Обобщенный расчет'!$D$32*'Обобщенный расчет'!$E$32*'Обобщенный расчет'!$G$32+'Обобщенный расчет'!$D$33*'Обобщенный расчет'!$E$33*'Обобщенный расчет'!$G$33+'Обобщенный расчет'!$E$35*(AK7*AK8*('Исходные данные'!$E$11+'Исходные данные'!$E$12+'Исходные данные'!$E$13+'Исходные данные'!$E$14+'Исходные данные'!$E$15+'Исходные данные'!$E$16))+'Обобщенный расчет'!$E$37*'Обобщенный расчет'!$D$37*'Детальный расчет'!AK7*'Детальный расчет'!AK8)+('Обобщенный расчет'!$H$31+'Обобщенный расчет'!$H$32+'Обобщенный расчет'!$H$33+'Обобщенный расчет'!$H$35+'Обобщенный расчет'!$H$37)*AK24</f>
        <v>87134.399999999994</v>
      </c>
      <c r="AL61" s="89">
        <f>AL9*('Обобщенный расчет'!$D$31*'Обобщенный расчет'!$E$31*'Обобщенный расчет'!$G$31+'Обобщенный расчет'!$D$32*'Обобщенный расчет'!$E$32*'Обобщенный расчет'!$G$32+'Обобщенный расчет'!$D$33*'Обобщенный расчет'!$E$33*'Обобщенный расчет'!$G$33+'Обобщенный расчет'!$E$35*(AL7*AL8*('Исходные данные'!$E$11+'Исходные данные'!$E$12+'Исходные данные'!$E$13+'Исходные данные'!$E$14+'Исходные данные'!$E$15+'Исходные данные'!$E$16))+'Обобщенный расчет'!$E$37*'Обобщенный расчет'!$D$37*'Детальный расчет'!AL7*'Детальный расчет'!AL8)+('Обобщенный расчет'!$H$31+'Обобщенный расчет'!$H$32+'Обобщенный расчет'!$H$33+'Обобщенный расчет'!$H$35+'Обобщенный расчет'!$H$37)*AL24</f>
        <v>94651.200000000012</v>
      </c>
      <c r="AM61" s="89">
        <f>AM9*('Обобщенный расчет'!$D$31*'Обобщенный расчет'!$E$31*'Обобщенный расчет'!$G$31+'Обобщенный расчет'!$D$32*'Обобщенный расчет'!$E$32*'Обобщенный расчет'!$G$32+'Обобщенный расчет'!$D$33*'Обобщенный расчет'!$E$33*'Обобщенный расчет'!$G$33+'Обобщенный расчет'!$E$35*(AM7*AM8*('Исходные данные'!$E$11+'Исходные данные'!$E$12+'Исходные данные'!$E$13+'Исходные данные'!$E$14+'Исходные данные'!$E$15+'Исходные данные'!$E$16))+'Обобщенный расчет'!$E$37*'Обобщенный расчет'!$D$37*'Детальный расчет'!AM7*'Детальный расчет'!AM8)+('Обобщенный расчет'!$H$31+'Обобщенный расчет'!$H$32+'Обобщенный расчет'!$H$33+'Обобщенный расчет'!$H$35+'Обобщенный расчет'!$H$37)*AM24</f>
        <v>98409.600000000006</v>
      </c>
      <c r="AN61" s="89">
        <f>AN9*('Обобщенный расчет'!$D$31*'Обобщенный расчет'!$E$31*'Обобщенный расчет'!$G$31+'Обобщенный расчет'!$D$32*'Обобщенный расчет'!$E$32*'Обобщенный расчет'!$G$32+'Обобщенный расчет'!$D$33*'Обобщенный расчет'!$E$33*'Обобщенный расчет'!$G$33+'Обобщенный расчет'!$E$35*(AN7*AN8*('Исходные данные'!$E$11+'Исходные данные'!$E$12+'Исходные данные'!$E$13+'Исходные данные'!$E$14+'Исходные данные'!$E$15+'Исходные данные'!$E$16))+'Обобщенный расчет'!$E$37*'Обобщенный расчет'!$D$37*'Детальный расчет'!AN7*'Детальный расчет'!AN8)+('Обобщенный расчет'!$H$31+'Обобщенный расчет'!$H$32+'Обобщенный расчет'!$H$33+'Обобщенный расчет'!$H$35+'Обобщенный расчет'!$H$37)*AN24</f>
        <v>102168</v>
      </c>
      <c r="AO61" s="89">
        <f>AO9*('Обобщенный расчет'!$D$31*'Обобщенный расчет'!$E$31*'Обобщенный расчет'!$G$31+'Обобщенный расчет'!$D$32*'Обобщенный расчет'!$E$32*'Обобщенный расчет'!$G$32+'Обобщенный расчет'!$D$33*'Обобщенный расчет'!$E$33*'Обобщенный расчет'!$G$33+'Обобщенный расчет'!$E$35*(AO7*AO8*('Исходные данные'!$E$11+'Исходные данные'!$E$12+'Исходные данные'!$E$13+'Исходные данные'!$E$14+'Исходные данные'!$E$15+'Исходные данные'!$E$16))+'Обобщенный расчет'!$E$37*'Обобщенный расчет'!$D$37*'Детальный расчет'!AO7*'Детальный расчет'!AO8)+('Обобщенный расчет'!$H$31+'Обобщенный расчет'!$H$32+'Обобщенный расчет'!$H$33+'Обобщенный расчет'!$H$35+'Обобщенный расчет'!$H$37)*AO24</f>
        <v>102168</v>
      </c>
      <c r="AP61" s="89">
        <f>AP9*('Обобщенный расчет'!$D$31*'Обобщенный расчет'!$E$31*'Обобщенный расчет'!$G$31+'Обобщенный расчет'!$D$32*'Обобщенный расчет'!$E$32*'Обобщенный расчет'!$G$32+'Обобщенный расчет'!$D$33*'Обобщенный расчет'!$E$33*'Обобщенный расчет'!$G$33+'Обобщенный расчет'!$E$35*(AP7*AP8*('Исходные данные'!$E$11+'Исходные данные'!$E$12+'Исходные данные'!$E$13+'Исходные данные'!$E$14+'Исходные данные'!$E$15+'Исходные данные'!$E$16))+'Обобщенный расчет'!$E$37*'Обобщенный расчет'!$D$37*'Детальный расчет'!AP7*'Детальный расчет'!AP8)+('Обобщенный расчет'!$H$31+'Обобщенный расчет'!$H$32+'Обобщенный расчет'!$H$33+'Обобщенный расчет'!$H$35+'Обобщенный расчет'!$H$37)*AP24</f>
        <v>102168</v>
      </c>
      <c r="AQ61" s="89">
        <f>AQ9*('Обобщенный расчет'!$D$31*'Обобщенный расчет'!$E$31*'Обобщенный расчет'!$G$31+'Обобщенный расчет'!$D$32*'Обобщенный расчет'!$E$32*'Обобщенный расчет'!$G$32+'Обобщенный расчет'!$D$33*'Обобщенный расчет'!$E$33*'Обобщенный расчет'!$G$33+'Обобщенный расчет'!$E$35*(AQ7*AQ8*('Исходные данные'!$E$11+'Исходные данные'!$E$12+'Исходные данные'!$E$13+'Исходные данные'!$E$14+'Исходные данные'!$E$15+'Исходные данные'!$E$16))+'Обобщенный расчет'!$E$37*'Обобщенный расчет'!$D$37*'Детальный расчет'!AQ7*'Детальный расчет'!AQ8)+('Обобщенный расчет'!$H$31+'Обобщенный расчет'!$H$32+'Обобщенный расчет'!$H$33+'Обобщенный расчет'!$H$35+'Обобщенный расчет'!$H$37)*AQ24</f>
        <v>102168</v>
      </c>
      <c r="AR61" s="90">
        <f t="shared" ref="AR61:AR67" si="109">SUM(AF61:AQ61)</f>
        <v>1188432</v>
      </c>
      <c r="AS61" s="90">
        <f t="shared" ref="AS61:AS67" si="110">AR61/12</f>
        <v>99036</v>
      </c>
      <c r="AT61" s="85">
        <f t="shared" ref="AT61:AT67" si="111">P61+AD61+AR61</f>
        <v>3292185.6</v>
      </c>
      <c r="AU61" s="91"/>
    </row>
    <row r="62" spans="1:50" s="87" customFormat="1" ht="10.5" x14ac:dyDescent="0.35">
      <c r="A62" s="105" t="str">
        <f>'Обобщенный расчет'!B43</f>
        <v>Роялті</v>
      </c>
      <c r="B62" s="82" t="str">
        <f>CHOOSE('Исходные данные'!$O$2,'Исходные данные'!$P$2,'Исходные данные'!$P$3,'Исходные данные'!$P$4,'Исходные данные'!$P$5)</f>
        <v>UAH</v>
      </c>
      <c r="C62" s="83"/>
      <c r="D62" s="83">
        <f>IF(D3&gt;='Исходные данные'!$D$68,'Исходные данные'!$H$68,0)</f>
        <v>0</v>
      </c>
      <c r="E62" s="83">
        <f>IF(E3&gt;='Исходные данные'!$D$68,'Исходные данные'!$H$68,0)</f>
        <v>0</v>
      </c>
      <c r="F62" s="83">
        <f>IF(F3&gt;='Исходные данные'!$D$68,'Исходные данные'!$H$68,0)</f>
        <v>5000</v>
      </c>
      <c r="G62" s="83">
        <f>IF(G3&gt;='Исходные данные'!$D$68,'Исходные данные'!$H$68,0)</f>
        <v>5000</v>
      </c>
      <c r="H62" s="83">
        <f>IF(H3&gt;='Исходные данные'!$D$68,'Исходные данные'!$H$68,0)</f>
        <v>5000</v>
      </c>
      <c r="I62" s="83">
        <f>IF(I3&gt;='Исходные данные'!$D$68,'Исходные данные'!$H$68,0)</f>
        <v>5000</v>
      </c>
      <c r="J62" s="83">
        <f>IF(J3&gt;='Исходные данные'!$D$68,'Исходные данные'!$H$68,0)</f>
        <v>5000</v>
      </c>
      <c r="K62" s="83">
        <f>IF(K3&gt;='Исходные данные'!$D$68,'Исходные данные'!$H$68,0)</f>
        <v>5000</v>
      </c>
      <c r="L62" s="83">
        <f>IF(L3&gt;='Исходные данные'!$D$68,'Исходные данные'!$H$68,0)</f>
        <v>5000</v>
      </c>
      <c r="M62" s="83">
        <f>IF(M3&gt;='Исходные данные'!$D$68,'Исходные данные'!$H$68,0)</f>
        <v>5000</v>
      </c>
      <c r="N62" s="83">
        <f>IF(N3&gt;='Исходные данные'!$D$68,'Исходные данные'!$H$68,0)</f>
        <v>5000</v>
      </c>
      <c r="O62" s="83">
        <f>IF(O3&gt;='Исходные данные'!$D$68,'Исходные данные'!$H$68,0)</f>
        <v>5000</v>
      </c>
      <c r="P62" s="84">
        <f t="shared" ref="P62:P77" si="112">SUM(D62:O62)</f>
        <v>50000</v>
      </c>
      <c r="Q62" s="84">
        <f t="shared" ref="Q62:Q77" si="113">P62/12</f>
        <v>4166.666666666667</v>
      </c>
      <c r="R62" s="83">
        <f>IF(R3&gt;='Исходные данные'!$D$68,'Исходные данные'!$H$68,0)</f>
        <v>5000</v>
      </c>
      <c r="S62" s="83">
        <f>IF(S3&gt;='Исходные данные'!$D$68,'Исходные данные'!$H$68,0)</f>
        <v>5000</v>
      </c>
      <c r="T62" s="83">
        <f>IF(T3&gt;='Исходные данные'!$D$68,'Исходные данные'!$H$68,0)</f>
        <v>5000</v>
      </c>
      <c r="U62" s="83">
        <f>IF(U3&gt;='Исходные данные'!$D$68,'Исходные данные'!$H$68,0)</f>
        <v>5000</v>
      </c>
      <c r="V62" s="83">
        <f>IF(V3&gt;='Исходные данные'!$D$68,'Исходные данные'!$H$68,0)</f>
        <v>5000</v>
      </c>
      <c r="W62" s="83">
        <f>IF(W3&gt;='Исходные данные'!$D$68,'Исходные данные'!$H$68,0)</f>
        <v>5000</v>
      </c>
      <c r="X62" s="83">
        <f>IF(X3&gt;='Исходные данные'!$D$68,'Исходные данные'!$H$68,0)</f>
        <v>5000</v>
      </c>
      <c r="Y62" s="83">
        <f>IF(Y3&gt;='Исходные данные'!$D$68,'Исходные данные'!$H$68,0)</f>
        <v>5000</v>
      </c>
      <c r="Z62" s="83">
        <f>IF(Z3&gt;='Исходные данные'!$D$68,'Исходные данные'!$H$68,0)</f>
        <v>5000</v>
      </c>
      <c r="AA62" s="83">
        <f>IF(AA3&gt;='Исходные данные'!$D$68,'Исходные данные'!$H$68,0)</f>
        <v>5000</v>
      </c>
      <c r="AB62" s="83">
        <f>IF(AB3&gt;='Исходные данные'!$D$68,'Исходные данные'!$H$68,0)</f>
        <v>5000</v>
      </c>
      <c r="AC62" s="83">
        <f>IF(AC3&gt;='Исходные данные'!$D$68,'Исходные данные'!$H$68,0)</f>
        <v>5000</v>
      </c>
      <c r="AD62" s="84">
        <f t="shared" si="107"/>
        <v>60000</v>
      </c>
      <c r="AE62" s="84">
        <f t="shared" si="108"/>
        <v>5000</v>
      </c>
      <c r="AF62" s="83">
        <f>IF(AF3&gt;='Исходные данные'!$D$68,'Исходные данные'!$H$68,0)</f>
        <v>5000</v>
      </c>
      <c r="AG62" s="83">
        <f>IF(AG3&gt;='Исходные данные'!$D$68,'Исходные данные'!$H$68,0)</f>
        <v>5000</v>
      </c>
      <c r="AH62" s="83">
        <f>IF(AH3&gt;='Исходные данные'!$D$68,'Исходные данные'!$H$68,0)</f>
        <v>5000</v>
      </c>
      <c r="AI62" s="83">
        <f>IF(AI3&gt;='Исходные данные'!$D$68,'Исходные данные'!$H$68,0)</f>
        <v>5000</v>
      </c>
      <c r="AJ62" s="83">
        <f>IF(AJ3&gt;='Исходные данные'!$D$68,'Исходные данные'!$H$68,0)</f>
        <v>5000</v>
      </c>
      <c r="AK62" s="83">
        <f>IF(AK3&gt;='Исходные данные'!$D$68,'Исходные данные'!$H$68,0)</f>
        <v>5000</v>
      </c>
      <c r="AL62" s="83">
        <f>IF(AL3&gt;='Исходные данные'!$D$68,'Исходные данные'!$H$68,0)</f>
        <v>5000</v>
      </c>
      <c r="AM62" s="83">
        <f>IF(AM3&gt;='Исходные данные'!$D$68,'Исходные данные'!$H$68,0)</f>
        <v>5000</v>
      </c>
      <c r="AN62" s="83">
        <f>IF(AN3&gt;='Исходные данные'!$D$68,'Исходные данные'!$H$68,0)</f>
        <v>5000</v>
      </c>
      <c r="AO62" s="83">
        <f>IF(AO3&gt;='Исходные данные'!$D$68,'Исходные данные'!$H$68,0)</f>
        <v>5000</v>
      </c>
      <c r="AP62" s="83">
        <f>IF(AP3&gt;='Исходные данные'!$D$68,'Исходные данные'!$H$68,0)</f>
        <v>5000</v>
      </c>
      <c r="AQ62" s="83">
        <f>IF(AQ3&gt;='Исходные данные'!$D$68,'Исходные данные'!$H$68,0)</f>
        <v>5000</v>
      </c>
      <c r="AR62" s="84">
        <f t="shared" si="109"/>
        <v>60000</v>
      </c>
      <c r="AS62" s="84">
        <f t="shared" si="110"/>
        <v>5000</v>
      </c>
      <c r="AT62" s="85">
        <f t="shared" si="111"/>
        <v>170000</v>
      </c>
      <c r="AU62" s="86"/>
    </row>
    <row r="63" spans="1:50" s="92" customFormat="1" ht="10.5" x14ac:dyDescent="0.35">
      <c r="A63" s="104" t="str">
        <f>'Обобщенный расчет'!B44</f>
        <v>Оренда</v>
      </c>
      <c r="B63" s="88" t="str">
        <f>CHOOSE('Исходные данные'!$O$2,'Исходные данные'!$P$2,'Исходные данные'!$P$3,'Исходные данные'!$P$4,'Исходные данные'!$P$5)</f>
        <v>UAH</v>
      </c>
      <c r="C63" s="89"/>
      <c r="D63" s="89">
        <f>'Исходные данные'!$H69*D10</f>
        <v>0</v>
      </c>
      <c r="E63" s="89">
        <f>'Исходные данные'!$H69*E10</f>
        <v>0</v>
      </c>
      <c r="F63" s="89">
        <f>'Исходные данные'!$H69*F10</f>
        <v>0</v>
      </c>
      <c r="G63" s="89">
        <f>'Исходные данные'!$H69*G10</f>
        <v>0</v>
      </c>
      <c r="H63" s="89">
        <f>'Исходные данные'!$H69*H10</f>
        <v>0</v>
      </c>
      <c r="I63" s="89">
        <f>'Исходные данные'!$H69*I10</f>
        <v>0</v>
      </c>
      <c r="J63" s="89">
        <f>'Исходные данные'!$H69*J10</f>
        <v>0</v>
      </c>
      <c r="K63" s="89">
        <f>'Исходные данные'!$H69*K10</f>
        <v>0</v>
      </c>
      <c r="L63" s="89">
        <f>'Исходные данные'!$H69*L10</f>
        <v>0</v>
      </c>
      <c r="M63" s="89">
        <f>'Исходные данные'!$H69*M10</f>
        <v>0</v>
      </c>
      <c r="N63" s="89">
        <f>'Исходные данные'!$H69*N10</f>
        <v>0</v>
      </c>
      <c r="O63" s="89">
        <f>'Исходные данные'!$H69*O10</f>
        <v>0</v>
      </c>
      <c r="P63" s="90">
        <f t="shared" si="112"/>
        <v>0</v>
      </c>
      <c r="Q63" s="90">
        <f t="shared" si="113"/>
        <v>0</v>
      </c>
      <c r="R63" s="89">
        <f>'Исходные данные'!$H69*R10</f>
        <v>0</v>
      </c>
      <c r="S63" s="89">
        <f>'Исходные данные'!$H69*S10</f>
        <v>0</v>
      </c>
      <c r="T63" s="89">
        <f>'Исходные данные'!$H69*T10</f>
        <v>0</v>
      </c>
      <c r="U63" s="89">
        <f>'Исходные данные'!$H69*U10</f>
        <v>0</v>
      </c>
      <c r="V63" s="89">
        <f>'Исходные данные'!$H69*V10</f>
        <v>0</v>
      </c>
      <c r="W63" s="89">
        <f>'Исходные данные'!$H69*W10</f>
        <v>0</v>
      </c>
      <c r="X63" s="89">
        <f>'Исходные данные'!$H69*X10</f>
        <v>0</v>
      </c>
      <c r="Y63" s="89">
        <f>'Исходные данные'!$H69*Y10</f>
        <v>0</v>
      </c>
      <c r="Z63" s="89">
        <f>'Исходные данные'!$H69*Z10</f>
        <v>0</v>
      </c>
      <c r="AA63" s="89">
        <f>'Исходные данные'!$H69*AA10</f>
        <v>0</v>
      </c>
      <c r="AB63" s="89">
        <f>'Исходные данные'!$H69*AB10</f>
        <v>0</v>
      </c>
      <c r="AC63" s="89">
        <f>'Исходные данные'!$H69*AC10</f>
        <v>0</v>
      </c>
      <c r="AD63" s="90">
        <f t="shared" si="107"/>
        <v>0</v>
      </c>
      <c r="AE63" s="90">
        <f t="shared" si="108"/>
        <v>0</v>
      </c>
      <c r="AF63" s="89">
        <f>'Исходные данные'!$H69*AF10</f>
        <v>0</v>
      </c>
      <c r="AG63" s="89">
        <f>'Исходные данные'!$H69*AG10</f>
        <v>0</v>
      </c>
      <c r="AH63" s="89">
        <f>'Исходные данные'!$H69*AH10</f>
        <v>0</v>
      </c>
      <c r="AI63" s="89">
        <f>'Исходные данные'!$H69*AI10</f>
        <v>0</v>
      </c>
      <c r="AJ63" s="89">
        <f>'Исходные данные'!$H69*AJ10</f>
        <v>0</v>
      </c>
      <c r="AK63" s="89">
        <f>'Исходные данные'!$H69*AK10</f>
        <v>0</v>
      </c>
      <c r="AL63" s="89">
        <f>'Исходные данные'!$H69*AL10</f>
        <v>0</v>
      </c>
      <c r="AM63" s="89">
        <f>'Исходные данные'!$H69*AM10</f>
        <v>0</v>
      </c>
      <c r="AN63" s="89">
        <f>'Исходные данные'!$H69*AN10</f>
        <v>0</v>
      </c>
      <c r="AO63" s="89">
        <f>'Исходные данные'!$H69*AO10</f>
        <v>0</v>
      </c>
      <c r="AP63" s="89">
        <f>'Исходные данные'!$H69*AP10</f>
        <v>0</v>
      </c>
      <c r="AQ63" s="89">
        <f>'Исходные данные'!$H69*AQ10</f>
        <v>0</v>
      </c>
      <c r="AR63" s="90">
        <f t="shared" si="109"/>
        <v>0</v>
      </c>
      <c r="AS63" s="90">
        <f t="shared" si="110"/>
        <v>0</v>
      </c>
      <c r="AT63" s="85">
        <f t="shared" si="111"/>
        <v>0</v>
      </c>
      <c r="AU63" s="91"/>
    </row>
    <row r="64" spans="1:50" s="87" customFormat="1" ht="10.5" x14ac:dyDescent="0.35">
      <c r="A64" s="105" t="str">
        <f>'Обобщенный расчет'!B45</f>
        <v>Комунальні платежі</v>
      </c>
      <c r="B64" s="82" t="str">
        <f>CHOOSE('Исходные данные'!$O$2,'Исходные данные'!$P$2,'Исходные данные'!$P$3,'Исходные данные'!$P$4,'Исходные данные'!$P$5)</f>
        <v>UAH</v>
      </c>
      <c r="C64" s="83"/>
      <c r="D64" s="83">
        <f>'Исходные данные'!$H70*D11</f>
        <v>0</v>
      </c>
      <c r="E64" s="83">
        <f>'Исходные данные'!$H70*E11</f>
        <v>0</v>
      </c>
      <c r="F64" s="83">
        <f>'Исходные данные'!$H70*F11</f>
        <v>0</v>
      </c>
      <c r="G64" s="83">
        <f>'Исходные данные'!$H70*G11</f>
        <v>0</v>
      </c>
      <c r="H64" s="83">
        <f>'Исходные данные'!$H70*H11</f>
        <v>0</v>
      </c>
      <c r="I64" s="83">
        <f>'Исходные данные'!$H70*I11</f>
        <v>0</v>
      </c>
      <c r="J64" s="83">
        <f>'Исходные данные'!$H70*J11</f>
        <v>0</v>
      </c>
      <c r="K64" s="83">
        <f>'Исходные данные'!$H70*K11</f>
        <v>0</v>
      </c>
      <c r="L64" s="83">
        <f>'Исходные данные'!$H70*L11</f>
        <v>0</v>
      </c>
      <c r="M64" s="83">
        <f>'Исходные данные'!$H70*M11</f>
        <v>0</v>
      </c>
      <c r="N64" s="83">
        <f>'Исходные данные'!$H70*N11</f>
        <v>0</v>
      </c>
      <c r="O64" s="83">
        <f>'Исходные данные'!$H70*O11</f>
        <v>0</v>
      </c>
      <c r="P64" s="84">
        <f t="shared" si="112"/>
        <v>0</v>
      </c>
      <c r="Q64" s="84">
        <f t="shared" si="113"/>
        <v>0</v>
      </c>
      <c r="R64" s="83">
        <f>'Исходные данные'!$H70*R11</f>
        <v>0</v>
      </c>
      <c r="S64" s="83">
        <f>'Исходные данные'!$H70*S11</f>
        <v>0</v>
      </c>
      <c r="T64" s="83">
        <f>'Исходные данные'!$H70*T11</f>
        <v>0</v>
      </c>
      <c r="U64" s="83">
        <f>'Исходные данные'!$H70*U11</f>
        <v>0</v>
      </c>
      <c r="V64" s="83">
        <f>'Исходные данные'!$H70*V11</f>
        <v>0</v>
      </c>
      <c r="W64" s="83">
        <f>'Исходные данные'!$H70*W11</f>
        <v>0</v>
      </c>
      <c r="X64" s="83">
        <f>'Исходные данные'!$H70*X11</f>
        <v>0</v>
      </c>
      <c r="Y64" s="83">
        <f>'Исходные данные'!$H70*Y11</f>
        <v>0</v>
      </c>
      <c r="Z64" s="83">
        <f>'Исходные данные'!$H70*Z11</f>
        <v>0</v>
      </c>
      <c r="AA64" s="83">
        <f>'Исходные данные'!$H70*AA11</f>
        <v>0</v>
      </c>
      <c r="AB64" s="83">
        <f>'Исходные данные'!$H70*AB11</f>
        <v>0</v>
      </c>
      <c r="AC64" s="83">
        <f>'Исходные данные'!$H70*AC11</f>
        <v>0</v>
      </c>
      <c r="AD64" s="84">
        <f t="shared" si="107"/>
        <v>0</v>
      </c>
      <c r="AE64" s="84">
        <f t="shared" si="108"/>
        <v>0</v>
      </c>
      <c r="AF64" s="83">
        <f>'Исходные данные'!$H70*AF11</f>
        <v>0</v>
      </c>
      <c r="AG64" s="83">
        <f>'Исходные данные'!$H70*AG11</f>
        <v>0</v>
      </c>
      <c r="AH64" s="83">
        <f>'Исходные данные'!$H70*AH11</f>
        <v>0</v>
      </c>
      <c r="AI64" s="83">
        <f>'Исходные данные'!$H70*AI11</f>
        <v>0</v>
      </c>
      <c r="AJ64" s="83">
        <f>'Исходные данные'!$H70*AJ11</f>
        <v>0</v>
      </c>
      <c r="AK64" s="83">
        <f>'Исходные данные'!$H70*AK11</f>
        <v>0</v>
      </c>
      <c r="AL64" s="83">
        <f>'Исходные данные'!$H70*AL11</f>
        <v>0</v>
      </c>
      <c r="AM64" s="83">
        <f>'Исходные данные'!$H70*AM11</f>
        <v>0</v>
      </c>
      <c r="AN64" s="83">
        <f>'Исходные данные'!$H70*AN11</f>
        <v>0</v>
      </c>
      <c r="AO64" s="83">
        <f>'Исходные данные'!$H70*AO11</f>
        <v>0</v>
      </c>
      <c r="AP64" s="83">
        <f>'Исходные данные'!$H70*AP11</f>
        <v>0</v>
      </c>
      <c r="AQ64" s="83">
        <f>'Исходные данные'!$H70*AQ11</f>
        <v>0</v>
      </c>
      <c r="AR64" s="84">
        <f t="shared" si="109"/>
        <v>0</v>
      </c>
      <c r="AS64" s="84">
        <f t="shared" si="110"/>
        <v>0</v>
      </c>
      <c r="AT64" s="85">
        <f t="shared" si="111"/>
        <v>0</v>
      </c>
      <c r="AU64" s="86"/>
    </row>
    <row r="65" spans="1:50" s="92" customFormat="1" ht="10.5" x14ac:dyDescent="0.35">
      <c r="A65" s="104" t="str">
        <f>'Обобщенный расчет'!B46</f>
        <v>Господарські потреби</v>
      </c>
      <c r="B65" s="88" t="str">
        <f>CHOOSE('Исходные данные'!$O$2,'Исходные данные'!$P$2,'Исходные данные'!$P$3,'Исходные данные'!$P$4,'Исходные данные'!$P$5)</f>
        <v>UAH</v>
      </c>
      <c r="C65" s="89"/>
      <c r="D65" s="89">
        <f>'Исходные данные'!$H71</f>
        <v>0</v>
      </c>
      <c r="E65" s="89">
        <f>'Исходные данные'!$H71</f>
        <v>0</v>
      </c>
      <c r="F65" s="89">
        <f>'Исходные данные'!$H71</f>
        <v>0</v>
      </c>
      <c r="G65" s="89">
        <f>'Исходные данные'!$H71</f>
        <v>0</v>
      </c>
      <c r="H65" s="89">
        <f>'Исходные данные'!$H71</f>
        <v>0</v>
      </c>
      <c r="I65" s="89">
        <f>'Исходные данные'!$H71</f>
        <v>0</v>
      </c>
      <c r="J65" s="89">
        <f>'Исходные данные'!$H71</f>
        <v>0</v>
      </c>
      <c r="K65" s="89">
        <f>'Исходные данные'!$H71</f>
        <v>0</v>
      </c>
      <c r="L65" s="89">
        <f>'Исходные данные'!$H71</f>
        <v>0</v>
      </c>
      <c r="M65" s="89">
        <f>'Исходные данные'!$H71</f>
        <v>0</v>
      </c>
      <c r="N65" s="89">
        <f>'Исходные данные'!$H71</f>
        <v>0</v>
      </c>
      <c r="O65" s="89">
        <f>'Исходные данные'!$H71</f>
        <v>0</v>
      </c>
      <c r="P65" s="90">
        <f t="shared" si="112"/>
        <v>0</v>
      </c>
      <c r="Q65" s="90">
        <f t="shared" si="113"/>
        <v>0</v>
      </c>
      <c r="R65" s="89">
        <f>'Исходные данные'!$H71</f>
        <v>0</v>
      </c>
      <c r="S65" s="89">
        <f>'Исходные данные'!$H71</f>
        <v>0</v>
      </c>
      <c r="T65" s="89">
        <f>'Исходные данные'!$H71</f>
        <v>0</v>
      </c>
      <c r="U65" s="89">
        <f>'Исходные данные'!$H71</f>
        <v>0</v>
      </c>
      <c r="V65" s="89">
        <f>'Исходные данные'!$H71</f>
        <v>0</v>
      </c>
      <c r="W65" s="89">
        <f>'Исходные данные'!$H71</f>
        <v>0</v>
      </c>
      <c r="X65" s="89">
        <f>'Исходные данные'!$H71</f>
        <v>0</v>
      </c>
      <c r="Y65" s="89">
        <f>'Исходные данные'!$H71</f>
        <v>0</v>
      </c>
      <c r="Z65" s="89">
        <f>'Исходные данные'!$H71</f>
        <v>0</v>
      </c>
      <c r="AA65" s="89">
        <f>'Исходные данные'!$H71</f>
        <v>0</v>
      </c>
      <c r="AB65" s="89">
        <f>'Исходные данные'!$H71</f>
        <v>0</v>
      </c>
      <c r="AC65" s="89">
        <f>'Исходные данные'!$H71</f>
        <v>0</v>
      </c>
      <c r="AD65" s="90">
        <f t="shared" si="107"/>
        <v>0</v>
      </c>
      <c r="AE65" s="90">
        <f t="shared" si="108"/>
        <v>0</v>
      </c>
      <c r="AF65" s="89">
        <f>'Исходные данные'!$H71</f>
        <v>0</v>
      </c>
      <c r="AG65" s="89">
        <f>'Исходные данные'!$H71</f>
        <v>0</v>
      </c>
      <c r="AH65" s="89">
        <f>'Исходные данные'!$H71</f>
        <v>0</v>
      </c>
      <c r="AI65" s="89">
        <f>'Исходные данные'!$H71</f>
        <v>0</v>
      </c>
      <c r="AJ65" s="89">
        <f>'Исходные данные'!$H71</f>
        <v>0</v>
      </c>
      <c r="AK65" s="89">
        <f>'Исходные данные'!$H71</f>
        <v>0</v>
      </c>
      <c r="AL65" s="89">
        <f>'Исходные данные'!$H71</f>
        <v>0</v>
      </c>
      <c r="AM65" s="89">
        <f>'Исходные данные'!$H71</f>
        <v>0</v>
      </c>
      <c r="AN65" s="89">
        <f>'Исходные данные'!$H71</f>
        <v>0</v>
      </c>
      <c r="AO65" s="89">
        <f>'Исходные данные'!$H71</f>
        <v>0</v>
      </c>
      <c r="AP65" s="89">
        <f>'Исходные данные'!$H71</f>
        <v>0</v>
      </c>
      <c r="AQ65" s="89">
        <f>'Исходные данные'!$H71</f>
        <v>0</v>
      </c>
      <c r="AR65" s="90">
        <f t="shared" si="109"/>
        <v>0</v>
      </c>
      <c r="AS65" s="90">
        <f t="shared" si="110"/>
        <v>0</v>
      </c>
      <c r="AT65" s="85">
        <f t="shared" si="111"/>
        <v>0</v>
      </c>
      <c r="AU65" s="91"/>
    </row>
    <row r="66" spans="1:50" s="87" customFormat="1" ht="10.5" x14ac:dyDescent="0.35">
      <c r="A66" s="105" t="str">
        <f>'Обобщенный расчет'!B47</f>
        <v>Сервисное обслуживание техники и оборудования</v>
      </c>
      <c r="B66" s="82" t="str">
        <f>CHOOSE('Исходные данные'!$O$2,'Исходные данные'!$P$2,'Исходные данные'!$P$3,'Исходные данные'!$P$4,'Исходные данные'!$P$5)</f>
        <v>UAH</v>
      </c>
      <c r="C66" s="83"/>
      <c r="D66" s="83">
        <v>0</v>
      </c>
      <c r="E66" s="83">
        <v>0</v>
      </c>
      <c r="F66" s="83">
        <v>0</v>
      </c>
      <c r="G66" s="83">
        <v>0</v>
      </c>
      <c r="H66" s="83">
        <v>0</v>
      </c>
      <c r="I66" s="83">
        <f>'Исходные данные'!$H$72</f>
        <v>2500</v>
      </c>
      <c r="J66" s="83">
        <v>0</v>
      </c>
      <c r="K66" s="83">
        <v>0</v>
      </c>
      <c r="L66" s="83">
        <v>0</v>
      </c>
      <c r="M66" s="83">
        <v>0</v>
      </c>
      <c r="N66" s="83">
        <v>0</v>
      </c>
      <c r="O66" s="83">
        <f>'Исходные данные'!$H$72</f>
        <v>2500</v>
      </c>
      <c r="P66" s="84">
        <f t="shared" ref="P66" si="114">SUM(D66:O66)</f>
        <v>5000</v>
      </c>
      <c r="Q66" s="84">
        <f t="shared" ref="Q66" si="115">P66/12</f>
        <v>416.66666666666669</v>
      </c>
      <c r="R66" s="83">
        <v>0</v>
      </c>
      <c r="S66" s="83">
        <v>0</v>
      </c>
      <c r="T66" s="83">
        <v>0</v>
      </c>
      <c r="U66" s="83">
        <v>0</v>
      </c>
      <c r="V66" s="83">
        <v>0</v>
      </c>
      <c r="W66" s="83">
        <f>'Исходные данные'!$H$72</f>
        <v>2500</v>
      </c>
      <c r="X66" s="83">
        <v>0</v>
      </c>
      <c r="Y66" s="83">
        <v>0</v>
      </c>
      <c r="Z66" s="83">
        <v>0</v>
      </c>
      <c r="AA66" s="83">
        <v>0</v>
      </c>
      <c r="AB66" s="83">
        <v>0</v>
      </c>
      <c r="AC66" s="83">
        <f>'Исходные данные'!$H$72</f>
        <v>2500</v>
      </c>
      <c r="AD66" s="84">
        <f t="shared" ref="AD66" si="116">SUM(R66:AC66)</f>
        <v>5000</v>
      </c>
      <c r="AE66" s="84">
        <f t="shared" ref="AE66" si="117">AD66/12</f>
        <v>416.66666666666669</v>
      </c>
      <c r="AF66" s="83">
        <v>0</v>
      </c>
      <c r="AG66" s="83">
        <v>0</v>
      </c>
      <c r="AH66" s="83">
        <v>0</v>
      </c>
      <c r="AI66" s="83">
        <v>0</v>
      </c>
      <c r="AJ66" s="83">
        <v>0</v>
      </c>
      <c r="AK66" s="83">
        <f>'Исходные данные'!$H$72</f>
        <v>2500</v>
      </c>
      <c r="AL66" s="83">
        <v>0</v>
      </c>
      <c r="AM66" s="83">
        <v>0</v>
      </c>
      <c r="AN66" s="83">
        <v>0</v>
      </c>
      <c r="AO66" s="83">
        <v>0</v>
      </c>
      <c r="AP66" s="83">
        <v>0</v>
      </c>
      <c r="AQ66" s="83">
        <f>'Исходные данные'!$H$72</f>
        <v>2500</v>
      </c>
      <c r="AR66" s="84">
        <f t="shared" ref="AR66" si="118">SUM(AF66:AQ66)</f>
        <v>5000</v>
      </c>
      <c r="AS66" s="84">
        <f t="shared" ref="AS66" si="119">AR66/12</f>
        <v>416.66666666666669</v>
      </c>
      <c r="AT66" s="85">
        <f t="shared" ref="AT66" si="120">P66+AD66+AR66</f>
        <v>15000</v>
      </c>
      <c r="AU66" s="86"/>
    </row>
    <row r="67" spans="1:50" s="92" customFormat="1" ht="10.5" x14ac:dyDescent="0.35">
      <c r="A67" s="104" t="str">
        <f>'Обобщенный расчет'!B48</f>
        <v>Списання</v>
      </c>
      <c r="B67" s="88" t="str">
        <f>CHOOSE('Исходные данные'!$O$2,'Исходные данные'!$P$2,'Исходные данные'!$P$3,'Исходные данные'!$P$4,'Исходные данные'!$P$5)</f>
        <v>UAH</v>
      </c>
      <c r="C67" s="89"/>
      <c r="D67" s="89">
        <f>D$24*'Исходные данные'!$D73</f>
        <v>429.12450000000001</v>
      </c>
      <c r="E67" s="89">
        <f>E$24*'Исходные данные'!$D73</f>
        <v>715.20749999999998</v>
      </c>
      <c r="F67" s="89">
        <f>F$24*'Исходные данные'!$D73</f>
        <v>939.98699999999997</v>
      </c>
      <c r="G67" s="89">
        <f>G$24*'Исходные данные'!$D73</f>
        <v>919.55250000000001</v>
      </c>
      <c r="H67" s="89">
        <f>H$24*'Исходные данные'!$D73</f>
        <v>1021.725</v>
      </c>
      <c r="I67" s="89">
        <f>I$24*'Исходные данные'!$D73</f>
        <v>817.38</v>
      </c>
      <c r="J67" s="89">
        <f>J$24*'Исходные данные'!$D73</f>
        <v>919.55250000000001</v>
      </c>
      <c r="K67" s="89">
        <f>K$24*'Исходные данные'!$D73</f>
        <v>970.63875000000007</v>
      </c>
      <c r="L67" s="89">
        <f>L$24*'Исходные данные'!$D73</f>
        <v>1021.725</v>
      </c>
      <c r="M67" s="89">
        <f>M$24*'Исходные данные'!$D73</f>
        <v>1021.725</v>
      </c>
      <c r="N67" s="89">
        <f>N$24*'Исходные данные'!$D73</f>
        <v>1021.725</v>
      </c>
      <c r="O67" s="89">
        <f>O$24*'Исходные данные'!$D73</f>
        <v>1021.725</v>
      </c>
      <c r="P67" s="90">
        <f t="shared" si="112"/>
        <v>10820.06775</v>
      </c>
      <c r="Q67" s="90">
        <f t="shared" si="113"/>
        <v>901.67231249999998</v>
      </c>
      <c r="R67" s="89">
        <f>R$24*'Исходные данные'!$D73</f>
        <v>786.72825</v>
      </c>
      <c r="S67" s="89">
        <f>S$24*'Исходные данные'!$D73</f>
        <v>1123.8975</v>
      </c>
      <c r="T67" s="89">
        <f>T$24*'Исходные данные'!$D73</f>
        <v>1292.4821249999998</v>
      </c>
      <c r="U67" s="89">
        <f>U$24*'Исходные данные'!$D73</f>
        <v>1123.8975</v>
      </c>
      <c r="V67" s="89">
        <f>V$24*'Исходные данные'!$D73</f>
        <v>1123.8975</v>
      </c>
      <c r="W67" s="89">
        <f>W$24*'Исходные данные'!$D73</f>
        <v>899.11800000000017</v>
      </c>
      <c r="X67" s="89">
        <f>X$24*'Исходные данные'!$D73</f>
        <v>1011.50775</v>
      </c>
      <c r="Y67" s="89">
        <f>Y$24*'Исходные данные'!$D73</f>
        <v>1067.7026250000001</v>
      </c>
      <c r="Z67" s="89">
        <f>Z$24*'Исходные данные'!$D73</f>
        <v>1123.8975</v>
      </c>
      <c r="AA67" s="89">
        <f>AA$24*'Исходные данные'!$D73</f>
        <v>1123.8975</v>
      </c>
      <c r="AB67" s="89">
        <f>AB$24*'Исходные данные'!$D73</f>
        <v>1123.8975</v>
      </c>
      <c r="AC67" s="89">
        <f>AC$24*'Исходные данные'!$D73</f>
        <v>1123.8975</v>
      </c>
      <c r="AD67" s="90">
        <f t="shared" si="107"/>
        <v>12924.821249999997</v>
      </c>
      <c r="AE67" s="90">
        <f t="shared" si="108"/>
        <v>1077.0684374999998</v>
      </c>
      <c r="AF67" s="89">
        <f>AF$24*'Исходные данные'!$D73</f>
        <v>858.24900000000002</v>
      </c>
      <c r="AG67" s="89">
        <f>AG$24*'Исходные данные'!$D73</f>
        <v>1226.07</v>
      </c>
      <c r="AH67" s="89">
        <f>AH$24*'Исходные данные'!$D73</f>
        <v>1409.9805000000001</v>
      </c>
      <c r="AI67" s="89">
        <f>AI$24*'Исходные данные'!$D73</f>
        <v>1226.07</v>
      </c>
      <c r="AJ67" s="89">
        <f>AJ$24*'Исходные данные'!$D73</f>
        <v>1226.07</v>
      </c>
      <c r="AK67" s="89">
        <f>AK$24*'Исходные данные'!$D73</f>
        <v>980.85599999999999</v>
      </c>
      <c r="AL67" s="89">
        <f>AL$24*'Исходные данные'!$D73</f>
        <v>1103.463</v>
      </c>
      <c r="AM67" s="89">
        <f>AM$24*'Исходные данные'!$D73</f>
        <v>1164.7665</v>
      </c>
      <c r="AN67" s="89">
        <f>AN$24*'Исходные данные'!$D73</f>
        <v>1226.07</v>
      </c>
      <c r="AO67" s="89">
        <f>AO$24*'Исходные данные'!$D73</f>
        <v>1226.07</v>
      </c>
      <c r="AP67" s="89">
        <f>AP$24*'Исходные данные'!$D73</f>
        <v>1226.07</v>
      </c>
      <c r="AQ67" s="89">
        <f>AQ$24*'Исходные данные'!$D73</f>
        <v>1226.07</v>
      </c>
      <c r="AR67" s="90">
        <f t="shared" si="109"/>
        <v>14099.804999999998</v>
      </c>
      <c r="AS67" s="90">
        <f t="shared" si="110"/>
        <v>1174.9837499999999</v>
      </c>
      <c r="AT67" s="85">
        <f t="shared" si="111"/>
        <v>37844.693999999996</v>
      </c>
      <c r="AU67" s="91"/>
    </row>
    <row r="68" spans="1:50" s="87" customFormat="1" ht="10.5" x14ac:dyDescent="0.35">
      <c r="A68" s="105" t="str">
        <f>'Обобщенный расчет'!B49</f>
        <v>Харчування співробітників</v>
      </c>
      <c r="B68" s="82" t="str">
        <f>CHOOSE('Исходные данные'!$O$2,'Исходные данные'!$P$2,'Исходные данные'!$P$3,'Исходные данные'!$P$4,'Исходные данные'!$P$5)</f>
        <v>UAH</v>
      </c>
      <c r="C68" s="83"/>
      <c r="D68" s="83">
        <f>D$24*'Исходные данные'!$D74</f>
        <v>429.12450000000001</v>
      </c>
      <c r="E68" s="83">
        <f>E$24*'Исходные данные'!$D74</f>
        <v>715.20749999999998</v>
      </c>
      <c r="F68" s="83">
        <f>F$24*'Исходные данные'!$D74</f>
        <v>939.98699999999997</v>
      </c>
      <c r="G68" s="83">
        <f>G$24*'Исходные данные'!$D74</f>
        <v>919.55250000000001</v>
      </c>
      <c r="H68" s="83">
        <f>H$24*'Исходные данные'!$D74</f>
        <v>1021.725</v>
      </c>
      <c r="I68" s="83">
        <f>I$24*'Исходные данные'!$D74</f>
        <v>817.38</v>
      </c>
      <c r="J68" s="83">
        <f>J$24*'Исходные данные'!$D74</f>
        <v>919.55250000000001</v>
      </c>
      <c r="K68" s="83">
        <f>K$24*'Исходные данные'!$D74</f>
        <v>970.63875000000007</v>
      </c>
      <c r="L68" s="83">
        <f>L$24*'Исходные данные'!$D74</f>
        <v>1021.725</v>
      </c>
      <c r="M68" s="83">
        <f>M$24*'Исходные данные'!$D74</f>
        <v>1021.725</v>
      </c>
      <c r="N68" s="83">
        <f>N$24*'Исходные данные'!$D74</f>
        <v>1021.725</v>
      </c>
      <c r="O68" s="83">
        <f>O$24*'Исходные данные'!$D74</f>
        <v>1021.725</v>
      </c>
      <c r="P68" s="84">
        <f t="shared" ref="P68" si="121">SUM(D68:O68)</f>
        <v>10820.06775</v>
      </c>
      <c r="Q68" s="84">
        <f t="shared" ref="Q68" si="122">P68/12</f>
        <v>901.67231249999998</v>
      </c>
      <c r="R68" s="83">
        <f>R$24*'Исходные данные'!$D74</f>
        <v>786.72825</v>
      </c>
      <c r="S68" s="83">
        <f>S$24*'Исходные данные'!$D74</f>
        <v>1123.8975</v>
      </c>
      <c r="T68" s="83">
        <f>T$24*'Исходные данные'!$D74</f>
        <v>1292.4821249999998</v>
      </c>
      <c r="U68" s="83">
        <f>U$24*'Исходные данные'!$D74</f>
        <v>1123.8975</v>
      </c>
      <c r="V68" s="83">
        <f>V$24*'Исходные данные'!$D74</f>
        <v>1123.8975</v>
      </c>
      <c r="W68" s="83">
        <f>W$24*'Исходные данные'!$D74</f>
        <v>899.11800000000017</v>
      </c>
      <c r="X68" s="83">
        <f>X$24*'Исходные данные'!$D74</f>
        <v>1011.50775</v>
      </c>
      <c r="Y68" s="83">
        <f>Y$24*'Исходные данные'!$D74</f>
        <v>1067.7026250000001</v>
      </c>
      <c r="Z68" s="83">
        <f>Z$24*'Исходные данные'!$D74</f>
        <v>1123.8975</v>
      </c>
      <c r="AA68" s="83">
        <f>AA$24*'Исходные данные'!$D74</f>
        <v>1123.8975</v>
      </c>
      <c r="AB68" s="83">
        <f>AB$24*'Исходные данные'!$D74</f>
        <v>1123.8975</v>
      </c>
      <c r="AC68" s="83">
        <f>AC$24*'Исходные данные'!$D74</f>
        <v>1123.8975</v>
      </c>
      <c r="AD68" s="84">
        <f t="shared" ref="AD68" si="123">SUM(R68:AC68)</f>
        <v>12924.821249999997</v>
      </c>
      <c r="AE68" s="84">
        <f t="shared" ref="AE68" si="124">AD68/12</f>
        <v>1077.0684374999998</v>
      </c>
      <c r="AF68" s="83">
        <f>AF$24*'Исходные данные'!$D74</f>
        <v>858.24900000000002</v>
      </c>
      <c r="AG68" s="83">
        <f>AG$24*'Исходные данные'!$D74</f>
        <v>1226.07</v>
      </c>
      <c r="AH68" s="83">
        <f>AH$24*'Исходные данные'!$D74</f>
        <v>1409.9805000000001</v>
      </c>
      <c r="AI68" s="83">
        <f>AI$24*'Исходные данные'!$D74</f>
        <v>1226.07</v>
      </c>
      <c r="AJ68" s="83">
        <f>AJ$24*'Исходные данные'!$D74</f>
        <v>1226.07</v>
      </c>
      <c r="AK68" s="83">
        <f>AK$24*'Исходные данные'!$D74</f>
        <v>980.85599999999999</v>
      </c>
      <c r="AL68" s="83">
        <f>AL$24*'Исходные данные'!$D74</f>
        <v>1103.463</v>
      </c>
      <c r="AM68" s="83">
        <f>AM$24*'Исходные данные'!$D74</f>
        <v>1164.7665</v>
      </c>
      <c r="AN68" s="83">
        <f>AN$24*'Исходные данные'!$D74</f>
        <v>1226.07</v>
      </c>
      <c r="AO68" s="83">
        <f>AO$24*'Исходные данные'!$D74</f>
        <v>1226.07</v>
      </c>
      <c r="AP68" s="83">
        <f>AP$24*'Исходные данные'!$D74</f>
        <v>1226.07</v>
      </c>
      <c r="AQ68" s="83">
        <f>AQ$24*'Исходные данные'!$D74</f>
        <v>1226.07</v>
      </c>
      <c r="AR68" s="84">
        <f t="shared" ref="AR68" si="125">SUM(AF68:AQ68)</f>
        <v>14099.804999999998</v>
      </c>
      <c r="AS68" s="84">
        <f t="shared" ref="AS68" si="126">AR68/12</f>
        <v>1174.9837499999999</v>
      </c>
      <c r="AT68" s="85">
        <f t="shared" ref="AT68" si="127">P68+AD68+AR68</f>
        <v>37844.693999999996</v>
      </c>
      <c r="AU68" s="86"/>
      <c r="AW68" s="87" t="s">
        <v>9</v>
      </c>
      <c r="AX68" s="87" t="s">
        <v>262</v>
      </c>
    </row>
    <row r="69" spans="1:50" s="92" customFormat="1" ht="10.5" x14ac:dyDescent="0.35">
      <c r="A69" s="104" t="str">
        <f>'Обобщенный расчет'!B50</f>
        <v>Уніформа персоналу</v>
      </c>
      <c r="B69" s="88" t="str">
        <f>CHOOSE('Исходные данные'!$O$2,'Исходные данные'!$P$2,'Исходные данные'!$P$3,'Исходные данные'!$P$4,'Исходные данные'!$P$5)</f>
        <v>UAH</v>
      </c>
      <c r="C69" s="89"/>
      <c r="D69" s="89">
        <f>'Исходные данные'!$H75</f>
        <v>0</v>
      </c>
      <c r="E69" s="89">
        <v>0</v>
      </c>
      <c r="F69" s="89">
        <v>0</v>
      </c>
      <c r="G69" s="89">
        <v>0</v>
      </c>
      <c r="H69" s="89">
        <v>0</v>
      </c>
      <c r="I69" s="89">
        <v>0</v>
      </c>
      <c r="J69" s="89">
        <f>'Исходные данные'!$H75</f>
        <v>0</v>
      </c>
      <c r="K69" s="89">
        <v>0</v>
      </c>
      <c r="L69" s="89">
        <v>0</v>
      </c>
      <c r="M69" s="89">
        <v>0</v>
      </c>
      <c r="N69" s="89">
        <v>0</v>
      </c>
      <c r="O69" s="89">
        <v>0</v>
      </c>
      <c r="P69" s="90">
        <f t="shared" si="112"/>
        <v>0</v>
      </c>
      <c r="Q69" s="90">
        <f t="shared" si="113"/>
        <v>0</v>
      </c>
      <c r="R69" s="89">
        <f>'Исходные данные'!$H75</f>
        <v>0</v>
      </c>
      <c r="S69" s="89">
        <v>0</v>
      </c>
      <c r="T69" s="89">
        <v>0</v>
      </c>
      <c r="U69" s="89">
        <v>0</v>
      </c>
      <c r="V69" s="89">
        <v>0</v>
      </c>
      <c r="W69" s="89">
        <v>0</v>
      </c>
      <c r="X69" s="89">
        <f>'Исходные данные'!$H75</f>
        <v>0</v>
      </c>
      <c r="Y69" s="89">
        <v>0</v>
      </c>
      <c r="Z69" s="89">
        <v>0</v>
      </c>
      <c r="AA69" s="89">
        <v>0</v>
      </c>
      <c r="AB69" s="89">
        <v>0</v>
      </c>
      <c r="AC69" s="89">
        <v>0</v>
      </c>
      <c r="AD69" s="90">
        <f t="shared" ref="AD69" si="128">SUM(R69:AC69)</f>
        <v>0</v>
      </c>
      <c r="AE69" s="90">
        <f t="shared" ref="AE69" si="129">AD69/12</f>
        <v>0</v>
      </c>
      <c r="AF69" s="89">
        <f>'Исходные данные'!$H75</f>
        <v>0</v>
      </c>
      <c r="AG69" s="89">
        <v>0</v>
      </c>
      <c r="AH69" s="89">
        <v>0</v>
      </c>
      <c r="AI69" s="89">
        <v>0</v>
      </c>
      <c r="AJ69" s="89">
        <v>0</v>
      </c>
      <c r="AK69" s="89">
        <v>0</v>
      </c>
      <c r="AL69" s="89">
        <f>'Исходные данные'!$H75</f>
        <v>0</v>
      </c>
      <c r="AM69" s="89">
        <v>0</v>
      </c>
      <c r="AN69" s="89">
        <v>0</v>
      </c>
      <c r="AO69" s="89">
        <v>0</v>
      </c>
      <c r="AP69" s="89">
        <v>0</v>
      </c>
      <c r="AQ69" s="89">
        <v>0</v>
      </c>
      <c r="AR69" s="90">
        <f t="shared" ref="AR69" si="130">SUM(AF69:AQ69)</f>
        <v>0</v>
      </c>
      <c r="AS69" s="90">
        <f t="shared" ref="AS69" si="131">AR69/12</f>
        <v>0</v>
      </c>
      <c r="AT69" s="85">
        <f t="shared" ref="AT69" si="132">P69+AD69+AR69</f>
        <v>0</v>
      </c>
      <c r="AU69" s="91"/>
      <c r="AW69" s="92" t="s">
        <v>10</v>
      </c>
      <c r="AX69" s="92" t="s">
        <v>255</v>
      </c>
    </row>
    <row r="70" spans="1:50" s="87" customFormat="1" ht="10.5" x14ac:dyDescent="0.35">
      <c r="A70" s="105" t="str">
        <f>'Обобщенный расчет'!B51</f>
        <v>Охорона</v>
      </c>
      <c r="B70" s="82" t="str">
        <f>CHOOSE('Исходные данные'!$O$2,'Исходные данные'!$P$2,'Исходные данные'!$P$3,'Исходные данные'!$P$4,'Исходные данные'!$P$5)</f>
        <v>UAH</v>
      </c>
      <c r="C70" s="83"/>
      <c r="D70" s="83">
        <f>'Исходные данные'!$H76</f>
        <v>0</v>
      </c>
      <c r="E70" s="83">
        <f>'Исходные данные'!$H76</f>
        <v>0</v>
      </c>
      <c r="F70" s="83">
        <f>'Исходные данные'!$H76</f>
        <v>0</v>
      </c>
      <c r="G70" s="83">
        <f>'Исходные данные'!$H76</f>
        <v>0</v>
      </c>
      <c r="H70" s="83">
        <f>'Исходные данные'!$H76</f>
        <v>0</v>
      </c>
      <c r="I70" s="83">
        <f>'Исходные данные'!$H76</f>
        <v>0</v>
      </c>
      <c r="J70" s="83">
        <f>'Исходные данные'!$H76</f>
        <v>0</v>
      </c>
      <c r="K70" s="83">
        <f>'Исходные данные'!$H76</f>
        <v>0</v>
      </c>
      <c r="L70" s="83">
        <f>'Исходные данные'!$H76</f>
        <v>0</v>
      </c>
      <c r="M70" s="83">
        <f>'Исходные данные'!$H76</f>
        <v>0</v>
      </c>
      <c r="N70" s="83">
        <f>'Исходные данные'!$H76</f>
        <v>0</v>
      </c>
      <c r="O70" s="83">
        <f>'Исходные данные'!$H76</f>
        <v>0</v>
      </c>
      <c r="P70" s="84">
        <f t="shared" si="112"/>
        <v>0</v>
      </c>
      <c r="Q70" s="84">
        <f t="shared" si="113"/>
        <v>0</v>
      </c>
      <c r="R70" s="83">
        <f>'Исходные данные'!$H76</f>
        <v>0</v>
      </c>
      <c r="S70" s="83">
        <f>'Исходные данные'!$H76</f>
        <v>0</v>
      </c>
      <c r="T70" s="83">
        <f>'Исходные данные'!$H76</f>
        <v>0</v>
      </c>
      <c r="U70" s="83">
        <f>'Исходные данные'!$H76</f>
        <v>0</v>
      </c>
      <c r="V70" s="83">
        <f>'Исходные данные'!$H76</f>
        <v>0</v>
      </c>
      <c r="W70" s="83">
        <f>'Исходные данные'!$H76</f>
        <v>0</v>
      </c>
      <c r="X70" s="83">
        <f>'Исходные данные'!$H76</f>
        <v>0</v>
      </c>
      <c r="Y70" s="83">
        <f>'Исходные данные'!$H76</f>
        <v>0</v>
      </c>
      <c r="Z70" s="83">
        <f>'Исходные данные'!$H76</f>
        <v>0</v>
      </c>
      <c r="AA70" s="83">
        <f>'Исходные данные'!$H76</f>
        <v>0</v>
      </c>
      <c r="AB70" s="83">
        <f>'Исходные данные'!$H76</f>
        <v>0</v>
      </c>
      <c r="AC70" s="83">
        <f>'Исходные данные'!$H76</f>
        <v>0</v>
      </c>
      <c r="AD70" s="84">
        <f>SUM(R70:AC70)</f>
        <v>0</v>
      </c>
      <c r="AE70" s="84">
        <f>AD70/12</f>
        <v>0</v>
      </c>
      <c r="AF70" s="83">
        <f>'Исходные данные'!$H76</f>
        <v>0</v>
      </c>
      <c r="AG70" s="83">
        <f>'Исходные данные'!$H76</f>
        <v>0</v>
      </c>
      <c r="AH70" s="83">
        <f>'Исходные данные'!$H76</f>
        <v>0</v>
      </c>
      <c r="AI70" s="83">
        <f>'Исходные данные'!$H76</f>
        <v>0</v>
      </c>
      <c r="AJ70" s="83">
        <f>'Исходные данные'!$H76</f>
        <v>0</v>
      </c>
      <c r="AK70" s="83">
        <f>'Исходные данные'!$H76</f>
        <v>0</v>
      </c>
      <c r="AL70" s="83">
        <f>'Исходные данные'!$H76</f>
        <v>0</v>
      </c>
      <c r="AM70" s="83">
        <f>'Исходные данные'!$H76</f>
        <v>0</v>
      </c>
      <c r="AN70" s="83">
        <f>'Исходные данные'!$H76</f>
        <v>0</v>
      </c>
      <c r="AO70" s="83">
        <f>'Исходные данные'!$H76</f>
        <v>0</v>
      </c>
      <c r="AP70" s="83">
        <f>'Исходные данные'!$H76</f>
        <v>0</v>
      </c>
      <c r="AQ70" s="83">
        <f>'Исходные данные'!$H76</f>
        <v>0</v>
      </c>
      <c r="AR70" s="84">
        <f>SUM(AF70:AQ70)</f>
        <v>0</v>
      </c>
      <c r="AS70" s="84">
        <f>AR70/12</f>
        <v>0</v>
      </c>
      <c r="AT70" s="85">
        <f>P70+AD70+AR70</f>
        <v>0</v>
      </c>
      <c r="AU70" s="86"/>
      <c r="AW70" s="87" t="s">
        <v>231</v>
      </c>
      <c r="AX70" s="87" t="s">
        <v>263</v>
      </c>
    </row>
    <row r="71" spans="1:50" s="92" customFormat="1" ht="10.5" x14ac:dyDescent="0.35">
      <c r="A71" s="104" t="str">
        <f>'Обобщенный расчет'!B52</f>
        <v>Послуги зв'язку та інтернет</v>
      </c>
      <c r="B71" s="88" t="str">
        <f>CHOOSE('Исходные данные'!$O$2,'Исходные данные'!$P$2,'Исходные данные'!$P$3,'Исходные данные'!$P$4,'Исходные данные'!$P$5)</f>
        <v>UAH</v>
      </c>
      <c r="C71" s="89"/>
      <c r="D71" s="89">
        <f>'Исходные данные'!$H$77*D12</f>
        <v>200</v>
      </c>
      <c r="E71" s="89">
        <f>'Исходные данные'!$H$77*E12</f>
        <v>200</v>
      </c>
      <c r="F71" s="89">
        <f>'Исходные данные'!$H$77*F12</f>
        <v>200</v>
      </c>
      <c r="G71" s="89">
        <f>'Исходные данные'!$H$77*G12</f>
        <v>200</v>
      </c>
      <c r="H71" s="89">
        <f>'Исходные данные'!$H$77*H12</f>
        <v>200</v>
      </c>
      <c r="I71" s="89">
        <f>'Исходные данные'!$H$77*I12</f>
        <v>200</v>
      </c>
      <c r="J71" s="89">
        <f>'Исходные данные'!$H$77*J12</f>
        <v>200</v>
      </c>
      <c r="K71" s="89">
        <f>'Исходные данные'!$H$77*K12</f>
        <v>200</v>
      </c>
      <c r="L71" s="89">
        <f>'Исходные данные'!$H$77*L12</f>
        <v>200</v>
      </c>
      <c r="M71" s="89">
        <f>'Исходные данные'!$H$77*M12</f>
        <v>200</v>
      </c>
      <c r="N71" s="89">
        <f>'Исходные данные'!$H$77*N12</f>
        <v>200</v>
      </c>
      <c r="O71" s="89">
        <f>'Исходные данные'!$H$77*O12</f>
        <v>200</v>
      </c>
      <c r="P71" s="90">
        <f t="shared" si="112"/>
        <v>2400</v>
      </c>
      <c r="Q71" s="90">
        <f t="shared" si="113"/>
        <v>200</v>
      </c>
      <c r="R71" s="89">
        <f>'Исходные данные'!$H$77*R12</f>
        <v>200</v>
      </c>
      <c r="S71" s="89">
        <f>'Исходные данные'!$H$77*S12</f>
        <v>200</v>
      </c>
      <c r="T71" s="89">
        <f>'Исходные данные'!$H$77*T12</f>
        <v>200</v>
      </c>
      <c r="U71" s="89">
        <f>'Исходные данные'!$H$77*U12</f>
        <v>200</v>
      </c>
      <c r="V71" s="89">
        <f>'Исходные данные'!$H$77*V12</f>
        <v>200</v>
      </c>
      <c r="W71" s="89">
        <f>'Исходные данные'!$H$77*W12</f>
        <v>200</v>
      </c>
      <c r="X71" s="89">
        <f>'Исходные данные'!$H$77*X12</f>
        <v>200</v>
      </c>
      <c r="Y71" s="89">
        <f>'Исходные данные'!$H$77*Y12</f>
        <v>200</v>
      </c>
      <c r="Z71" s="89">
        <f>'Исходные данные'!$H$77*Z12</f>
        <v>200</v>
      </c>
      <c r="AA71" s="89">
        <f>'Исходные данные'!$H$77*AA12</f>
        <v>200</v>
      </c>
      <c r="AB71" s="89">
        <f>'Исходные данные'!$H$77*AB12</f>
        <v>200</v>
      </c>
      <c r="AC71" s="89">
        <f>'Исходные данные'!$H$77*AC12</f>
        <v>200</v>
      </c>
      <c r="AD71" s="90">
        <f>SUM(R71:AC71)</f>
        <v>2400</v>
      </c>
      <c r="AE71" s="90">
        <f>AD71/12</f>
        <v>200</v>
      </c>
      <c r="AF71" s="89">
        <f>'Исходные данные'!$H$77*AF12</f>
        <v>200</v>
      </c>
      <c r="AG71" s="89">
        <f>'Исходные данные'!$H$77*AG12</f>
        <v>200</v>
      </c>
      <c r="AH71" s="89">
        <f>'Исходные данные'!$H$77*AH12</f>
        <v>200</v>
      </c>
      <c r="AI71" s="89">
        <f>'Исходные данные'!$H$77*AI12</f>
        <v>200</v>
      </c>
      <c r="AJ71" s="89">
        <f>'Исходные данные'!$H$77*AJ12</f>
        <v>200</v>
      </c>
      <c r="AK71" s="89">
        <f>'Исходные данные'!$H$77*AK12</f>
        <v>200</v>
      </c>
      <c r="AL71" s="89">
        <f>'Исходные данные'!$H$77*AL12</f>
        <v>200</v>
      </c>
      <c r="AM71" s="89">
        <f>'Исходные данные'!$H$77*AM12</f>
        <v>200</v>
      </c>
      <c r="AN71" s="89">
        <f>'Исходные данные'!$H$77*AN12</f>
        <v>200</v>
      </c>
      <c r="AO71" s="89">
        <f>'Исходные данные'!$H$77*AO12</f>
        <v>200</v>
      </c>
      <c r="AP71" s="89">
        <f>'Исходные данные'!$H$77*AP12</f>
        <v>200</v>
      </c>
      <c r="AQ71" s="89">
        <f>'Исходные данные'!$H$77*AQ12</f>
        <v>200</v>
      </c>
      <c r="AR71" s="90">
        <f>SUM(AF71:AQ71)</f>
        <v>2400</v>
      </c>
      <c r="AS71" s="90">
        <f>AR71/12</f>
        <v>200</v>
      </c>
      <c r="AT71" s="85">
        <f>P71+AD71+AR71</f>
        <v>7200</v>
      </c>
      <c r="AU71" s="91"/>
      <c r="AW71" s="92" t="s">
        <v>11</v>
      </c>
      <c r="AX71" s="92" t="s">
        <v>264</v>
      </c>
    </row>
    <row r="72" spans="1:50" s="87" customFormat="1" ht="10.5" x14ac:dyDescent="0.35">
      <c r="A72" s="105" t="str">
        <f>'Обобщенный расчет'!B53</f>
        <v>Ведення бухгалтерського обліку</v>
      </c>
      <c r="B72" s="82" t="str">
        <f>CHOOSE('Исходные данные'!$O$2,'Исходные данные'!$P$2,'Исходные данные'!$P$3,'Исходные данные'!$P$4,'Исходные данные'!$P$5)</f>
        <v>UAH</v>
      </c>
      <c r="C72" s="83"/>
      <c r="D72" s="83">
        <f>'Исходные данные'!$H$78</f>
        <v>0</v>
      </c>
      <c r="E72" s="83">
        <f>'Исходные данные'!$H$78</f>
        <v>0</v>
      </c>
      <c r="F72" s="83">
        <f>'Исходные данные'!$H$78</f>
        <v>0</v>
      </c>
      <c r="G72" s="83">
        <f>'Исходные данные'!$H$78</f>
        <v>0</v>
      </c>
      <c r="H72" s="83">
        <f>'Исходные данные'!$H$78</f>
        <v>0</v>
      </c>
      <c r="I72" s="83">
        <f>'Исходные данные'!$H$78</f>
        <v>0</v>
      </c>
      <c r="J72" s="83">
        <f>'Исходные данные'!$H$78</f>
        <v>0</v>
      </c>
      <c r="K72" s="83">
        <f>'Исходные данные'!$H$78</f>
        <v>0</v>
      </c>
      <c r="L72" s="83">
        <f>'Исходные данные'!$H$78</f>
        <v>0</v>
      </c>
      <c r="M72" s="83">
        <f>'Исходные данные'!$H$78</f>
        <v>0</v>
      </c>
      <c r="N72" s="83">
        <f>'Исходные данные'!$H$78</f>
        <v>0</v>
      </c>
      <c r="O72" s="83">
        <f>'Исходные данные'!$H$78</f>
        <v>0</v>
      </c>
      <c r="P72" s="84">
        <f t="shared" si="112"/>
        <v>0</v>
      </c>
      <c r="Q72" s="84">
        <f t="shared" si="113"/>
        <v>0</v>
      </c>
      <c r="R72" s="83">
        <f>'Исходные данные'!$H$78</f>
        <v>0</v>
      </c>
      <c r="S72" s="83">
        <f>'Исходные данные'!$H$78</f>
        <v>0</v>
      </c>
      <c r="T72" s="83">
        <f>'Исходные данные'!$H$78</f>
        <v>0</v>
      </c>
      <c r="U72" s="83">
        <f>'Исходные данные'!$H$78</f>
        <v>0</v>
      </c>
      <c r="V72" s="83">
        <f>'Исходные данные'!$H$78</f>
        <v>0</v>
      </c>
      <c r="W72" s="83">
        <f>'Исходные данные'!$H$78</f>
        <v>0</v>
      </c>
      <c r="X72" s="83">
        <f>'Исходные данные'!$H$78</f>
        <v>0</v>
      </c>
      <c r="Y72" s="83">
        <f>'Исходные данные'!$H$78</f>
        <v>0</v>
      </c>
      <c r="Z72" s="83">
        <f>'Исходные данные'!$H$78</f>
        <v>0</v>
      </c>
      <c r="AA72" s="83">
        <f>'Исходные данные'!$H$78</f>
        <v>0</v>
      </c>
      <c r="AB72" s="83">
        <f>'Исходные данные'!$H$78</f>
        <v>0</v>
      </c>
      <c r="AC72" s="83">
        <f>'Исходные данные'!$H$78</f>
        <v>0</v>
      </c>
      <c r="AD72" s="84">
        <f t="shared" ref="AD72:AD75" si="133">SUM(R72:AC72)</f>
        <v>0</v>
      </c>
      <c r="AE72" s="84">
        <f t="shared" ref="AE72:AE75" si="134">AD72/12</f>
        <v>0</v>
      </c>
      <c r="AF72" s="83">
        <f>'Исходные данные'!$H$78</f>
        <v>0</v>
      </c>
      <c r="AG72" s="83">
        <f>'Исходные данные'!$H$78</f>
        <v>0</v>
      </c>
      <c r="AH72" s="83">
        <f>'Исходные данные'!$H$78</f>
        <v>0</v>
      </c>
      <c r="AI72" s="83">
        <f>'Исходные данные'!$H$78</f>
        <v>0</v>
      </c>
      <c r="AJ72" s="83">
        <f>'Исходные данные'!$H$78</f>
        <v>0</v>
      </c>
      <c r="AK72" s="83">
        <f>'Исходные данные'!$H$78</f>
        <v>0</v>
      </c>
      <c r="AL72" s="83">
        <f>'Исходные данные'!$H$78</f>
        <v>0</v>
      </c>
      <c r="AM72" s="83">
        <f>'Исходные данные'!$H$78</f>
        <v>0</v>
      </c>
      <c r="AN72" s="83">
        <f>'Исходные данные'!$H$78</f>
        <v>0</v>
      </c>
      <c r="AO72" s="83">
        <f>'Исходные данные'!$H$78</f>
        <v>0</v>
      </c>
      <c r="AP72" s="83">
        <f>'Исходные данные'!$H$78</f>
        <v>0</v>
      </c>
      <c r="AQ72" s="83">
        <f>'Исходные данные'!$H$78</f>
        <v>0</v>
      </c>
      <c r="AR72" s="84">
        <f t="shared" ref="AR72:AR75" si="135">SUM(AF72:AQ72)</f>
        <v>0</v>
      </c>
      <c r="AS72" s="84">
        <f t="shared" ref="AS72:AS75" si="136">AR72/12</f>
        <v>0</v>
      </c>
      <c r="AT72" s="85">
        <f t="shared" ref="AT72:AT75" si="137">P72+AD72+AR72</f>
        <v>0</v>
      </c>
      <c r="AU72" s="86"/>
      <c r="AW72" s="87" t="s">
        <v>232</v>
      </c>
      <c r="AX72" s="87" t="s">
        <v>265</v>
      </c>
    </row>
    <row r="73" spans="1:50" s="92" customFormat="1" ht="10.5" x14ac:dyDescent="0.35">
      <c r="A73" s="104" t="str">
        <f>'Обобщенный расчет'!B54</f>
        <v>Банковське обслуговування</v>
      </c>
      <c r="B73" s="88" t="str">
        <f>CHOOSE('Исходные данные'!$O$2,'Исходные данные'!$P$2,'Исходные данные'!$P$3,'Исходные данные'!$P$4,'Исходные данные'!$P$5)</f>
        <v>UAH</v>
      </c>
      <c r="C73" s="89"/>
      <c r="D73" s="89">
        <f>D24*'Исходные данные'!$D$79*'Исходные данные'!$D$80</f>
        <v>0</v>
      </c>
      <c r="E73" s="89">
        <f>E24*'Исходные данные'!$D$79*'Исходные данные'!$D$80</f>
        <v>0</v>
      </c>
      <c r="F73" s="89">
        <f>F24*'Исходные данные'!$D$79*'Исходные данные'!$D$80</f>
        <v>0</v>
      </c>
      <c r="G73" s="89">
        <f>G24*'Исходные данные'!$D$79*'Исходные данные'!$D$80</f>
        <v>0</v>
      </c>
      <c r="H73" s="89">
        <f>H24*'Исходные данные'!$D$79*'Исходные данные'!$D$80</f>
        <v>0</v>
      </c>
      <c r="I73" s="89">
        <f>I24*'Исходные данные'!$D$79*'Исходные данные'!$D$80</f>
        <v>0</v>
      </c>
      <c r="J73" s="89">
        <f>J24*'Исходные данные'!$D$79*'Исходные данные'!$D$80</f>
        <v>0</v>
      </c>
      <c r="K73" s="89">
        <f>K24*'Исходные данные'!$D$79*'Исходные данные'!$D$80</f>
        <v>0</v>
      </c>
      <c r="L73" s="89">
        <f>L24*'Исходные данные'!$D$79*'Исходные данные'!$D$80</f>
        <v>0</v>
      </c>
      <c r="M73" s="89">
        <f>M24*'Исходные данные'!$D$79*'Исходные данные'!$D$80</f>
        <v>0</v>
      </c>
      <c r="N73" s="89">
        <f>N24*'Исходные данные'!$D$79*'Исходные данные'!$D$80</f>
        <v>0</v>
      </c>
      <c r="O73" s="89">
        <f>O24*'Исходные данные'!$D$79*'Исходные данные'!$D$80</f>
        <v>0</v>
      </c>
      <c r="P73" s="90">
        <f t="shared" si="112"/>
        <v>0</v>
      </c>
      <c r="Q73" s="90">
        <f t="shared" si="113"/>
        <v>0</v>
      </c>
      <c r="R73" s="89">
        <f>R24*'Исходные данные'!$D$79*'Исходные данные'!$D$80</f>
        <v>0</v>
      </c>
      <c r="S73" s="89">
        <f>S24*'Исходные данные'!$D$79*'Исходные данные'!$D$80</f>
        <v>0</v>
      </c>
      <c r="T73" s="89">
        <f>T24*'Исходные данные'!$D$79*'Исходные данные'!$D$80</f>
        <v>0</v>
      </c>
      <c r="U73" s="89">
        <f>U24*'Исходные данные'!$D$79*'Исходные данные'!$D$80</f>
        <v>0</v>
      </c>
      <c r="V73" s="89">
        <f>V24*'Исходные данные'!$D$79*'Исходные данные'!$D$80</f>
        <v>0</v>
      </c>
      <c r="W73" s="89">
        <f>W24*'Исходные данные'!$D$79*'Исходные данные'!$D$80</f>
        <v>0</v>
      </c>
      <c r="X73" s="89">
        <f>X24*'Исходные данные'!$D$79*'Исходные данные'!$D$80</f>
        <v>0</v>
      </c>
      <c r="Y73" s="89">
        <f>Y24*'Исходные данные'!$D$79*'Исходные данные'!$D$80</f>
        <v>0</v>
      </c>
      <c r="Z73" s="89">
        <f>Z24*'Исходные данные'!$D$79*'Исходные данные'!$D$80</f>
        <v>0</v>
      </c>
      <c r="AA73" s="89">
        <f>AA24*'Исходные данные'!$D$79*'Исходные данные'!$D$80</f>
        <v>0</v>
      </c>
      <c r="AB73" s="89">
        <f>AB24*'Исходные данные'!$D$79*'Исходные данные'!$D$80</f>
        <v>0</v>
      </c>
      <c r="AC73" s="89">
        <f>AC24*'Исходные данные'!$D$79*'Исходные данные'!$D$80</f>
        <v>0</v>
      </c>
      <c r="AD73" s="90">
        <f t="shared" si="133"/>
        <v>0</v>
      </c>
      <c r="AE73" s="90">
        <f t="shared" si="134"/>
        <v>0</v>
      </c>
      <c r="AF73" s="89">
        <f>AF24*'Исходные данные'!$D$79*'Исходные данные'!$D$80</f>
        <v>0</v>
      </c>
      <c r="AG73" s="89">
        <f>AG24*'Исходные данные'!$D$79*'Исходные данные'!$D$80</f>
        <v>0</v>
      </c>
      <c r="AH73" s="89">
        <f>AH24*'Исходные данные'!$D$79*'Исходные данные'!$D$80</f>
        <v>0</v>
      </c>
      <c r="AI73" s="89">
        <f>AI24*'Исходные данные'!$D$79*'Исходные данные'!$D$80</f>
        <v>0</v>
      </c>
      <c r="AJ73" s="89">
        <f>AJ24*'Исходные данные'!$D$79*'Исходные данные'!$D$80</f>
        <v>0</v>
      </c>
      <c r="AK73" s="89">
        <f>AK24*'Исходные данные'!$D$79*'Исходные данные'!$D$80</f>
        <v>0</v>
      </c>
      <c r="AL73" s="89">
        <f>AL24*'Исходные данные'!$D$79*'Исходные данные'!$D$80</f>
        <v>0</v>
      </c>
      <c r="AM73" s="89">
        <f>AM24*'Исходные данные'!$D$79*'Исходные данные'!$D$80</f>
        <v>0</v>
      </c>
      <c r="AN73" s="89">
        <f>AN24*'Исходные данные'!$D$79*'Исходные данные'!$D$80</f>
        <v>0</v>
      </c>
      <c r="AO73" s="89">
        <f>AO24*'Исходные данные'!$D$79*'Исходные данные'!$D$80</f>
        <v>0</v>
      </c>
      <c r="AP73" s="89">
        <f>AP24*'Исходные данные'!$D$79*'Исходные данные'!$D$80</f>
        <v>0</v>
      </c>
      <c r="AQ73" s="89">
        <f>AQ24*'Исходные данные'!$D$79*'Исходные данные'!$D$80</f>
        <v>0</v>
      </c>
      <c r="AR73" s="90">
        <f t="shared" si="135"/>
        <v>0</v>
      </c>
      <c r="AS73" s="90">
        <f t="shared" si="136"/>
        <v>0</v>
      </c>
      <c r="AT73" s="85">
        <f t="shared" si="137"/>
        <v>0</v>
      </c>
      <c r="AU73" s="91"/>
      <c r="AW73" s="92" t="s">
        <v>233</v>
      </c>
      <c r="AX73" s="92" t="s">
        <v>266</v>
      </c>
    </row>
    <row r="74" spans="1:50" s="87" customFormat="1" ht="10.5" x14ac:dyDescent="0.35">
      <c r="A74" s="105" t="str">
        <f>'Обобщенный расчет'!B55</f>
        <v>Податки на зарплату співробітників</v>
      </c>
      <c r="B74" s="82" t="str">
        <f>CHOOSE('Исходные данные'!$O$2,'Исходные данные'!$P$2,'Исходные данные'!$P$3,'Исходные данные'!$P$4,'Исходные данные'!$P$5)</f>
        <v>UAH</v>
      </c>
      <c r="C74" s="83"/>
      <c r="D74" s="83">
        <f>'Исходные данные'!$H$81</f>
        <v>5304</v>
      </c>
      <c r="E74" s="83">
        <f>'Исходные данные'!$H$81</f>
        <v>5304</v>
      </c>
      <c r="F74" s="83">
        <f>'Исходные данные'!$H$81</f>
        <v>5304</v>
      </c>
      <c r="G74" s="83">
        <f>'Исходные данные'!$H$81</f>
        <v>5304</v>
      </c>
      <c r="H74" s="83">
        <f>'Исходные данные'!$H$81</f>
        <v>5304</v>
      </c>
      <c r="I74" s="83">
        <f>'Исходные данные'!$H$81</f>
        <v>5304</v>
      </c>
      <c r="J74" s="83">
        <f>'Исходные данные'!$H$81</f>
        <v>5304</v>
      </c>
      <c r="K74" s="83">
        <f>'Исходные данные'!$H$81</f>
        <v>5304</v>
      </c>
      <c r="L74" s="83">
        <f>'Исходные данные'!$H$81</f>
        <v>5304</v>
      </c>
      <c r="M74" s="83">
        <f>'Исходные данные'!$H$81</f>
        <v>5304</v>
      </c>
      <c r="N74" s="83">
        <f>'Исходные данные'!$H$81</f>
        <v>5304</v>
      </c>
      <c r="O74" s="83">
        <f>'Исходные данные'!$H$81</f>
        <v>5304</v>
      </c>
      <c r="P74" s="84">
        <f t="shared" si="112"/>
        <v>63648</v>
      </c>
      <c r="Q74" s="84">
        <f t="shared" si="113"/>
        <v>5304</v>
      </c>
      <c r="R74" s="83">
        <f>'Исходные данные'!$H$81</f>
        <v>5304</v>
      </c>
      <c r="S74" s="83">
        <f>'Исходные данные'!$H$81</f>
        <v>5304</v>
      </c>
      <c r="T74" s="83">
        <f>'Исходные данные'!$H$81</f>
        <v>5304</v>
      </c>
      <c r="U74" s="83">
        <f>'Исходные данные'!$H$81</f>
        <v>5304</v>
      </c>
      <c r="V74" s="83">
        <f>'Исходные данные'!$H$81</f>
        <v>5304</v>
      </c>
      <c r="W74" s="83">
        <f>'Исходные данные'!$H$81</f>
        <v>5304</v>
      </c>
      <c r="X74" s="83">
        <f>'Исходные данные'!$H$81</f>
        <v>5304</v>
      </c>
      <c r="Y74" s="83">
        <f>'Исходные данные'!$H$81</f>
        <v>5304</v>
      </c>
      <c r="Z74" s="83">
        <f>'Исходные данные'!$H$81</f>
        <v>5304</v>
      </c>
      <c r="AA74" s="83">
        <f>'Исходные данные'!$H$81</f>
        <v>5304</v>
      </c>
      <c r="AB74" s="83">
        <f>'Исходные данные'!$H$81</f>
        <v>5304</v>
      </c>
      <c r="AC74" s="83">
        <f>'Исходные данные'!$H$81</f>
        <v>5304</v>
      </c>
      <c r="AD74" s="84">
        <f t="shared" ref="AD74" si="138">SUM(R74:AC74)</f>
        <v>63648</v>
      </c>
      <c r="AE74" s="84">
        <f t="shared" ref="AE74" si="139">AD74/12</f>
        <v>5304</v>
      </c>
      <c r="AF74" s="83">
        <f>'Исходные данные'!$H$81</f>
        <v>5304</v>
      </c>
      <c r="AG74" s="83">
        <f>'Исходные данные'!$H$81</f>
        <v>5304</v>
      </c>
      <c r="AH74" s="83">
        <f>'Исходные данные'!$H$81</f>
        <v>5304</v>
      </c>
      <c r="AI74" s="83">
        <f>'Исходные данные'!$H$81</f>
        <v>5304</v>
      </c>
      <c r="AJ74" s="83">
        <f>'Исходные данные'!$H$81</f>
        <v>5304</v>
      </c>
      <c r="AK74" s="83">
        <f>'Исходные данные'!$H$81</f>
        <v>5304</v>
      </c>
      <c r="AL74" s="83">
        <f>'Исходные данные'!$H$81</f>
        <v>5304</v>
      </c>
      <c r="AM74" s="83">
        <f>'Исходные данные'!$H$81</f>
        <v>5304</v>
      </c>
      <c r="AN74" s="83">
        <f>'Исходные данные'!$H$81</f>
        <v>5304</v>
      </c>
      <c r="AO74" s="83">
        <f>'Исходные данные'!$H$81</f>
        <v>5304</v>
      </c>
      <c r="AP74" s="83">
        <f>'Исходные данные'!$H$81</f>
        <v>5304</v>
      </c>
      <c r="AQ74" s="83">
        <f>'Исходные данные'!$H$81</f>
        <v>5304</v>
      </c>
      <c r="AR74" s="84">
        <f t="shared" ref="AR74" si="140">SUM(AF74:AQ74)</f>
        <v>63648</v>
      </c>
      <c r="AS74" s="84">
        <f t="shared" ref="AS74" si="141">AR74/12</f>
        <v>5304</v>
      </c>
      <c r="AT74" s="85">
        <f t="shared" ref="AT74" si="142">P74+AD74+AR74</f>
        <v>190944</v>
      </c>
      <c r="AU74" s="86"/>
      <c r="AW74" s="87" t="s">
        <v>234</v>
      </c>
      <c r="AX74" s="87" t="s">
        <v>267</v>
      </c>
    </row>
    <row r="75" spans="1:50" s="92" customFormat="1" ht="10.5" x14ac:dyDescent="0.35">
      <c r="A75" s="104" t="str">
        <f>'Обобщенный расчет'!B56</f>
        <v>Податки</v>
      </c>
      <c r="B75" s="88" t="str">
        <f>CHOOSE('Исходные данные'!$O$2,'Исходные данные'!$P$2,'Исходные данные'!$P$3,'Исходные данные'!$P$4,'Исходные данные'!$P$5)</f>
        <v>UAH</v>
      </c>
      <c r="C75" s="89"/>
      <c r="D75" s="89">
        <f>D13*IF('Обобщенный расчет'!$P$1=1,'Исходные данные'!$D$82*'Детальный расчет'!D24,0)+IF('Обобщенный расчет'!$P$1=2,'Исходные данные'!$H$83)</f>
        <v>1994</v>
      </c>
      <c r="E75" s="89">
        <f>E13*IF('Обобщенный расчет'!$P$1=1,'Исходные данные'!$D$82*'Детальный расчет'!E24,0)+IF('Обобщенный расчет'!$P$1=2,'Исходные данные'!$H$83)</f>
        <v>1994</v>
      </c>
      <c r="F75" s="89">
        <f>F13*IF('Обобщенный расчет'!$P$1=1,'Исходные данные'!$D$82*'Детальный расчет'!F24,0)+IF('Обобщенный расчет'!$P$1=2,'Исходные данные'!$H$83)</f>
        <v>1994</v>
      </c>
      <c r="G75" s="89">
        <f>G13*IF('Обобщенный расчет'!$P$1=1,'Исходные данные'!$D$82*'Детальный расчет'!G24,0)+IF('Обобщенный расчет'!$P$1=2,'Исходные данные'!$H$83)</f>
        <v>1994</v>
      </c>
      <c r="H75" s="89">
        <f>H13*IF('Обобщенный расчет'!$P$1=1,'Исходные данные'!$D$82*'Детальный расчет'!H24,0)+IF('Обобщенный расчет'!$P$1=2,'Исходные данные'!$H$83)</f>
        <v>1994</v>
      </c>
      <c r="I75" s="89">
        <f>I13*IF('Обобщенный расчет'!$P$1=1,'Исходные данные'!$D$82*'Детальный расчет'!I24,0)+IF('Обобщенный расчет'!$P$1=2,'Исходные данные'!$H$83)</f>
        <v>1994</v>
      </c>
      <c r="J75" s="89">
        <f>J13*IF('Обобщенный расчет'!$P$1=1,'Исходные данные'!$D$82*'Детальный расчет'!J24,0)+IF('Обобщенный расчет'!$P$1=2,'Исходные данные'!$H$83)</f>
        <v>1994</v>
      </c>
      <c r="K75" s="89">
        <f>K13*IF('Обобщенный расчет'!$P$1=1,'Исходные данные'!$D$82*'Детальный расчет'!K24,0)+IF('Обобщенный расчет'!$P$1=2,'Исходные данные'!$H$83)</f>
        <v>1994</v>
      </c>
      <c r="L75" s="89">
        <f>L13*IF('Обобщенный расчет'!$P$1=1,'Исходные данные'!$D$82*'Детальный расчет'!L24,0)+IF('Обобщенный расчет'!$P$1=2,'Исходные данные'!$H$83)</f>
        <v>1994</v>
      </c>
      <c r="M75" s="89">
        <f>M13*IF('Обобщенный расчет'!$P$1=1,'Исходные данные'!$D$82*'Детальный расчет'!M24,0)+IF('Обобщенный расчет'!$P$1=2,'Исходные данные'!$H$83)</f>
        <v>1994</v>
      </c>
      <c r="N75" s="89">
        <f>N13*IF('Обобщенный расчет'!$P$1=1,'Исходные данные'!$D$82*'Детальный расчет'!N24,0)+IF('Обобщенный расчет'!$P$1=2,'Исходные данные'!$H$83)</f>
        <v>1994</v>
      </c>
      <c r="O75" s="89">
        <f>O13*IF('Обобщенный расчет'!$P$1=1,'Исходные данные'!$D$82*'Детальный расчет'!O24,0)+IF('Обобщенный расчет'!$P$1=2,'Исходные данные'!$H$83)</f>
        <v>1994</v>
      </c>
      <c r="P75" s="90">
        <f t="shared" si="112"/>
        <v>23928</v>
      </c>
      <c r="Q75" s="90">
        <f t="shared" si="113"/>
        <v>1994</v>
      </c>
      <c r="R75" s="89">
        <f>R13*IF('Обобщенный расчет'!$P$1=1,'Исходные данные'!$D$82*'Детальный расчет'!R24,0)+IF('Обобщенный расчет'!$P$1=2,'Исходные данные'!$H$83)</f>
        <v>1994</v>
      </c>
      <c r="S75" s="89">
        <f>S13*IF('Обобщенный расчет'!$P$1=1,'Исходные данные'!$D$82*'Детальный расчет'!S24,0)+IF('Обобщенный расчет'!$P$1=2,'Исходные данные'!$H$83)</f>
        <v>1994</v>
      </c>
      <c r="T75" s="89">
        <f>T13*IF('Обобщенный расчет'!$P$1=1,'Исходные данные'!$D$82*'Детальный расчет'!T24,0)+IF('Обобщенный расчет'!$P$1=2,'Исходные данные'!$H$83)</f>
        <v>1994</v>
      </c>
      <c r="U75" s="89">
        <f>U13*IF('Обобщенный расчет'!$P$1=1,'Исходные данные'!$D$82*'Детальный расчет'!U24,0)+IF('Обобщенный расчет'!$P$1=2,'Исходные данные'!$H$83)</f>
        <v>1994</v>
      </c>
      <c r="V75" s="89">
        <f>V13*IF('Обобщенный расчет'!$P$1=1,'Исходные данные'!$D$82*'Детальный расчет'!V24,0)+IF('Обобщенный расчет'!$P$1=2,'Исходные данные'!$H$83)</f>
        <v>1994</v>
      </c>
      <c r="W75" s="89">
        <f>W13*IF('Обобщенный расчет'!$P$1=1,'Исходные данные'!$D$82*'Детальный расчет'!W24,0)+IF('Обобщенный расчет'!$P$1=2,'Исходные данные'!$H$83)</f>
        <v>1994</v>
      </c>
      <c r="X75" s="89">
        <f>X13*IF('Обобщенный расчет'!$P$1=1,'Исходные данные'!$D$82*'Детальный расчет'!X24,0)+IF('Обобщенный расчет'!$P$1=2,'Исходные данные'!$H$83)</f>
        <v>1994</v>
      </c>
      <c r="Y75" s="89">
        <f>Y13*IF('Обобщенный расчет'!$P$1=1,'Исходные данные'!$D$82*'Детальный расчет'!Y24,0)+IF('Обобщенный расчет'!$P$1=2,'Исходные данные'!$H$83)</f>
        <v>1994</v>
      </c>
      <c r="Z75" s="89">
        <f>Z13*IF('Обобщенный расчет'!$P$1=1,'Исходные данные'!$D$82*'Детальный расчет'!Z24,0)+IF('Обобщенный расчет'!$P$1=2,'Исходные данные'!$H$83)</f>
        <v>1994</v>
      </c>
      <c r="AA75" s="89">
        <f>AA13*IF('Обобщенный расчет'!$P$1=1,'Исходные данные'!$D$82*'Детальный расчет'!AA24,0)+IF('Обобщенный расчет'!$P$1=2,'Исходные данные'!$H$83)</f>
        <v>1994</v>
      </c>
      <c r="AB75" s="89">
        <f>AB13*IF('Обобщенный расчет'!$P$1=1,'Исходные данные'!$D$82*'Детальный расчет'!AB24,0)+IF('Обобщенный расчет'!$P$1=2,'Исходные данные'!$H$83)</f>
        <v>1994</v>
      </c>
      <c r="AC75" s="89">
        <f>AC13*IF('Обобщенный расчет'!$P$1=1,'Исходные данные'!$D$82*'Детальный расчет'!AC24,0)+IF('Обобщенный расчет'!$P$1=2,'Исходные данные'!$H$83)</f>
        <v>1994</v>
      </c>
      <c r="AD75" s="90">
        <f t="shared" si="133"/>
        <v>23928</v>
      </c>
      <c r="AE75" s="90">
        <f t="shared" si="134"/>
        <v>1994</v>
      </c>
      <c r="AF75" s="89">
        <f>AF13*IF('Обобщенный расчет'!$P$1=1,'Исходные данные'!$D$82*'Детальный расчет'!AF24,0)+IF('Обобщенный расчет'!$P$1=2,'Исходные данные'!$H$83)</f>
        <v>1994</v>
      </c>
      <c r="AG75" s="89">
        <f>AG13*IF('Обобщенный расчет'!$P$1=1,'Исходные данные'!$D$82*'Детальный расчет'!AG24,0)+IF('Обобщенный расчет'!$P$1=2,'Исходные данные'!$H$83)</f>
        <v>1994</v>
      </c>
      <c r="AH75" s="89">
        <f>AH13*IF('Обобщенный расчет'!$P$1=1,'Исходные данные'!$D$82*'Детальный расчет'!AH24,0)+IF('Обобщенный расчет'!$P$1=2,'Исходные данные'!$H$83)</f>
        <v>1994</v>
      </c>
      <c r="AI75" s="89">
        <f>AI13*IF('Обобщенный расчет'!$P$1=1,'Исходные данные'!$D$82*'Детальный расчет'!AI24,0)+IF('Обобщенный расчет'!$P$1=2,'Исходные данные'!$H$83)</f>
        <v>1994</v>
      </c>
      <c r="AJ75" s="89">
        <f>AJ13*IF('Обобщенный расчет'!$P$1=1,'Исходные данные'!$D$82*'Детальный расчет'!AJ24,0)+IF('Обобщенный расчет'!$P$1=2,'Исходные данные'!$H$83)</f>
        <v>1994</v>
      </c>
      <c r="AK75" s="89">
        <f>AK13*IF('Обобщенный расчет'!$P$1=1,'Исходные данные'!$D$82*'Детальный расчет'!AK24,0)+IF('Обобщенный расчет'!$P$1=2,'Исходные данные'!$H$83)</f>
        <v>1994</v>
      </c>
      <c r="AL75" s="89">
        <f>AL13*IF('Обобщенный расчет'!$P$1=1,'Исходные данные'!$D$82*'Детальный расчет'!AL24,0)+IF('Обобщенный расчет'!$P$1=2,'Исходные данные'!$H$83)</f>
        <v>1994</v>
      </c>
      <c r="AM75" s="89">
        <f>AM13*IF('Обобщенный расчет'!$P$1=1,'Исходные данные'!$D$82*'Детальный расчет'!AM24,0)+IF('Обобщенный расчет'!$P$1=2,'Исходные данные'!$H$83)</f>
        <v>1994</v>
      </c>
      <c r="AN75" s="89">
        <f>AN13*IF('Обобщенный расчет'!$P$1=1,'Исходные данные'!$D$82*'Детальный расчет'!AN24,0)+IF('Обобщенный расчет'!$P$1=2,'Исходные данные'!$H$83)</f>
        <v>1994</v>
      </c>
      <c r="AO75" s="89">
        <f>AO13*IF('Обобщенный расчет'!$P$1=1,'Исходные данные'!$D$82*'Детальный расчет'!AO24,0)+IF('Обобщенный расчет'!$P$1=2,'Исходные данные'!$H$83)</f>
        <v>1994</v>
      </c>
      <c r="AP75" s="89">
        <f>AP13*IF('Обобщенный расчет'!$P$1=1,'Исходные данные'!$D$82*'Детальный расчет'!AP24,0)+IF('Обобщенный расчет'!$P$1=2,'Исходные данные'!$H$83)</f>
        <v>1994</v>
      </c>
      <c r="AQ75" s="89">
        <f>AQ13*IF('Обобщенный расчет'!$P$1=1,'Исходные данные'!$D$82*'Детальный расчет'!AQ24,0)+IF('Обобщенный расчет'!$P$1=2,'Исходные данные'!$H$83)</f>
        <v>1994</v>
      </c>
      <c r="AR75" s="90">
        <f t="shared" si="135"/>
        <v>23928</v>
      </c>
      <c r="AS75" s="90">
        <f t="shared" si="136"/>
        <v>1994</v>
      </c>
      <c r="AT75" s="85">
        <f t="shared" si="137"/>
        <v>71784</v>
      </c>
      <c r="AU75" s="91"/>
      <c r="AW75" s="92" t="s">
        <v>235</v>
      </c>
      <c r="AX75" s="92" t="s">
        <v>268</v>
      </c>
    </row>
    <row r="76" spans="1:50" s="87" customFormat="1" ht="10.5" x14ac:dyDescent="0.35">
      <c r="A76" s="105" t="str">
        <f>'Обобщенный расчет'!B57</f>
        <v>Локальна реклама (буклети, друкована продукція і т.п.)</v>
      </c>
      <c r="B76" s="82" t="str">
        <f>CHOOSE('Исходные данные'!$O$2,'Исходные данные'!$P$2,'Исходные данные'!$P$3,'Исходные данные'!$P$4,'Исходные данные'!$P$5)</f>
        <v>UAH</v>
      </c>
      <c r="C76" s="83"/>
      <c r="D76" s="83">
        <f>'Исходные данные'!$H$84</f>
        <v>4000</v>
      </c>
      <c r="E76" s="83">
        <f>'Исходные данные'!$H$84</f>
        <v>4000</v>
      </c>
      <c r="F76" s="83">
        <f>'Исходные данные'!$H$84</f>
        <v>4000</v>
      </c>
      <c r="G76" s="83">
        <f>'Исходные данные'!$H$84</f>
        <v>4000</v>
      </c>
      <c r="H76" s="83">
        <f>'Исходные данные'!$H$84</f>
        <v>4000</v>
      </c>
      <c r="I76" s="83">
        <f>'Исходные данные'!$H$84</f>
        <v>4000</v>
      </c>
      <c r="J76" s="83">
        <f>'Исходные данные'!$H$84</f>
        <v>4000</v>
      </c>
      <c r="K76" s="83">
        <f>'Исходные данные'!$H$84</f>
        <v>4000</v>
      </c>
      <c r="L76" s="83">
        <f>'Исходные данные'!$H$84</f>
        <v>4000</v>
      </c>
      <c r="M76" s="83">
        <f>'Исходные данные'!$H$84</f>
        <v>4000</v>
      </c>
      <c r="N76" s="83">
        <f>'Исходные данные'!$H$84</f>
        <v>4000</v>
      </c>
      <c r="O76" s="83">
        <f>'Исходные данные'!$H$84</f>
        <v>4000</v>
      </c>
      <c r="P76" s="84">
        <f t="shared" si="112"/>
        <v>48000</v>
      </c>
      <c r="Q76" s="84">
        <f t="shared" si="113"/>
        <v>4000</v>
      </c>
      <c r="R76" s="83">
        <f>'Исходные данные'!$H$84</f>
        <v>4000</v>
      </c>
      <c r="S76" s="83">
        <f>'Исходные данные'!$H$84</f>
        <v>4000</v>
      </c>
      <c r="T76" s="83">
        <f>'Исходные данные'!$H$84</f>
        <v>4000</v>
      </c>
      <c r="U76" s="83">
        <f>'Исходные данные'!$H$84</f>
        <v>4000</v>
      </c>
      <c r="V76" s="83">
        <f>'Исходные данные'!$H$84</f>
        <v>4000</v>
      </c>
      <c r="W76" s="83">
        <f>'Исходные данные'!$H$84</f>
        <v>4000</v>
      </c>
      <c r="X76" s="83">
        <f>'Исходные данные'!$H$84</f>
        <v>4000</v>
      </c>
      <c r="Y76" s="83">
        <f>'Исходные данные'!$H$84</f>
        <v>4000</v>
      </c>
      <c r="Z76" s="83">
        <f>'Исходные данные'!$H$84</f>
        <v>4000</v>
      </c>
      <c r="AA76" s="83">
        <f>'Исходные данные'!$H$84</f>
        <v>4000</v>
      </c>
      <c r="AB76" s="83">
        <f>'Исходные данные'!$H$84</f>
        <v>4000</v>
      </c>
      <c r="AC76" s="83">
        <f>'Исходные данные'!$H$84</f>
        <v>4000</v>
      </c>
      <c r="AD76" s="84">
        <f>SUM(R76:AC76)</f>
        <v>48000</v>
      </c>
      <c r="AE76" s="84">
        <f>AD76/12</f>
        <v>4000</v>
      </c>
      <c r="AF76" s="83">
        <f>'Исходные данные'!$H$84</f>
        <v>4000</v>
      </c>
      <c r="AG76" s="83">
        <f>'Исходные данные'!$H$84</f>
        <v>4000</v>
      </c>
      <c r="AH76" s="83">
        <f>'Исходные данные'!$H$84</f>
        <v>4000</v>
      </c>
      <c r="AI76" s="83">
        <f>'Исходные данные'!$H$84</f>
        <v>4000</v>
      </c>
      <c r="AJ76" s="83">
        <f>'Исходные данные'!$H$84</f>
        <v>4000</v>
      </c>
      <c r="AK76" s="83">
        <f>'Исходные данные'!$H$84</f>
        <v>4000</v>
      </c>
      <c r="AL76" s="83">
        <f>'Исходные данные'!$H$84</f>
        <v>4000</v>
      </c>
      <c r="AM76" s="83">
        <f>'Исходные данные'!$H$84</f>
        <v>4000</v>
      </c>
      <c r="AN76" s="83">
        <f>'Исходные данные'!$H$84</f>
        <v>4000</v>
      </c>
      <c r="AO76" s="83">
        <f>'Исходные данные'!$H$84</f>
        <v>4000</v>
      </c>
      <c r="AP76" s="83">
        <f>'Исходные данные'!$H$84</f>
        <v>4000</v>
      </c>
      <c r="AQ76" s="83">
        <f>'Исходные данные'!$H$84</f>
        <v>4000</v>
      </c>
      <c r="AR76" s="84">
        <f>SUM(AF76:AQ76)</f>
        <v>48000</v>
      </c>
      <c r="AS76" s="84">
        <f>AR76/12</f>
        <v>4000</v>
      </c>
      <c r="AT76" s="85">
        <f>P76+AD76+AR76</f>
        <v>144000</v>
      </c>
      <c r="AU76" s="86"/>
      <c r="AW76" s="87" t="s">
        <v>236</v>
      </c>
      <c r="AX76" s="87" t="s">
        <v>269</v>
      </c>
    </row>
    <row r="77" spans="1:50" s="92" customFormat="1" ht="10.5" x14ac:dyDescent="0.35">
      <c r="A77" s="104" t="str">
        <f>'Обобщенный расчет'!B58</f>
        <v>Інше</v>
      </c>
      <c r="B77" s="88" t="str">
        <f>CHOOSE('Исходные данные'!$O$2,'Исходные данные'!$P$2,'Исходные данные'!$P$3,'Исходные данные'!$P$4,'Исходные данные'!$P$5)</f>
        <v>UAH</v>
      </c>
      <c r="C77" s="89"/>
      <c r="D77" s="89">
        <f>'Исходные данные'!$H$85</f>
        <v>0</v>
      </c>
      <c r="E77" s="89">
        <f>'Исходные данные'!$H$85</f>
        <v>0</v>
      </c>
      <c r="F77" s="89">
        <f>'Исходные данные'!$H$85</f>
        <v>0</v>
      </c>
      <c r="G77" s="89">
        <f>'Исходные данные'!$H$85</f>
        <v>0</v>
      </c>
      <c r="H77" s="89">
        <f>'Исходные данные'!$H$85</f>
        <v>0</v>
      </c>
      <c r="I77" s="89">
        <f>'Исходные данные'!$H$85</f>
        <v>0</v>
      </c>
      <c r="J77" s="89">
        <f>'Исходные данные'!$H$85</f>
        <v>0</v>
      </c>
      <c r="K77" s="89">
        <f>'Исходные данные'!$H$85</f>
        <v>0</v>
      </c>
      <c r="L77" s="89">
        <f>'Исходные данные'!$H$85</f>
        <v>0</v>
      </c>
      <c r="M77" s="89">
        <f>'Исходные данные'!$H$85</f>
        <v>0</v>
      </c>
      <c r="N77" s="89">
        <f>'Исходные данные'!$H$85</f>
        <v>0</v>
      </c>
      <c r="O77" s="89">
        <f>'Исходные данные'!$H$85</f>
        <v>0</v>
      </c>
      <c r="P77" s="90">
        <f t="shared" si="112"/>
        <v>0</v>
      </c>
      <c r="Q77" s="90">
        <f t="shared" si="113"/>
        <v>0</v>
      </c>
      <c r="R77" s="89">
        <f>'Исходные данные'!$H$85</f>
        <v>0</v>
      </c>
      <c r="S77" s="89">
        <f>'Исходные данные'!$H$85</f>
        <v>0</v>
      </c>
      <c r="T77" s="89">
        <f>'Исходные данные'!$H$85</f>
        <v>0</v>
      </c>
      <c r="U77" s="89">
        <f>'Исходные данные'!$H$85</f>
        <v>0</v>
      </c>
      <c r="V77" s="89">
        <f>'Исходные данные'!$H$85</f>
        <v>0</v>
      </c>
      <c r="W77" s="89">
        <f>'Исходные данные'!$H$85</f>
        <v>0</v>
      </c>
      <c r="X77" s="89">
        <f>'Исходные данные'!$H$85</f>
        <v>0</v>
      </c>
      <c r="Y77" s="89">
        <f>'Исходные данные'!$H$85</f>
        <v>0</v>
      </c>
      <c r="Z77" s="89">
        <f>'Исходные данные'!$H$85</f>
        <v>0</v>
      </c>
      <c r="AA77" s="89">
        <f>'Исходные данные'!$H$85</f>
        <v>0</v>
      </c>
      <c r="AB77" s="89">
        <f>'Исходные данные'!$H$85</f>
        <v>0</v>
      </c>
      <c r="AC77" s="89">
        <f>'Исходные данные'!$H$85</f>
        <v>0</v>
      </c>
      <c r="AD77" s="90">
        <f>SUM(R77:AC77)</f>
        <v>0</v>
      </c>
      <c r="AE77" s="90">
        <f>AD77/12</f>
        <v>0</v>
      </c>
      <c r="AF77" s="89">
        <f>'Исходные данные'!$H$85</f>
        <v>0</v>
      </c>
      <c r="AG77" s="89">
        <f>'Исходные данные'!$H$85</f>
        <v>0</v>
      </c>
      <c r="AH77" s="89">
        <f>'Исходные данные'!$H$85</f>
        <v>0</v>
      </c>
      <c r="AI77" s="89">
        <f>'Исходные данные'!$H$85</f>
        <v>0</v>
      </c>
      <c r="AJ77" s="89">
        <f>'Исходные данные'!$H$85</f>
        <v>0</v>
      </c>
      <c r="AK77" s="89">
        <f>'Исходные данные'!$H$85</f>
        <v>0</v>
      </c>
      <c r="AL77" s="89">
        <f>'Исходные данные'!$H$85</f>
        <v>0</v>
      </c>
      <c r="AM77" s="89">
        <f>'Исходные данные'!$H$85</f>
        <v>0</v>
      </c>
      <c r="AN77" s="89">
        <f>'Исходные данные'!$H$85</f>
        <v>0</v>
      </c>
      <c r="AO77" s="89">
        <f>'Исходные данные'!$H$85</f>
        <v>0</v>
      </c>
      <c r="AP77" s="89">
        <f>'Исходные данные'!$H$85</f>
        <v>0</v>
      </c>
      <c r="AQ77" s="89">
        <f>'Исходные данные'!$H$85</f>
        <v>0</v>
      </c>
      <c r="AR77" s="90">
        <f>SUM(AF77:AQ77)</f>
        <v>0</v>
      </c>
      <c r="AS77" s="90">
        <f>AR77/12</f>
        <v>0</v>
      </c>
      <c r="AT77" s="85">
        <f>P77+AD77+AR77</f>
        <v>0</v>
      </c>
      <c r="AU77" s="91"/>
      <c r="AW77" s="92" t="s">
        <v>12</v>
      </c>
      <c r="AX77" s="92" t="s">
        <v>270</v>
      </c>
    </row>
    <row r="78" spans="1:50" s="8" customFormat="1" x14ac:dyDescent="0.4">
      <c r="A78" s="112" t="str">
        <f>A46</f>
        <v>Разом собівартість</v>
      </c>
      <c r="B78" s="113" t="str">
        <f>CHOOSE('Исходные данные'!$O$2,'Исходные данные'!$P$2,'Исходные данные'!$P$3,'Исходные данные'!$P$4,'Исходные данные'!$P$5)</f>
        <v>UAH</v>
      </c>
      <c r="C78" s="114">
        <f t="shared" ref="C78:AT78" si="143">SUM(C61:C77)</f>
        <v>0</v>
      </c>
      <c r="D78" s="114">
        <f t="shared" si="143"/>
        <v>65665.048999999999</v>
      </c>
      <c r="E78" s="114">
        <f t="shared" si="143"/>
        <v>83776.415000000008</v>
      </c>
      <c r="F78" s="114">
        <f t="shared" si="143"/>
        <v>103006.77399999998</v>
      </c>
      <c r="G78" s="114">
        <f t="shared" si="143"/>
        <v>101713.10500000001</v>
      </c>
      <c r="H78" s="114">
        <f t="shared" si="143"/>
        <v>108181.45000000001</v>
      </c>
      <c r="I78" s="114">
        <f t="shared" si="143"/>
        <v>97744.760000000009</v>
      </c>
      <c r="J78" s="114">
        <f t="shared" si="143"/>
        <v>101713.10500000001</v>
      </c>
      <c r="K78" s="114">
        <f t="shared" si="143"/>
        <v>104947.2775</v>
      </c>
      <c r="L78" s="114">
        <f t="shared" si="143"/>
        <v>108181.45000000001</v>
      </c>
      <c r="M78" s="114">
        <f t="shared" si="143"/>
        <v>108181.45000000001</v>
      </c>
      <c r="N78" s="114">
        <f t="shared" si="143"/>
        <v>108181.45000000001</v>
      </c>
      <c r="O78" s="114">
        <f t="shared" si="143"/>
        <v>110681.45000000001</v>
      </c>
      <c r="P78" s="114">
        <f t="shared" si="143"/>
        <v>1201973.7355</v>
      </c>
      <c r="Q78" s="114">
        <f t="shared" si="143"/>
        <v>100164.47795833334</v>
      </c>
      <c r="R78" s="114">
        <f t="shared" si="143"/>
        <v>93304.256500000003</v>
      </c>
      <c r="S78" s="114">
        <f t="shared" si="143"/>
        <v>114649.79500000001</v>
      </c>
      <c r="T78" s="114">
        <f t="shared" si="143"/>
        <v>125322.56425</v>
      </c>
      <c r="U78" s="114">
        <f t="shared" si="143"/>
        <v>114649.79500000001</v>
      </c>
      <c r="V78" s="114">
        <f t="shared" si="143"/>
        <v>114649.79500000001</v>
      </c>
      <c r="W78" s="114">
        <f t="shared" si="143"/>
        <v>102919.436</v>
      </c>
      <c r="X78" s="114">
        <f t="shared" si="143"/>
        <v>107534.61550000001</v>
      </c>
      <c r="Y78" s="114">
        <f t="shared" si="143"/>
        <v>111092.20525</v>
      </c>
      <c r="Z78" s="114">
        <f t="shared" si="143"/>
        <v>114649.79500000001</v>
      </c>
      <c r="AA78" s="114">
        <f t="shared" si="143"/>
        <v>114649.79500000001</v>
      </c>
      <c r="AB78" s="114">
        <f t="shared" si="143"/>
        <v>114649.79500000001</v>
      </c>
      <c r="AC78" s="114">
        <f t="shared" si="143"/>
        <v>117149.79500000001</v>
      </c>
      <c r="AD78" s="114">
        <f t="shared" si="143"/>
        <v>1345221.6425000001</v>
      </c>
      <c r="AE78" s="114">
        <f t="shared" si="143"/>
        <v>112101.80354166667</v>
      </c>
      <c r="AF78" s="114">
        <f t="shared" si="143"/>
        <v>97832.097999999998</v>
      </c>
      <c r="AG78" s="114">
        <f t="shared" si="143"/>
        <v>121118.14000000001</v>
      </c>
      <c r="AH78" s="114">
        <f t="shared" si="143"/>
        <v>132761.16100000002</v>
      </c>
      <c r="AI78" s="114">
        <f t="shared" si="143"/>
        <v>121118.14000000001</v>
      </c>
      <c r="AJ78" s="114">
        <f t="shared" si="143"/>
        <v>121118.14000000001</v>
      </c>
      <c r="AK78" s="114">
        <f t="shared" si="143"/>
        <v>108094.11199999999</v>
      </c>
      <c r="AL78" s="114">
        <f t="shared" si="143"/>
        <v>113356.12600000002</v>
      </c>
      <c r="AM78" s="114">
        <f t="shared" si="143"/>
        <v>117237.133</v>
      </c>
      <c r="AN78" s="114">
        <f t="shared" si="143"/>
        <v>121118.14000000001</v>
      </c>
      <c r="AO78" s="114">
        <f t="shared" si="143"/>
        <v>121118.14000000001</v>
      </c>
      <c r="AP78" s="114">
        <f t="shared" si="143"/>
        <v>121118.14000000001</v>
      </c>
      <c r="AQ78" s="114">
        <f t="shared" si="143"/>
        <v>123618.14000000001</v>
      </c>
      <c r="AR78" s="114">
        <f t="shared" si="143"/>
        <v>1419607.6099999999</v>
      </c>
      <c r="AS78" s="114">
        <f t="shared" si="143"/>
        <v>118300.63416666667</v>
      </c>
      <c r="AT78" s="114">
        <f t="shared" si="143"/>
        <v>3966802.9880000004</v>
      </c>
      <c r="AW78" s="229" t="s">
        <v>13</v>
      </c>
      <c r="AX78" s="8" t="s">
        <v>271</v>
      </c>
    </row>
    <row r="79" spans="1:50" s="9" customFormat="1" ht="12.6" thickBot="1" x14ac:dyDescent="0.45">
      <c r="A79" s="115"/>
      <c r="B79" s="116"/>
      <c r="C79" s="116"/>
      <c r="D79" s="117"/>
      <c r="E79" s="117"/>
      <c r="F79" s="117"/>
      <c r="G79" s="117"/>
      <c r="H79" s="117"/>
      <c r="I79" s="117"/>
      <c r="J79" s="115"/>
      <c r="K79" s="115"/>
      <c r="L79" s="115"/>
      <c r="M79" s="115"/>
      <c r="N79" s="115"/>
      <c r="O79" s="115"/>
      <c r="P79" s="118"/>
      <c r="Q79" s="118"/>
      <c r="R79" s="117"/>
      <c r="S79" s="117"/>
      <c r="T79" s="117"/>
      <c r="U79" s="117"/>
      <c r="V79" s="117"/>
      <c r="W79" s="117"/>
      <c r="X79" s="115"/>
      <c r="Y79" s="115"/>
      <c r="Z79" s="115"/>
      <c r="AA79" s="115"/>
      <c r="AB79" s="115"/>
      <c r="AC79" s="115"/>
      <c r="AD79" s="118"/>
      <c r="AE79" s="118"/>
      <c r="AF79" s="117"/>
      <c r="AG79" s="117"/>
      <c r="AH79" s="117"/>
      <c r="AI79" s="117"/>
      <c r="AJ79" s="117"/>
      <c r="AK79" s="117"/>
      <c r="AL79" s="115"/>
      <c r="AM79" s="115"/>
      <c r="AN79" s="115"/>
      <c r="AO79" s="115"/>
      <c r="AP79" s="115"/>
      <c r="AQ79" s="115"/>
      <c r="AR79" s="118"/>
      <c r="AS79" s="118"/>
      <c r="AT79" s="115"/>
      <c r="AW79" s="229" t="s">
        <v>1</v>
      </c>
      <c r="AX79" s="9" t="s">
        <v>185</v>
      </c>
    </row>
    <row r="80" spans="1:50" s="81" customFormat="1" ht="21.6" thickTop="1" thickBot="1" x14ac:dyDescent="0.45">
      <c r="A80" s="77" t="str">
        <f>CHOOSE('Исходные данные'!$U$2,AW68,AX68)</f>
        <v>ЗВІТ ПРО ПРИБУТКИ ТА ЗБИТКИ</v>
      </c>
      <c r="B80" s="78"/>
      <c r="C80" s="78" t="str">
        <f t="shared" ref="C80:O80" si="144">C$6</f>
        <v>грудень</v>
      </c>
      <c r="D80" s="78" t="str">
        <f t="shared" si="144"/>
        <v>січень</v>
      </c>
      <c r="E80" s="78" t="str">
        <f t="shared" si="144"/>
        <v>лютий</v>
      </c>
      <c r="F80" s="78" t="str">
        <f t="shared" si="144"/>
        <v>березень</v>
      </c>
      <c r="G80" s="78" t="str">
        <f t="shared" si="144"/>
        <v>квітень</v>
      </c>
      <c r="H80" s="78" t="str">
        <f t="shared" si="144"/>
        <v>травень</v>
      </c>
      <c r="I80" s="78" t="str">
        <f t="shared" si="144"/>
        <v>червень</v>
      </c>
      <c r="J80" s="78" t="str">
        <f t="shared" si="144"/>
        <v>липень</v>
      </c>
      <c r="K80" s="78" t="str">
        <f t="shared" si="144"/>
        <v>серпень</v>
      </c>
      <c r="L80" s="78" t="str">
        <f t="shared" si="144"/>
        <v>вересень</v>
      </c>
      <c r="M80" s="78" t="str">
        <f t="shared" si="144"/>
        <v>жовтень</v>
      </c>
      <c r="N80" s="78" t="str">
        <f t="shared" si="144"/>
        <v>листопад</v>
      </c>
      <c r="O80" s="78" t="str">
        <f t="shared" si="144"/>
        <v>грудень</v>
      </c>
      <c r="P80" s="103" t="str">
        <f>$P$16</f>
        <v>1-й рік роботи</v>
      </c>
      <c r="Q80" s="103" t="str">
        <f>$Q$16</f>
        <v>Середньомісячно за 1-й рік</v>
      </c>
      <c r="R80" s="78" t="str">
        <f t="shared" ref="R80:AC80" si="145">R$6</f>
        <v>січень</v>
      </c>
      <c r="S80" s="78" t="str">
        <f t="shared" si="145"/>
        <v>лютий</v>
      </c>
      <c r="T80" s="78" t="str">
        <f t="shared" si="145"/>
        <v>березень</v>
      </c>
      <c r="U80" s="78" t="str">
        <f t="shared" si="145"/>
        <v>квітень</v>
      </c>
      <c r="V80" s="78" t="str">
        <f t="shared" si="145"/>
        <v>травень</v>
      </c>
      <c r="W80" s="78" t="str">
        <f t="shared" si="145"/>
        <v>червень</v>
      </c>
      <c r="X80" s="78" t="str">
        <f t="shared" si="145"/>
        <v>липень</v>
      </c>
      <c r="Y80" s="78" t="str">
        <f t="shared" si="145"/>
        <v>серпень</v>
      </c>
      <c r="Z80" s="78" t="str">
        <f t="shared" si="145"/>
        <v>вересень</v>
      </c>
      <c r="AA80" s="78" t="str">
        <f t="shared" si="145"/>
        <v>жовтень</v>
      </c>
      <c r="AB80" s="78" t="str">
        <f t="shared" si="145"/>
        <v>листопад</v>
      </c>
      <c r="AC80" s="78" t="str">
        <f t="shared" si="145"/>
        <v>грудень</v>
      </c>
      <c r="AD80" s="103" t="str">
        <f>AD60</f>
        <v>2-й рік роботи</v>
      </c>
      <c r="AE80" s="103" t="str">
        <f>AE60</f>
        <v>Середньомісячно за 2-й рік</v>
      </c>
      <c r="AF80" s="78" t="str">
        <f t="shared" ref="AF80:AQ80" si="146">AF$6</f>
        <v>січень</v>
      </c>
      <c r="AG80" s="78" t="str">
        <f t="shared" si="146"/>
        <v>лютий</v>
      </c>
      <c r="AH80" s="78" t="str">
        <f t="shared" si="146"/>
        <v>березень</v>
      </c>
      <c r="AI80" s="78" t="str">
        <f t="shared" si="146"/>
        <v>квітень</v>
      </c>
      <c r="AJ80" s="78" t="str">
        <f t="shared" si="146"/>
        <v>травень</v>
      </c>
      <c r="AK80" s="78" t="str">
        <f t="shared" si="146"/>
        <v>червень</v>
      </c>
      <c r="AL80" s="78" t="str">
        <f t="shared" si="146"/>
        <v>липень</v>
      </c>
      <c r="AM80" s="78" t="str">
        <f t="shared" si="146"/>
        <v>серпень</v>
      </c>
      <c r="AN80" s="78" t="str">
        <f t="shared" si="146"/>
        <v>вересень</v>
      </c>
      <c r="AO80" s="78" t="str">
        <f t="shared" si="146"/>
        <v>жовтень</v>
      </c>
      <c r="AP80" s="78" t="str">
        <f t="shared" si="146"/>
        <v>листопад</v>
      </c>
      <c r="AQ80" s="78" t="str">
        <f t="shared" si="146"/>
        <v>грудень</v>
      </c>
      <c r="AR80" s="103" t="str">
        <f>AR60</f>
        <v>3-й рік роботи</v>
      </c>
      <c r="AS80" s="103" t="str">
        <f>AS60</f>
        <v>Середньомісячно за 3-й рік</v>
      </c>
      <c r="AT80" s="196" t="str">
        <f>AT60</f>
        <v>Разом за три роки</v>
      </c>
      <c r="AW80" s="229" t="s">
        <v>14</v>
      </c>
      <c r="AX80" s="81" t="s">
        <v>272</v>
      </c>
    </row>
    <row r="81" spans="1:50" s="81" customFormat="1" ht="12.6" thickTop="1" x14ac:dyDescent="0.4">
      <c r="A81" s="119" t="str">
        <f>CHOOSE('Исходные данные'!$U$2,AW69,AX69)</f>
        <v>Виручка</v>
      </c>
      <c r="B81" s="88" t="str">
        <f>CHOOSE('Исходные данные'!$O$2,'Исходные данные'!$P$2,'Исходные данные'!$P$3,'Исходные данные'!$P$4,'Исходные данные'!$P$5)</f>
        <v>UAH</v>
      </c>
      <c r="C81" s="120">
        <f t="shared" ref="C81:O81" si="147">C24</f>
        <v>0</v>
      </c>
      <c r="D81" s="120">
        <f t="shared" si="147"/>
        <v>143041.5</v>
      </c>
      <c r="E81" s="120">
        <f t="shared" si="147"/>
        <v>238402.5</v>
      </c>
      <c r="F81" s="120">
        <f t="shared" si="147"/>
        <v>313329</v>
      </c>
      <c r="G81" s="120">
        <f t="shared" si="147"/>
        <v>306517.5</v>
      </c>
      <c r="H81" s="120">
        <f t="shared" si="147"/>
        <v>340575</v>
      </c>
      <c r="I81" s="120">
        <f t="shared" si="147"/>
        <v>272460</v>
      </c>
      <c r="J81" s="120">
        <f t="shared" si="147"/>
        <v>306517.5</v>
      </c>
      <c r="K81" s="120">
        <f t="shared" si="147"/>
        <v>323546.25</v>
      </c>
      <c r="L81" s="120">
        <f t="shared" si="147"/>
        <v>340575</v>
      </c>
      <c r="M81" s="120">
        <f t="shared" si="147"/>
        <v>340575</v>
      </c>
      <c r="N81" s="120">
        <f t="shared" si="147"/>
        <v>340575</v>
      </c>
      <c r="O81" s="120">
        <f t="shared" si="147"/>
        <v>340575</v>
      </c>
      <c r="P81" s="121">
        <f t="shared" ref="P81:P87" si="148">SUM(D81:O81)</f>
        <v>3606689.25</v>
      </c>
      <c r="Q81" s="121">
        <f t="shared" ref="Q81:Q87" si="149">P81/12</f>
        <v>300557.4375</v>
      </c>
      <c r="R81" s="120">
        <f t="shared" ref="R81:AC81" si="150">R24</f>
        <v>262242.75</v>
      </c>
      <c r="S81" s="120">
        <f t="shared" si="150"/>
        <v>374632.5</v>
      </c>
      <c r="T81" s="120">
        <f t="shared" si="150"/>
        <v>430827.37499999994</v>
      </c>
      <c r="U81" s="120">
        <f t="shared" si="150"/>
        <v>374632.5</v>
      </c>
      <c r="V81" s="120">
        <f t="shared" si="150"/>
        <v>374632.5</v>
      </c>
      <c r="W81" s="120">
        <f t="shared" si="150"/>
        <v>299706.00000000006</v>
      </c>
      <c r="X81" s="120">
        <f t="shared" si="150"/>
        <v>337169.25</v>
      </c>
      <c r="Y81" s="120">
        <f t="shared" si="150"/>
        <v>355900.875</v>
      </c>
      <c r="Z81" s="120">
        <f t="shared" si="150"/>
        <v>374632.5</v>
      </c>
      <c r="AA81" s="120">
        <f t="shared" si="150"/>
        <v>374632.5</v>
      </c>
      <c r="AB81" s="120">
        <f t="shared" si="150"/>
        <v>374632.5</v>
      </c>
      <c r="AC81" s="120">
        <f t="shared" si="150"/>
        <v>374632.5</v>
      </c>
      <c r="AD81" s="121">
        <f t="shared" ref="AD81:AD87" si="151">SUM(R81:AC81)</f>
        <v>4308273.75</v>
      </c>
      <c r="AE81" s="121">
        <f t="shared" ref="AE81:AE87" si="152">AD81/12</f>
        <v>359022.8125</v>
      </c>
      <c r="AF81" s="120">
        <f t="shared" ref="AF81:AQ81" si="153">AF24</f>
        <v>286083</v>
      </c>
      <c r="AG81" s="120">
        <f t="shared" si="153"/>
        <v>408690</v>
      </c>
      <c r="AH81" s="120">
        <f t="shared" si="153"/>
        <v>469993.5</v>
      </c>
      <c r="AI81" s="120">
        <f t="shared" si="153"/>
        <v>408690</v>
      </c>
      <c r="AJ81" s="120">
        <f t="shared" si="153"/>
        <v>408690</v>
      </c>
      <c r="AK81" s="120">
        <f t="shared" si="153"/>
        <v>326952</v>
      </c>
      <c r="AL81" s="120">
        <f t="shared" si="153"/>
        <v>367821</v>
      </c>
      <c r="AM81" s="120">
        <f t="shared" si="153"/>
        <v>388255.49999999994</v>
      </c>
      <c r="AN81" s="120">
        <f t="shared" si="153"/>
        <v>408690</v>
      </c>
      <c r="AO81" s="120">
        <f t="shared" si="153"/>
        <v>408690</v>
      </c>
      <c r="AP81" s="120">
        <f t="shared" si="153"/>
        <v>408690</v>
      </c>
      <c r="AQ81" s="120">
        <f t="shared" si="153"/>
        <v>408690</v>
      </c>
      <c r="AR81" s="121">
        <f t="shared" ref="AR81:AR87" si="154">SUM(AF81:AQ81)</f>
        <v>4699935</v>
      </c>
      <c r="AS81" s="121">
        <f t="shared" ref="AS81:AS87" si="155">AR81/12</f>
        <v>391661.25</v>
      </c>
      <c r="AT81" s="122">
        <f t="shared" ref="AT81:AT86" si="156">P81+AD81+AR81</f>
        <v>12614898</v>
      </c>
      <c r="AW81" s="229" t="s">
        <v>15</v>
      </c>
      <c r="AX81" s="81" t="s">
        <v>273</v>
      </c>
    </row>
    <row r="82" spans="1:50" s="81" customFormat="1" x14ac:dyDescent="0.4">
      <c r="A82" s="123" t="str">
        <f>CHOOSE('Исходные данные'!$U$2,AW70,AX70)</f>
        <v>- Собівартість</v>
      </c>
      <c r="B82" s="88" t="str">
        <f>CHOOSE('Исходные данные'!$O$2,'Исходные данные'!$P$2,'Исходные данные'!$P$3,'Исходные данные'!$P$4,'Исходные данные'!$P$5)</f>
        <v>UAH</v>
      </c>
      <c r="C82" s="120">
        <f t="shared" ref="C82:O82" si="157">C46</f>
        <v>0</v>
      </c>
      <c r="D82" s="120">
        <f t="shared" si="157"/>
        <v>70616.700000000012</v>
      </c>
      <c r="E82" s="120">
        <f t="shared" si="157"/>
        <v>117694.5</v>
      </c>
      <c r="F82" s="120">
        <f t="shared" si="157"/>
        <v>154684.19999999998</v>
      </c>
      <c r="G82" s="120">
        <f t="shared" si="157"/>
        <v>151321.5</v>
      </c>
      <c r="H82" s="120">
        <f t="shared" si="157"/>
        <v>168135</v>
      </c>
      <c r="I82" s="120">
        <f t="shared" si="157"/>
        <v>134508</v>
      </c>
      <c r="J82" s="120">
        <f t="shared" si="157"/>
        <v>151321.5</v>
      </c>
      <c r="K82" s="120">
        <f t="shared" si="157"/>
        <v>159728.25</v>
      </c>
      <c r="L82" s="120">
        <f t="shared" si="157"/>
        <v>168135</v>
      </c>
      <c r="M82" s="120">
        <f t="shared" si="157"/>
        <v>168135</v>
      </c>
      <c r="N82" s="120">
        <f t="shared" si="157"/>
        <v>168135</v>
      </c>
      <c r="O82" s="120">
        <f t="shared" si="157"/>
        <v>168135</v>
      </c>
      <c r="P82" s="121">
        <f t="shared" si="148"/>
        <v>1780549.65</v>
      </c>
      <c r="Q82" s="121">
        <f t="shared" si="149"/>
        <v>148379.13749999998</v>
      </c>
      <c r="R82" s="120">
        <f t="shared" ref="R82:AC82" si="158">R46</f>
        <v>129463.95</v>
      </c>
      <c r="S82" s="120">
        <f t="shared" si="158"/>
        <v>184948.5</v>
      </c>
      <c r="T82" s="120">
        <f t="shared" si="158"/>
        <v>212690.77499999999</v>
      </c>
      <c r="U82" s="120">
        <f t="shared" si="158"/>
        <v>184948.5</v>
      </c>
      <c r="V82" s="120">
        <f t="shared" si="158"/>
        <v>184948.5</v>
      </c>
      <c r="W82" s="120">
        <f t="shared" si="158"/>
        <v>147958.80000000002</v>
      </c>
      <c r="X82" s="120">
        <f t="shared" si="158"/>
        <v>166453.65000000002</v>
      </c>
      <c r="Y82" s="120">
        <f t="shared" si="158"/>
        <v>175701.07500000001</v>
      </c>
      <c r="Z82" s="120">
        <f t="shared" si="158"/>
        <v>184948.5</v>
      </c>
      <c r="AA82" s="120">
        <f t="shared" si="158"/>
        <v>184948.5</v>
      </c>
      <c r="AB82" s="120">
        <f t="shared" si="158"/>
        <v>184948.5</v>
      </c>
      <c r="AC82" s="120">
        <f t="shared" si="158"/>
        <v>184948.5</v>
      </c>
      <c r="AD82" s="121">
        <f t="shared" si="151"/>
        <v>2126907.75</v>
      </c>
      <c r="AE82" s="121">
        <f t="shared" si="152"/>
        <v>177242.3125</v>
      </c>
      <c r="AF82" s="120">
        <f t="shared" ref="AF82:AQ82" si="159">AF46</f>
        <v>141233.40000000002</v>
      </c>
      <c r="AG82" s="120">
        <f t="shared" si="159"/>
        <v>201762</v>
      </c>
      <c r="AH82" s="120">
        <f t="shared" si="159"/>
        <v>232026.3</v>
      </c>
      <c r="AI82" s="120">
        <f t="shared" si="159"/>
        <v>201762</v>
      </c>
      <c r="AJ82" s="120">
        <f t="shared" si="159"/>
        <v>201762</v>
      </c>
      <c r="AK82" s="120">
        <f t="shared" si="159"/>
        <v>161409.59999999998</v>
      </c>
      <c r="AL82" s="120">
        <f t="shared" si="159"/>
        <v>181585.8</v>
      </c>
      <c r="AM82" s="120">
        <f t="shared" si="159"/>
        <v>191673.90000000002</v>
      </c>
      <c r="AN82" s="120">
        <f t="shared" si="159"/>
        <v>201762</v>
      </c>
      <c r="AO82" s="120">
        <f t="shared" si="159"/>
        <v>201762</v>
      </c>
      <c r="AP82" s="120">
        <f t="shared" si="159"/>
        <v>201762</v>
      </c>
      <c r="AQ82" s="120">
        <f t="shared" si="159"/>
        <v>201762</v>
      </c>
      <c r="AR82" s="121">
        <f t="shared" si="154"/>
        <v>2320263</v>
      </c>
      <c r="AS82" s="121">
        <f t="shared" si="155"/>
        <v>193355.25</v>
      </c>
      <c r="AT82" s="122">
        <f t="shared" si="156"/>
        <v>6227720.4000000004</v>
      </c>
      <c r="AW82" s="229" t="s">
        <v>16</v>
      </c>
      <c r="AX82" s="81" t="s">
        <v>274</v>
      </c>
    </row>
    <row r="83" spans="1:50" s="81" customFormat="1" x14ac:dyDescent="0.4">
      <c r="A83" s="119" t="str">
        <f>CHOOSE('Исходные данные'!$U$2,AW71,AX71)</f>
        <v>Валовий прибуток</v>
      </c>
      <c r="B83" s="88" t="str">
        <f>CHOOSE('Исходные данные'!$O$2,'Исходные данные'!$P$2,'Исходные данные'!$P$3,'Исходные данные'!$P$4,'Исходные данные'!$P$5)</f>
        <v>UAH</v>
      </c>
      <c r="C83" s="120">
        <f>C81-C82</f>
        <v>0</v>
      </c>
      <c r="D83" s="120">
        <f>D81-D82</f>
        <v>72424.799999999988</v>
      </c>
      <c r="E83" s="120">
        <f t="shared" ref="E83:O83" si="160">E81-E82</f>
        <v>120708</v>
      </c>
      <c r="F83" s="120">
        <f t="shared" si="160"/>
        <v>158644.80000000002</v>
      </c>
      <c r="G83" s="120">
        <f t="shared" si="160"/>
        <v>155196</v>
      </c>
      <c r="H83" s="120">
        <f t="shared" si="160"/>
        <v>172440</v>
      </c>
      <c r="I83" s="120">
        <f t="shared" si="160"/>
        <v>137952</v>
      </c>
      <c r="J83" s="120">
        <f t="shared" si="160"/>
        <v>155196</v>
      </c>
      <c r="K83" s="120">
        <f t="shared" si="160"/>
        <v>163818</v>
      </c>
      <c r="L83" s="120">
        <f t="shared" si="160"/>
        <v>172440</v>
      </c>
      <c r="M83" s="120">
        <f t="shared" si="160"/>
        <v>172440</v>
      </c>
      <c r="N83" s="120">
        <f t="shared" si="160"/>
        <v>172440</v>
      </c>
      <c r="O83" s="120">
        <f t="shared" si="160"/>
        <v>172440</v>
      </c>
      <c r="P83" s="121">
        <f t="shared" si="148"/>
        <v>1826139.6</v>
      </c>
      <c r="Q83" s="121">
        <f t="shared" si="149"/>
        <v>152178.30000000002</v>
      </c>
      <c r="R83" s="120">
        <f>R81-R82</f>
        <v>132778.79999999999</v>
      </c>
      <c r="S83" s="120">
        <f t="shared" ref="S83:AC83" si="161">S81-S82</f>
        <v>189684</v>
      </c>
      <c r="T83" s="120">
        <f t="shared" si="161"/>
        <v>218136.59999999995</v>
      </c>
      <c r="U83" s="120">
        <f t="shared" si="161"/>
        <v>189684</v>
      </c>
      <c r="V83" s="120">
        <f t="shared" si="161"/>
        <v>189684</v>
      </c>
      <c r="W83" s="120">
        <f t="shared" si="161"/>
        <v>151747.20000000004</v>
      </c>
      <c r="X83" s="120">
        <f t="shared" si="161"/>
        <v>170715.59999999998</v>
      </c>
      <c r="Y83" s="120">
        <f t="shared" si="161"/>
        <v>180199.8</v>
      </c>
      <c r="Z83" s="120">
        <f t="shared" si="161"/>
        <v>189684</v>
      </c>
      <c r="AA83" s="120">
        <f t="shared" si="161"/>
        <v>189684</v>
      </c>
      <c r="AB83" s="120">
        <f t="shared" si="161"/>
        <v>189684</v>
      </c>
      <c r="AC83" s="120">
        <f t="shared" si="161"/>
        <v>189684</v>
      </c>
      <c r="AD83" s="121">
        <f t="shared" si="151"/>
        <v>2181366</v>
      </c>
      <c r="AE83" s="121">
        <f t="shared" si="152"/>
        <v>181780.5</v>
      </c>
      <c r="AF83" s="120">
        <f>AF81-AF82</f>
        <v>144849.59999999998</v>
      </c>
      <c r="AG83" s="120">
        <f t="shared" ref="AG83:AQ83" si="162">AG81-AG82</f>
        <v>206928</v>
      </c>
      <c r="AH83" s="120">
        <f t="shared" si="162"/>
        <v>237967.2</v>
      </c>
      <c r="AI83" s="120">
        <f t="shared" si="162"/>
        <v>206928</v>
      </c>
      <c r="AJ83" s="120">
        <f t="shared" si="162"/>
        <v>206928</v>
      </c>
      <c r="AK83" s="120">
        <f t="shared" si="162"/>
        <v>165542.40000000002</v>
      </c>
      <c r="AL83" s="120">
        <f t="shared" si="162"/>
        <v>186235.2</v>
      </c>
      <c r="AM83" s="120">
        <f t="shared" si="162"/>
        <v>196581.59999999992</v>
      </c>
      <c r="AN83" s="120">
        <f t="shared" si="162"/>
        <v>206928</v>
      </c>
      <c r="AO83" s="120">
        <f t="shared" si="162"/>
        <v>206928</v>
      </c>
      <c r="AP83" s="120">
        <f t="shared" si="162"/>
        <v>206928</v>
      </c>
      <c r="AQ83" s="120">
        <f t="shared" si="162"/>
        <v>206928</v>
      </c>
      <c r="AR83" s="121">
        <f t="shared" si="154"/>
        <v>2379672</v>
      </c>
      <c r="AS83" s="121">
        <f t="shared" si="155"/>
        <v>198306</v>
      </c>
      <c r="AT83" s="122">
        <f t="shared" si="156"/>
        <v>6387177.5999999996</v>
      </c>
      <c r="AW83" s="229" t="s">
        <v>17</v>
      </c>
      <c r="AX83" s="81" t="s">
        <v>275</v>
      </c>
    </row>
    <row r="84" spans="1:50" s="127" customFormat="1" x14ac:dyDescent="0.4">
      <c r="A84" s="124" t="str">
        <f>CHOOSE('Исходные данные'!$U$2,AW72,AX72)</f>
        <v>- Інвестиції</v>
      </c>
      <c r="B84" s="125" t="str">
        <f>CHOOSE('Исходные данные'!$O$2,'Исходные данные'!$P$2,'Исходные данные'!$P$3,'Исходные данные'!$P$4,'Исходные данные'!$P$5)</f>
        <v>UAH</v>
      </c>
      <c r="C84" s="126">
        <f t="shared" ref="C84:O84" si="163">C58</f>
        <v>415150</v>
      </c>
      <c r="D84" s="126">
        <f t="shared" si="163"/>
        <v>0</v>
      </c>
      <c r="E84" s="126">
        <f t="shared" si="163"/>
        <v>0</v>
      </c>
      <c r="F84" s="126">
        <f t="shared" si="163"/>
        <v>0</v>
      </c>
      <c r="G84" s="126">
        <f t="shared" si="163"/>
        <v>0</v>
      </c>
      <c r="H84" s="126">
        <f t="shared" si="163"/>
        <v>0</v>
      </c>
      <c r="I84" s="126">
        <f t="shared" si="163"/>
        <v>0</v>
      </c>
      <c r="J84" s="126">
        <f t="shared" si="163"/>
        <v>0</v>
      </c>
      <c r="K84" s="126">
        <f t="shared" si="163"/>
        <v>0</v>
      </c>
      <c r="L84" s="126">
        <f t="shared" si="163"/>
        <v>0</v>
      </c>
      <c r="M84" s="126">
        <f t="shared" si="163"/>
        <v>0</v>
      </c>
      <c r="N84" s="126">
        <f t="shared" si="163"/>
        <v>0</v>
      </c>
      <c r="O84" s="126">
        <f t="shared" si="163"/>
        <v>0</v>
      </c>
      <c r="P84" s="121">
        <f t="shared" si="148"/>
        <v>0</v>
      </c>
      <c r="Q84" s="121"/>
      <c r="R84" s="126">
        <f t="shared" ref="R84:AC84" si="164">R58</f>
        <v>0</v>
      </c>
      <c r="S84" s="126">
        <f t="shared" si="164"/>
        <v>0</v>
      </c>
      <c r="T84" s="126">
        <f t="shared" si="164"/>
        <v>0</v>
      </c>
      <c r="U84" s="126">
        <f t="shared" si="164"/>
        <v>0</v>
      </c>
      <c r="V84" s="126">
        <f t="shared" si="164"/>
        <v>0</v>
      </c>
      <c r="W84" s="126">
        <f t="shared" si="164"/>
        <v>0</v>
      </c>
      <c r="X84" s="126">
        <f t="shared" si="164"/>
        <v>0</v>
      </c>
      <c r="Y84" s="126">
        <f t="shared" si="164"/>
        <v>0</v>
      </c>
      <c r="Z84" s="126">
        <f t="shared" si="164"/>
        <v>0</v>
      </c>
      <c r="AA84" s="126">
        <f t="shared" si="164"/>
        <v>0</v>
      </c>
      <c r="AB84" s="126">
        <f t="shared" si="164"/>
        <v>0</v>
      </c>
      <c r="AC84" s="126">
        <f t="shared" si="164"/>
        <v>0</v>
      </c>
      <c r="AD84" s="121">
        <f t="shared" si="151"/>
        <v>0</v>
      </c>
      <c r="AE84" s="121"/>
      <c r="AF84" s="126">
        <f t="shared" ref="AF84:AQ84" si="165">AF58</f>
        <v>0</v>
      </c>
      <c r="AG84" s="126">
        <f t="shared" si="165"/>
        <v>0</v>
      </c>
      <c r="AH84" s="126">
        <f t="shared" si="165"/>
        <v>0</v>
      </c>
      <c r="AI84" s="126">
        <f t="shared" si="165"/>
        <v>0</v>
      </c>
      <c r="AJ84" s="126">
        <f t="shared" si="165"/>
        <v>0</v>
      </c>
      <c r="AK84" s="126">
        <f t="shared" si="165"/>
        <v>0</v>
      </c>
      <c r="AL84" s="126">
        <f t="shared" si="165"/>
        <v>0</v>
      </c>
      <c r="AM84" s="126">
        <f t="shared" si="165"/>
        <v>0</v>
      </c>
      <c r="AN84" s="126">
        <f t="shared" si="165"/>
        <v>0</v>
      </c>
      <c r="AO84" s="126">
        <f t="shared" si="165"/>
        <v>0</v>
      </c>
      <c r="AP84" s="126">
        <f t="shared" si="165"/>
        <v>0</v>
      </c>
      <c r="AQ84" s="126">
        <f t="shared" si="165"/>
        <v>0</v>
      </c>
      <c r="AR84" s="121">
        <f t="shared" si="154"/>
        <v>0</v>
      </c>
      <c r="AS84" s="121"/>
      <c r="AT84" s="122">
        <f t="shared" si="156"/>
        <v>0</v>
      </c>
      <c r="AW84" s="229" t="s">
        <v>18</v>
      </c>
      <c r="AX84" s="127" t="s">
        <v>276</v>
      </c>
    </row>
    <row r="85" spans="1:50" s="81" customFormat="1" x14ac:dyDescent="0.4">
      <c r="A85" s="123" t="str">
        <f>CHOOSE('Исходные данные'!$U$2,AW73,AX73)</f>
        <v>- Поточні витрати</v>
      </c>
      <c r="B85" s="88" t="str">
        <f>CHOOSE('Исходные данные'!$O$2,'Исходные данные'!$P$2,'Исходные данные'!$P$3,'Исходные данные'!$P$4,'Исходные данные'!$P$5)</f>
        <v>UAH</v>
      </c>
      <c r="C85" s="120">
        <f t="shared" ref="C85:O85" si="166">C78</f>
        <v>0</v>
      </c>
      <c r="D85" s="120">
        <f t="shared" si="166"/>
        <v>65665.048999999999</v>
      </c>
      <c r="E85" s="120">
        <f t="shared" si="166"/>
        <v>83776.415000000008</v>
      </c>
      <c r="F85" s="120">
        <f t="shared" si="166"/>
        <v>103006.77399999998</v>
      </c>
      <c r="G85" s="120">
        <f t="shared" si="166"/>
        <v>101713.10500000001</v>
      </c>
      <c r="H85" s="120">
        <f t="shared" si="166"/>
        <v>108181.45000000001</v>
      </c>
      <c r="I85" s="120">
        <f t="shared" si="166"/>
        <v>97744.760000000009</v>
      </c>
      <c r="J85" s="120">
        <f t="shared" si="166"/>
        <v>101713.10500000001</v>
      </c>
      <c r="K85" s="120">
        <f t="shared" si="166"/>
        <v>104947.2775</v>
      </c>
      <c r="L85" s="120">
        <f t="shared" si="166"/>
        <v>108181.45000000001</v>
      </c>
      <c r="M85" s="120">
        <f t="shared" si="166"/>
        <v>108181.45000000001</v>
      </c>
      <c r="N85" s="120">
        <f t="shared" si="166"/>
        <v>108181.45000000001</v>
      </c>
      <c r="O85" s="120">
        <f t="shared" si="166"/>
        <v>110681.45000000001</v>
      </c>
      <c r="P85" s="121">
        <f t="shared" si="148"/>
        <v>1201973.7355</v>
      </c>
      <c r="Q85" s="121">
        <f t="shared" si="149"/>
        <v>100164.47795833333</v>
      </c>
      <c r="R85" s="120">
        <f t="shared" ref="R85:AC85" si="167">R78</f>
        <v>93304.256500000003</v>
      </c>
      <c r="S85" s="120">
        <f t="shared" si="167"/>
        <v>114649.79500000001</v>
      </c>
      <c r="T85" s="120">
        <f t="shared" si="167"/>
        <v>125322.56425</v>
      </c>
      <c r="U85" s="120">
        <f t="shared" si="167"/>
        <v>114649.79500000001</v>
      </c>
      <c r="V85" s="120">
        <f t="shared" si="167"/>
        <v>114649.79500000001</v>
      </c>
      <c r="W85" s="120">
        <f t="shared" si="167"/>
        <v>102919.436</v>
      </c>
      <c r="X85" s="120">
        <f t="shared" si="167"/>
        <v>107534.61550000001</v>
      </c>
      <c r="Y85" s="120">
        <f t="shared" si="167"/>
        <v>111092.20525</v>
      </c>
      <c r="Z85" s="120">
        <f t="shared" si="167"/>
        <v>114649.79500000001</v>
      </c>
      <c r="AA85" s="120">
        <f t="shared" si="167"/>
        <v>114649.79500000001</v>
      </c>
      <c r="AB85" s="120">
        <f t="shared" si="167"/>
        <v>114649.79500000001</v>
      </c>
      <c r="AC85" s="120">
        <f t="shared" si="167"/>
        <v>117149.79500000001</v>
      </c>
      <c r="AD85" s="121">
        <f t="shared" si="151"/>
        <v>1345221.6424999998</v>
      </c>
      <c r="AE85" s="121">
        <f t="shared" si="152"/>
        <v>112101.80354166665</v>
      </c>
      <c r="AF85" s="120">
        <f t="shared" ref="AF85:AQ85" si="168">AF78</f>
        <v>97832.097999999998</v>
      </c>
      <c r="AG85" s="120">
        <f t="shared" si="168"/>
        <v>121118.14000000001</v>
      </c>
      <c r="AH85" s="120">
        <f t="shared" si="168"/>
        <v>132761.16100000002</v>
      </c>
      <c r="AI85" s="120">
        <f t="shared" si="168"/>
        <v>121118.14000000001</v>
      </c>
      <c r="AJ85" s="120">
        <f t="shared" si="168"/>
        <v>121118.14000000001</v>
      </c>
      <c r="AK85" s="120">
        <f t="shared" si="168"/>
        <v>108094.11199999999</v>
      </c>
      <c r="AL85" s="120">
        <f t="shared" si="168"/>
        <v>113356.12600000002</v>
      </c>
      <c r="AM85" s="120">
        <f t="shared" si="168"/>
        <v>117237.133</v>
      </c>
      <c r="AN85" s="120">
        <f t="shared" si="168"/>
        <v>121118.14000000001</v>
      </c>
      <c r="AO85" s="120">
        <f t="shared" si="168"/>
        <v>121118.14000000001</v>
      </c>
      <c r="AP85" s="120">
        <f t="shared" si="168"/>
        <v>121118.14000000001</v>
      </c>
      <c r="AQ85" s="120">
        <f t="shared" si="168"/>
        <v>123618.14000000001</v>
      </c>
      <c r="AR85" s="121">
        <f t="shared" si="154"/>
        <v>1419607.6100000003</v>
      </c>
      <c r="AS85" s="121">
        <f t="shared" si="155"/>
        <v>118300.6341666667</v>
      </c>
      <c r="AT85" s="122">
        <f t="shared" si="156"/>
        <v>3966802.9879999999</v>
      </c>
      <c r="AW85" s="229" t="s">
        <v>19</v>
      </c>
      <c r="AX85" s="81" t="s">
        <v>277</v>
      </c>
    </row>
    <row r="86" spans="1:50" s="81" customFormat="1" x14ac:dyDescent="0.4">
      <c r="A86" s="230" t="str">
        <f>CHOOSE('Исходные данные'!$U$2,AW74,AX74)</f>
        <v xml:space="preserve">Чистаий прибуток (збиток) з урахуванням інвестицій </v>
      </c>
      <c r="B86" s="88" t="str">
        <f>CHOOSE('Исходные данные'!$O$2,'Исходные данные'!$P$2,'Исходные данные'!$P$3,'Исходные данные'!$P$4,'Исходные данные'!$P$5)</f>
        <v>UAH</v>
      </c>
      <c r="C86" s="120">
        <f>C83-C84-C85</f>
        <v>-415150</v>
      </c>
      <c r="D86" s="120">
        <f>D83-D84-D85</f>
        <v>6759.7509999999893</v>
      </c>
      <c r="E86" s="120">
        <f>E83-E84-E85</f>
        <v>36931.584999999992</v>
      </c>
      <c r="F86" s="120">
        <f t="shared" ref="F86:O86" si="169">F83-F84-F85</f>
        <v>55638.026000000042</v>
      </c>
      <c r="G86" s="120">
        <f t="shared" si="169"/>
        <v>53482.89499999999</v>
      </c>
      <c r="H86" s="120">
        <f t="shared" si="169"/>
        <v>64258.549999999988</v>
      </c>
      <c r="I86" s="120">
        <f t="shared" si="169"/>
        <v>40207.239999999991</v>
      </c>
      <c r="J86" s="120">
        <f t="shared" si="169"/>
        <v>53482.89499999999</v>
      </c>
      <c r="K86" s="120">
        <f t="shared" si="169"/>
        <v>58870.722500000003</v>
      </c>
      <c r="L86" s="120">
        <f t="shared" si="169"/>
        <v>64258.549999999988</v>
      </c>
      <c r="M86" s="120">
        <f t="shared" si="169"/>
        <v>64258.549999999988</v>
      </c>
      <c r="N86" s="120">
        <f t="shared" si="169"/>
        <v>64258.549999999988</v>
      </c>
      <c r="O86" s="120">
        <f t="shared" si="169"/>
        <v>61758.549999999988</v>
      </c>
      <c r="P86" s="121">
        <f t="shared" si="148"/>
        <v>624165.86449999991</v>
      </c>
      <c r="Q86" s="121">
        <f t="shared" si="149"/>
        <v>52013.822041666659</v>
      </c>
      <c r="R86" s="120">
        <f>R83-R84-R85</f>
        <v>39474.543499999985</v>
      </c>
      <c r="S86" s="120">
        <f>S83-S84-S85</f>
        <v>75034.204999999987</v>
      </c>
      <c r="T86" s="120">
        <f t="shared" ref="T86:AC86" si="170">T83-T84-T85</f>
        <v>92814.035749999952</v>
      </c>
      <c r="U86" s="120">
        <f t="shared" si="170"/>
        <v>75034.204999999987</v>
      </c>
      <c r="V86" s="120">
        <f t="shared" si="170"/>
        <v>75034.204999999987</v>
      </c>
      <c r="W86" s="120">
        <f t="shared" si="170"/>
        <v>48827.764000000039</v>
      </c>
      <c r="X86" s="120">
        <f t="shared" si="170"/>
        <v>63180.984499999962</v>
      </c>
      <c r="Y86" s="120">
        <f t="shared" si="170"/>
        <v>69107.594749999989</v>
      </c>
      <c r="Z86" s="120">
        <f t="shared" si="170"/>
        <v>75034.204999999987</v>
      </c>
      <c r="AA86" s="120">
        <f t="shared" si="170"/>
        <v>75034.204999999987</v>
      </c>
      <c r="AB86" s="120">
        <f t="shared" si="170"/>
        <v>75034.204999999987</v>
      </c>
      <c r="AC86" s="120">
        <f t="shared" si="170"/>
        <v>72534.204999999987</v>
      </c>
      <c r="AD86" s="121">
        <f t="shared" si="151"/>
        <v>836144.35749999969</v>
      </c>
      <c r="AE86" s="121">
        <f t="shared" si="152"/>
        <v>69678.696458333303</v>
      </c>
      <c r="AF86" s="120">
        <f>AF83-AF84-AF85</f>
        <v>47017.501999999979</v>
      </c>
      <c r="AG86" s="120">
        <f>AG83-AG84-AG85</f>
        <v>85809.859999999986</v>
      </c>
      <c r="AH86" s="120">
        <f t="shared" ref="AH86:AQ86" si="171">AH83-AH84-AH85</f>
        <v>105206.03899999999</v>
      </c>
      <c r="AI86" s="120">
        <f t="shared" si="171"/>
        <v>85809.859999999986</v>
      </c>
      <c r="AJ86" s="120">
        <f t="shared" si="171"/>
        <v>85809.859999999986</v>
      </c>
      <c r="AK86" s="120">
        <f t="shared" si="171"/>
        <v>57448.28800000003</v>
      </c>
      <c r="AL86" s="120">
        <f t="shared" si="171"/>
        <v>72879.073999999993</v>
      </c>
      <c r="AM86" s="120">
        <f t="shared" si="171"/>
        <v>79344.466999999917</v>
      </c>
      <c r="AN86" s="120">
        <f t="shared" si="171"/>
        <v>85809.859999999986</v>
      </c>
      <c r="AO86" s="120">
        <f t="shared" si="171"/>
        <v>85809.859999999986</v>
      </c>
      <c r="AP86" s="120">
        <f t="shared" si="171"/>
        <v>85809.859999999986</v>
      </c>
      <c r="AQ86" s="120">
        <f t="shared" si="171"/>
        <v>83309.859999999986</v>
      </c>
      <c r="AR86" s="121">
        <f t="shared" si="154"/>
        <v>960064.3899999999</v>
      </c>
      <c r="AS86" s="121">
        <f t="shared" si="155"/>
        <v>80005.36583333333</v>
      </c>
      <c r="AT86" s="122">
        <f t="shared" si="156"/>
        <v>2420374.6119999997</v>
      </c>
      <c r="AW86" s="229" t="s">
        <v>83</v>
      </c>
      <c r="AX86" s="81" t="s">
        <v>168</v>
      </c>
    </row>
    <row r="87" spans="1:50" s="81" customFormat="1" x14ac:dyDescent="0.4">
      <c r="A87" s="231" t="str">
        <f>CHOOSE('Исходные данные'!$U$2,AW75,AX75)</f>
        <v xml:space="preserve">Чистаий прибуток (збиток) без урахуванням інвестицій </v>
      </c>
      <c r="B87" s="88" t="str">
        <f>CHOOSE('Исходные данные'!$O$2,'Исходные данные'!$P$2,'Исходные данные'!$P$3,'Исходные данные'!$P$4,'Исходные данные'!$P$5)</f>
        <v>UAH</v>
      </c>
      <c r="C87" s="120">
        <f t="shared" ref="C87:O87" si="172">C83-C85</f>
        <v>0</v>
      </c>
      <c r="D87" s="120">
        <f t="shared" si="172"/>
        <v>6759.7509999999893</v>
      </c>
      <c r="E87" s="120">
        <f t="shared" si="172"/>
        <v>36931.584999999992</v>
      </c>
      <c r="F87" s="120">
        <f t="shared" si="172"/>
        <v>55638.026000000042</v>
      </c>
      <c r="G87" s="120">
        <f t="shared" si="172"/>
        <v>53482.89499999999</v>
      </c>
      <c r="H87" s="120">
        <f t="shared" si="172"/>
        <v>64258.549999999988</v>
      </c>
      <c r="I87" s="120">
        <f t="shared" si="172"/>
        <v>40207.239999999991</v>
      </c>
      <c r="J87" s="120">
        <f t="shared" si="172"/>
        <v>53482.89499999999</v>
      </c>
      <c r="K87" s="120">
        <f t="shared" si="172"/>
        <v>58870.722500000003</v>
      </c>
      <c r="L87" s="120">
        <f t="shared" si="172"/>
        <v>64258.549999999988</v>
      </c>
      <c r="M87" s="120">
        <f t="shared" si="172"/>
        <v>64258.549999999988</v>
      </c>
      <c r="N87" s="120">
        <f t="shared" si="172"/>
        <v>64258.549999999988</v>
      </c>
      <c r="O87" s="120">
        <f t="shared" si="172"/>
        <v>61758.549999999988</v>
      </c>
      <c r="P87" s="121">
        <f t="shared" si="148"/>
        <v>624165.86449999991</v>
      </c>
      <c r="Q87" s="121">
        <f t="shared" si="149"/>
        <v>52013.822041666659</v>
      </c>
      <c r="R87" s="120">
        <f t="shared" ref="R87:AC87" si="173">R83-R85</f>
        <v>39474.543499999985</v>
      </c>
      <c r="S87" s="120">
        <f t="shared" si="173"/>
        <v>75034.204999999987</v>
      </c>
      <c r="T87" s="120">
        <f t="shared" si="173"/>
        <v>92814.035749999952</v>
      </c>
      <c r="U87" s="120">
        <f t="shared" si="173"/>
        <v>75034.204999999987</v>
      </c>
      <c r="V87" s="120">
        <f t="shared" si="173"/>
        <v>75034.204999999987</v>
      </c>
      <c r="W87" s="120">
        <f t="shared" si="173"/>
        <v>48827.764000000039</v>
      </c>
      <c r="X87" s="120">
        <f t="shared" si="173"/>
        <v>63180.984499999962</v>
      </c>
      <c r="Y87" s="120">
        <f t="shared" si="173"/>
        <v>69107.594749999989</v>
      </c>
      <c r="Z87" s="120">
        <f t="shared" si="173"/>
        <v>75034.204999999987</v>
      </c>
      <c r="AA87" s="120">
        <f t="shared" si="173"/>
        <v>75034.204999999987</v>
      </c>
      <c r="AB87" s="120">
        <f t="shared" si="173"/>
        <v>75034.204999999987</v>
      </c>
      <c r="AC87" s="120">
        <f t="shared" si="173"/>
        <v>72534.204999999987</v>
      </c>
      <c r="AD87" s="121">
        <f t="shared" si="151"/>
        <v>836144.35749999969</v>
      </c>
      <c r="AE87" s="121">
        <f t="shared" si="152"/>
        <v>69678.696458333303</v>
      </c>
      <c r="AF87" s="120">
        <f t="shared" ref="AF87:AQ87" si="174">AF83-AF85</f>
        <v>47017.501999999979</v>
      </c>
      <c r="AG87" s="120">
        <f t="shared" si="174"/>
        <v>85809.859999999986</v>
      </c>
      <c r="AH87" s="120">
        <f t="shared" si="174"/>
        <v>105206.03899999999</v>
      </c>
      <c r="AI87" s="120">
        <f t="shared" si="174"/>
        <v>85809.859999999986</v>
      </c>
      <c r="AJ87" s="120">
        <f t="shared" si="174"/>
        <v>85809.859999999986</v>
      </c>
      <c r="AK87" s="120">
        <f t="shared" si="174"/>
        <v>57448.28800000003</v>
      </c>
      <c r="AL87" s="120">
        <f t="shared" si="174"/>
        <v>72879.073999999993</v>
      </c>
      <c r="AM87" s="120">
        <f t="shared" si="174"/>
        <v>79344.466999999917</v>
      </c>
      <c r="AN87" s="120">
        <f t="shared" si="174"/>
        <v>85809.859999999986</v>
      </c>
      <c r="AO87" s="120">
        <f t="shared" si="174"/>
        <v>85809.859999999986</v>
      </c>
      <c r="AP87" s="120">
        <f t="shared" si="174"/>
        <v>85809.859999999986</v>
      </c>
      <c r="AQ87" s="120">
        <f t="shared" si="174"/>
        <v>83309.859999999986</v>
      </c>
      <c r="AR87" s="121">
        <f t="shared" si="154"/>
        <v>960064.3899999999</v>
      </c>
      <c r="AS87" s="121">
        <f t="shared" si="155"/>
        <v>80005.36583333333</v>
      </c>
      <c r="AT87" s="128"/>
      <c r="AW87" s="229" t="str">
        <f>"Чистый денежный поток (NCF), "&amp;CHOOSE('Исходные данные'!$O$2,'Исходные данные'!$P$2,'Исходные данные'!$P$3,'Исходные данные'!$P$4,'Исходные данные'!$P$5)&amp;""</f>
        <v>Чистый денежный поток (NCF), UAH</v>
      </c>
      <c r="AX87" s="81" t="str">
        <f>"Чистий грошовий потік (NCF), "&amp;CHOOSE('Исходные данные'!$O$2,'Исходные данные'!$P$2,'Исходные данные'!$P$3,'Исходные данные'!$P$4,'Исходные данные'!$P$5)&amp;""</f>
        <v>Чистий грошовий потік (NCF), UAH</v>
      </c>
    </row>
    <row r="88" spans="1:50" s="81" customFormat="1" x14ac:dyDescent="0.4">
      <c r="A88" s="129" t="str">
        <f>CHOOSE('Исходные данные'!$U$2,AW76,AX76)</f>
        <v>- Прибуток (збиток) накопичувальним підсумком</v>
      </c>
      <c r="B88" s="88" t="str">
        <f>CHOOSE('Исходные данные'!$O$2,'Исходные данные'!$P$2,'Исходные данные'!$P$3,'Исходные данные'!$P$4,'Исходные данные'!$P$5)</f>
        <v>UAH</v>
      </c>
      <c r="C88" s="245">
        <f>C86+IF(ISNUMBER(B88),B88,0)</f>
        <v>-415150</v>
      </c>
      <c r="D88" s="245">
        <f>D86+IF(ISNUMBER(C88),C88,0)</f>
        <v>-408390.24900000001</v>
      </c>
      <c r="E88" s="120">
        <f t="shared" ref="E88:O88" si="175">E86+IF(ISNUMBER(D88),D88,0)</f>
        <v>-371458.66399999999</v>
      </c>
      <c r="F88" s="120">
        <f t="shared" si="175"/>
        <v>-315820.63799999992</v>
      </c>
      <c r="G88" s="120">
        <f t="shared" si="175"/>
        <v>-262337.7429999999</v>
      </c>
      <c r="H88" s="120">
        <f t="shared" si="175"/>
        <v>-198079.19299999991</v>
      </c>
      <c r="I88" s="120">
        <f t="shared" si="175"/>
        <v>-157871.95299999992</v>
      </c>
      <c r="J88" s="120">
        <f t="shared" si="175"/>
        <v>-104389.05799999993</v>
      </c>
      <c r="K88" s="120">
        <f t="shared" si="175"/>
        <v>-45518.335499999928</v>
      </c>
      <c r="L88" s="120">
        <f t="shared" si="175"/>
        <v>18740.21450000006</v>
      </c>
      <c r="M88" s="120">
        <f t="shared" si="175"/>
        <v>82998.764500000048</v>
      </c>
      <c r="N88" s="120">
        <f t="shared" si="175"/>
        <v>147257.31450000004</v>
      </c>
      <c r="O88" s="120">
        <f t="shared" si="175"/>
        <v>209015.86450000003</v>
      </c>
      <c r="P88" s="121">
        <f>O88</f>
        <v>209015.86450000003</v>
      </c>
      <c r="Q88" s="121"/>
      <c r="R88" s="120">
        <f>R86+IF(ISNUMBER(O88),O88,0)</f>
        <v>248490.408</v>
      </c>
      <c r="S88" s="120">
        <f t="shared" ref="S88:AC88" si="176">S86+IF(ISNUMBER(R88),R88,0)</f>
        <v>323524.61300000001</v>
      </c>
      <c r="T88" s="120">
        <f t="shared" si="176"/>
        <v>416338.64874999993</v>
      </c>
      <c r="U88" s="120">
        <f t="shared" si="176"/>
        <v>491372.85374999989</v>
      </c>
      <c r="V88" s="120">
        <f t="shared" si="176"/>
        <v>566407.05874999985</v>
      </c>
      <c r="W88" s="120">
        <f t="shared" si="176"/>
        <v>615234.82274999993</v>
      </c>
      <c r="X88" s="120">
        <f t="shared" si="176"/>
        <v>678415.80724999984</v>
      </c>
      <c r="Y88" s="120">
        <f t="shared" si="176"/>
        <v>747523.40199999977</v>
      </c>
      <c r="Z88" s="120">
        <f t="shared" si="176"/>
        <v>822557.60699999973</v>
      </c>
      <c r="AA88" s="120">
        <f t="shared" si="176"/>
        <v>897591.81199999969</v>
      </c>
      <c r="AB88" s="120">
        <f t="shared" si="176"/>
        <v>972626.01699999964</v>
      </c>
      <c r="AC88" s="120">
        <f t="shared" si="176"/>
        <v>1045160.2219999996</v>
      </c>
      <c r="AD88" s="121">
        <f>AC88</f>
        <v>1045160.2219999996</v>
      </c>
      <c r="AE88" s="121"/>
      <c r="AF88" s="120">
        <f>AF86+IF(ISNUMBER(AC88),AC88,0)</f>
        <v>1092177.7239999995</v>
      </c>
      <c r="AG88" s="120">
        <f t="shared" ref="AG88:AQ88" si="177">AG86+IF(ISNUMBER(AF88),AF88,0)</f>
        <v>1177987.5839999993</v>
      </c>
      <c r="AH88" s="120">
        <f t="shared" si="177"/>
        <v>1283193.6229999992</v>
      </c>
      <c r="AI88" s="120">
        <f t="shared" si="177"/>
        <v>1369003.4829999991</v>
      </c>
      <c r="AJ88" s="120">
        <f t="shared" si="177"/>
        <v>1454813.3429999989</v>
      </c>
      <c r="AK88" s="120">
        <f t="shared" si="177"/>
        <v>1512261.6309999989</v>
      </c>
      <c r="AL88" s="120">
        <f t="shared" si="177"/>
        <v>1585140.7049999989</v>
      </c>
      <c r="AM88" s="120">
        <f t="shared" si="177"/>
        <v>1664485.1719999989</v>
      </c>
      <c r="AN88" s="120">
        <f t="shared" si="177"/>
        <v>1750295.0319999987</v>
      </c>
      <c r="AO88" s="120">
        <f t="shared" si="177"/>
        <v>1836104.8919999986</v>
      </c>
      <c r="AP88" s="120">
        <f t="shared" si="177"/>
        <v>1921914.7519999985</v>
      </c>
      <c r="AQ88" s="120">
        <f t="shared" si="177"/>
        <v>2005224.6119999983</v>
      </c>
      <c r="AR88" s="121">
        <f>AQ88</f>
        <v>2005224.6119999983</v>
      </c>
      <c r="AS88" s="121"/>
      <c r="AT88" s="128"/>
      <c r="AW88" s="229" t="str">
        <f>"Чистый денежный поток (NCF) нарастающим итогом, "&amp;CHOOSE('Исходные данные'!$O$2,'Исходные данные'!$P$2,'Исходные данные'!$P$3,'Исходные данные'!$P$4,'Исходные данные'!$P$5)&amp;""</f>
        <v>Чистый денежный поток (NCF) нарастающим итогом, UAH</v>
      </c>
      <c r="AX88" s="81" t="str">
        <f>"Чистий грошовий потік (NCF) накопичувальним підсумком, "&amp;CHOOSE('Исходные данные'!$O$2,'Исходные данные'!$P$2,'Исходные данные'!$P$3,'Исходные данные'!$P$4,'Исходные данные'!$P$5)&amp;""</f>
        <v>Чистий грошовий потік (NCF) накопичувальним підсумком, UAH</v>
      </c>
    </row>
    <row r="89" spans="1:50" s="81" customFormat="1" ht="12.6" thickBot="1" x14ac:dyDescent="0.45">
      <c r="P89" s="101"/>
      <c r="Q89" s="101"/>
      <c r="AD89" s="101"/>
      <c r="AE89" s="101"/>
      <c r="AR89" s="101"/>
      <c r="AS89" s="101"/>
      <c r="AW89" s="229" t="str">
        <f>"Чистая приведенная стоимость (NPV), "&amp;CHOOSE('Исходные данные'!$O$2,'Исходные данные'!$P$2,'Исходные данные'!$P$3,'Исходные данные'!$P$4,'Исходные данные'!$P$5)&amp;""</f>
        <v>Чистая приведенная стоимость (NPV), UAH</v>
      </c>
      <c r="AX89" s="81" t="str">
        <f>"Чиста приведена вартість (NPV), "&amp;CHOOSE('Исходные данные'!$O$2,'Исходные данные'!$P$2,'Исходные данные'!$P$3,'Исходные данные'!$P$4,'Исходные данные'!$P$5)&amp;""</f>
        <v>Чиста приведена вартість (NPV), UAH</v>
      </c>
    </row>
    <row r="90" spans="1:50" s="81" customFormat="1" ht="21.6" thickTop="1" thickBot="1" x14ac:dyDescent="0.45">
      <c r="A90" s="77" t="str">
        <f>CHOOSE('Исходные данные'!$U$2,AW77,AX77)</f>
        <v>РУХ ГРОШОВИХ КОШТІВ (КЕШ-ФЛО)</v>
      </c>
      <c r="B90" s="78"/>
      <c r="C90" s="78" t="str">
        <f t="shared" ref="C90:O90" si="178">C$6</f>
        <v>грудень</v>
      </c>
      <c r="D90" s="78" t="str">
        <f t="shared" si="178"/>
        <v>січень</v>
      </c>
      <c r="E90" s="78" t="str">
        <f t="shared" si="178"/>
        <v>лютий</v>
      </c>
      <c r="F90" s="78" t="str">
        <f t="shared" si="178"/>
        <v>березень</v>
      </c>
      <c r="G90" s="78" t="str">
        <f t="shared" si="178"/>
        <v>квітень</v>
      </c>
      <c r="H90" s="78" t="str">
        <f t="shared" si="178"/>
        <v>травень</v>
      </c>
      <c r="I90" s="78" t="str">
        <f t="shared" si="178"/>
        <v>червень</v>
      </c>
      <c r="J90" s="78" t="str">
        <f t="shared" si="178"/>
        <v>липень</v>
      </c>
      <c r="K90" s="78" t="str">
        <f t="shared" si="178"/>
        <v>серпень</v>
      </c>
      <c r="L90" s="78" t="str">
        <f t="shared" si="178"/>
        <v>вересень</v>
      </c>
      <c r="M90" s="78" t="str">
        <f t="shared" si="178"/>
        <v>жовтень</v>
      </c>
      <c r="N90" s="78" t="str">
        <f t="shared" si="178"/>
        <v>листопад</v>
      </c>
      <c r="O90" s="78" t="str">
        <f t="shared" si="178"/>
        <v>грудень</v>
      </c>
      <c r="P90" s="103" t="str">
        <f>$P$16</f>
        <v>1-й рік роботи</v>
      </c>
      <c r="Q90" s="103" t="str">
        <f>$Q$16</f>
        <v>Середньомісячно за 1-й рік</v>
      </c>
      <c r="R90" s="78" t="str">
        <f t="shared" ref="R90:AC90" si="179">R$6</f>
        <v>січень</v>
      </c>
      <c r="S90" s="78" t="str">
        <f t="shared" si="179"/>
        <v>лютий</v>
      </c>
      <c r="T90" s="78" t="str">
        <f t="shared" si="179"/>
        <v>березень</v>
      </c>
      <c r="U90" s="78" t="str">
        <f t="shared" si="179"/>
        <v>квітень</v>
      </c>
      <c r="V90" s="78" t="str">
        <f t="shared" si="179"/>
        <v>травень</v>
      </c>
      <c r="W90" s="78" t="str">
        <f t="shared" si="179"/>
        <v>червень</v>
      </c>
      <c r="X90" s="78" t="str">
        <f t="shared" si="179"/>
        <v>липень</v>
      </c>
      <c r="Y90" s="78" t="str">
        <f t="shared" si="179"/>
        <v>серпень</v>
      </c>
      <c r="Z90" s="78" t="str">
        <f t="shared" si="179"/>
        <v>вересень</v>
      </c>
      <c r="AA90" s="78" t="str">
        <f t="shared" si="179"/>
        <v>жовтень</v>
      </c>
      <c r="AB90" s="78" t="str">
        <f t="shared" si="179"/>
        <v>листопад</v>
      </c>
      <c r="AC90" s="78" t="str">
        <f t="shared" si="179"/>
        <v>грудень</v>
      </c>
      <c r="AD90" s="103" t="str">
        <f>AD80</f>
        <v>2-й рік роботи</v>
      </c>
      <c r="AE90" s="103" t="str">
        <f>AE80</f>
        <v>Середньомісячно за 2-й рік</v>
      </c>
      <c r="AF90" s="78" t="str">
        <f t="shared" ref="AF90:AQ90" si="180">AF$6</f>
        <v>січень</v>
      </c>
      <c r="AG90" s="78" t="str">
        <f t="shared" si="180"/>
        <v>лютий</v>
      </c>
      <c r="AH90" s="78" t="str">
        <f t="shared" si="180"/>
        <v>березень</v>
      </c>
      <c r="AI90" s="78" t="str">
        <f t="shared" si="180"/>
        <v>квітень</v>
      </c>
      <c r="AJ90" s="78" t="str">
        <f t="shared" si="180"/>
        <v>травень</v>
      </c>
      <c r="AK90" s="78" t="str">
        <f t="shared" si="180"/>
        <v>червень</v>
      </c>
      <c r="AL90" s="78" t="str">
        <f t="shared" si="180"/>
        <v>липень</v>
      </c>
      <c r="AM90" s="78" t="str">
        <f t="shared" si="180"/>
        <v>серпень</v>
      </c>
      <c r="AN90" s="78" t="str">
        <f t="shared" si="180"/>
        <v>вересень</v>
      </c>
      <c r="AO90" s="78" t="str">
        <f t="shared" si="180"/>
        <v>жовтень</v>
      </c>
      <c r="AP90" s="78" t="str">
        <f t="shared" si="180"/>
        <v>листопад</v>
      </c>
      <c r="AQ90" s="78" t="str">
        <f t="shared" si="180"/>
        <v>грудень</v>
      </c>
      <c r="AR90" s="103" t="str">
        <f>AR80</f>
        <v>3-й рік роботи</v>
      </c>
      <c r="AS90" s="103" t="str">
        <f>AS80</f>
        <v>Середньомісячно за 3-й рік</v>
      </c>
      <c r="AT90" s="196" t="str">
        <f>AT80</f>
        <v>Разом за три роки</v>
      </c>
      <c r="AW90" s="229" t="str">
        <f>"Чистая приведенная стоимость (NPV) нарастающим итогом, "&amp;CHOOSE('Исходные данные'!$O$2,'Исходные данные'!$P$2,'Исходные данные'!$P$3,'Исходные данные'!$P$4,'Исходные данные'!$P$5)&amp;""</f>
        <v>Чистая приведенная стоимость (NPV) нарастающим итогом, UAH</v>
      </c>
      <c r="AX90" s="87" t="str">
        <f>"Чиста приведена вартість (NPV) накопичувальним підсумком, "&amp;CHOOSE('Исходные данные'!$O$2,'Исходные данные'!$P$2,'Исходные данные'!$P$3,'Исходные данные'!$P$4,'Исходные данные'!$P$5)&amp;""</f>
        <v>Чиста приведена вартість (NPV) накопичувальним підсумком, UAH</v>
      </c>
    </row>
    <row r="91" spans="1:50" s="87" customFormat="1" ht="12.6" thickTop="1" x14ac:dyDescent="0.4">
      <c r="A91" s="130" t="str">
        <f>CHOOSE('Исходные данные'!$U$2,AW78,AX78)</f>
        <v>Надходження від основної діяльності</v>
      </c>
      <c r="B91" s="88" t="str">
        <f>CHOOSE('Исходные данные'!$O$2,'Исходные данные'!$P$2,'Исходные данные'!$P$3,'Исходные данные'!$P$4,'Исходные данные'!$P$5)</f>
        <v>UAH</v>
      </c>
      <c r="C91" s="89">
        <f t="shared" ref="C91:O91" si="181">C81</f>
        <v>0</v>
      </c>
      <c r="D91" s="89">
        <f t="shared" si="181"/>
        <v>143041.5</v>
      </c>
      <c r="E91" s="89">
        <f t="shared" si="181"/>
        <v>238402.5</v>
      </c>
      <c r="F91" s="89">
        <f t="shared" si="181"/>
        <v>313329</v>
      </c>
      <c r="G91" s="89">
        <f t="shared" si="181"/>
        <v>306517.5</v>
      </c>
      <c r="H91" s="89">
        <f t="shared" si="181"/>
        <v>340575</v>
      </c>
      <c r="I91" s="89">
        <f t="shared" si="181"/>
        <v>272460</v>
      </c>
      <c r="J91" s="89">
        <f t="shared" si="181"/>
        <v>306517.5</v>
      </c>
      <c r="K91" s="89">
        <f t="shared" si="181"/>
        <v>323546.25</v>
      </c>
      <c r="L91" s="89">
        <f t="shared" si="181"/>
        <v>340575</v>
      </c>
      <c r="M91" s="89">
        <f t="shared" si="181"/>
        <v>340575</v>
      </c>
      <c r="N91" s="89">
        <f t="shared" si="181"/>
        <v>340575</v>
      </c>
      <c r="O91" s="89">
        <f t="shared" si="181"/>
        <v>340575</v>
      </c>
      <c r="P91" s="90">
        <f>SUM(D91:O91)</f>
        <v>3606689.25</v>
      </c>
      <c r="Q91" s="90">
        <f>P91/12</f>
        <v>300557.4375</v>
      </c>
      <c r="R91" s="89">
        <f t="shared" ref="R91:AC91" si="182">R81</f>
        <v>262242.75</v>
      </c>
      <c r="S91" s="89">
        <f t="shared" si="182"/>
        <v>374632.5</v>
      </c>
      <c r="T91" s="89">
        <f t="shared" si="182"/>
        <v>430827.37499999994</v>
      </c>
      <c r="U91" s="89">
        <f t="shared" si="182"/>
        <v>374632.5</v>
      </c>
      <c r="V91" s="89">
        <f t="shared" si="182"/>
        <v>374632.5</v>
      </c>
      <c r="W91" s="89">
        <f t="shared" si="182"/>
        <v>299706.00000000006</v>
      </c>
      <c r="X91" s="89">
        <f t="shared" si="182"/>
        <v>337169.25</v>
      </c>
      <c r="Y91" s="89">
        <f t="shared" si="182"/>
        <v>355900.875</v>
      </c>
      <c r="Z91" s="89">
        <f t="shared" si="182"/>
        <v>374632.5</v>
      </c>
      <c r="AA91" s="89">
        <f t="shared" si="182"/>
        <v>374632.5</v>
      </c>
      <c r="AB91" s="89">
        <f t="shared" si="182"/>
        <v>374632.5</v>
      </c>
      <c r="AC91" s="89">
        <f t="shared" si="182"/>
        <v>374632.5</v>
      </c>
      <c r="AD91" s="90">
        <f>SUM(R91:AC91)</f>
        <v>4308273.75</v>
      </c>
      <c r="AE91" s="90">
        <f>AD91/12</f>
        <v>359022.8125</v>
      </c>
      <c r="AF91" s="89">
        <f t="shared" ref="AF91:AQ91" si="183">AF81</f>
        <v>286083</v>
      </c>
      <c r="AG91" s="89">
        <f t="shared" si="183"/>
        <v>408690</v>
      </c>
      <c r="AH91" s="89">
        <f t="shared" si="183"/>
        <v>469993.5</v>
      </c>
      <c r="AI91" s="89">
        <f t="shared" si="183"/>
        <v>408690</v>
      </c>
      <c r="AJ91" s="89">
        <f t="shared" si="183"/>
        <v>408690</v>
      </c>
      <c r="AK91" s="89">
        <f t="shared" si="183"/>
        <v>326952</v>
      </c>
      <c r="AL91" s="89">
        <f t="shared" si="183"/>
        <v>367821</v>
      </c>
      <c r="AM91" s="89">
        <f t="shared" si="183"/>
        <v>388255.49999999994</v>
      </c>
      <c r="AN91" s="89">
        <f t="shared" si="183"/>
        <v>408690</v>
      </c>
      <c r="AO91" s="89">
        <f t="shared" si="183"/>
        <v>408690</v>
      </c>
      <c r="AP91" s="89">
        <f t="shared" si="183"/>
        <v>408690</v>
      </c>
      <c r="AQ91" s="89">
        <f t="shared" si="183"/>
        <v>408690</v>
      </c>
      <c r="AR91" s="90">
        <f>SUM(AF91:AQ91)</f>
        <v>4699935</v>
      </c>
      <c r="AS91" s="90">
        <f>AR91/12</f>
        <v>391661.25</v>
      </c>
      <c r="AT91" s="131">
        <f>P91+AD91+AR91</f>
        <v>12614898</v>
      </c>
      <c r="AW91" s="229" t="str">
        <f>"Чистая приведенная стоимость (NPV) на конец 3-го года, "&amp;CHOOSE('Исходные данные'!$O$2,'Исходные данные'!$P$2,'Исходные данные'!$P$3,'Исходные данные'!$P$4,'Исходные данные'!$P$5)&amp;""</f>
        <v>Чистая приведенная стоимость (NPV) на конец 3-го года, UAH</v>
      </c>
      <c r="AX91" s="87" t="str">
        <f>"Чиста приведена вартість (NPV) на кінець 3-го року, "&amp;CHOOSE('Исходные данные'!$O$2,'Исходные данные'!$P$2,'Исходные данные'!$P$3,'Исходные данные'!$P$4,'Исходные данные'!$P$5)&amp;""</f>
        <v>Чиста приведена вартість (NPV) на кінець 3-го року, UAH</v>
      </c>
    </row>
    <row r="92" spans="1:50" s="87" customFormat="1" x14ac:dyDescent="0.4">
      <c r="A92" s="130" t="str">
        <f>CHOOSE('Исходные данные'!$U$2,AW79,AX79)</f>
        <v>Поточні витрати</v>
      </c>
      <c r="B92" s="88" t="str">
        <f>CHOOSE('Исходные данные'!$O$2,'Исходные данные'!$P$2,'Исходные данные'!$P$3,'Исходные данные'!$P$4,'Исходные данные'!$P$5)</f>
        <v>UAH</v>
      </c>
      <c r="C92" s="132">
        <f t="shared" ref="C92:O92" si="184">-(C78+C46)</f>
        <v>0</v>
      </c>
      <c r="D92" s="132">
        <f t="shared" si="184"/>
        <v>-136281.74900000001</v>
      </c>
      <c r="E92" s="132">
        <f t="shared" si="184"/>
        <v>-201470.91500000001</v>
      </c>
      <c r="F92" s="132">
        <f t="shared" si="184"/>
        <v>-257690.97399999996</v>
      </c>
      <c r="G92" s="132">
        <f t="shared" si="184"/>
        <v>-253034.60500000001</v>
      </c>
      <c r="H92" s="132">
        <f t="shared" si="184"/>
        <v>-276316.45</v>
      </c>
      <c r="I92" s="132">
        <f t="shared" si="184"/>
        <v>-232252.76</v>
      </c>
      <c r="J92" s="132">
        <f t="shared" si="184"/>
        <v>-253034.60500000001</v>
      </c>
      <c r="K92" s="132">
        <f t="shared" si="184"/>
        <v>-264675.52749999997</v>
      </c>
      <c r="L92" s="132">
        <f t="shared" si="184"/>
        <v>-276316.45</v>
      </c>
      <c r="M92" s="132">
        <f t="shared" si="184"/>
        <v>-276316.45</v>
      </c>
      <c r="N92" s="132">
        <f t="shared" si="184"/>
        <v>-276316.45</v>
      </c>
      <c r="O92" s="132">
        <f t="shared" si="184"/>
        <v>-278816.45</v>
      </c>
      <c r="P92" s="90">
        <f>SUM(D92:O92)</f>
        <v>-2982523.3855000008</v>
      </c>
      <c r="Q92" s="90">
        <f>P92/12</f>
        <v>-248543.6154583334</v>
      </c>
      <c r="R92" s="132">
        <f t="shared" ref="R92:AC92" si="185">-(R78+R46)</f>
        <v>-222768.2065</v>
      </c>
      <c r="S92" s="132">
        <f t="shared" si="185"/>
        <v>-299598.29500000004</v>
      </c>
      <c r="T92" s="132">
        <f t="shared" si="185"/>
        <v>-338013.33924999996</v>
      </c>
      <c r="U92" s="132">
        <f t="shared" si="185"/>
        <v>-299598.29500000004</v>
      </c>
      <c r="V92" s="132">
        <f t="shared" si="185"/>
        <v>-299598.29500000004</v>
      </c>
      <c r="W92" s="132">
        <f t="shared" si="185"/>
        <v>-250878.23600000003</v>
      </c>
      <c r="X92" s="132">
        <f t="shared" si="185"/>
        <v>-273988.26550000004</v>
      </c>
      <c r="Y92" s="132">
        <f t="shared" si="185"/>
        <v>-286793.28025000001</v>
      </c>
      <c r="Z92" s="132">
        <f t="shared" si="185"/>
        <v>-299598.29500000004</v>
      </c>
      <c r="AA92" s="132">
        <f t="shared" si="185"/>
        <v>-299598.29500000004</v>
      </c>
      <c r="AB92" s="132">
        <f t="shared" si="185"/>
        <v>-299598.29500000004</v>
      </c>
      <c r="AC92" s="132">
        <f t="shared" si="185"/>
        <v>-302098.29500000004</v>
      </c>
      <c r="AD92" s="90">
        <f>SUM(R92:AC92)</f>
        <v>-3472129.3924999996</v>
      </c>
      <c r="AE92" s="90">
        <f>AD92/12</f>
        <v>-289344.11604166665</v>
      </c>
      <c r="AF92" s="132">
        <f t="shared" ref="AF92:AQ92" si="186">-(AF78+AF46)</f>
        <v>-239065.49800000002</v>
      </c>
      <c r="AG92" s="132">
        <f t="shared" si="186"/>
        <v>-322880.14</v>
      </c>
      <c r="AH92" s="132">
        <f t="shared" si="186"/>
        <v>-364787.46100000001</v>
      </c>
      <c r="AI92" s="132">
        <f t="shared" si="186"/>
        <v>-322880.14</v>
      </c>
      <c r="AJ92" s="132">
        <f t="shared" si="186"/>
        <v>-322880.14</v>
      </c>
      <c r="AK92" s="132">
        <f t="shared" si="186"/>
        <v>-269503.71199999994</v>
      </c>
      <c r="AL92" s="132">
        <f t="shared" si="186"/>
        <v>-294941.92599999998</v>
      </c>
      <c r="AM92" s="132">
        <f t="shared" si="186"/>
        <v>-308911.03300000005</v>
      </c>
      <c r="AN92" s="132">
        <f t="shared" si="186"/>
        <v>-322880.14</v>
      </c>
      <c r="AO92" s="132">
        <f t="shared" si="186"/>
        <v>-322880.14</v>
      </c>
      <c r="AP92" s="132">
        <f t="shared" si="186"/>
        <v>-322880.14</v>
      </c>
      <c r="AQ92" s="132">
        <f t="shared" si="186"/>
        <v>-325380.14</v>
      </c>
      <c r="AR92" s="90">
        <f>SUM(AF92:AQ92)</f>
        <v>-3739870.6100000003</v>
      </c>
      <c r="AS92" s="90">
        <f>AR92/12</f>
        <v>-311655.88416666671</v>
      </c>
      <c r="AT92" s="131">
        <f>P92+AD92+AR92</f>
        <v>-10194523.388</v>
      </c>
      <c r="AW92" s="229" t="s">
        <v>20</v>
      </c>
      <c r="AX92" s="87" t="s">
        <v>278</v>
      </c>
    </row>
    <row r="93" spans="1:50" s="87" customFormat="1" x14ac:dyDescent="0.4">
      <c r="A93" s="130" t="str">
        <f>CHOOSE('Исходные данные'!$U$2,AW80,AX80)</f>
        <v>Кеш-фло від оперативної діяльності</v>
      </c>
      <c r="B93" s="88" t="str">
        <f>CHOOSE('Исходные данные'!$O$2,'Исходные данные'!$P$2,'Исходные данные'!$P$3,'Исходные данные'!$P$4,'Исходные данные'!$P$5)</f>
        <v>UAH</v>
      </c>
      <c r="C93" s="132">
        <f t="shared" ref="C93:O93" si="187">SUM(C91:C92)</f>
        <v>0</v>
      </c>
      <c r="D93" s="132">
        <f t="shared" si="187"/>
        <v>6759.7509999999893</v>
      </c>
      <c r="E93" s="89">
        <f t="shared" si="187"/>
        <v>36931.584999999992</v>
      </c>
      <c r="F93" s="89">
        <f t="shared" si="187"/>
        <v>55638.026000000042</v>
      </c>
      <c r="G93" s="89">
        <f t="shared" si="187"/>
        <v>53482.89499999999</v>
      </c>
      <c r="H93" s="89">
        <f t="shared" si="187"/>
        <v>64258.549999999988</v>
      </c>
      <c r="I93" s="89">
        <f t="shared" si="187"/>
        <v>40207.239999999991</v>
      </c>
      <c r="J93" s="89">
        <f t="shared" si="187"/>
        <v>53482.89499999999</v>
      </c>
      <c r="K93" s="132">
        <f t="shared" si="187"/>
        <v>58870.722500000033</v>
      </c>
      <c r="L93" s="132">
        <f t="shared" si="187"/>
        <v>64258.549999999988</v>
      </c>
      <c r="M93" s="132">
        <f t="shared" si="187"/>
        <v>64258.549999999988</v>
      </c>
      <c r="N93" s="132">
        <f t="shared" si="187"/>
        <v>64258.549999999988</v>
      </c>
      <c r="O93" s="132">
        <f t="shared" si="187"/>
        <v>61758.549999999988</v>
      </c>
      <c r="P93" s="90">
        <f>SUM(D93:O93)</f>
        <v>624165.86449999991</v>
      </c>
      <c r="Q93" s="90">
        <f>P93/12</f>
        <v>52013.822041666659</v>
      </c>
      <c r="R93" s="132">
        <f t="shared" ref="R93:AC93" si="188">SUM(R91:R92)</f>
        <v>39474.5435</v>
      </c>
      <c r="S93" s="89">
        <f t="shared" si="188"/>
        <v>75034.204999999958</v>
      </c>
      <c r="T93" s="89">
        <f t="shared" si="188"/>
        <v>92814.035749999981</v>
      </c>
      <c r="U93" s="89">
        <f t="shared" si="188"/>
        <v>75034.204999999958</v>
      </c>
      <c r="V93" s="89">
        <f t="shared" si="188"/>
        <v>75034.204999999958</v>
      </c>
      <c r="W93" s="89">
        <f t="shared" si="188"/>
        <v>48827.764000000025</v>
      </c>
      <c r="X93" s="89">
        <f t="shared" si="188"/>
        <v>63180.984499999962</v>
      </c>
      <c r="Y93" s="132">
        <f t="shared" si="188"/>
        <v>69107.594749999989</v>
      </c>
      <c r="Z93" s="132">
        <f t="shared" si="188"/>
        <v>75034.204999999958</v>
      </c>
      <c r="AA93" s="132">
        <f t="shared" si="188"/>
        <v>75034.204999999958</v>
      </c>
      <c r="AB93" s="132">
        <f t="shared" si="188"/>
        <v>75034.204999999958</v>
      </c>
      <c r="AC93" s="132">
        <f t="shared" si="188"/>
        <v>72534.204999999958</v>
      </c>
      <c r="AD93" s="90">
        <f>SUM(R93:AC93)</f>
        <v>836144.35749999969</v>
      </c>
      <c r="AE93" s="90">
        <f>AD93/12</f>
        <v>69678.696458333303</v>
      </c>
      <c r="AF93" s="132">
        <f t="shared" ref="AF93:AQ93" si="189">SUM(AF91:AF92)</f>
        <v>47017.501999999979</v>
      </c>
      <c r="AG93" s="89">
        <f t="shared" si="189"/>
        <v>85809.859999999986</v>
      </c>
      <c r="AH93" s="89">
        <f t="shared" si="189"/>
        <v>105206.03899999999</v>
      </c>
      <c r="AI93" s="89">
        <f t="shared" si="189"/>
        <v>85809.859999999986</v>
      </c>
      <c r="AJ93" s="89">
        <f t="shared" si="189"/>
        <v>85809.859999999986</v>
      </c>
      <c r="AK93" s="89">
        <f t="shared" si="189"/>
        <v>57448.288000000059</v>
      </c>
      <c r="AL93" s="89">
        <f t="shared" si="189"/>
        <v>72879.074000000022</v>
      </c>
      <c r="AM93" s="132">
        <f t="shared" si="189"/>
        <v>79344.466999999888</v>
      </c>
      <c r="AN93" s="132">
        <f t="shared" si="189"/>
        <v>85809.859999999986</v>
      </c>
      <c r="AO93" s="132">
        <f t="shared" si="189"/>
        <v>85809.859999999986</v>
      </c>
      <c r="AP93" s="132">
        <f t="shared" si="189"/>
        <v>85809.859999999986</v>
      </c>
      <c r="AQ93" s="132">
        <f t="shared" si="189"/>
        <v>83309.859999999986</v>
      </c>
      <c r="AR93" s="90">
        <f>SUM(AF93:AQ93)</f>
        <v>960064.3899999999</v>
      </c>
      <c r="AS93" s="90">
        <f>AR93/12</f>
        <v>80005.36583333333</v>
      </c>
      <c r="AT93" s="131">
        <f>P93+AD93+AR93</f>
        <v>2420374.6119999997</v>
      </c>
      <c r="AW93" s="229" t="s">
        <v>87</v>
      </c>
      <c r="AX93" s="87" t="s">
        <v>279</v>
      </c>
    </row>
    <row r="94" spans="1:50" s="87" customFormat="1" x14ac:dyDescent="0.4">
      <c r="A94" s="130" t="str">
        <f>CHOOSE('Исходные данные'!$U$2,AW81,AX81)</f>
        <v>Кеш-фло від інвестиційної діяльності</v>
      </c>
      <c r="B94" s="88" t="str">
        <f>CHOOSE('Исходные данные'!$O$2,'Исходные данные'!$P$2,'Исходные данные'!$P$3,'Исходные данные'!$P$4,'Исходные данные'!$P$5)</f>
        <v>UAH</v>
      </c>
      <c r="C94" s="132">
        <f t="shared" ref="C94:O94" si="190">-(C58)</f>
        <v>-415150</v>
      </c>
      <c r="D94" s="132">
        <f t="shared" si="190"/>
        <v>0</v>
      </c>
      <c r="E94" s="132">
        <f t="shared" si="190"/>
        <v>0</v>
      </c>
      <c r="F94" s="132">
        <f t="shared" si="190"/>
        <v>0</v>
      </c>
      <c r="G94" s="132">
        <f t="shared" si="190"/>
        <v>0</v>
      </c>
      <c r="H94" s="132">
        <f t="shared" si="190"/>
        <v>0</v>
      </c>
      <c r="I94" s="132">
        <f t="shared" si="190"/>
        <v>0</v>
      </c>
      <c r="J94" s="132">
        <f t="shared" si="190"/>
        <v>0</v>
      </c>
      <c r="K94" s="132">
        <f t="shared" si="190"/>
        <v>0</v>
      </c>
      <c r="L94" s="132">
        <f t="shared" si="190"/>
        <v>0</v>
      </c>
      <c r="M94" s="132">
        <f t="shared" si="190"/>
        <v>0</v>
      </c>
      <c r="N94" s="132">
        <f t="shared" si="190"/>
        <v>0</v>
      </c>
      <c r="O94" s="132">
        <f t="shared" si="190"/>
        <v>0</v>
      </c>
      <c r="P94" s="90">
        <f>SUM(D94:O94)</f>
        <v>0</v>
      </c>
      <c r="Q94" s="90"/>
      <c r="R94" s="132">
        <f t="shared" ref="R94:AC94" si="191">-(R58)</f>
        <v>0</v>
      </c>
      <c r="S94" s="132">
        <f t="shared" si="191"/>
        <v>0</v>
      </c>
      <c r="T94" s="132">
        <f t="shared" si="191"/>
        <v>0</v>
      </c>
      <c r="U94" s="132">
        <f t="shared" si="191"/>
        <v>0</v>
      </c>
      <c r="V94" s="132">
        <f t="shared" si="191"/>
        <v>0</v>
      </c>
      <c r="W94" s="132">
        <f t="shared" si="191"/>
        <v>0</v>
      </c>
      <c r="X94" s="132">
        <f t="shared" si="191"/>
        <v>0</v>
      </c>
      <c r="Y94" s="132">
        <f t="shared" si="191"/>
        <v>0</v>
      </c>
      <c r="Z94" s="132">
        <f t="shared" si="191"/>
        <v>0</v>
      </c>
      <c r="AA94" s="132">
        <f t="shared" si="191"/>
        <v>0</v>
      </c>
      <c r="AB94" s="132">
        <f t="shared" si="191"/>
        <v>0</v>
      </c>
      <c r="AC94" s="132">
        <f t="shared" si="191"/>
        <v>0</v>
      </c>
      <c r="AD94" s="90">
        <f>SUM(R94:AC94)</f>
        <v>0</v>
      </c>
      <c r="AE94" s="90"/>
      <c r="AF94" s="132">
        <f t="shared" ref="AF94:AQ94" si="192">-(AF58)</f>
        <v>0</v>
      </c>
      <c r="AG94" s="132">
        <f t="shared" si="192"/>
        <v>0</v>
      </c>
      <c r="AH94" s="132">
        <f t="shared" si="192"/>
        <v>0</v>
      </c>
      <c r="AI94" s="132">
        <f t="shared" si="192"/>
        <v>0</v>
      </c>
      <c r="AJ94" s="132">
        <f t="shared" si="192"/>
        <v>0</v>
      </c>
      <c r="AK94" s="132">
        <f t="shared" si="192"/>
        <v>0</v>
      </c>
      <c r="AL94" s="132">
        <f t="shared" si="192"/>
        <v>0</v>
      </c>
      <c r="AM94" s="132">
        <f t="shared" si="192"/>
        <v>0</v>
      </c>
      <c r="AN94" s="132">
        <f t="shared" si="192"/>
        <v>0</v>
      </c>
      <c r="AO94" s="132">
        <f t="shared" si="192"/>
        <v>0</v>
      </c>
      <c r="AP94" s="132">
        <f t="shared" si="192"/>
        <v>0</v>
      </c>
      <c r="AQ94" s="132">
        <f t="shared" si="192"/>
        <v>0</v>
      </c>
      <c r="AR94" s="90">
        <f>SUM(AF94:AQ94)</f>
        <v>0</v>
      </c>
      <c r="AS94" s="90"/>
      <c r="AT94" s="131">
        <f>P94+AD94+AR94</f>
        <v>0</v>
      </c>
      <c r="AW94" s="229" t="s">
        <v>46</v>
      </c>
      <c r="AX94" s="87" t="s">
        <v>280</v>
      </c>
    </row>
    <row r="95" spans="1:50" s="135" customFormat="1" ht="10.5" x14ac:dyDescent="0.35">
      <c r="A95" s="130" t="str">
        <f>CHOOSE('Исходные данные'!$U$2,AW82,AX82)</f>
        <v>Кеш-фло від фінансової діяльності</v>
      </c>
      <c r="B95" s="125" t="str">
        <f>CHOOSE('Исходные данные'!$O$2,'Исходные данные'!$P$2,'Исходные данные'!$P$3,'Исходные данные'!$P$4,'Исходные данные'!$P$5)</f>
        <v>UAH</v>
      </c>
      <c r="C95" s="133">
        <f t="shared" ref="C95:O95" si="193">C58</f>
        <v>415150</v>
      </c>
      <c r="D95" s="133">
        <f t="shared" si="193"/>
        <v>0</v>
      </c>
      <c r="E95" s="133">
        <f t="shared" si="193"/>
        <v>0</v>
      </c>
      <c r="F95" s="133">
        <f t="shared" si="193"/>
        <v>0</v>
      </c>
      <c r="G95" s="133">
        <f t="shared" si="193"/>
        <v>0</v>
      </c>
      <c r="H95" s="133">
        <f t="shared" si="193"/>
        <v>0</v>
      </c>
      <c r="I95" s="133">
        <f t="shared" si="193"/>
        <v>0</v>
      </c>
      <c r="J95" s="133">
        <f t="shared" si="193"/>
        <v>0</v>
      </c>
      <c r="K95" s="133">
        <f t="shared" si="193"/>
        <v>0</v>
      </c>
      <c r="L95" s="133">
        <f t="shared" si="193"/>
        <v>0</v>
      </c>
      <c r="M95" s="133">
        <f t="shared" si="193"/>
        <v>0</v>
      </c>
      <c r="N95" s="133">
        <f t="shared" si="193"/>
        <v>0</v>
      </c>
      <c r="O95" s="133">
        <f t="shared" si="193"/>
        <v>0</v>
      </c>
      <c r="P95" s="90">
        <f>SUM(D95:O95)</f>
        <v>0</v>
      </c>
      <c r="Q95" s="90"/>
      <c r="R95" s="133">
        <f t="shared" ref="R95:AC95" si="194">R58</f>
        <v>0</v>
      </c>
      <c r="S95" s="133">
        <f t="shared" si="194"/>
        <v>0</v>
      </c>
      <c r="T95" s="133">
        <f t="shared" si="194"/>
        <v>0</v>
      </c>
      <c r="U95" s="133">
        <f t="shared" si="194"/>
        <v>0</v>
      </c>
      <c r="V95" s="133">
        <f t="shared" si="194"/>
        <v>0</v>
      </c>
      <c r="W95" s="133">
        <f t="shared" si="194"/>
        <v>0</v>
      </c>
      <c r="X95" s="133">
        <f t="shared" si="194"/>
        <v>0</v>
      </c>
      <c r="Y95" s="133">
        <f t="shared" si="194"/>
        <v>0</v>
      </c>
      <c r="Z95" s="133">
        <f t="shared" si="194"/>
        <v>0</v>
      </c>
      <c r="AA95" s="133">
        <f t="shared" si="194"/>
        <v>0</v>
      </c>
      <c r="AB95" s="133">
        <f t="shared" si="194"/>
        <v>0</v>
      </c>
      <c r="AC95" s="133">
        <f t="shared" si="194"/>
        <v>0</v>
      </c>
      <c r="AD95" s="90">
        <f>SUM(R95:AC95)</f>
        <v>0</v>
      </c>
      <c r="AE95" s="90"/>
      <c r="AF95" s="133">
        <f t="shared" ref="AF95:AQ95" si="195">AF58</f>
        <v>0</v>
      </c>
      <c r="AG95" s="133">
        <f t="shared" si="195"/>
        <v>0</v>
      </c>
      <c r="AH95" s="133">
        <f t="shared" si="195"/>
        <v>0</v>
      </c>
      <c r="AI95" s="133">
        <f t="shared" si="195"/>
        <v>0</v>
      </c>
      <c r="AJ95" s="133">
        <f t="shared" si="195"/>
        <v>0</v>
      </c>
      <c r="AK95" s="133">
        <f t="shared" si="195"/>
        <v>0</v>
      </c>
      <c r="AL95" s="133">
        <f t="shared" si="195"/>
        <v>0</v>
      </c>
      <c r="AM95" s="133">
        <f t="shared" si="195"/>
        <v>0</v>
      </c>
      <c r="AN95" s="133">
        <f t="shared" si="195"/>
        <v>0</v>
      </c>
      <c r="AO95" s="133">
        <f t="shared" si="195"/>
        <v>0</v>
      </c>
      <c r="AP95" s="133">
        <f t="shared" si="195"/>
        <v>0</v>
      </c>
      <c r="AQ95" s="133">
        <f t="shared" si="195"/>
        <v>0</v>
      </c>
      <c r="AR95" s="90">
        <f>SUM(AF95:AQ95)</f>
        <v>0</v>
      </c>
      <c r="AS95" s="90"/>
      <c r="AT95" s="134">
        <f>P95+AD95+AR95</f>
        <v>0</v>
      </c>
    </row>
    <row r="96" spans="1:50" s="87" customFormat="1" ht="10.5" x14ac:dyDescent="0.35">
      <c r="A96" s="130" t="str">
        <f>CHOOSE('Исходные данные'!$U$2,AW83,AX83)</f>
        <v>Баланс готівки на початок періоду</v>
      </c>
      <c r="B96" s="88" t="str">
        <f>CHOOSE('Исходные данные'!$O$2,'Исходные данные'!$P$2,'Исходные данные'!$P$3,'Исходные данные'!$P$4,'Исходные данные'!$P$5)</f>
        <v>UAH</v>
      </c>
      <c r="C96" s="201">
        <v>0</v>
      </c>
      <c r="D96" s="89">
        <f>C97</f>
        <v>0</v>
      </c>
      <c r="E96" s="89">
        <f>D97</f>
        <v>6759.7509999999893</v>
      </c>
      <c r="F96" s="89">
        <f t="shared" ref="F96:O96" si="196">E97</f>
        <v>43691.335999999981</v>
      </c>
      <c r="G96" s="89">
        <f t="shared" si="196"/>
        <v>99329.362000000023</v>
      </c>
      <c r="H96" s="89">
        <f t="shared" si="196"/>
        <v>152812.25700000001</v>
      </c>
      <c r="I96" s="89">
        <f t="shared" si="196"/>
        <v>217070.807</v>
      </c>
      <c r="J96" s="89">
        <f t="shared" si="196"/>
        <v>257278.04699999999</v>
      </c>
      <c r="K96" s="132">
        <f t="shared" si="196"/>
        <v>310760.94199999998</v>
      </c>
      <c r="L96" s="132">
        <f t="shared" si="196"/>
        <v>369631.66450000001</v>
      </c>
      <c r="M96" s="132">
        <f t="shared" si="196"/>
        <v>433890.2145</v>
      </c>
      <c r="N96" s="132">
        <f t="shared" si="196"/>
        <v>498148.76449999999</v>
      </c>
      <c r="O96" s="132">
        <f t="shared" si="196"/>
        <v>562407.31449999998</v>
      </c>
      <c r="P96" s="136">
        <f>D96</f>
        <v>0</v>
      </c>
      <c r="Q96" s="136"/>
      <c r="R96" s="132">
        <f>O97</f>
        <v>624165.86449999991</v>
      </c>
      <c r="S96" s="89">
        <f t="shared" ref="S96:AC96" si="197">R97</f>
        <v>663640.40799999994</v>
      </c>
      <c r="T96" s="89">
        <f t="shared" si="197"/>
        <v>738674.6129999999</v>
      </c>
      <c r="U96" s="89">
        <f t="shared" si="197"/>
        <v>831488.64874999993</v>
      </c>
      <c r="V96" s="89">
        <f t="shared" si="197"/>
        <v>906522.85374999989</v>
      </c>
      <c r="W96" s="89">
        <f t="shared" si="197"/>
        <v>981557.05874999985</v>
      </c>
      <c r="X96" s="89">
        <f t="shared" si="197"/>
        <v>1030384.8227499998</v>
      </c>
      <c r="Y96" s="132">
        <f t="shared" si="197"/>
        <v>1093565.8072499998</v>
      </c>
      <c r="Z96" s="132">
        <f t="shared" si="197"/>
        <v>1162673.4019999998</v>
      </c>
      <c r="AA96" s="132">
        <f t="shared" si="197"/>
        <v>1237707.6069999998</v>
      </c>
      <c r="AB96" s="132">
        <f t="shared" si="197"/>
        <v>1312741.8119999999</v>
      </c>
      <c r="AC96" s="132">
        <f t="shared" si="197"/>
        <v>1387776.017</v>
      </c>
      <c r="AD96" s="136">
        <f>R96</f>
        <v>624165.86449999991</v>
      </c>
      <c r="AE96" s="136"/>
      <c r="AF96" s="132">
        <f>AC97</f>
        <v>1460310.2220000001</v>
      </c>
      <c r="AG96" s="89">
        <f t="shared" ref="AG96:AQ96" si="198">AF97</f>
        <v>1507327.7239999999</v>
      </c>
      <c r="AH96" s="89">
        <f t="shared" si="198"/>
        <v>1593137.5839999998</v>
      </c>
      <c r="AI96" s="89">
        <f t="shared" si="198"/>
        <v>1698343.6229999997</v>
      </c>
      <c r="AJ96" s="89">
        <f t="shared" si="198"/>
        <v>1784153.4829999995</v>
      </c>
      <c r="AK96" s="89">
        <f t="shared" si="198"/>
        <v>1869963.3429999994</v>
      </c>
      <c r="AL96" s="89">
        <f t="shared" si="198"/>
        <v>1927411.6309999996</v>
      </c>
      <c r="AM96" s="132">
        <f t="shared" si="198"/>
        <v>2000290.7049999996</v>
      </c>
      <c r="AN96" s="132">
        <f t="shared" si="198"/>
        <v>2079635.1719999996</v>
      </c>
      <c r="AO96" s="132">
        <f t="shared" si="198"/>
        <v>2165445.0319999997</v>
      </c>
      <c r="AP96" s="132">
        <f t="shared" si="198"/>
        <v>2251254.8919999995</v>
      </c>
      <c r="AQ96" s="132">
        <f t="shared" si="198"/>
        <v>2337064.7519999994</v>
      </c>
      <c r="AR96" s="136">
        <f>AF96</f>
        <v>1460310.2220000001</v>
      </c>
      <c r="AS96" s="136"/>
      <c r="AT96" s="131">
        <f>P96</f>
        <v>0</v>
      </c>
    </row>
    <row r="97" spans="1:46" s="87" customFormat="1" ht="10.5" x14ac:dyDescent="0.35">
      <c r="A97" s="130" t="str">
        <f>CHOOSE('Исходные данные'!$U$2,AW84,AX84)</f>
        <v>Баланс готівки на кінець періоду</v>
      </c>
      <c r="B97" s="88" t="str">
        <f>CHOOSE('Исходные данные'!$O$2,'Исходные данные'!$P$2,'Исходные данные'!$P$3,'Исходные данные'!$P$4,'Исходные данные'!$P$5)</f>
        <v>UAH</v>
      </c>
      <c r="C97" s="132">
        <f>C93+C94+C95+C96</f>
        <v>0</v>
      </c>
      <c r="D97" s="132">
        <f>D93+D94+D95+D96</f>
        <v>6759.7509999999893</v>
      </c>
      <c r="E97" s="89">
        <f>E93+E94+E95+E96</f>
        <v>43691.335999999981</v>
      </c>
      <c r="F97" s="89">
        <f t="shared" ref="F97:O97" si="199">F93+F94+F95+F96</f>
        <v>99329.362000000023</v>
      </c>
      <c r="G97" s="89">
        <f t="shared" si="199"/>
        <v>152812.25700000001</v>
      </c>
      <c r="H97" s="89">
        <f t="shared" si="199"/>
        <v>217070.807</v>
      </c>
      <c r="I97" s="89">
        <f t="shared" si="199"/>
        <v>257278.04699999999</v>
      </c>
      <c r="J97" s="89">
        <f t="shared" si="199"/>
        <v>310760.94199999998</v>
      </c>
      <c r="K97" s="132">
        <f t="shared" si="199"/>
        <v>369631.66450000001</v>
      </c>
      <c r="L97" s="132">
        <f t="shared" si="199"/>
        <v>433890.2145</v>
      </c>
      <c r="M97" s="132">
        <f t="shared" si="199"/>
        <v>498148.76449999999</v>
      </c>
      <c r="N97" s="132">
        <f t="shared" si="199"/>
        <v>562407.31449999998</v>
      </c>
      <c r="O97" s="132">
        <f t="shared" si="199"/>
        <v>624165.86449999991</v>
      </c>
      <c r="P97" s="136">
        <f>O97</f>
        <v>624165.86449999991</v>
      </c>
      <c r="Q97" s="136"/>
      <c r="R97" s="132">
        <f>R93+R94+R95+R96</f>
        <v>663640.40799999994</v>
      </c>
      <c r="S97" s="89">
        <f>S93+S94+S95+S96</f>
        <v>738674.6129999999</v>
      </c>
      <c r="T97" s="89">
        <f t="shared" ref="T97:AC97" si="200">T93+T94+T95+T96</f>
        <v>831488.64874999993</v>
      </c>
      <c r="U97" s="89">
        <f t="shared" si="200"/>
        <v>906522.85374999989</v>
      </c>
      <c r="V97" s="89">
        <f t="shared" si="200"/>
        <v>981557.05874999985</v>
      </c>
      <c r="W97" s="89">
        <f t="shared" si="200"/>
        <v>1030384.8227499998</v>
      </c>
      <c r="X97" s="89">
        <f t="shared" si="200"/>
        <v>1093565.8072499998</v>
      </c>
      <c r="Y97" s="132">
        <f t="shared" si="200"/>
        <v>1162673.4019999998</v>
      </c>
      <c r="Z97" s="132">
        <f t="shared" si="200"/>
        <v>1237707.6069999998</v>
      </c>
      <c r="AA97" s="132">
        <f t="shared" si="200"/>
        <v>1312741.8119999999</v>
      </c>
      <c r="AB97" s="132">
        <f t="shared" si="200"/>
        <v>1387776.017</v>
      </c>
      <c r="AC97" s="132">
        <f t="shared" si="200"/>
        <v>1460310.2220000001</v>
      </c>
      <c r="AD97" s="136">
        <f>AC97</f>
        <v>1460310.2220000001</v>
      </c>
      <c r="AE97" s="136"/>
      <c r="AF97" s="132">
        <f>AF93+AF94+AF95+AF96</f>
        <v>1507327.7239999999</v>
      </c>
      <c r="AG97" s="89">
        <f>AG93+AG94+AG95+AG96</f>
        <v>1593137.5839999998</v>
      </c>
      <c r="AH97" s="89">
        <f t="shared" ref="AH97:AQ97" si="201">AH93+AH94+AH95+AH96</f>
        <v>1698343.6229999997</v>
      </c>
      <c r="AI97" s="89">
        <f t="shared" si="201"/>
        <v>1784153.4829999995</v>
      </c>
      <c r="AJ97" s="89">
        <f t="shared" si="201"/>
        <v>1869963.3429999994</v>
      </c>
      <c r="AK97" s="89">
        <f t="shared" si="201"/>
        <v>1927411.6309999996</v>
      </c>
      <c r="AL97" s="89">
        <f t="shared" si="201"/>
        <v>2000290.7049999996</v>
      </c>
      <c r="AM97" s="132">
        <f t="shared" si="201"/>
        <v>2079635.1719999996</v>
      </c>
      <c r="AN97" s="132">
        <f t="shared" si="201"/>
        <v>2165445.0319999997</v>
      </c>
      <c r="AO97" s="132">
        <f t="shared" si="201"/>
        <v>2251254.8919999995</v>
      </c>
      <c r="AP97" s="132">
        <f t="shared" si="201"/>
        <v>2337064.7519999994</v>
      </c>
      <c r="AQ97" s="132">
        <f t="shared" si="201"/>
        <v>2420374.6119999993</v>
      </c>
      <c r="AR97" s="136">
        <f>AQ97</f>
        <v>2420374.6119999993</v>
      </c>
      <c r="AS97" s="136"/>
      <c r="AT97" s="131">
        <f>AR97</f>
        <v>2420374.6119999993</v>
      </c>
    </row>
    <row r="98" spans="1:46" s="81" customFormat="1" ht="10.8" thickBot="1" x14ac:dyDescent="0.45">
      <c r="P98" s="101"/>
      <c r="Q98" s="101"/>
      <c r="AD98" s="101"/>
      <c r="AE98" s="101"/>
      <c r="AR98" s="101"/>
      <c r="AS98" s="101"/>
    </row>
    <row r="99" spans="1:46" s="81" customFormat="1" ht="11.1" thickTop="1" thickBot="1" x14ac:dyDescent="0.4">
      <c r="A99" s="77" t="str">
        <f>CHOOSE('Исходные данные'!$U$2,AW85,AX85)</f>
        <v>ОКУПНІСТЬ ПРОЕКТУ</v>
      </c>
      <c r="B99" s="78"/>
      <c r="C99" s="78" t="str">
        <f t="shared" ref="C99:AQ99" si="202">C$6</f>
        <v>грудень</v>
      </c>
      <c r="D99" s="78" t="str">
        <f t="shared" si="202"/>
        <v>січень</v>
      </c>
      <c r="E99" s="78" t="str">
        <f t="shared" si="202"/>
        <v>лютий</v>
      </c>
      <c r="F99" s="78" t="str">
        <f t="shared" si="202"/>
        <v>березень</v>
      </c>
      <c r="G99" s="78" t="str">
        <f t="shared" si="202"/>
        <v>квітень</v>
      </c>
      <c r="H99" s="78" t="str">
        <f t="shared" si="202"/>
        <v>травень</v>
      </c>
      <c r="I99" s="78" t="str">
        <f t="shared" si="202"/>
        <v>червень</v>
      </c>
      <c r="J99" s="78" t="str">
        <f t="shared" si="202"/>
        <v>липень</v>
      </c>
      <c r="K99" s="78" t="str">
        <f t="shared" si="202"/>
        <v>серпень</v>
      </c>
      <c r="L99" s="78" t="str">
        <f t="shared" si="202"/>
        <v>вересень</v>
      </c>
      <c r="M99" s="78" t="str">
        <f t="shared" si="202"/>
        <v>жовтень</v>
      </c>
      <c r="N99" s="78" t="str">
        <f t="shared" si="202"/>
        <v>листопад</v>
      </c>
      <c r="O99" s="78" t="str">
        <f t="shared" si="202"/>
        <v>грудень</v>
      </c>
      <c r="P99" s="137"/>
      <c r="Q99" s="137"/>
      <c r="R99" s="78" t="str">
        <f t="shared" si="202"/>
        <v>січень</v>
      </c>
      <c r="S99" s="78" t="str">
        <f t="shared" si="202"/>
        <v>лютий</v>
      </c>
      <c r="T99" s="78" t="str">
        <f t="shared" si="202"/>
        <v>березень</v>
      </c>
      <c r="U99" s="78" t="str">
        <f t="shared" si="202"/>
        <v>квітень</v>
      </c>
      <c r="V99" s="78" t="str">
        <f t="shared" si="202"/>
        <v>травень</v>
      </c>
      <c r="W99" s="78" t="str">
        <f t="shared" si="202"/>
        <v>червень</v>
      </c>
      <c r="X99" s="78" t="str">
        <f t="shared" si="202"/>
        <v>липень</v>
      </c>
      <c r="Y99" s="78" t="str">
        <f t="shared" si="202"/>
        <v>серпень</v>
      </c>
      <c r="Z99" s="78" t="str">
        <f t="shared" si="202"/>
        <v>вересень</v>
      </c>
      <c r="AA99" s="78" t="str">
        <f t="shared" si="202"/>
        <v>жовтень</v>
      </c>
      <c r="AB99" s="78" t="str">
        <f t="shared" si="202"/>
        <v>листопад</v>
      </c>
      <c r="AC99" s="78" t="str">
        <f t="shared" si="202"/>
        <v>грудень</v>
      </c>
      <c r="AD99" s="137"/>
      <c r="AE99" s="137"/>
      <c r="AF99" s="78" t="str">
        <f t="shared" si="202"/>
        <v>січень</v>
      </c>
      <c r="AG99" s="78" t="str">
        <f t="shared" si="202"/>
        <v>лютий</v>
      </c>
      <c r="AH99" s="78" t="str">
        <f t="shared" si="202"/>
        <v>березень</v>
      </c>
      <c r="AI99" s="78" t="str">
        <f t="shared" si="202"/>
        <v>квітень</v>
      </c>
      <c r="AJ99" s="78" t="str">
        <f t="shared" si="202"/>
        <v>травень</v>
      </c>
      <c r="AK99" s="78" t="str">
        <f t="shared" si="202"/>
        <v>червень</v>
      </c>
      <c r="AL99" s="78" t="str">
        <f t="shared" si="202"/>
        <v>липень</v>
      </c>
      <c r="AM99" s="78" t="str">
        <f t="shared" si="202"/>
        <v>серпень</v>
      </c>
      <c r="AN99" s="78" t="str">
        <f t="shared" si="202"/>
        <v>вересень</v>
      </c>
      <c r="AO99" s="78" t="str">
        <f t="shared" si="202"/>
        <v>жовтень</v>
      </c>
      <c r="AP99" s="78" t="str">
        <f t="shared" si="202"/>
        <v>листопад</v>
      </c>
      <c r="AQ99" s="78" t="str">
        <f t="shared" si="202"/>
        <v>грудень</v>
      </c>
      <c r="AR99" s="137"/>
      <c r="AS99" s="137"/>
      <c r="AT99" s="78"/>
    </row>
    <row r="100" spans="1:46" s="81" customFormat="1" ht="14.1" thickTop="1" x14ac:dyDescent="0.4">
      <c r="A100" s="138"/>
      <c r="B100" s="139"/>
      <c r="C100" s="139"/>
      <c r="D100" s="138"/>
      <c r="E100" s="138"/>
      <c r="F100" s="138"/>
      <c r="G100" s="138"/>
      <c r="H100" s="138"/>
      <c r="I100" s="138"/>
      <c r="J100" s="140"/>
      <c r="P100" s="101"/>
      <c r="Q100" s="101"/>
      <c r="R100" s="138"/>
      <c r="S100" s="138"/>
      <c r="T100" s="138"/>
      <c r="U100" s="138"/>
      <c r="V100" s="138"/>
      <c r="W100" s="138"/>
      <c r="X100" s="140"/>
      <c r="AD100" s="101"/>
      <c r="AE100" s="101"/>
      <c r="AF100" s="138"/>
      <c r="AG100" s="138"/>
      <c r="AH100" s="138"/>
      <c r="AI100" s="138"/>
      <c r="AJ100" s="138"/>
      <c r="AK100" s="138"/>
      <c r="AL100" s="140"/>
      <c r="AR100" s="101"/>
      <c r="AS100" s="101"/>
      <c r="AT100" s="141"/>
    </row>
    <row r="101" spans="1:46" s="147" customFormat="1" ht="10.5" x14ac:dyDescent="0.35">
      <c r="A101" s="142" t="str">
        <f>CHOOSE('Исходные данные'!$U$2,AW86,AX86)</f>
        <v>Коефіцієнт дисконтування, % річних</v>
      </c>
      <c r="B101" s="143">
        <f>'Исходные данные'!J36</f>
        <v>0.1</v>
      </c>
      <c r="C101" s="144">
        <f>1/POWER((1+$B$101/12),C102)</f>
        <v>1</v>
      </c>
      <c r="D101" s="144">
        <f t="shared" ref="D101:O101" si="203">1/POWER((1+$B$101/12),D102)</f>
        <v>0.99173553719008267</v>
      </c>
      <c r="E101" s="144">
        <f t="shared" si="203"/>
        <v>0.98353937572570183</v>
      </c>
      <c r="F101" s="144">
        <f t="shared" si="203"/>
        <v>0.97541095113292753</v>
      </c>
      <c r="G101" s="144">
        <f t="shared" si="203"/>
        <v>0.9673497036029034</v>
      </c>
      <c r="H101" s="144">
        <f t="shared" si="203"/>
        <v>0.95935507795329267</v>
      </c>
      <c r="I101" s="144">
        <f t="shared" si="203"/>
        <v>0.95142652359004232</v>
      </c>
      <c r="J101" s="144">
        <f t="shared" si="203"/>
        <v>0.94356349446946353</v>
      </c>
      <c r="K101" s="144">
        <f t="shared" si="203"/>
        <v>0.93576544906062498</v>
      </c>
      <c r="L101" s="144">
        <f t="shared" si="203"/>
        <v>0.9280318503080579</v>
      </c>
      <c r="M101" s="144">
        <f t="shared" si="203"/>
        <v>0.92036216559476813</v>
      </c>
      <c r="N101" s="144">
        <f t="shared" si="203"/>
        <v>0.91275586670555531</v>
      </c>
      <c r="O101" s="144">
        <f t="shared" si="203"/>
        <v>0.90521242979063321</v>
      </c>
      <c r="P101" s="145"/>
      <c r="Q101" s="145"/>
      <c r="R101" s="144">
        <f t="shared" ref="R101:AC101" si="204">1/POWER((1+$B$101/12),R102)</f>
        <v>0.89773133532955385</v>
      </c>
      <c r="S101" s="144">
        <f t="shared" si="204"/>
        <v>0.89031206809542529</v>
      </c>
      <c r="T101" s="144">
        <f t="shared" si="204"/>
        <v>0.88295411711943006</v>
      </c>
      <c r="U101" s="144">
        <f t="shared" si="204"/>
        <v>0.87565697565563305</v>
      </c>
      <c r="V101" s="144">
        <f t="shared" si="204"/>
        <v>0.86842014114608246</v>
      </c>
      <c r="W101" s="144">
        <f t="shared" si="204"/>
        <v>0.86124311518619745</v>
      </c>
      <c r="X101" s="144">
        <f t="shared" si="204"/>
        <v>0.85412540349044375</v>
      </c>
      <c r="Y101" s="144">
        <f t="shared" si="204"/>
        <v>0.84706651585829151</v>
      </c>
      <c r="Z101" s="144">
        <f t="shared" si="204"/>
        <v>0.84006596614045448</v>
      </c>
      <c r="AA101" s="144">
        <f t="shared" si="204"/>
        <v>0.83312327220540916</v>
      </c>
      <c r="AB101" s="144">
        <f t="shared" si="204"/>
        <v>0.82623795590619109</v>
      </c>
      <c r="AC101" s="144">
        <f t="shared" si="204"/>
        <v>0.81940954304746227</v>
      </c>
      <c r="AD101" s="145"/>
      <c r="AE101" s="145"/>
      <c r="AF101" s="144">
        <f t="shared" ref="AF101:AQ101" si="205">1/POWER((1+$B$101/12),AF102)</f>
        <v>0.81263756335285531</v>
      </c>
      <c r="AG101" s="144">
        <f t="shared" si="205"/>
        <v>0.80592155043258373</v>
      </c>
      <c r="AH101" s="144">
        <f t="shared" si="205"/>
        <v>0.79926104175132262</v>
      </c>
      <c r="AI101" s="144">
        <f t="shared" si="205"/>
        <v>0.79265557859635305</v>
      </c>
      <c r="AJ101" s="144">
        <f t="shared" si="205"/>
        <v>0.78610470604597016</v>
      </c>
      <c r="AK101" s="144">
        <f t="shared" si="205"/>
        <v>0.77960797293815209</v>
      </c>
      <c r="AL101" s="144">
        <f t="shared" si="205"/>
        <v>0.77316493183948976</v>
      </c>
      <c r="AM101" s="144">
        <f t="shared" si="205"/>
        <v>0.76677513901437</v>
      </c>
      <c r="AN101" s="144">
        <f t="shared" si="205"/>
        <v>0.76043815439441664</v>
      </c>
      <c r="AO101" s="144">
        <f t="shared" si="205"/>
        <v>0.75415354154818171</v>
      </c>
      <c r="AP101" s="144">
        <f t="shared" si="205"/>
        <v>0.74792086765108945</v>
      </c>
      <c r="AQ101" s="144">
        <f t="shared" si="205"/>
        <v>0.7417397034556259</v>
      </c>
      <c r="AR101" s="145"/>
      <c r="AS101" s="145"/>
      <c r="AT101" s="146"/>
    </row>
    <row r="102" spans="1:46" s="152" customFormat="1" ht="10.5" hidden="1" x14ac:dyDescent="0.4">
      <c r="A102" s="148"/>
      <c r="B102" s="143"/>
      <c r="C102" s="149">
        <v>0</v>
      </c>
      <c r="D102" s="149">
        <f>C102+1</f>
        <v>1</v>
      </c>
      <c r="E102" s="149">
        <f t="shared" ref="E102:O102" si="206">D102+1</f>
        <v>2</v>
      </c>
      <c r="F102" s="149">
        <f t="shared" si="206"/>
        <v>3</v>
      </c>
      <c r="G102" s="149">
        <f t="shared" si="206"/>
        <v>4</v>
      </c>
      <c r="H102" s="149">
        <f t="shared" si="206"/>
        <v>5</v>
      </c>
      <c r="I102" s="149">
        <f t="shared" si="206"/>
        <v>6</v>
      </c>
      <c r="J102" s="149">
        <f t="shared" si="206"/>
        <v>7</v>
      </c>
      <c r="K102" s="149">
        <f t="shared" si="206"/>
        <v>8</v>
      </c>
      <c r="L102" s="149">
        <f t="shared" si="206"/>
        <v>9</v>
      </c>
      <c r="M102" s="149">
        <f t="shared" si="206"/>
        <v>10</v>
      </c>
      <c r="N102" s="149">
        <f t="shared" si="206"/>
        <v>11</v>
      </c>
      <c r="O102" s="149">
        <f t="shared" si="206"/>
        <v>12</v>
      </c>
      <c r="P102" s="150"/>
      <c r="Q102" s="150"/>
      <c r="R102" s="149">
        <f>O102+1</f>
        <v>13</v>
      </c>
      <c r="S102" s="149">
        <f>R102+1</f>
        <v>14</v>
      </c>
      <c r="T102" s="149">
        <f t="shared" ref="T102:AC102" si="207">S102+1</f>
        <v>15</v>
      </c>
      <c r="U102" s="149">
        <f t="shared" si="207"/>
        <v>16</v>
      </c>
      <c r="V102" s="149">
        <f t="shared" si="207"/>
        <v>17</v>
      </c>
      <c r="W102" s="149">
        <f t="shared" si="207"/>
        <v>18</v>
      </c>
      <c r="X102" s="149">
        <f t="shared" si="207"/>
        <v>19</v>
      </c>
      <c r="Y102" s="149">
        <f t="shared" si="207"/>
        <v>20</v>
      </c>
      <c r="Z102" s="149">
        <f t="shared" si="207"/>
        <v>21</v>
      </c>
      <c r="AA102" s="149">
        <f t="shared" si="207"/>
        <v>22</v>
      </c>
      <c r="AB102" s="149">
        <f t="shared" si="207"/>
        <v>23</v>
      </c>
      <c r="AC102" s="149">
        <f t="shared" si="207"/>
        <v>24</v>
      </c>
      <c r="AD102" s="150"/>
      <c r="AE102" s="150"/>
      <c r="AF102" s="149">
        <f>AC102+1</f>
        <v>25</v>
      </c>
      <c r="AG102" s="149">
        <f>AF102+1</f>
        <v>26</v>
      </c>
      <c r="AH102" s="149">
        <f t="shared" ref="AH102:AQ102" si="208">AG102+1</f>
        <v>27</v>
      </c>
      <c r="AI102" s="149">
        <f t="shared" si="208"/>
        <v>28</v>
      </c>
      <c r="AJ102" s="149">
        <f t="shared" si="208"/>
        <v>29</v>
      </c>
      <c r="AK102" s="149">
        <f t="shared" si="208"/>
        <v>30</v>
      </c>
      <c r="AL102" s="149">
        <f t="shared" si="208"/>
        <v>31</v>
      </c>
      <c r="AM102" s="149">
        <f t="shared" si="208"/>
        <v>32</v>
      </c>
      <c r="AN102" s="149">
        <f t="shared" si="208"/>
        <v>33</v>
      </c>
      <c r="AO102" s="149">
        <f t="shared" si="208"/>
        <v>34</v>
      </c>
      <c r="AP102" s="149">
        <f t="shared" si="208"/>
        <v>35</v>
      </c>
      <c r="AQ102" s="149">
        <f t="shared" si="208"/>
        <v>36</v>
      </c>
      <c r="AR102" s="150"/>
      <c r="AS102" s="150"/>
      <c r="AT102" s="151"/>
    </row>
    <row r="103" spans="1:46" s="152" customFormat="1" ht="10.5" x14ac:dyDescent="0.35">
      <c r="A103" s="129" t="str">
        <f>CHOOSE('Исходные данные'!$U$2,AW88,AX88)</f>
        <v>Чистий грошовий потік (NCF) накопичувальним підсумком, UAH</v>
      </c>
      <c r="B103" s="143"/>
      <c r="C103" s="89">
        <f>C87</f>
        <v>0</v>
      </c>
      <c r="D103" s="89">
        <f>D87</f>
        <v>6759.7509999999893</v>
      </c>
      <c r="E103" s="89">
        <f t="shared" ref="E103:O103" si="209">E87</f>
        <v>36931.584999999992</v>
      </c>
      <c r="F103" s="89">
        <f t="shared" si="209"/>
        <v>55638.026000000042</v>
      </c>
      <c r="G103" s="89">
        <f t="shared" si="209"/>
        <v>53482.89499999999</v>
      </c>
      <c r="H103" s="89">
        <f t="shared" si="209"/>
        <v>64258.549999999988</v>
      </c>
      <c r="I103" s="89">
        <f t="shared" si="209"/>
        <v>40207.239999999991</v>
      </c>
      <c r="J103" s="89">
        <f t="shared" si="209"/>
        <v>53482.89499999999</v>
      </c>
      <c r="K103" s="89">
        <f t="shared" si="209"/>
        <v>58870.722500000003</v>
      </c>
      <c r="L103" s="89">
        <f t="shared" si="209"/>
        <v>64258.549999999988</v>
      </c>
      <c r="M103" s="89">
        <f t="shared" si="209"/>
        <v>64258.549999999988</v>
      </c>
      <c r="N103" s="89">
        <f t="shared" si="209"/>
        <v>64258.549999999988</v>
      </c>
      <c r="O103" s="89">
        <f t="shared" si="209"/>
        <v>61758.549999999988</v>
      </c>
      <c r="P103" s="150"/>
      <c r="Q103" s="150"/>
      <c r="R103" s="89">
        <f>R87</f>
        <v>39474.543499999985</v>
      </c>
      <c r="S103" s="89">
        <f t="shared" ref="S103:AC103" si="210">S87</f>
        <v>75034.204999999987</v>
      </c>
      <c r="T103" s="89">
        <f t="shared" si="210"/>
        <v>92814.035749999952</v>
      </c>
      <c r="U103" s="89">
        <f t="shared" si="210"/>
        <v>75034.204999999987</v>
      </c>
      <c r="V103" s="89">
        <f t="shared" si="210"/>
        <v>75034.204999999987</v>
      </c>
      <c r="W103" s="89">
        <f t="shared" si="210"/>
        <v>48827.764000000039</v>
      </c>
      <c r="X103" s="89">
        <f t="shared" si="210"/>
        <v>63180.984499999962</v>
      </c>
      <c r="Y103" s="89">
        <f t="shared" si="210"/>
        <v>69107.594749999989</v>
      </c>
      <c r="Z103" s="89">
        <f t="shared" si="210"/>
        <v>75034.204999999987</v>
      </c>
      <c r="AA103" s="89">
        <f t="shared" si="210"/>
        <v>75034.204999999987</v>
      </c>
      <c r="AB103" s="89">
        <f t="shared" si="210"/>
        <v>75034.204999999987</v>
      </c>
      <c r="AC103" s="89">
        <f t="shared" si="210"/>
        <v>72534.204999999987</v>
      </c>
      <c r="AD103" s="150"/>
      <c r="AE103" s="150"/>
      <c r="AF103" s="89">
        <f>AF87</f>
        <v>47017.501999999979</v>
      </c>
      <c r="AG103" s="89">
        <f t="shared" ref="AG103:AQ103" si="211">AG87</f>
        <v>85809.859999999986</v>
      </c>
      <c r="AH103" s="89">
        <f t="shared" si="211"/>
        <v>105206.03899999999</v>
      </c>
      <c r="AI103" s="89">
        <f t="shared" si="211"/>
        <v>85809.859999999986</v>
      </c>
      <c r="AJ103" s="89">
        <f t="shared" si="211"/>
        <v>85809.859999999986</v>
      </c>
      <c r="AK103" s="89">
        <f t="shared" si="211"/>
        <v>57448.28800000003</v>
      </c>
      <c r="AL103" s="89">
        <f t="shared" si="211"/>
        <v>72879.073999999993</v>
      </c>
      <c r="AM103" s="89">
        <f t="shared" si="211"/>
        <v>79344.466999999917</v>
      </c>
      <c r="AN103" s="89">
        <f t="shared" si="211"/>
        <v>85809.859999999986</v>
      </c>
      <c r="AO103" s="89">
        <f t="shared" si="211"/>
        <v>85809.859999999986</v>
      </c>
      <c r="AP103" s="89">
        <f t="shared" si="211"/>
        <v>85809.859999999986</v>
      </c>
      <c r="AQ103" s="89">
        <f t="shared" si="211"/>
        <v>83309.859999999986</v>
      </c>
      <c r="AR103" s="150"/>
      <c r="AS103" s="150"/>
      <c r="AT103" s="151"/>
    </row>
    <row r="104" spans="1:46" s="152" customFormat="1" ht="10.5" x14ac:dyDescent="0.35">
      <c r="A104" s="129" t="str">
        <f>CHOOSE('Исходные данные'!$U$2,AW89,AX89)</f>
        <v>Чиста приведена вартість (NPV), UAH</v>
      </c>
      <c r="B104" s="143"/>
      <c r="C104" s="89">
        <f>B104+C103</f>
        <v>0</v>
      </c>
      <c r="D104" s="89">
        <f>C104+D103</f>
        <v>6759.7509999999893</v>
      </c>
      <c r="E104" s="89">
        <f t="shared" ref="E104:O104" si="212">D104+E103</f>
        <v>43691.335999999981</v>
      </c>
      <c r="F104" s="89">
        <f t="shared" si="212"/>
        <v>99329.362000000023</v>
      </c>
      <c r="G104" s="89">
        <f t="shared" si="212"/>
        <v>152812.25700000001</v>
      </c>
      <c r="H104" s="89">
        <f t="shared" si="212"/>
        <v>217070.807</v>
      </c>
      <c r="I104" s="89">
        <f t="shared" si="212"/>
        <v>257278.04699999999</v>
      </c>
      <c r="J104" s="89">
        <f t="shared" si="212"/>
        <v>310760.94199999998</v>
      </c>
      <c r="K104" s="89">
        <f t="shared" si="212"/>
        <v>369631.66449999996</v>
      </c>
      <c r="L104" s="89">
        <f t="shared" si="212"/>
        <v>433890.21449999994</v>
      </c>
      <c r="M104" s="89">
        <f t="shared" si="212"/>
        <v>498148.76449999993</v>
      </c>
      <c r="N104" s="89">
        <f t="shared" si="212"/>
        <v>562407.31449999986</v>
      </c>
      <c r="O104" s="89">
        <f t="shared" si="212"/>
        <v>624165.86449999991</v>
      </c>
      <c r="P104" s="150"/>
      <c r="Q104" s="150"/>
      <c r="R104" s="89">
        <f>O104+R103</f>
        <v>663640.40799999994</v>
      </c>
      <c r="S104" s="89">
        <f t="shared" ref="S104:AC104" si="213">R104+S103</f>
        <v>738674.6129999999</v>
      </c>
      <c r="T104" s="89">
        <f t="shared" si="213"/>
        <v>831488.64874999982</v>
      </c>
      <c r="U104" s="89">
        <f t="shared" si="213"/>
        <v>906522.85374999978</v>
      </c>
      <c r="V104" s="89">
        <f t="shared" si="213"/>
        <v>981557.05874999973</v>
      </c>
      <c r="W104" s="89">
        <f t="shared" si="213"/>
        <v>1030384.8227499998</v>
      </c>
      <c r="X104" s="89">
        <f t="shared" si="213"/>
        <v>1093565.8072499998</v>
      </c>
      <c r="Y104" s="89">
        <f t="shared" si="213"/>
        <v>1162673.4019999998</v>
      </c>
      <c r="Z104" s="89">
        <f t="shared" si="213"/>
        <v>1237707.6069999998</v>
      </c>
      <c r="AA104" s="89">
        <f t="shared" si="213"/>
        <v>1312741.8119999999</v>
      </c>
      <c r="AB104" s="89">
        <f t="shared" si="213"/>
        <v>1387776.017</v>
      </c>
      <c r="AC104" s="89">
        <f t="shared" si="213"/>
        <v>1460310.2220000001</v>
      </c>
      <c r="AD104" s="150"/>
      <c r="AE104" s="150"/>
      <c r="AF104" s="89">
        <f>AC104+AF103</f>
        <v>1507327.7239999999</v>
      </c>
      <c r="AG104" s="89">
        <f t="shared" ref="AG104:AQ104" si="214">AF104+AG103</f>
        <v>1593137.5839999998</v>
      </c>
      <c r="AH104" s="89">
        <f t="shared" si="214"/>
        <v>1698343.6229999997</v>
      </c>
      <c r="AI104" s="89">
        <f t="shared" si="214"/>
        <v>1784153.4829999995</v>
      </c>
      <c r="AJ104" s="89">
        <f t="shared" si="214"/>
        <v>1869963.3429999994</v>
      </c>
      <c r="AK104" s="89">
        <f t="shared" si="214"/>
        <v>1927411.6309999994</v>
      </c>
      <c r="AL104" s="89">
        <f t="shared" si="214"/>
        <v>2000290.7049999994</v>
      </c>
      <c r="AM104" s="89">
        <f t="shared" si="214"/>
        <v>2079635.1719999993</v>
      </c>
      <c r="AN104" s="89">
        <f t="shared" si="214"/>
        <v>2165445.0319999992</v>
      </c>
      <c r="AO104" s="89">
        <f t="shared" si="214"/>
        <v>2251254.8919999991</v>
      </c>
      <c r="AP104" s="89">
        <f t="shared" si="214"/>
        <v>2337064.7519999989</v>
      </c>
      <c r="AQ104" s="89">
        <f t="shared" si="214"/>
        <v>2420374.6119999988</v>
      </c>
      <c r="AR104" s="150"/>
      <c r="AS104" s="150"/>
      <c r="AT104" s="151"/>
    </row>
    <row r="105" spans="1:46" s="81" customFormat="1" ht="10.5" x14ac:dyDescent="0.35">
      <c r="A105" s="127" t="str">
        <f>CHOOSE('Исходные данные'!$U$2,AW90,AX90)</f>
        <v>Чиста приведена вартість (NPV) накопичувальним підсумком, UAH</v>
      </c>
      <c r="B105" s="153"/>
      <c r="C105" s="89">
        <f>IF(C103*C101&lt;0,C103,C103*C101)</f>
        <v>0</v>
      </c>
      <c r="D105" s="89">
        <f>IF(D103*D101&lt;0,D103,D103*D101)</f>
        <v>6703.8852892561881</v>
      </c>
      <c r="E105" s="89">
        <f t="shared" ref="E105:O105" si="215">IF(E103*E101&lt;0,E103,E103*E101)</f>
        <v>36323.668055460686</v>
      </c>
      <c r="F105" s="89">
        <f t="shared" si="215"/>
        <v>54269.939859818594</v>
      </c>
      <c r="G105" s="89">
        <f t="shared" si="215"/>
        <v>51736.662626075195</v>
      </c>
      <c r="H105" s="89">
        <f t="shared" si="215"/>
        <v>61646.766244415543</v>
      </c>
      <c r="I105" s="89">
        <f t="shared" si="215"/>
        <v>38254.234576350485</v>
      </c>
      <c r="J105" s="89">
        <f t="shared" si="215"/>
        <v>50464.507300543388</v>
      </c>
      <c r="K105" s="89">
        <f t="shared" si="215"/>
        <v>55089.18807673594</v>
      </c>
      <c r="L105" s="89">
        <f>IF(L103*L101&lt;0,L103,L103*L101)</f>
        <v>59633.981054612843</v>
      </c>
      <c r="M105" s="89">
        <f t="shared" si="215"/>
        <v>59141.138235979677</v>
      </c>
      <c r="N105" s="89">
        <f t="shared" si="215"/>
        <v>58652.368498492251</v>
      </c>
      <c r="O105" s="89">
        <f t="shared" si="215"/>
        <v>55904.607105846299</v>
      </c>
      <c r="P105" s="90"/>
      <c r="Q105" s="90"/>
      <c r="R105" s="89">
        <f>IF(R103*R101&lt;0,R103,R103*R101)</f>
        <v>35437.534647779547</v>
      </c>
      <c r="S105" s="89">
        <f t="shared" ref="S105:AC105" si="216">IF(S103*S101&lt;0,S103,S103*S101)</f>
        <v>66803.858231446095</v>
      </c>
      <c r="T105" s="89">
        <f t="shared" si="216"/>
        <v>81950.534991932422</v>
      </c>
      <c r="U105" s="89">
        <f t="shared" si="216"/>
        <v>65704.225021024773</v>
      </c>
      <c r="V105" s="89">
        <f t="shared" si="216"/>
        <v>65161.214896884077</v>
      </c>
      <c r="W105" s="89">
        <f t="shared" si="216"/>
        <v>42052.575574936498</v>
      </c>
      <c r="X105" s="89">
        <f t="shared" si="216"/>
        <v>53964.483878985942</v>
      </c>
      <c r="Y105" s="89">
        <f t="shared" si="216"/>
        <v>58538.729504229246</v>
      </c>
      <c r="Z105" s="89">
        <f>IF(Z103*Z101&lt;0,Z103,Z103*Z101)</f>
        <v>63033.681916905909</v>
      </c>
      <c r="AA105" s="89">
        <f t="shared" si="216"/>
        <v>62512.742396931462</v>
      </c>
      <c r="AB105" s="89">
        <f t="shared" si="216"/>
        <v>61996.108162246092</v>
      </c>
      <c r="AC105" s="89">
        <f t="shared" si="216"/>
        <v>59435.219774360943</v>
      </c>
      <c r="AD105" s="90"/>
      <c r="AE105" s="90"/>
      <c r="AF105" s="89">
        <f>IF(AF103*AF101&lt;0,AF103,AF103*AF101)</f>
        <v>38208.188260217983</v>
      </c>
      <c r="AG105" s="89">
        <f t="shared" ref="AG105:AQ105" si="217">IF(AG103*AG101&lt;0,AG103,AG103*AG101)</f>
        <v>69156.015413602945</v>
      </c>
      <c r="AH105" s="89">
        <f t="shared" si="217"/>
        <v>84087.088329670267</v>
      </c>
      <c r="AI105" s="89">
        <f t="shared" si="217"/>
        <v>68017.664227572037</v>
      </c>
      <c r="AJ105" s="89">
        <f t="shared" si="217"/>
        <v>67455.534771145845</v>
      </c>
      <c r="AK105" s="89">
        <f t="shared" si="217"/>
        <v>44787.143356447188</v>
      </c>
      <c r="AL105" s="89">
        <f t="shared" si="217"/>
        <v>56347.544281735121</v>
      </c>
      <c r="AM105" s="89">
        <f t="shared" si="217"/>
        <v>60839.36471394603</v>
      </c>
      <c r="AN105" s="89">
        <f>IF(AN103*AN101&lt;0,AN103,AN103*AN101)</f>
        <v>65253.091567243267</v>
      </c>
      <c r="AO105" s="89">
        <f t="shared" si="217"/>
        <v>64713.809818753645</v>
      </c>
      <c r="AP105" s="89">
        <f t="shared" si="217"/>
        <v>64178.9849442185</v>
      </c>
      <c r="AQ105" s="89">
        <f t="shared" si="217"/>
        <v>61794.230851329703</v>
      </c>
      <c r="AR105" s="154"/>
      <c r="AS105" s="154"/>
      <c r="AT105" s="90"/>
    </row>
    <row r="106" spans="1:46" s="81" customFormat="1" ht="10.5" x14ac:dyDescent="0.35">
      <c r="A106" s="127" t="str">
        <f>CHOOSE('Исходные данные'!$U$2,AW91,AX91)</f>
        <v>Чиста приведена вартість (NPV) на кінець 3-го року, UAH</v>
      </c>
      <c r="B106" s="153"/>
      <c r="C106" s="89">
        <f>B106+C105</f>
        <v>0</v>
      </c>
      <c r="D106" s="89">
        <f>C106+D105</f>
        <v>6703.8852892561881</v>
      </c>
      <c r="E106" s="89">
        <f t="shared" ref="E106:O106" si="218">D106+E105</f>
        <v>43027.553344716871</v>
      </c>
      <c r="F106" s="89">
        <f t="shared" si="218"/>
        <v>97297.493204535465</v>
      </c>
      <c r="G106" s="89">
        <f t="shared" si="218"/>
        <v>149034.15583061066</v>
      </c>
      <c r="H106" s="89">
        <f t="shared" si="218"/>
        <v>210680.9220750262</v>
      </c>
      <c r="I106" s="89">
        <f t="shared" si="218"/>
        <v>248935.15665137669</v>
      </c>
      <c r="J106" s="89">
        <f t="shared" si="218"/>
        <v>299399.66395192005</v>
      </c>
      <c r="K106" s="89">
        <f t="shared" si="218"/>
        <v>354488.85202865599</v>
      </c>
      <c r="L106" s="89">
        <f t="shared" si="218"/>
        <v>414122.83308326884</v>
      </c>
      <c r="M106" s="89">
        <f t="shared" si="218"/>
        <v>473263.97131924849</v>
      </c>
      <c r="N106" s="89">
        <f t="shared" si="218"/>
        <v>531916.33981774072</v>
      </c>
      <c r="O106" s="89">
        <f t="shared" si="218"/>
        <v>587820.94692358701</v>
      </c>
      <c r="P106" s="90"/>
      <c r="Q106" s="90"/>
      <c r="R106" s="89">
        <f>O106+R105</f>
        <v>623258.48157136654</v>
      </c>
      <c r="S106" s="89">
        <f t="shared" ref="S106:AC106" si="219">R106+S105</f>
        <v>690062.33980281267</v>
      </c>
      <c r="T106" s="89">
        <f t="shared" si="219"/>
        <v>772012.87479474512</v>
      </c>
      <c r="U106" s="89">
        <f t="shared" si="219"/>
        <v>837717.09981576994</v>
      </c>
      <c r="V106" s="89">
        <f t="shared" si="219"/>
        <v>902878.31471265398</v>
      </c>
      <c r="W106" s="89">
        <f t="shared" si="219"/>
        <v>944930.89028759045</v>
      </c>
      <c r="X106" s="89">
        <f t="shared" si="219"/>
        <v>998895.37416657642</v>
      </c>
      <c r="Y106" s="89">
        <f t="shared" si="219"/>
        <v>1057434.1036708057</v>
      </c>
      <c r="Z106" s="89">
        <f t="shared" si="219"/>
        <v>1120467.7855877115</v>
      </c>
      <c r="AA106" s="89">
        <f t="shared" si="219"/>
        <v>1182980.5279846429</v>
      </c>
      <c r="AB106" s="89">
        <f t="shared" si="219"/>
        <v>1244976.6361468891</v>
      </c>
      <c r="AC106" s="89">
        <f t="shared" si="219"/>
        <v>1304411.8559212501</v>
      </c>
      <c r="AD106" s="90"/>
      <c r="AE106" s="90"/>
      <c r="AF106" s="89">
        <f>AC106+AF105</f>
        <v>1342620.044181468</v>
      </c>
      <c r="AG106" s="89">
        <f t="shared" ref="AG106:AQ106" si="220">AF106+AG105</f>
        <v>1411776.059595071</v>
      </c>
      <c r="AH106" s="89">
        <f t="shared" si="220"/>
        <v>1495863.1479247413</v>
      </c>
      <c r="AI106" s="89">
        <f t="shared" si="220"/>
        <v>1563880.8121523133</v>
      </c>
      <c r="AJ106" s="89">
        <f t="shared" si="220"/>
        <v>1631336.3469234591</v>
      </c>
      <c r="AK106" s="89">
        <f t="shared" si="220"/>
        <v>1676123.4902799062</v>
      </c>
      <c r="AL106" s="89">
        <f t="shared" si="220"/>
        <v>1732471.0345616413</v>
      </c>
      <c r="AM106" s="89">
        <f t="shared" si="220"/>
        <v>1793310.3992755874</v>
      </c>
      <c r="AN106" s="89">
        <f t="shared" si="220"/>
        <v>1858563.4908428306</v>
      </c>
      <c r="AO106" s="89">
        <f t="shared" si="220"/>
        <v>1923277.3006615844</v>
      </c>
      <c r="AP106" s="89">
        <f t="shared" si="220"/>
        <v>1987456.2856058029</v>
      </c>
      <c r="AQ106" s="89">
        <f t="shared" si="220"/>
        <v>2049250.5164571325</v>
      </c>
      <c r="AR106" s="154"/>
      <c r="AS106" s="154"/>
      <c r="AT106" s="90"/>
    </row>
    <row r="107" spans="1:46" s="81" customFormat="1" ht="10.5" x14ac:dyDescent="0.35">
      <c r="A107" s="129"/>
      <c r="B107" s="155"/>
      <c r="C107" s="155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4"/>
      <c r="Q107" s="154"/>
      <c r="R107" s="153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4"/>
      <c r="AE107" s="154"/>
      <c r="AF107" s="153"/>
      <c r="AG107" s="153"/>
      <c r="AH107" s="153"/>
      <c r="AI107" s="153"/>
      <c r="AJ107" s="153"/>
      <c r="AK107" s="153"/>
      <c r="AL107" s="153"/>
      <c r="AM107" s="153"/>
      <c r="AN107" s="153"/>
      <c r="AO107" s="153"/>
      <c r="AP107" s="153"/>
      <c r="AQ107" s="153"/>
      <c r="AR107" s="154"/>
      <c r="AS107" s="154"/>
      <c r="AT107" s="156"/>
    </row>
    <row r="108" spans="1:46" s="81" customFormat="1" ht="10.5" x14ac:dyDescent="0.4">
      <c r="A108" s="157" t="str">
        <f>CHOOSE('Исходные данные'!$U$2,AW91,AX91)</f>
        <v>Чиста приведена вартість (NPV) на кінець 3-го року, UAH</v>
      </c>
      <c r="B108" s="158">
        <f>AQ106+AT94</f>
        <v>2049250.5164571325</v>
      </c>
      <c r="C108" s="154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4"/>
      <c r="Q108" s="154"/>
      <c r="R108" s="153"/>
      <c r="S108" s="153"/>
      <c r="T108" s="153"/>
      <c r="U108" s="153"/>
      <c r="V108" s="153"/>
      <c r="W108" s="153"/>
      <c r="X108" s="153"/>
      <c r="Y108" s="153"/>
      <c r="Z108" s="153"/>
      <c r="AA108" s="153"/>
      <c r="AB108" s="153"/>
      <c r="AC108" s="153"/>
      <c r="AD108" s="154"/>
      <c r="AE108" s="154"/>
      <c r="AF108" s="153"/>
      <c r="AG108" s="153"/>
      <c r="AH108" s="153"/>
      <c r="AI108" s="153"/>
      <c r="AJ108" s="153"/>
      <c r="AK108" s="153"/>
      <c r="AL108" s="153"/>
      <c r="AM108" s="153"/>
      <c r="AN108" s="153"/>
      <c r="AO108" s="153"/>
      <c r="AP108" s="153"/>
      <c r="AQ108" s="153"/>
      <c r="AR108" s="154"/>
      <c r="AS108" s="154"/>
      <c r="AT108" s="156"/>
    </row>
    <row r="109" spans="1:46" s="81" customFormat="1" ht="10.5" x14ac:dyDescent="0.4">
      <c r="A109" s="157" t="str">
        <f>CHOOSE('Исходные данные'!$U$2,AW92,AX92)</f>
        <v>Індекс прибутковості проекту (PI)</v>
      </c>
      <c r="B109" s="158">
        <f>AQ106/AT58</f>
        <v>4.936168894272269</v>
      </c>
      <c r="C109" s="154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4"/>
      <c r="Q109" s="154"/>
      <c r="R109" s="97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4"/>
      <c r="AE109" s="154"/>
      <c r="AF109" s="97"/>
      <c r="AG109" s="153"/>
      <c r="AH109" s="153"/>
      <c r="AI109" s="153"/>
      <c r="AJ109" s="153"/>
      <c r="AK109" s="153"/>
      <c r="AL109" s="153"/>
      <c r="AM109" s="153"/>
      <c r="AN109" s="153"/>
      <c r="AO109" s="153"/>
      <c r="AP109" s="153"/>
      <c r="AQ109" s="153"/>
      <c r="AR109" s="154"/>
      <c r="AS109" s="154"/>
      <c r="AT109" s="156"/>
    </row>
    <row r="110" spans="1:46" s="81" customFormat="1" ht="10.5" x14ac:dyDescent="0.4">
      <c r="A110" s="157" t="str">
        <f>CHOOSE('Исходные данные'!$U$2,AW93,AX93)</f>
        <v>Строк окупності проекту з урахуванням інвестицій, міс.:</v>
      </c>
      <c r="B110" s="159">
        <f>AT115</f>
        <v>9</v>
      </c>
      <c r="C110" s="200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4"/>
      <c r="Q110" s="154"/>
      <c r="R110" s="153"/>
      <c r="S110" s="153"/>
      <c r="T110" s="153"/>
      <c r="U110" s="153"/>
      <c r="V110" s="153"/>
      <c r="W110" s="153"/>
      <c r="X110" s="153"/>
      <c r="Y110" s="153"/>
      <c r="Z110" s="153"/>
      <c r="AA110" s="153"/>
      <c r="AB110" s="153"/>
      <c r="AC110" s="153"/>
      <c r="AD110" s="154"/>
      <c r="AE110" s="154"/>
      <c r="AF110" s="153"/>
      <c r="AG110" s="153"/>
      <c r="AH110" s="153"/>
      <c r="AI110" s="153"/>
      <c r="AJ110" s="153"/>
      <c r="AK110" s="153"/>
      <c r="AL110" s="153"/>
      <c r="AM110" s="153"/>
      <c r="AN110" s="153"/>
      <c r="AO110" s="153"/>
      <c r="AP110" s="153"/>
      <c r="AQ110" s="153"/>
      <c r="AR110" s="154"/>
      <c r="AS110" s="154"/>
      <c r="AT110" s="156"/>
    </row>
    <row r="111" spans="1:46" s="9" customFormat="1" ht="10.5" x14ac:dyDescent="0.4">
      <c r="A111" s="157" t="str">
        <f>CHOOSE('Исходные данные'!$U$2,AW94,AX94)</f>
        <v>Строк виходу на самоокупність проекту, міс.:</v>
      </c>
      <c r="B111" s="159">
        <f>AT116</f>
        <v>1</v>
      </c>
      <c r="C111" s="200"/>
      <c r="D111" s="117"/>
      <c r="E111" s="117"/>
      <c r="F111" s="160"/>
      <c r="G111" s="160"/>
      <c r="H111" s="160"/>
      <c r="I111" s="117"/>
      <c r="J111" s="115"/>
      <c r="K111" s="115"/>
      <c r="L111" s="115"/>
      <c r="M111" s="115"/>
      <c r="N111" s="115"/>
      <c r="O111" s="115"/>
      <c r="P111" s="118"/>
      <c r="Q111" s="118"/>
      <c r="R111" s="117"/>
      <c r="S111" s="117"/>
      <c r="T111" s="160"/>
      <c r="U111" s="160"/>
      <c r="V111" s="160"/>
      <c r="W111" s="117"/>
      <c r="X111" s="115"/>
      <c r="Y111" s="115"/>
      <c r="Z111" s="115"/>
      <c r="AA111" s="115"/>
      <c r="AB111" s="115"/>
      <c r="AC111" s="115"/>
      <c r="AD111" s="118"/>
      <c r="AE111" s="118"/>
      <c r="AF111" s="117"/>
      <c r="AG111" s="117"/>
      <c r="AH111" s="160"/>
      <c r="AI111" s="160"/>
      <c r="AJ111" s="160"/>
      <c r="AK111" s="117"/>
      <c r="AL111" s="115"/>
      <c r="AM111" s="115"/>
      <c r="AN111" s="115"/>
      <c r="AO111" s="115"/>
      <c r="AP111" s="115"/>
      <c r="AQ111" s="115"/>
      <c r="AR111" s="118"/>
      <c r="AS111" s="118"/>
      <c r="AT111" s="115"/>
    </row>
    <row r="112" spans="1:46" s="81" customFormat="1" ht="10.5" x14ac:dyDescent="0.4">
      <c r="B112" s="97"/>
      <c r="C112" s="97"/>
      <c r="D112" s="161"/>
      <c r="F112" s="162"/>
      <c r="P112" s="101"/>
      <c r="Q112" s="101"/>
      <c r="R112" s="161"/>
      <c r="T112" s="162"/>
      <c r="AD112" s="101"/>
      <c r="AE112" s="101"/>
      <c r="AF112" s="161"/>
      <c r="AH112" s="162"/>
      <c r="AR112" s="101"/>
      <c r="AS112" s="101"/>
    </row>
    <row r="113" spans="1:46" s="163" customFormat="1" ht="10.5" hidden="1" x14ac:dyDescent="0.4">
      <c r="B113" s="164" t="s">
        <v>33</v>
      </c>
      <c r="C113" s="164"/>
      <c r="D113" s="164">
        <f t="shared" ref="D113:O113" si="221">IF(D88&gt;0,0,1)</f>
        <v>1</v>
      </c>
      <c r="E113" s="164">
        <f t="shared" si="221"/>
        <v>1</v>
      </c>
      <c r="F113" s="164">
        <f t="shared" si="221"/>
        <v>1</v>
      </c>
      <c r="G113" s="164">
        <f t="shared" si="221"/>
        <v>1</v>
      </c>
      <c r="H113" s="164">
        <f t="shared" si="221"/>
        <v>1</v>
      </c>
      <c r="I113" s="164">
        <f t="shared" si="221"/>
        <v>1</v>
      </c>
      <c r="J113" s="164">
        <f t="shared" si="221"/>
        <v>1</v>
      </c>
      <c r="K113" s="164">
        <f t="shared" si="221"/>
        <v>1</v>
      </c>
      <c r="L113" s="164">
        <f t="shared" si="221"/>
        <v>0</v>
      </c>
      <c r="M113" s="164">
        <f t="shared" si="221"/>
        <v>0</v>
      </c>
      <c r="N113" s="164">
        <f t="shared" si="221"/>
        <v>0</v>
      </c>
      <c r="O113" s="164">
        <f t="shared" si="221"/>
        <v>0</v>
      </c>
      <c r="P113" s="165"/>
      <c r="Q113" s="165"/>
      <c r="R113" s="164">
        <f t="shared" ref="R113:AC113" si="222">IF(R88&gt;0,0,1)</f>
        <v>0</v>
      </c>
      <c r="S113" s="164">
        <f t="shared" si="222"/>
        <v>0</v>
      </c>
      <c r="T113" s="164">
        <f t="shared" si="222"/>
        <v>0</v>
      </c>
      <c r="U113" s="164">
        <f t="shared" si="222"/>
        <v>0</v>
      </c>
      <c r="V113" s="164">
        <f t="shared" si="222"/>
        <v>0</v>
      </c>
      <c r="W113" s="164">
        <f t="shared" si="222"/>
        <v>0</v>
      </c>
      <c r="X113" s="164">
        <f t="shared" si="222"/>
        <v>0</v>
      </c>
      <c r="Y113" s="164">
        <f t="shared" si="222"/>
        <v>0</v>
      </c>
      <c r="Z113" s="164">
        <f t="shared" si="222"/>
        <v>0</v>
      </c>
      <c r="AA113" s="164">
        <f t="shared" si="222"/>
        <v>0</v>
      </c>
      <c r="AB113" s="164">
        <f t="shared" si="222"/>
        <v>0</v>
      </c>
      <c r="AC113" s="164">
        <f t="shared" si="222"/>
        <v>0</v>
      </c>
      <c r="AD113" s="165"/>
      <c r="AE113" s="165"/>
      <c r="AF113" s="164">
        <f t="shared" ref="AF113:AQ113" si="223">IF(AF88&gt;0,0,1)</f>
        <v>0</v>
      </c>
      <c r="AG113" s="164">
        <f t="shared" si="223"/>
        <v>0</v>
      </c>
      <c r="AH113" s="164">
        <f t="shared" si="223"/>
        <v>0</v>
      </c>
      <c r="AI113" s="164">
        <f t="shared" si="223"/>
        <v>0</v>
      </c>
      <c r="AJ113" s="164">
        <f t="shared" si="223"/>
        <v>0</v>
      </c>
      <c r="AK113" s="164">
        <f t="shared" si="223"/>
        <v>0</v>
      </c>
      <c r="AL113" s="164">
        <f t="shared" si="223"/>
        <v>0</v>
      </c>
      <c r="AM113" s="164">
        <f t="shared" si="223"/>
        <v>0</v>
      </c>
      <c r="AN113" s="164">
        <f t="shared" si="223"/>
        <v>0</v>
      </c>
      <c r="AO113" s="164">
        <f t="shared" si="223"/>
        <v>0</v>
      </c>
      <c r="AP113" s="164">
        <f t="shared" si="223"/>
        <v>0</v>
      </c>
      <c r="AQ113" s="164">
        <f t="shared" si="223"/>
        <v>0</v>
      </c>
      <c r="AR113" s="165"/>
      <c r="AS113" s="165"/>
      <c r="AT113" s="163">
        <f>SUM(C113:AQ113)</f>
        <v>8</v>
      </c>
    </row>
    <row r="114" spans="1:46" s="164" customFormat="1" ht="10.199999999999999" hidden="1" x14ac:dyDescent="0.35">
      <c r="B114" s="164" t="s">
        <v>45</v>
      </c>
      <c r="D114" s="164">
        <f>IF(D87&gt;0,0,1)</f>
        <v>0</v>
      </c>
      <c r="E114" s="164">
        <f>IF(OR(E87&gt;0,D114=0),0,1)</f>
        <v>0</v>
      </c>
      <c r="F114" s="164">
        <f t="shared" ref="F114:O114" si="224">IF(OR(F87&gt;0,E114=0),0,1)</f>
        <v>0</v>
      </c>
      <c r="G114" s="164">
        <f t="shared" si="224"/>
        <v>0</v>
      </c>
      <c r="H114" s="164">
        <f t="shared" si="224"/>
        <v>0</v>
      </c>
      <c r="I114" s="164">
        <f t="shared" si="224"/>
        <v>0</v>
      </c>
      <c r="J114" s="164">
        <f>IF(OR(J87&gt;0,I114=0),0,1)</f>
        <v>0</v>
      </c>
      <c r="K114" s="164">
        <f t="shared" si="224"/>
        <v>0</v>
      </c>
      <c r="L114" s="164">
        <f t="shared" si="224"/>
        <v>0</v>
      </c>
      <c r="M114" s="164">
        <f>IF(OR(M87&gt;0,L114=0),0,1)</f>
        <v>0</v>
      </c>
      <c r="N114" s="164">
        <f t="shared" si="224"/>
        <v>0</v>
      </c>
      <c r="O114" s="164">
        <f t="shared" si="224"/>
        <v>0</v>
      </c>
      <c r="R114" s="164">
        <f>IF(OR(R87&gt;0,O114=0),0,1)</f>
        <v>0</v>
      </c>
      <c r="S114" s="164">
        <f t="shared" ref="S114:AC114" si="225">IF(OR(S87&gt;0,R114=0),0,1)</f>
        <v>0</v>
      </c>
      <c r="T114" s="164">
        <f t="shared" si="225"/>
        <v>0</v>
      </c>
      <c r="U114" s="164">
        <f t="shared" si="225"/>
        <v>0</v>
      </c>
      <c r="V114" s="164">
        <f t="shared" si="225"/>
        <v>0</v>
      </c>
      <c r="W114" s="164">
        <f>IF(OR(W87&gt;0,V114=0),0,1)</f>
        <v>0</v>
      </c>
      <c r="X114" s="164">
        <f t="shared" si="225"/>
        <v>0</v>
      </c>
      <c r="Y114" s="164">
        <f t="shared" si="225"/>
        <v>0</v>
      </c>
      <c r="Z114" s="164">
        <f>IF(OR(Z87&gt;0,Y114=0),0,1)</f>
        <v>0</v>
      </c>
      <c r="AA114" s="164">
        <f t="shared" si="225"/>
        <v>0</v>
      </c>
      <c r="AB114" s="164">
        <f t="shared" si="225"/>
        <v>0</v>
      </c>
      <c r="AC114" s="164">
        <f t="shared" si="225"/>
        <v>0</v>
      </c>
      <c r="AF114" s="164">
        <f>IF(OR(AF87&gt;0,AC114=0),0,1)</f>
        <v>0</v>
      </c>
      <c r="AG114" s="164">
        <f t="shared" ref="AG114:AQ114" si="226">IF(OR(AG87&gt;0,AF114=0),0,1)</f>
        <v>0</v>
      </c>
      <c r="AH114" s="164">
        <f t="shared" si="226"/>
        <v>0</v>
      </c>
      <c r="AI114" s="164">
        <f t="shared" si="226"/>
        <v>0</v>
      </c>
      <c r="AJ114" s="164">
        <f t="shared" si="226"/>
        <v>0</v>
      </c>
      <c r="AK114" s="164">
        <f>IF(OR(AK87&gt;0,AJ114=0),0,1)</f>
        <v>0</v>
      </c>
      <c r="AL114" s="164">
        <f t="shared" si="226"/>
        <v>0</v>
      </c>
      <c r="AM114" s="164">
        <f t="shared" si="226"/>
        <v>0</v>
      </c>
      <c r="AN114" s="164">
        <f>IF(OR(AN87&gt;0,AM114=0),0,1)</f>
        <v>0</v>
      </c>
      <c r="AO114" s="164">
        <f t="shared" si="226"/>
        <v>0</v>
      </c>
      <c r="AP114" s="164">
        <f t="shared" si="226"/>
        <v>0</v>
      </c>
      <c r="AQ114" s="164">
        <f t="shared" si="226"/>
        <v>0</v>
      </c>
      <c r="AT114" s="163">
        <f>SUM(C114:AQ114)</f>
        <v>0</v>
      </c>
    </row>
    <row r="115" spans="1:46" s="81" customFormat="1" ht="10.5" hidden="1" x14ac:dyDescent="0.4">
      <c r="P115" s="101"/>
      <c r="Q115" s="101"/>
      <c r="AD115" s="101"/>
      <c r="AE115" s="101"/>
      <c r="AR115" s="101"/>
      <c r="AS115" s="101"/>
      <c r="AT115" s="81">
        <f>IF(AS87&lt;0,"проект не окупается",IF(AT113&lt;36,AT113+1,-AT86/AS87+37))</f>
        <v>9</v>
      </c>
    </row>
    <row r="116" spans="1:46" s="167" customFormat="1" ht="14.1" hidden="1" x14ac:dyDescent="0.5">
      <c r="A116" s="81"/>
      <c r="B116" s="166"/>
      <c r="C116" s="166"/>
      <c r="P116" s="168"/>
      <c r="Q116" s="168"/>
      <c r="AD116" s="168"/>
      <c r="AE116" s="168"/>
      <c r="AR116" s="168"/>
      <c r="AS116" s="168"/>
      <c r="AT116" s="167">
        <f>IF(AS87&lt;0,"проект не окупается",IF(AT114&lt;36,AT114+1,-AT86/AS87+37))</f>
        <v>1</v>
      </c>
    </row>
    <row r="117" spans="1:46" s="167" customFormat="1" ht="14.1" x14ac:dyDescent="0.5">
      <c r="A117" s="81"/>
      <c r="B117" s="166"/>
      <c r="C117" s="166"/>
      <c r="P117" s="168"/>
      <c r="Q117" s="168"/>
      <c r="AD117" s="168"/>
      <c r="AE117" s="168"/>
      <c r="AR117" s="168"/>
      <c r="AS117" s="168"/>
    </row>
    <row r="118" spans="1:46" s="172" customFormat="1" ht="14.1" x14ac:dyDescent="0.5">
      <c r="A118" s="169"/>
      <c r="B118" s="169"/>
      <c r="C118" s="169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1"/>
      <c r="Q118" s="171"/>
      <c r="AD118" s="173"/>
      <c r="AE118" s="173"/>
      <c r="AR118" s="173"/>
      <c r="AS118" s="173"/>
    </row>
    <row r="119" spans="1:46" s="172" customFormat="1" ht="14.1" x14ac:dyDescent="0.5">
      <c r="A119" s="169"/>
      <c r="B119" s="169"/>
      <c r="C119" s="169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1"/>
      <c r="Q119" s="173"/>
      <c r="AD119" s="173"/>
      <c r="AE119" s="173"/>
      <c r="AR119" s="173"/>
      <c r="AS119" s="173"/>
    </row>
    <row r="120" spans="1:46" s="172" customFormat="1" ht="14.1" x14ac:dyDescent="0.5">
      <c r="A120" s="169"/>
      <c r="B120" s="169"/>
      <c r="C120" s="169"/>
      <c r="P120" s="173"/>
      <c r="Q120" s="173"/>
      <c r="AD120" s="173"/>
      <c r="AE120" s="173"/>
      <c r="AR120" s="173"/>
      <c r="AS120" s="173"/>
    </row>
    <row r="121" spans="1:46" s="167" customFormat="1" ht="14.1" x14ac:dyDescent="0.5">
      <c r="A121" s="81"/>
      <c r="B121" s="166"/>
      <c r="C121" s="166"/>
      <c r="P121" s="168"/>
      <c r="Q121" s="168"/>
      <c r="AD121" s="168"/>
      <c r="AE121" s="168"/>
      <c r="AR121" s="168"/>
      <c r="AS121" s="168"/>
    </row>
    <row r="122" spans="1:46" s="167" customFormat="1" ht="14.1" x14ac:dyDescent="0.5">
      <c r="A122" s="81"/>
      <c r="B122" s="166"/>
      <c r="C122" s="166"/>
      <c r="P122" s="168"/>
      <c r="Q122" s="168"/>
      <c r="AD122" s="168"/>
      <c r="AE122" s="168"/>
      <c r="AR122" s="168"/>
      <c r="AS122" s="168"/>
    </row>
    <row r="123" spans="1:46" s="167" customFormat="1" ht="14.1" x14ac:dyDescent="0.5">
      <c r="A123" s="81"/>
      <c r="B123" s="166"/>
      <c r="C123" s="166"/>
      <c r="P123" s="168"/>
      <c r="Q123" s="168"/>
      <c r="AD123" s="168"/>
      <c r="AE123" s="168"/>
      <c r="AR123" s="168"/>
      <c r="AS123" s="168"/>
    </row>
    <row r="124" spans="1:46" s="167" customFormat="1" ht="14.1" x14ac:dyDescent="0.5">
      <c r="A124" s="81"/>
      <c r="B124" s="166"/>
      <c r="C124" s="166"/>
      <c r="P124" s="168"/>
      <c r="Q124" s="168"/>
      <c r="AD124" s="168"/>
      <c r="AE124" s="168"/>
      <c r="AR124" s="168"/>
      <c r="AS124" s="168"/>
    </row>
    <row r="125" spans="1:46" s="167" customFormat="1" ht="14.1" x14ac:dyDescent="0.5">
      <c r="A125" s="81"/>
      <c r="B125" s="166"/>
      <c r="C125" s="166"/>
      <c r="P125" s="168"/>
      <c r="Q125" s="168"/>
      <c r="AD125" s="168"/>
      <c r="AE125" s="168"/>
      <c r="AR125" s="168"/>
      <c r="AS125" s="168"/>
    </row>
    <row r="126" spans="1:46" s="167" customFormat="1" ht="14.1" x14ac:dyDescent="0.5">
      <c r="A126" s="81"/>
      <c r="B126" s="166"/>
      <c r="C126" s="166"/>
      <c r="P126" s="168"/>
      <c r="Q126" s="168"/>
      <c r="AD126" s="168"/>
      <c r="AE126" s="168"/>
      <c r="AR126" s="168"/>
      <c r="AS126" s="168"/>
    </row>
    <row r="127" spans="1:46" s="167" customFormat="1" ht="14.1" x14ac:dyDescent="0.5">
      <c r="A127" s="81"/>
      <c r="B127" s="166"/>
      <c r="C127" s="166"/>
      <c r="P127" s="168"/>
      <c r="Q127" s="168"/>
      <c r="AD127" s="168"/>
      <c r="AE127" s="168"/>
      <c r="AR127" s="168"/>
      <c r="AS127" s="168"/>
    </row>
    <row r="128" spans="1:46" s="167" customFormat="1" ht="14.1" x14ac:dyDescent="0.5">
      <c r="A128" s="81"/>
      <c r="B128" s="166"/>
      <c r="C128" s="166"/>
      <c r="P128" s="168"/>
      <c r="Q128" s="168"/>
      <c r="AD128" s="168"/>
      <c r="AE128" s="168"/>
      <c r="AR128" s="168"/>
      <c r="AS128" s="168"/>
    </row>
    <row r="129" spans="1:45" s="167" customFormat="1" ht="14.1" x14ac:dyDescent="0.5">
      <c r="A129" s="81"/>
      <c r="B129" s="166"/>
      <c r="C129" s="166"/>
      <c r="P129" s="168"/>
      <c r="Q129" s="168"/>
      <c r="AD129" s="168"/>
      <c r="AE129" s="168"/>
      <c r="AR129" s="168"/>
      <c r="AS129" s="168"/>
    </row>
  </sheetData>
  <mergeCells count="7">
    <mergeCell ref="AT15:AT16"/>
    <mergeCell ref="D5:Q5"/>
    <mergeCell ref="D15:Q15"/>
    <mergeCell ref="R5:AE5"/>
    <mergeCell ref="R15:AE15"/>
    <mergeCell ref="AF5:AS5"/>
    <mergeCell ref="AF15:AS15"/>
  </mergeCells>
  <conditionalFormatting sqref="D9:O10">
    <cfRule type="cellIs" dxfId="38" priority="97" operator="lessThan">
      <formula>1</formula>
    </cfRule>
    <cfRule type="cellIs" dxfId="37" priority="98" operator="greaterThan">
      <formula>1</formula>
    </cfRule>
  </conditionalFormatting>
  <conditionalFormatting sqref="D9:O9">
    <cfRule type="cellIs" dxfId="36" priority="99" operator="lessThan">
      <formula>1</formula>
    </cfRule>
  </conditionalFormatting>
  <conditionalFormatting sqref="R7:AC7">
    <cfRule type="cellIs" dxfId="35" priority="84" operator="lessThan">
      <formula>1</formula>
    </cfRule>
    <cfRule type="cellIs" dxfId="34" priority="85" operator="greaterThan">
      <formula>1</formula>
    </cfRule>
  </conditionalFormatting>
  <conditionalFormatting sqref="R9:AC9">
    <cfRule type="cellIs" dxfId="33" priority="83" operator="lessThan">
      <formula>1</formula>
    </cfRule>
  </conditionalFormatting>
  <conditionalFormatting sqref="R9:AC10">
    <cfRule type="cellIs" dxfId="32" priority="81" operator="lessThan">
      <formula>1</formula>
    </cfRule>
    <cfRule type="cellIs" dxfId="31" priority="82" operator="greaterThan">
      <formula>1</formula>
    </cfRule>
  </conditionalFormatting>
  <conditionalFormatting sqref="AF7:AQ7">
    <cfRule type="cellIs" dxfId="30" priority="66" operator="lessThan">
      <formula>1</formula>
    </cfRule>
    <cfRule type="cellIs" dxfId="29" priority="67" operator="greaterThan">
      <formula>1</formula>
    </cfRule>
  </conditionalFormatting>
  <conditionalFormatting sqref="AF9:AQ9">
    <cfRule type="cellIs" dxfId="28" priority="65" operator="lessThan">
      <formula>1</formula>
    </cfRule>
  </conditionalFormatting>
  <conditionalFormatting sqref="AF9:AQ10">
    <cfRule type="cellIs" dxfId="27" priority="63" operator="lessThan">
      <formula>1</formula>
    </cfRule>
    <cfRule type="cellIs" dxfId="26" priority="64" operator="greaterThan">
      <formula>1</formula>
    </cfRule>
  </conditionalFormatting>
  <conditionalFormatting sqref="R11:AC12">
    <cfRule type="cellIs" dxfId="25" priority="33" operator="lessThan">
      <formula>1</formula>
    </cfRule>
    <cfRule type="cellIs" dxfId="24" priority="34" operator="greaterThan">
      <formula>1</formula>
    </cfRule>
  </conditionalFormatting>
  <conditionalFormatting sqref="D11:O12">
    <cfRule type="cellIs" dxfId="23" priority="36" operator="lessThan">
      <formula>1</formula>
    </cfRule>
    <cfRule type="cellIs" dxfId="22" priority="37" operator="greaterThan">
      <formula>1</formula>
    </cfRule>
  </conditionalFormatting>
  <conditionalFormatting sqref="D11:O11">
    <cfRule type="cellIs" dxfId="21" priority="38" operator="lessThan">
      <formula>1</formula>
    </cfRule>
  </conditionalFormatting>
  <conditionalFormatting sqref="AF11:AQ11">
    <cfRule type="cellIs" dxfId="20" priority="32" operator="lessThan">
      <formula>1</formula>
    </cfRule>
  </conditionalFormatting>
  <conditionalFormatting sqref="AF11:AQ12">
    <cfRule type="cellIs" dxfId="19" priority="30" operator="lessThan">
      <formula>1</formula>
    </cfRule>
    <cfRule type="cellIs" dxfId="18" priority="31" operator="greaterThan">
      <formula>1</formula>
    </cfRule>
  </conditionalFormatting>
  <conditionalFormatting sqref="R11:AC11">
    <cfRule type="cellIs" dxfId="17" priority="35" operator="lessThan">
      <formula>1</formula>
    </cfRule>
  </conditionalFormatting>
  <conditionalFormatting sqref="D13:O13">
    <cfRule type="cellIs" dxfId="16" priority="27" operator="lessThan">
      <formula>1</formula>
    </cfRule>
    <cfRule type="cellIs" dxfId="15" priority="28" operator="greaterThan">
      <formula>1</formula>
    </cfRule>
  </conditionalFormatting>
  <conditionalFormatting sqref="D13:O13">
    <cfRule type="cellIs" dxfId="14" priority="29" operator="lessThan">
      <formula>1</formula>
    </cfRule>
  </conditionalFormatting>
  <conditionalFormatting sqref="AF13:AQ13">
    <cfRule type="cellIs" dxfId="13" priority="23" operator="lessThan">
      <formula>1</formula>
    </cfRule>
  </conditionalFormatting>
  <conditionalFormatting sqref="AF13:AQ13">
    <cfRule type="cellIs" dxfId="12" priority="21" operator="lessThan">
      <formula>1</formula>
    </cfRule>
    <cfRule type="cellIs" dxfId="11" priority="22" operator="greaterThan">
      <formula>1</formula>
    </cfRule>
  </conditionalFormatting>
  <conditionalFormatting sqref="R13:AC13">
    <cfRule type="cellIs" dxfId="10" priority="26" operator="lessThan">
      <formula>1</formula>
    </cfRule>
  </conditionalFormatting>
  <conditionalFormatting sqref="R13:AC13">
    <cfRule type="cellIs" dxfId="9" priority="24" operator="lessThan">
      <formula>1</formula>
    </cfRule>
    <cfRule type="cellIs" dxfId="8" priority="25" operator="greaterThan">
      <formula>1</formula>
    </cfRule>
  </conditionalFormatting>
  <conditionalFormatting sqref="D8:O8">
    <cfRule type="cellIs" dxfId="7" priority="17" operator="lessThan">
      <formula>1</formula>
    </cfRule>
    <cfRule type="cellIs" dxfId="6" priority="18" operator="greaterThan">
      <formula>1</formula>
    </cfRule>
  </conditionalFormatting>
  <conditionalFormatting sqref="AF8:AQ8">
    <cfRule type="cellIs" dxfId="5" priority="1" operator="lessThan">
      <formula>1</formula>
    </cfRule>
    <cfRule type="cellIs" dxfId="4" priority="2" operator="greaterThan">
      <formula>1</formula>
    </cfRule>
  </conditionalFormatting>
  <conditionalFormatting sqref="D7:O7">
    <cfRule type="cellIs" dxfId="3" priority="5" operator="lessThan">
      <formula>1</formula>
    </cfRule>
    <cfRule type="cellIs" dxfId="2" priority="6" operator="greaterThan">
      <formula>1</formula>
    </cfRule>
  </conditionalFormatting>
  <conditionalFormatting sqref="R8:AC8">
    <cfRule type="cellIs" dxfId="1" priority="3" operator="lessThan">
      <formula>1</formula>
    </cfRule>
    <cfRule type="cellIs" dxfId="0" priority="4" operator="greaterThan">
      <formula>1</formula>
    </cfRule>
  </conditionalFormatting>
  <pageMargins left="0.39370078740157483" right="0.39370078740157483" top="0.39370078740157483" bottom="0.39370078740157483" header="0.51181102362204722" footer="0.51181102362204722"/>
  <pageSetup paperSize="9" scale="20" orientation="landscape" horizontalDpi="300" verticalDpi="300" r:id="rId1"/>
  <headerFooter alignWithMargins="0"/>
  <colBreaks count="2" manualBreakCount="2">
    <brk id="17" min="4" max="109" man="1"/>
    <brk id="31" min="4" max="109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6</vt:i4>
      </vt:variant>
    </vt:vector>
  </HeadingPairs>
  <TitlesOfParts>
    <vt:vector size="10" baseType="lpstr">
      <vt:lpstr>Исходные данные</vt:lpstr>
      <vt:lpstr>Инвестиции</vt:lpstr>
      <vt:lpstr>Обобщенный расчет</vt:lpstr>
      <vt:lpstr>Детальный расчет</vt:lpstr>
      <vt:lpstr>'Детальный расчет'!Заголовки_для_печати</vt:lpstr>
      <vt:lpstr>Инвестиции!Заголовки_для_печати</vt:lpstr>
      <vt:lpstr>'Детальный расчет'!Область_печати</vt:lpstr>
      <vt:lpstr>Инвестиции!Область_печати</vt:lpstr>
      <vt:lpstr>'Исходные данные'!Область_печати</vt:lpstr>
      <vt:lpstr>'Обобщенный расчет'!Область_печати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Zazi;Franch.biz</dc:creator>
  <cp:lastModifiedBy>Яна Мирская</cp:lastModifiedBy>
  <cp:lastPrinted>2019-07-31T09:57:25Z</cp:lastPrinted>
  <dcterms:created xsi:type="dcterms:W3CDTF">2013-12-25T12:04:54Z</dcterms:created>
  <dcterms:modified xsi:type="dcterms:W3CDTF">2019-07-31T09:57:34Z</dcterms:modified>
</cp:coreProperties>
</file>