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Кирилл Новак\Desktop\Франшиза\"/>
    </mc:Choice>
  </mc:AlternateContent>
  <bookViews>
    <workbookView xWindow="0" yWindow="0" windowWidth="28800" windowHeight="13640" activeTab="1"/>
  </bookViews>
  <sheets>
    <sheet name="Исходные данные" sheetId="6" r:id="rId1"/>
    <sheet name="Обобщенный расчет" sheetId="7" r:id="rId2"/>
    <sheet name="Детальный расчет" sheetId="4" r:id="rId3"/>
  </sheets>
  <externalReferences>
    <externalReference r:id="rId4"/>
    <externalReference r:id="rId5"/>
    <externalReference r:id="rId6"/>
  </externalReferences>
  <definedNames>
    <definedName name="About_AI" localSheetId="0">#REF!</definedName>
    <definedName name="About_AI" localSheetId="1">#REF!</definedName>
    <definedName name="About_AI">#REF!</definedName>
    <definedName name="About_AI_Summ" localSheetId="0">#REF!</definedName>
    <definedName name="About_AI_Summ" localSheetId="1">#REF!</definedName>
    <definedName name="About_AI_Summ">#REF!</definedName>
    <definedName name="AI_Version">[1]Опции!$B$5</definedName>
    <definedName name="CalcMethod">[1]Проект!$F$88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EST_DATA" localSheetId="0">[1]Проект!#REF!</definedName>
    <definedName name="EST_DATA" localSheetId="1">[1]Проект!#REF!</definedName>
    <definedName name="EST_DATA">[1]Проект!#REF!</definedName>
    <definedName name="EST_FROM" localSheetId="0">[1]Проект!#REF!</definedName>
    <definedName name="EST_FROM" localSheetId="1">[1]Проект!#REF!</definedName>
    <definedName name="EST_FROM">[1]Проект!#REF!</definedName>
    <definedName name="EST_NumStages" localSheetId="0">[1]Проект!#REF!</definedName>
    <definedName name="EST_NumStages" localSheetId="1">[1]Проект!#REF!</definedName>
    <definedName name="EST_NumStages">[1]Проект!#REF!</definedName>
    <definedName name="EST_Obj_1" localSheetId="0">[1]Проект!#REF!</definedName>
    <definedName name="EST_Obj_1" localSheetId="1">[1]Проект!#REF!</definedName>
    <definedName name="EST_Obj_1">[1]Проект!#REF!</definedName>
    <definedName name="EST_Obj_10" localSheetId="0">[1]Проект!#REF!</definedName>
    <definedName name="EST_Obj_10" localSheetId="1">[1]Проект!#REF!</definedName>
    <definedName name="EST_Obj_10">[1]Проект!#REF!</definedName>
    <definedName name="EST_Obj_2" localSheetId="0">[1]Проект!#REF!</definedName>
    <definedName name="EST_Obj_2" localSheetId="1">[1]Проект!#REF!</definedName>
    <definedName name="EST_Obj_2">[1]Проект!#REF!</definedName>
    <definedName name="EST_Obj_3" localSheetId="0">[1]Проект!#REF!</definedName>
    <definedName name="EST_Obj_3" localSheetId="1">[1]Проект!#REF!</definedName>
    <definedName name="EST_Obj_3">[1]Проект!#REF!</definedName>
    <definedName name="EST_Obj_4" localSheetId="0">[1]Проект!#REF!</definedName>
    <definedName name="EST_Obj_4" localSheetId="1">[1]Проект!#REF!</definedName>
    <definedName name="EST_Obj_4">[1]Проект!#REF!</definedName>
    <definedName name="EST_Obj_5" localSheetId="0">[1]Проект!#REF!</definedName>
    <definedName name="EST_Obj_5" localSheetId="1">[1]Проект!#REF!</definedName>
    <definedName name="EST_Obj_5">[1]Проект!#REF!</definedName>
    <definedName name="EST_Obj_6" localSheetId="0">[1]Проект!#REF!</definedName>
    <definedName name="EST_Obj_6" localSheetId="1">[1]Проект!#REF!</definedName>
    <definedName name="EST_Obj_6">[1]Проект!#REF!</definedName>
    <definedName name="EST_Obj_7" localSheetId="0">[1]Проект!#REF!</definedName>
    <definedName name="EST_Obj_7" localSheetId="1">[1]Проект!#REF!</definedName>
    <definedName name="EST_Obj_7">[1]Проект!#REF!</definedName>
    <definedName name="EST_Obj_8" localSheetId="0">[1]Проект!#REF!</definedName>
    <definedName name="EST_Obj_8" localSheetId="1">[1]Проект!#REF!</definedName>
    <definedName name="EST_Obj_8">[1]Проект!#REF!</definedName>
    <definedName name="EST_Obj_9" localSheetId="0">[1]Проект!#REF!</definedName>
    <definedName name="EST_Obj_9" localSheetId="1">[1]Проект!#REF!</definedName>
    <definedName name="EST_Obj_9">[1]Проект!#REF!</definedName>
    <definedName name="EST_ProdNum" localSheetId="0">[1]Проект!#REF!</definedName>
    <definedName name="EST_ProdNum" localSheetId="1">[1]Проект!#REF!</definedName>
    <definedName name="EST_ProdNum">[1]Проект!#REF!</definedName>
    <definedName name="IS_SUMM">[1]Опции!$B$10</definedName>
    <definedName name="LANGUAGE">[1]Проект!$D$17</definedName>
    <definedName name="NWC_T_Cr_AdvK">[1]Проект!$B$772</definedName>
    <definedName name="NWC_T_Cr_AdvT">[1]Проект!$C$772</definedName>
    <definedName name="NWC_T_Cr_CrdK">[1]Проект!$B$773</definedName>
    <definedName name="NWC_T_Cr_CrdT">[1]Проект!$C$773</definedName>
    <definedName name="NWC_T_Cycle">[1]Проект!$B$751</definedName>
    <definedName name="NWC_T_Db_AdvK">[1]Проект!$B$760</definedName>
    <definedName name="NWC_T_Db_AdvT">[1]Проект!$C$760</definedName>
    <definedName name="NWC_T_Db_CrdK">[1]Проект!$B$761</definedName>
    <definedName name="NWC_T_Db_CrdT">[1]Проект!$C$761</definedName>
    <definedName name="NWC_T_Goods">[1]Проект!$B$755</definedName>
    <definedName name="NWC_T_Mat">[1]Проект!$B$749</definedName>
    <definedName name="PeriodTitle">[1]Проект!$F$86:$L$86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[1]Проект!$B$945</definedName>
    <definedName name="ProfitTax_Period">[1]Проект!$B$946</definedName>
    <definedName name="season" localSheetId="0">'[2]1. Исходные данные'!#REF!</definedName>
    <definedName name="season" localSheetId="1">'[2]1. Исходные данные'!#REF!</definedName>
    <definedName name="season">'[2]1. Исходные данные'!#REF!</definedName>
    <definedName name="SENS_Parameter">[1]Анализ!$E$9</definedName>
    <definedName name="ShowRealDates">[1]Проект!$D$20</definedName>
    <definedName name="VAT">[1]Проект!$B$889</definedName>
    <definedName name="VAT_OnAssets">[1]Проект!$B$892</definedName>
    <definedName name="VAT_Period">[1]Проект!$B$890</definedName>
    <definedName name="VAT_Repay">[1]Проект!$B$891</definedName>
    <definedName name="апи" localSheetId="0">[3]Отчет!#REF!</definedName>
    <definedName name="апи" localSheetId="1">[3]Отчет!#REF!</definedName>
    <definedName name="апи">[3]Отчет!#REF!</definedName>
    <definedName name="_xlnm.Print_Titles" localSheetId="2">'Детальный расчет'!$A:$B,'Детальный расчет'!$5:$5</definedName>
    <definedName name="и" localSheetId="0">[3]Отчет!#REF!</definedName>
    <definedName name="и" localSheetId="1">[3]Отчет!#REF!</definedName>
    <definedName name="и">[3]Отчет!#REF!</definedName>
    <definedName name="_xlnm.Print_Area" localSheetId="2">'Детальный расчет'!$A$5:$AS$115</definedName>
    <definedName name="_xlnm.Print_Area" localSheetId="0">'Исходные данные'!$A$2:$K$124</definedName>
    <definedName name="_xlnm.Print_Area" localSheetId="1">'Обобщенный расчет'!$A$1:$J$74</definedName>
    <definedName name="п" localSheetId="0">[3]Отчет!#REF!</definedName>
    <definedName name="п" localSheetId="1">[3]Отчет!#REF!</definedName>
    <definedName name="п">[3]Отчет!#REF!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35" i="7" l="1"/>
  <c r="J36" i="7"/>
  <c r="J37" i="7"/>
  <c r="J38" i="7"/>
  <c r="J34" i="7"/>
  <c r="J25" i="7"/>
  <c r="J26" i="7"/>
  <c r="J27" i="7"/>
  <c r="J28" i="7"/>
  <c r="J29" i="7"/>
  <c r="J30" i="7"/>
  <c r="J31" i="7"/>
  <c r="J32" i="7"/>
  <c r="J33" i="7"/>
  <c r="H35" i="7"/>
  <c r="H36" i="7"/>
  <c r="H37" i="7"/>
  <c r="H38" i="7"/>
  <c r="H34" i="7"/>
  <c r="H25" i="7"/>
  <c r="H26" i="7"/>
  <c r="H27" i="7"/>
  <c r="H28" i="7"/>
  <c r="H29" i="7"/>
  <c r="H30" i="7"/>
  <c r="H31" i="7"/>
  <c r="H32" i="7"/>
  <c r="H33" i="7"/>
  <c r="F35" i="7"/>
  <c r="F36" i="7"/>
  <c r="F37" i="7"/>
  <c r="F38" i="7"/>
  <c r="F34" i="7"/>
  <c r="F25" i="7"/>
  <c r="F26" i="7"/>
  <c r="F27" i="7"/>
  <c r="F28" i="7"/>
  <c r="F29" i="7"/>
  <c r="F30" i="7"/>
  <c r="F31" i="7"/>
  <c r="F32" i="7"/>
  <c r="F33" i="7"/>
  <c r="F24" i="7"/>
  <c r="E35" i="7"/>
  <c r="E36" i="7"/>
  <c r="E37" i="7"/>
  <c r="E38" i="7"/>
  <c r="E34" i="7"/>
  <c r="F23" i="7"/>
  <c r="D35" i="7"/>
  <c r="D36" i="7"/>
  <c r="D37" i="7"/>
  <c r="D38" i="7"/>
  <c r="D34" i="7"/>
  <c r="D25" i="7"/>
  <c r="D26" i="7"/>
  <c r="D27" i="7"/>
  <c r="D28" i="7"/>
  <c r="D29" i="7"/>
  <c r="D30" i="7"/>
  <c r="D31" i="7"/>
  <c r="D32" i="7"/>
  <c r="D33" i="7"/>
  <c r="A35" i="7"/>
  <c r="A36" i="7"/>
  <c r="A37" i="7"/>
  <c r="A38" i="7"/>
  <c r="A34" i="7"/>
  <c r="A25" i="7"/>
  <c r="A26" i="7"/>
  <c r="A27" i="7"/>
  <c r="A28" i="7"/>
  <c r="A29" i="7"/>
  <c r="A30" i="7"/>
  <c r="A31" i="7"/>
  <c r="A32" i="7"/>
  <c r="A33" i="7"/>
  <c r="H82" i="6"/>
  <c r="B43" i="4"/>
  <c r="B42" i="4"/>
  <c r="B41" i="4"/>
  <c r="B40" i="4"/>
  <c r="B39" i="4"/>
  <c r="B38" i="4"/>
  <c r="B37" i="4"/>
  <c r="B36" i="4"/>
  <c r="B35" i="4"/>
  <c r="B34" i="4"/>
  <c r="B33" i="4"/>
  <c r="B32" i="4"/>
  <c r="B28" i="4"/>
  <c r="A28" i="4"/>
  <c r="A43" i="4" s="1"/>
  <c r="B27" i="4"/>
  <c r="A27" i="4"/>
  <c r="A42" i="4" s="1"/>
  <c r="B26" i="4"/>
  <c r="A26" i="4"/>
  <c r="A41" i="4" s="1"/>
  <c r="B25" i="4"/>
  <c r="A25" i="4"/>
  <c r="A40" i="4" s="1"/>
  <c r="B24" i="4"/>
  <c r="A24" i="4"/>
  <c r="A39" i="4" s="1"/>
  <c r="B23" i="4"/>
  <c r="A23" i="4"/>
  <c r="A38" i="4" s="1"/>
  <c r="F92" i="6"/>
  <c r="F91" i="6"/>
  <c r="F90" i="6"/>
  <c r="F89" i="6"/>
  <c r="F88" i="6"/>
  <c r="F97" i="6"/>
  <c r="F96" i="6"/>
  <c r="F95" i="6"/>
  <c r="F94" i="6"/>
  <c r="F93" i="6"/>
  <c r="F78" i="6"/>
  <c r="E33" i="7" s="1"/>
  <c r="F77" i="6"/>
  <c r="E32" i="7" s="1"/>
  <c r="F76" i="6"/>
  <c r="E31" i="7" s="1"/>
  <c r="F75" i="6"/>
  <c r="E30" i="7" s="1"/>
  <c r="F74" i="6"/>
  <c r="E29" i="7" s="1"/>
  <c r="K16" i="6"/>
  <c r="G29" i="6" l="1"/>
  <c r="C29" i="6"/>
  <c r="G16" i="6" l="1"/>
  <c r="J42" i="7"/>
  <c r="A22" i="4"/>
  <c r="A37" i="4" s="1"/>
  <c r="A21" i="4"/>
  <c r="A36" i="4" s="1"/>
  <c r="A20" i="4"/>
  <c r="A35" i="4" s="1"/>
  <c r="A19" i="4"/>
  <c r="A34" i="4" s="1"/>
  <c r="A18" i="4"/>
  <c r="A33" i="4" s="1"/>
  <c r="B72" i="4"/>
  <c r="A72" i="4"/>
  <c r="B71" i="4"/>
  <c r="A71" i="4"/>
  <c r="B22" i="4"/>
  <c r="A17" i="4"/>
  <c r="A32" i="4" s="1"/>
  <c r="H69" i="7"/>
  <c r="H67" i="7"/>
  <c r="H65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43" i="7"/>
  <c r="J20" i="7"/>
  <c r="J24" i="7"/>
  <c r="H24" i="7"/>
  <c r="D24" i="7"/>
  <c r="A24" i="7"/>
  <c r="E23" i="7"/>
  <c r="J11" i="7"/>
  <c r="J12" i="7"/>
  <c r="J13" i="7"/>
  <c r="J14" i="7"/>
  <c r="J15" i="7"/>
  <c r="J16" i="7"/>
  <c r="J17" i="7"/>
  <c r="J18" i="7"/>
  <c r="J19" i="7"/>
  <c r="C8" i="7"/>
  <c r="I7" i="7"/>
  <c r="F7" i="7"/>
  <c r="A7" i="7"/>
  <c r="B48" i="7"/>
  <c r="B49" i="7"/>
  <c r="B50" i="7"/>
  <c r="B47" i="7"/>
  <c r="J110" i="6" l="1"/>
  <c r="F110" i="6"/>
  <c r="F102" i="6"/>
  <c r="J111" i="6"/>
  <c r="F111" i="6"/>
  <c r="W71" i="4" l="1"/>
  <c r="Q71" i="4"/>
  <c r="AK71" i="4"/>
  <c r="I71" i="4"/>
  <c r="AE71" i="4"/>
  <c r="C71" i="4"/>
  <c r="AE72" i="4"/>
  <c r="AQ72" i="4" s="1"/>
  <c r="AR72" i="4" s="1"/>
  <c r="Q72" i="4"/>
  <c r="AC72" i="4" s="1"/>
  <c r="AD72" i="4" s="1"/>
  <c r="C72" i="4"/>
  <c r="O72" i="4" s="1"/>
  <c r="AC71" i="4" l="1"/>
  <c r="AD71" i="4" s="1"/>
  <c r="AQ71" i="4"/>
  <c r="AR71" i="4" s="1"/>
  <c r="O71" i="4"/>
  <c r="P72" i="4"/>
  <c r="G52" i="7" s="1"/>
  <c r="AS72" i="4"/>
  <c r="AS71" i="4" l="1"/>
  <c r="P71" i="4"/>
  <c r="G51" i="7" s="1"/>
  <c r="J122" i="6"/>
  <c r="J123" i="6"/>
  <c r="J121" i="6"/>
  <c r="J107" i="6"/>
  <c r="J108" i="6"/>
  <c r="J109" i="6"/>
  <c r="J112" i="6"/>
  <c r="J113" i="6"/>
  <c r="J114" i="6"/>
  <c r="J115" i="6"/>
  <c r="J116" i="6"/>
  <c r="J106" i="6"/>
  <c r="J103" i="6"/>
  <c r="F122" i="6"/>
  <c r="F123" i="6"/>
  <c r="F121" i="6"/>
  <c r="F107" i="6"/>
  <c r="F108" i="6"/>
  <c r="F109" i="6"/>
  <c r="F112" i="6"/>
  <c r="F113" i="6"/>
  <c r="F114" i="6"/>
  <c r="F115" i="6"/>
  <c r="F116" i="6"/>
  <c r="F106" i="6"/>
  <c r="F103" i="6"/>
  <c r="D63" i="6"/>
  <c r="H63" i="6"/>
  <c r="J55" i="6"/>
  <c r="J56" i="6"/>
  <c r="J57" i="6"/>
  <c r="J58" i="6"/>
  <c r="J59" i="6"/>
  <c r="J60" i="6"/>
  <c r="J61" i="6"/>
  <c r="J62" i="6"/>
  <c r="J54" i="6"/>
  <c r="F55" i="6"/>
  <c r="F56" i="6"/>
  <c r="F57" i="6"/>
  <c r="D14" i="7" s="1"/>
  <c r="C50" i="4" s="1"/>
  <c r="F58" i="6"/>
  <c r="D15" i="7" s="1"/>
  <c r="C51" i="4" s="1"/>
  <c r="F59" i="6"/>
  <c r="D16" i="7" s="1"/>
  <c r="C52" i="4" s="1"/>
  <c r="F60" i="6"/>
  <c r="D17" i="7" s="1"/>
  <c r="C53" i="4" s="1"/>
  <c r="F61" i="6"/>
  <c r="D18" i="7" s="1"/>
  <c r="C54" i="4" s="1"/>
  <c r="F62" i="6"/>
  <c r="D19" i="7" s="1"/>
  <c r="C55" i="4" s="1"/>
  <c r="F54" i="6"/>
  <c r="D11" i="7" s="1"/>
  <c r="C47" i="4" s="1"/>
  <c r="F84" i="6"/>
  <c r="F85" i="6"/>
  <c r="F86" i="6"/>
  <c r="F87" i="6"/>
  <c r="F83" i="6"/>
  <c r="F70" i="6"/>
  <c r="E25" i="7" s="1"/>
  <c r="F71" i="6"/>
  <c r="E26" i="7" s="1"/>
  <c r="F72" i="6"/>
  <c r="E27" i="7" s="1"/>
  <c r="F73" i="6"/>
  <c r="E28" i="7" s="1"/>
  <c r="F69" i="6"/>
  <c r="E24" i="7" s="1"/>
  <c r="E81" i="6"/>
  <c r="D13" i="7" l="1"/>
  <c r="C49" i="4" s="1"/>
  <c r="D12" i="7"/>
  <c r="C48" i="4" s="1"/>
  <c r="AP64" i="4"/>
  <c r="AL64" i="4"/>
  <c r="AH64" i="4"/>
  <c r="Z64" i="4"/>
  <c r="V64" i="4"/>
  <c r="R64" i="4"/>
  <c r="AO64" i="4"/>
  <c r="AK64" i="4"/>
  <c r="AG64" i="4"/>
  <c r="Y64" i="4"/>
  <c r="U64" i="4"/>
  <c r="Q64" i="4"/>
  <c r="AM64" i="4"/>
  <c r="AE64" i="4"/>
  <c r="W64" i="4"/>
  <c r="E64" i="4"/>
  <c r="I64" i="4"/>
  <c r="M64" i="4"/>
  <c r="AJ64" i="4"/>
  <c r="AB64" i="4"/>
  <c r="T64" i="4"/>
  <c r="F64" i="4"/>
  <c r="J64" i="4"/>
  <c r="N64" i="4"/>
  <c r="AI64" i="4"/>
  <c r="AA64" i="4"/>
  <c r="S64" i="4"/>
  <c r="G64" i="4"/>
  <c r="K64" i="4"/>
  <c r="C64" i="4"/>
  <c r="AN64" i="4"/>
  <c r="AF64" i="4"/>
  <c r="X64" i="4"/>
  <c r="D64" i="4"/>
  <c r="H64" i="4"/>
  <c r="L64" i="4"/>
  <c r="G75" i="4"/>
  <c r="K75" i="4"/>
  <c r="C75" i="4"/>
  <c r="D75" i="4"/>
  <c r="H75" i="4"/>
  <c r="L75" i="4"/>
  <c r="E75" i="4"/>
  <c r="I75" i="4"/>
  <c r="M75" i="4"/>
  <c r="F75" i="4"/>
  <c r="J75" i="4"/>
  <c r="N75" i="4"/>
  <c r="AP69" i="4"/>
  <c r="AL69" i="4"/>
  <c r="AH69" i="4"/>
  <c r="Z69" i="4"/>
  <c r="V69" i="4"/>
  <c r="R69" i="4"/>
  <c r="AO69" i="4"/>
  <c r="AK69" i="4"/>
  <c r="AG69" i="4"/>
  <c r="Y69" i="4"/>
  <c r="U69" i="4"/>
  <c r="Q69" i="4"/>
  <c r="AI69" i="4"/>
  <c r="AA69" i="4"/>
  <c r="S69" i="4"/>
  <c r="D69" i="4"/>
  <c r="H69" i="4"/>
  <c r="L69" i="4"/>
  <c r="AN69" i="4"/>
  <c r="AF69" i="4"/>
  <c r="X69" i="4"/>
  <c r="E69" i="4"/>
  <c r="I69" i="4"/>
  <c r="M69" i="4"/>
  <c r="AM69" i="4"/>
  <c r="AE69" i="4"/>
  <c r="W69" i="4"/>
  <c r="F69" i="4"/>
  <c r="J69" i="4"/>
  <c r="N69" i="4"/>
  <c r="AJ69" i="4"/>
  <c r="AB69" i="4"/>
  <c r="T69" i="4"/>
  <c r="G69" i="4"/>
  <c r="K69" i="4"/>
  <c r="C69" i="4"/>
  <c r="AO80" i="4"/>
  <c r="AN80" i="4"/>
  <c r="AJ80" i="4"/>
  <c r="AF80" i="4"/>
  <c r="AB80" i="4"/>
  <c r="X80" i="4"/>
  <c r="T80" i="4"/>
  <c r="F80" i="4"/>
  <c r="J80" i="4"/>
  <c r="AM80" i="4"/>
  <c r="AI80" i="4"/>
  <c r="AE80" i="4"/>
  <c r="AA80" i="4"/>
  <c r="W80" i="4"/>
  <c r="S80" i="4"/>
  <c r="G80" i="4"/>
  <c r="K80" i="4"/>
  <c r="AP80" i="4"/>
  <c r="AG80" i="4"/>
  <c r="Y80" i="4"/>
  <c r="Q80" i="4"/>
  <c r="I80" i="4"/>
  <c r="C80" i="4"/>
  <c r="AL80" i="4"/>
  <c r="V80" i="4"/>
  <c r="D80" i="4"/>
  <c r="L80" i="4"/>
  <c r="AK80" i="4"/>
  <c r="U80" i="4"/>
  <c r="E80" i="4"/>
  <c r="M80" i="4"/>
  <c r="AH80" i="4"/>
  <c r="Z80" i="4"/>
  <c r="R80" i="4"/>
  <c r="H80" i="4"/>
  <c r="N80" i="4"/>
  <c r="F67" i="4"/>
  <c r="J67" i="4"/>
  <c r="N67" i="4"/>
  <c r="G67" i="4"/>
  <c r="K67" i="4"/>
  <c r="C67" i="4"/>
  <c r="D67" i="4"/>
  <c r="H67" i="4"/>
  <c r="L67" i="4"/>
  <c r="E67" i="4"/>
  <c r="I67" i="4"/>
  <c r="M67" i="4"/>
  <c r="AN74" i="4"/>
  <c r="AJ74" i="4"/>
  <c r="AF74" i="4"/>
  <c r="AB74" i="4"/>
  <c r="X74" i="4"/>
  <c r="T74" i="4"/>
  <c r="AM74" i="4"/>
  <c r="AI74" i="4"/>
  <c r="AE74" i="4"/>
  <c r="AA74" i="4"/>
  <c r="W74" i="4"/>
  <c r="S74" i="4"/>
  <c r="AK74" i="4"/>
  <c r="U74" i="4"/>
  <c r="D74" i="4"/>
  <c r="H74" i="4"/>
  <c r="L74" i="4"/>
  <c r="AP74" i="4"/>
  <c r="AH74" i="4"/>
  <c r="Z74" i="4"/>
  <c r="R74" i="4"/>
  <c r="E74" i="4"/>
  <c r="I74" i="4"/>
  <c r="M74" i="4"/>
  <c r="AO74" i="4"/>
  <c r="AG74" i="4"/>
  <c r="Y74" i="4"/>
  <c r="Q74" i="4"/>
  <c r="F74" i="4"/>
  <c r="J74" i="4"/>
  <c r="N74" i="4"/>
  <c r="AL74" i="4"/>
  <c r="V74" i="4"/>
  <c r="G74" i="4"/>
  <c r="K74" i="4"/>
  <c r="C74" i="4"/>
  <c r="G68" i="4"/>
  <c r="K68" i="4"/>
  <c r="C68" i="4"/>
  <c r="D68" i="4"/>
  <c r="H68" i="4"/>
  <c r="L68" i="4"/>
  <c r="E68" i="4"/>
  <c r="I68" i="4"/>
  <c r="M68" i="4"/>
  <c r="F68" i="4"/>
  <c r="J68" i="4"/>
  <c r="N68" i="4"/>
  <c r="AN77" i="4"/>
  <c r="AJ77" i="4"/>
  <c r="AF77" i="4"/>
  <c r="AB77" i="4"/>
  <c r="X77" i="4"/>
  <c r="T77" i="4"/>
  <c r="AM77" i="4"/>
  <c r="AI77" i="4"/>
  <c r="AE77" i="4"/>
  <c r="AA77" i="4"/>
  <c r="W77" i="4"/>
  <c r="S77" i="4"/>
  <c r="AO77" i="4"/>
  <c r="AG77" i="4"/>
  <c r="Y77" i="4"/>
  <c r="Q77" i="4"/>
  <c r="F77" i="4"/>
  <c r="J77" i="4"/>
  <c r="N77" i="4"/>
  <c r="AL77" i="4"/>
  <c r="V77" i="4"/>
  <c r="G77" i="4"/>
  <c r="K77" i="4"/>
  <c r="C77" i="4"/>
  <c r="AK77" i="4"/>
  <c r="U77" i="4"/>
  <c r="D77" i="4"/>
  <c r="H77" i="4"/>
  <c r="L77" i="4"/>
  <c r="AP77" i="4"/>
  <c r="AH77" i="4"/>
  <c r="Z77" i="4"/>
  <c r="R77" i="4"/>
  <c r="E77" i="4"/>
  <c r="I77" i="4"/>
  <c r="M77" i="4"/>
  <c r="AN73" i="4"/>
  <c r="AJ73" i="4"/>
  <c r="AF73" i="4"/>
  <c r="AB73" i="4"/>
  <c r="X73" i="4"/>
  <c r="T73" i="4"/>
  <c r="AM73" i="4"/>
  <c r="AI73" i="4"/>
  <c r="AE73" i="4"/>
  <c r="AA73" i="4"/>
  <c r="W73" i="4"/>
  <c r="S73" i="4"/>
  <c r="AO73" i="4"/>
  <c r="AG73" i="4"/>
  <c r="Y73" i="4"/>
  <c r="Q73" i="4"/>
  <c r="G73" i="4"/>
  <c r="K73" i="4"/>
  <c r="C73" i="4"/>
  <c r="AL73" i="4"/>
  <c r="V73" i="4"/>
  <c r="D73" i="4"/>
  <c r="H73" i="4"/>
  <c r="L73" i="4"/>
  <c r="AK73" i="4"/>
  <c r="U73" i="4"/>
  <c r="E73" i="4"/>
  <c r="I73" i="4"/>
  <c r="M73" i="4"/>
  <c r="AP73" i="4"/>
  <c r="AH73" i="4"/>
  <c r="Z73" i="4"/>
  <c r="R73" i="4"/>
  <c r="F73" i="4"/>
  <c r="J73" i="4"/>
  <c r="N73" i="4"/>
  <c r="F79" i="4"/>
  <c r="J79" i="4"/>
  <c r="N79" i="4"/>
  <c r="G79" i="4"/>
  <c r="K79" i="4"/>
  <c r="C79" i="4"/>
  <c r="E79" i="4"/>
  <c r="M79" i="4"/>
  <c r="H79" i="4"/>
  <c r="I79" i="4"/>
  <c r="D79" i="4"/>
  <c r="L79" i="4"/>
  <c r="AN76" i="4"/>
  <c r="AJ76" i="4"/>
  <c r="AF76" i="4"/>
  <c r="AB76" i="4"/>
  <c r="X76" i="4"/>
  <c r="T76" i="4"/>
  <c r="AM76" i="4"/>
  <c r="AI76" i="4"/>
  <c r="AE76" i="4"/>
  <c r="AA76" i="4"/>
  <c r="W76" i="4"/>
  <c r="S76" i="4"/>
  <c r="AK76" i="4"/>
  <c r="U76" i="4"/>
  <c r="E76" i="4"/>
  <c r="I76" i="4"/>
  <c r="M76" i="4"/>
  <c r="AP76" i="4"/>
  <c r="AH76" i="4"/>
  <c r="Z76" i="4"/>
  <c r="R76" i="4"/>
  <c r="F76" i="4"/>
  <c r="J76" i="4"/>
  <c r="N76" i="4"/>
  <c r="AO76" i="4"/>
  <c r="AG76" i="4"/>
  <c r="Y76" i="4"/>
  <c r="Q76" i="4"/>
  <c r="G76" i="4"/>
  <c r="K76" i="4"/>
  <c r="C76" i="4"/>
  <c r="AL76" i="4"/>
  <c r="V76" i="4"/>
  <c r="D76" i="4"/>
  <c r="H76" i="4"/>
  <c r="L76" i="4"/>
  <c r="AP70" i="4"/>
  <c r="AL70" i="4"/>
  <c r="AH70" i="4"/>
  <c r="Z70" i="4"/>
  <c r="V70" i="4"/>
  <c r="R70" i="4"/>
  <c r="AO70" i="4"/>
  <c r="AK70" i="4"/>
  <c r="AG70" i="4"/>
  <c r="Y70" i="4"/>
  <c r="U70" i="4"/>
  <c r="Q70" i="4"/>
  <c r="AM70" i="4"/>
  <c r="AE70" i="4"/>
  <c r="W70" i="4"/>
  <c r="E70" i="4"/>
  <c r="I70" i="4"/>
  <c r="M70" i="4"/>
  <c r="AJ70" i="4"/>
  <c r="AB70" i="4"/>
  <c r="T70" i="4"/>
  <c r="F70" i="4"/>
  <c r="J70" i="4"/>
  <c r="N70" i="4"/>
  <c r="AI70" i="4"/>
  <c r="AA70" i="4"/>
  <c r="S70" i="4"/>
  <c r="G70" i="4"/>
  <c r="K70" i="4"/>
  <c r="C70" i="4"/>
  <c r="AN70" i="4"/>
  <c r="AF70" i="4"/>
  <c r="X70" i="4"/>
  <c r="D70" i="4"/>
  <c r="H70" i="4"/>
  <c r="L70" i="4"/>
  <c r="AO81" i="4"/>
  <c r="AK81" i="4"/>
  <c r="AG81" i="4"/>
  <c r="AN81" i="4"/>
  <c r="AJ81" i="4"/>
  <c r="AF81" i="4"/>
  <c r="AB81" i="4"/>
  <c r="X81" i="4"/>
  <c r="T81" i="4"/>
  <c r="AM81" i="4"/>
  <c r="AI81" i="4"/>
  <c r="AE81" i="4"/>
  <c r="AA81" i="4"/>
  <c r="W81" i="4"/>
  <c r="S81" i="4"/>
  <c r="U81" i="4"/>
  <c r="D81" i="4"/>
  <c r="H81" i="4"/>
  <c r="L81" i="4"/>
  <c r="AP81" i="4"/>
  <c r="Z81" i="4"/>
  <c r="R81" i="4"/>
  <c r="E81" i="4"/>
  <c r="I81" i="4"/>
  <c r="M81" i="4"/>
  <c r="AL81" i="4"/>
  <c r="Y81" i="4"/>
  <c r="Q81" i="4"/>
  <c r="F81" i="4"/>
  <c r="J81" i="4"/>
  <c r="N81" i="4"/>
  <c r="AH81" i="4"/>
  <c r="V81" i="4"/>
  <c r="G81" i="4"/>
  <c r="K81" i="4"/>
  <c r="C81" i="4"/>
  <c r="F63" i="6"/>
  <c r="J63" i="6"/>
  <c r="E82" i="6"/>
  <c r="D53" i="6"/>
  <c r="H53" i="6" s="1"/>
  <c r="G35" i="6"/>
  <c r="G36" i="6"/>
  <c r="G37" i="6"/>
  <c r="G38" i="6"/>
  <c r="G39" i="6"/>
  <c r="G40" i="6"/>
  <c r="G41" i="6"/>
  <c r="G42" i="6"/>
  <c r="G43" i="6"/>
  <c r="G44" i="6"/>
  <c r="G45" i="6"/>
  <c r="G34" i="6"/>
  <c r="A13" i="6" l="1"/>
  <c r="G15" i="6" s="1"/>
  <c r="A12" i="6"/>
  <c r="C15" i="6" s="1"/>
  <c r="D13" i="6"/>
  <c r="H13" i="6" s="1"/>
  <c r="D12" i="6"/>
  <c r="P3" i="6"/>
  <c r="I27" i="6" l="1"/>
  <c r="I28" i="6"/>
  <c r="I26" i="6"/>
  <c r="I24" i="6"/>
  <c r="I25" i="6"/>
  <c r="I23" i="6"/>
  <c r="H12" i="6"/>
  <c r="A8" i="7"/>
  <c r="F68" i="6"/>
  <c r="F82" i="6" s="1"/>
  <c r="H10" i="6"/>
  <c r="B13" i="7"/>
  <c r="A49" i="4" s="1"/>
  <c r="AQ48" i="4"/>
  <c r="AC48" i="4"/>
  <c r="C7" i="7"/>
  <c r="AF11" i="4"/>
  <c r="AF68" i="4" s="1"/>
  <c r="AG11" i="4"/>
  <c r="AG68" i="4" s="1"/>
  <c r="AH11" i="4"/>
  <c r="AH68" i="4" s="1"/>
  <c r="AI11" i="4"/>
  <c r="AI68" i="4" s="1"/>
  <c r="AJ11" i="4"/>
  <c r="AJ68" i="4" s="1"/>
  <c r="AK11" i="4"/>
  <c r="AK68" i="4" s="1"/>
  <c r="AL11" i="4"/>
  <c r="AL68" i="4" s="1"/>
  <c r="AM11" i="4"/>
  <c r="AM68" i="4" s="1"/>
  <c r="AN11" i="4"/>
  <c r="AN68" i="4" s="1"/>
  <c r="AO11" i="4"/>
  <c r="AO68" i="4" s="1"/>
  <c r="AP11" i="4"/>
  <c r="AP68" i="4" s="1"/>
  <c r="AF12" i="4"/>
  <c r="AF75" i="4" s="1"/>
  <c r="AG12" i="4"/>
  <c r="AG75" i="4" s="1"/>
  <c r="AH12" i="4"/>
  <c r="AH75" i="4" s="1"/>
  <c r="AI12" i="4"/>
  <c r="AI75" i="4" s="1"/>
  <c r="AJ12" i="4"/>
  <c r="AJ75" i="4" s="1"/>
  <c r="AK12" i="4"/>
  <c r="AK75" i="4" s="1"/>
  <c r="AL12" i="4"/>
  <c r="AL75" i="4" s="1"/>
  <c r="AM12" i="4"/>
  <c r="AM75" i="4" s="1"/>
  <c r="AN12" i="4"/>
  <c r="AN75" i="4" s="1"/>
  <c r="AO12" i="4"/>
  <c r="AO75" i="4" s="1"/>
  <c r="AP12" i="4"/>
  <c r="AP75" i="4" s="1"/>
  <c r="AF13" i="4"/>
  <c r="AF79" i="4" s="1"/>
  <c r="AG13" i="4"/>
  <c r="AG79" i="4" s="1"/>
  <c r="AH13" i="4"/>
  <c r="AH79" i="4" s="1"/>
  <c r="AI13" i="4"/>
  <c r="AI79" i="4" s="1"/>
  <c r="AJ13" i="4"/>
  <c r="AJ79" i="4" s="1"/>
  <c r="AK13" i="4"/>
  <c r="AK79" i="4" s="1"/>
  <c r="AL13" i="4"/>
  <c r="AL79" i="4" s="1"/>
  <c r="AM13" i="4"/>
  <c r="AM79" i="4" s="1"/>
  <c r="AN13" i="4"/>
  <c r="AN79" i="4" s="1"/>
  <c r="AO13" i="4"/>
  <c r="AO79" i="4" s="1"/>
  <c r="AP13" i="4"/>
  <c r="AP79" i="4" s="1"/>
  <c r="AE13" i="4"/>
  <c r="AE79" i="4" s="1"/>
  <c r="AE12" i="4"/>
  <c r="AE75" i="4" s="1"/>
  <c r="AE11" i="4"/>
  <c r="AE68" i="4" s="1"/>
  <c r="R11" i="4"/>
  <c r="R68" i="4" s="1"/>
  <c r="S11" i="4"/>
  <c r="S68" i="4" s="1"/>
  <c r="T11" i="4"/>
  <c r="T68" i="4" s="1"/>
  <c r="U11" i="4"/>
  <c r="U68" i="4" s="1"/>
  <c r="V11" i="4"/>
  <c r="V68" i="4" s="1"/>
  <c r="W11" i="4"/>
  <c r="W68" i="4" s="1"/>
  <c r="X11" i="4"/>
  <c r="X68" i="4" s="1"/>
  <c r="Y11" i="4"/>
  <c r="Y68" i="4" s="1"/>
  <c r="Z11" i="4"/>
  <c r="Z68" i="4" s="1"/>
  <c r="AA11" i="4"/>
  <c r="AA68" i="4" s="1"/>
  <c r="AB11" i="4"/>
  <c r="AB68" i="4" s="1"/>
  <c r="R12" i="4"/>
  <c r="R75" i="4" s="1"/>
  <c r="S12" i="4"/>
  <c r="S75" i="4" s="1"/>
  <c r="T12" i="4"/>
  <c r="T75" i="4" s="1"/>
  <c r="U12" i="4"/>
  <c r="U75" i="4" s="1"/>
  <c r="V12" i="4"/>
  <c r="V75" i="4" s="1"/>
  <c r="W12" i="4"/>
  <c r="W75" i="4" s="1"/>
  <c r="X12" i="4"/>
  <c r="X75" i="4" s="1"/>
  <c r="Y12" i="4"/>
  <c r="Y75" i="4" s="1"/>
  <c r="Z12" i="4"/>
  <c r="Z75" i="4" s="1"/>
  <c r="AA12" i="4"/>
  <c r="AA75" i="4" s="1"/>
  <c r="AB12" i="4"/>
  <c r="AB75" i="4" s="1"/>
  <c r="R13" i="4"/>
  <c r="R79" i="4" s="1"/>
  <c r="S13" i="4"/>
  <c r="S79" i="4" s="1"/>
  <c r="T13" i="4"/>
  <c r="T79" i="4" s="1"/>
  <c r="U13" i="4"/>
  <c r="U79" i="4" s="1"/>
  <c r="V13" i="4"/>
  <c r="V79" i="4" s="1"/>
  <c r="W13" i="4"/>
  <c r="W79" i="4" s="1"/>
  <c r="X13" i="4"/>
  <c r="X79" i="4" s="1"/>
  <c r="Y13" i="4"/>
  <c r="Y79" i="4" s="1"/>
  <c r="Z13" i="4"/>
  <c r="Z79" i="4" s="1"/>
  <c r="AA13" i="4"/>
  <c r="AA79" i="4" s="1"/>
  <c r="AB13" i="4"/>
  <c r="AB79" i="4" s="1"/>
  <c r="Q13" i="4"/>
  <c r="Q79" i="4" s="1"/>
  <c r="Q12" i="4"/>
  <c r="Q75" i="4" s="1"/>
  <c r="Q11" i="4"/>
  <c r="Q68" i="4" s="1"/>
  <c r="E27" i="6" l="1"/>
  <c r="E23" i="6"/>
  <c r="E28" i="6"/>
  <c r="E26" i="6"/>
  <c r="E24" i="6"/>
  <c r="E25" i="6"/>
  <c r="N7" i="4"/>
  <c r="M7" i="4"/>
  <c r="L7" i="4"/>
  <c r="K7" i="4"/>
  <c r="J7" i="4"/>
  <c r="I7" i="4"/>
  <c r="H7" i="4"/>
  <c r="G7" i="4"/>
  <c r="F7" i="4"/>
  <c r="E7" i="4"/>
  <c r="D7" i="4"/>
  <c r="C7" i="4"/>
  <c r="I21" i="6" l="1"/>
  <c r="I18" i="6"/>
  <c r="I22" i="6"/>
  <c r="I19" i="6"/>
  <c r="I17" i="6"/>
  <c r="I20" i="6"/>
  <c r="I29" i="6" l="1"/>
  <c r="AS46" i="4"/>
  <c r="AR46" i="4"/>
  <c r="AQ46" i="4"/>
  <c r="AC46" i="4"/>
  <c r="AD46" i="4"/>
  <c r="P46" i="4"/>
  <c r="O46" i="4"/>
  <c r="P58" i="4"/>
  <c r="O58" i="4"/>
  <c r="P84" i="4"/>
  <c r="O84" i="4"/>
  <c r="P94" i="4"/>
  <c r="O94" i="4"/>
  <c r="J118" i="6"/>
  <c r="J117" i="6"/>
  <c r="D23" i="7" l="1"/>
  <c r="B56" i="7" l="1"/>
  <c r="L6" i="7"/>
  <c r="H102" i="6"/>
  <c r="E19" i="6" l="1"/>
  <c r="E17" i="6"/>
  <c r="E20" i="6"/>
  <c r="E21" i="6"/>
  <c r="E18" i="6"/>
  <c r="E22" i="6"/>
  <c r="B105" i="4"/>
  <c r="AN105" i="4" s="1"/>
  <c r="E29" i="6" l="1"/>
  <c r="I105" i="4"/>
  <c r="W105" i="4"/>
  <c r="AA105" i="4"/>
  <c r="M105" i="4"/>
  <c r="E105" i="4"/>
  <c r="AG105" i="4"/>
  <c r="S105" i="4"/>
  <c r="AK105" i="4"/>
  <c r="L105" i="4"/>
  <c r="H105" i="4"/>
  <c r="D105" i="4"/>
  <c r="T105" i="4"/>
  <c r="X105" i="4"/>
  <c r="AB105" i="4"/>
  <c r="AH105" i="4"/>
  <c r="AL105" i="4"/>
  <c r="AP105" i="4"/>
  <c r="C105" i="4"/>
  <c r="K105" i="4"/>
  <c r="G105" i="4"/>
  <c r="Q105" i="4"/>
  <c r="U105" i="4"/>
  <c r="Y105" i="4"/>
  <c r="AE105" i="4"/>
  <c r="AI105" i="4"/>
  <c r="AM105" i="4"/>
  <c r="AO105" i="4"/>
  <c r="N105" i="4"/>
  <c r="J105" i="4"/>
  <c r="F105" i="4"/>
  <c r="R105" i="4"/>
  <c r="V105" i="4"/>
  <c r="Z105" i="4"/>
  <c r="AF105" i="4"/>
  <c r="AJ105" i="4"/>
  <c r="AF7" i="4" l="1"/>
  <c r="AG7" i="4"/>
  <c r="AH7" i="4"/>
  <c r="AI7" i="4"/>
  <c r="AJ7" i="4"/>
  <c r="AK7" i="4"/>
  <c r="AL7" i="4"/>
  <c r="AM7" i="4"/>
  <c r="AN7" i="4"/>
  <c r="AO7" i="4"/>
  <c r="AP7" i="4"/>
  <c r="AF9" i="4"/>
  <c r="AG9" i="4"/>
  <c r="AH9" i="4"/>
  <c r="AI9" i="4"/>
  <c r="AJ9" i="4"/>
  <c r="AK9" i="4"/>
  <c r="AL9" i="4"/>
  <c r="AM9" i="4"/>
  <c r="AN9" i="4"/>
  <c r="AO9" i="4"/>
  <c r="AP9" i="4"/>
  <c r="AF10" i="4"/>
  <c r="AF67" i="4" s="1"/>
  <c r="AG10" i="4"/>
  <c r="AG67" i="4" s="1"/>
  <c r="AH10" i="4"/>
  <c r="AH67" i="4" s="1"/>
  <c r="AI10" i="4"/>
  <c r="AI67" i="4" s="1"/>
  <c r="AJ10" i="4"/>
  <c r="AJ67" i="4" s="1"/>
  <c r="AK10" i="4"/>
  <c r="AK67" i="4" s="1"/>
  <c r="AL10" i="4"/>
  <c r="AL67" i="4" s="1"/>
  <c r="AM10" i="4"/>
  <c r="AM67" i="4" s="1"/>
  <c r="AN10" i="4"/>
  <c r="AN67" i="4" s="1"/>
  <c r="AO10" i="4"/>
  <c r="AO67" i="4" s="1"/>
  <c r="AP10" i="4"/>
  <c r="AP67" i="4" s="1"/>
  <c r="AE10" i="4"/>
  <c r="AE67" i="4" s="1"/>
  <c r="AE9" i="4"/>
  <c r="AE7" i="4"/>
  <c r="R7" i="4"/>
  <c r="S7" i="4"/>
  <c r="T7" i="4"/>
  <c r="U7" i="4"/>
  <c r="V7" i="4"/>
  <c r="W7" i="4"/>
  <c r="X7" i="4"/>
  <c r="Y7" i="4"/>
  <c r="Z7" i="4"/>
  <c r="AA7" i="4"/>
  <c r="AB7" i="4"/>
  <c r="R9" i="4"/>
  <c r="S9" i="4"/>
  <c r="T9" i="4"/>
  <c r="U9" i="4"/>
  <c r="V9" i="4"/>
  <c r="W9" i="4"/>
  <c r="X9" i="4"/>
  <c r="Y9" i="4"/>
  <c r="Z9" i="4"/>
  <c r="AA9" i="4"/>
  <c r="AB9" i="4"/>
  <c r="R10" i="4"/>
  <c r="R67" i="4" s="1"/>
  <c r="S10" i="4"/>
  <c r="S67" i="4" s="1"/>
  <c r="T10" i="4"/>
  <c r="T67" i="4" s="1"/>
  <c r="U10" i="4"/>
  <c r="U67" i="4" s="1"/>
  <c r="V10" i="4"/>
  <c r="V67" i="4" s="1"/>
  <c r="W10" i="4"/>
  <c r="W67" i="4" s="1"/>
  <c r="X10" i="4"/>
  <c r="X67" i="4" s="1"/>
  <c r="Y10" i="4"/>
  <c r="Y67" i="4" s="1"/>
  <c r="Z10" i="4"/>
  <c r="Z67" i="4" s="1"/>
  <c r="AA10" i="4"/>
  <c r="AA67" i="4" s="1"/>
  <c r="AB10" i="4"/>
  <c r="AB67" i="4" s="1"/>
  <c r="Q10" i="4"/>
  <c r="Q67" i="4" s="1"/>
  <c r="Q9" i="4"/>
  <c r="Q7" i="4"/>
  <c r="E33" i="6"/>
  <c r="J33" i="6" s="1"/>
  <c r="C33" i="6"/>
  <c r="H33" i="6" s="1"/>
  <c r="A66" i="4" l="1"/>
  <c r="A78" i="4"/>
  <c r="A65" i="4"/>
  <c r="A64" i="4"/>
  <c r="A63" i="4"/>
  <c r="O54" i="4"/>
  <c r="O53" i="4"/>
  <c r="O51" i="4"/>
  <c r="O50" i="4"/>
  <c r="A55" i="4"/>
  <c r="A54" i="4"/>
  <c r="A53" i="4"/>
  <c r="B16" i="7"/>
  <c r="A52" i="4" s="1"/>
  <c r="A51" i="4"/>
  <c r="A50" i="4"/>
  <c r="B12" i="7"/>
  <c r="A48" i="4" s="1"/>
  <c r="C3" i="4"/>
  <c r="C8" i="4" s="1"/>
  <c r="O2" i="7"/>
  <c r="D52" i="6"/>
  <c r="A66" i="6" s="1"/>
  <c r="D101" i="6" s="1"/>
  <c r="A81" i="4"/>
  <c r="A80" i="4"/>
  <c r="A79" i="4"/>
  <c r="A77" i="4"/>
  <c r="A76" i="4"/>
  <c r="A75" i="4"/>
  <c r="A74" i="4"/>
  <c r="A73" i="4"/>
  <c r="A70" i="4"/>
  <c r="A69" i="4"/>
  <c r="A68" i="4"/>
  <c r="A67" i="4"/>
  <c r="AQ53" i="4"/>
  <c r="AQ51" i="4"/>
  <c r="AQ50" i="4"/>
  <c r="AC53" i="4"/>
  <c r="AC51" i="4"/>
  <c r="AC50" i="4"/>
  <c r="B11" i="7"/>
  <c r="A47" i="4" s="1"/>
  <c r="H52" i="6"/>
  <c r="A80" i="6"/>
  <c r="H101" i="6" s="1"/>
  <c r="O1" i="7"/>
  <c r="E3" i="7"/>
  <c r="P5" i="6"/>
  <c r="P4" i="6"/>
  <c r="AQ49" i="4"/>
  <c r="AC49" i="4"/>
  <c r="AC47" i="4"/>
  <c r="AQ47" i="4"/>
  <c r="O100" i="4"/>
  <c r="AS100" i="4" s="1"/>
  <c r="AS58" i="4"/>
  <c r="AS84" i="4" s="1"/>
  <c r="AS94" i="4" s="1"/>
  <c r="AR58" i="4"/>
  <c r="AR84" i="4" s="1"/>
  <c r="AR94" i="4" s="1"/>
  <c r="AQ58" i="4"/>
  <c r="AQ84" i="4" s="1"/>
  <c r="AQ94" i="4" s="1"/>
  <c r="AD58" i="4"/>
  <c r="AD84" i="4" s="1"/>
  <c r="AD94" i="4" s="1"/>
  <c r="AC58" i="4"/>
  <c r="AC84" i="4" s="1"/>
  <c r="AC94" i="4" s="1"/>
  <c r="A92" i="4"/>
  <c r="A89" i="4"/>
  <c r="A88" i="4"/>
  <c r="A86" i="4"/>
  <c r="C2" i="4"/>
  <c r="AC54" i="4"/>
  <c r="AQ54" i="4"/>
  <c r="C26" i="4" l="1"/>
  <c r="C41" i="4" s="1"/>
  <c r="C24" i="4"/>
  <c r="C39" i="4" s="1"/>
  <c r="C22" i="4"/>
  <c r="C37" i="4" s="1"/>
  <c r="C27" i="4"/>
  <c r="C42" i="4" s="1"/>
  <c r="C25" i="4"/>
  <c r="C40" i="4" s="1"/>
  <c r="C23" i="4"/>
  <c r="C38" i="4" s="1"/>
  <c r="C28" i="4"/>
  <c r="C43" i="4" s="1"/>
  <c r="C19" i="4"/>
  <c r="C34" i="4" s="1"/>
  <c r="C21" i="4"/>
  <c r="C36" i="4" s="1"/>
  <c r="C18" i="4"/>
  <c r="C33" i="4" s="1"/>
  <c r="C17" i="4"/>
  <c r="C32" i="4" s="1"/>
  <c r="C20" i="4"/>
  <c r="C35" i="4" s="1"/>
  <c r="B48" i="4"/>
  <c r="B44" i="4"/>
  <c r="B69" i="4"/>
  <c r="B64" i="4"/>
  <c r="O49" i="4"/>
  <c r="AS49" i="4" s="1"/>
  <c r="O48" i="4"/>
  <c r="AS48" i="4" s="1"/>
  <c r="B55" i="4"/>
  <c r="E16" i="6"/>
  <c r="I16" i="6" s="1"/>
  <c r="B98" i="4"/>
  <c r="F53" i="6"/>
  <c r="C6" i="4"/>
  <c r="C103" i="4" s="1"/>
  <c r="D11" i="6"/>
  <c r="J53" i="6"/>
  <c r="B85" i="4"/>
  <c r="B77" i="4"/>
  <c r="B49" i="4"/>
  <c r="B89" i="4"/>
  <c r="B56" i="4"/>
  <c r="B96" i="4"/>
  <c r="J102" i="6"/>
  <c r="B20" i="4"/>
  <c r="A110" i="4"/>
  <c r="B101" i="4"/>
  <c r="A109" i="4"/>
  <c r="A108" i="4"/>
  <c r="A107" i="4"/>
  <c r="B29" i="4"/>
  <c r="B51" i="4"/>
  <c r="B65" i="4"/>
  <c r="B70" i="4"/>
  <c r="B86" i="4"/>
  <c r="B90" i="4"/>
  <c r="B97" i="4"/>
  <c r="A112" i="4"/>
  <c r="B74" i="4"/>
  <c r="B75" i="4"/>
  <c r="B52" i="4"/>
  <c r="B67" i="4"/>
  <c r="B80" i="4"/>
  <c r="B87" i="4"/>
  <c r="B91" i="4"/>
  <c r="B99" i="4"/>
  <c r="B73" i="4"/>
  <c r="B50" i="4"/>
  <c r="B79" i="4"/>
  <c r="B92" i="4"/>
  <c r="B81" i="4"/>
  <c r="B47" i="4"/>
  <c r="B54" i="4"/>
  <c r="B68" i="4"/>
  <c r="B82" i="4"/>
  <c r="B88" i="4"/>
  <c r="B95" i="4"/>
  <c r="B100" i="4"/>
  <c r="B76" i="4"/>
  <c r="B53" i="4"/>
  <c r="B18" i="4"/>
  <c r="B63" i="4"/>
  <c r="B17" i="4"/>
  <c r="E2" i="7"/>
  <c r="B19" i="4"/>
  <c r="AS54" i="4"/>
  <c r="AS51" i="4"/>
  <c r="AS50" i="4"/>
  <c r="AS53" i="4"/>
  <c r="B21" i="4"/>
  <c r="B66" i="4"/>
  <c r="B78" i="4"/>
  <c r="D20" i="7"/>
  <c r="L7" i="7" s="1"/>
  <c r="D3" i="4"/>
  <c r="D8" i="4" s="1"/>
  <c r="C44" i="4" l="1"/>
  <c r="C29" i="4"/>
  <c r="C63" i="4" s="1"/>
  <c r="D28" i="4"/>
  <c r="D43" i="4" s="1"/>
  <c r="D18" i="4"/>
  <c r="D33" i="4" s="1"/>
  <c r="D19" i="4"/>
  <c r="D34" i="4" s="1"/>
  <c r="D26" i="4"/>
  <c r="D41" i="4" s="1"/>
  <c r="D27" i="4"/>
  <c r="D42" i="4" s="1"/>
  <c r="D25" i="4"/>
  <c r="D40" i="4" s="1"/>
  <c r="D20" i="4"/>
  <c r="D35" i="4" s="1"/>
  <c r="D23" i="4"/>
  <c r="D38" i="4" s="1"/>
  <c r="D21" i="4"/>
  <c r="D36" i="4" s="1"/>
  <c r="D22" i="4"/>
  <c r="D37" i="4" s="1"/>
  <c r="D24" i="4"/>
  <c r="D39" i="4" s="1"/>
  <c r="D17" i="4"/>
  <c r="D32" i="4" s="1"/>
  <c r="C94" i="4"/>
  <c r="C31" i="4"/>
  <c r="C58" i="4"/>
  <c r="C46" i="4"/>
  <c r="C84" i="4"/>
  <c r="C16" i="4"/>
  <c r="O74" i="4"/>
  <c r="P74" i="4" s="1"/>
  <c r="G54" i="7" s="1"/>
  <c r="O67" i="4"/>
  <c r="P67" i="4" s="1"/>
  <c r="G47" i="7" s="1"/>
  <c r="AQ73" i="4"/>
  <c r="AR73" i="4" s="1"/>
  <c r="AQ67" i="4"/>
  <c r="AR67" i="4" s="1"/>
  <c r="O73" i="4"/>
  <c r="P73" i="4" s="1"/>
  <c r="G53" i="7" s="1"/>
  <c r="AC67" i="4"/>
  <c r="AD67" i="4" s="1"/>
  <c r="O68" i="4"/>
  <c r="P68" i="4" s="1"/>
  <c r="G48" i="7" s="1"/>
  <c r="O69" i="4"/>
  <c r="P69" i="4" s="1"/>
  <c r="G49" i="7" s="1"/>
  <c r="AC64" i="4"/>
  <c r="AD64" i="4" s="1"/>
  <c r="E3" i="4"/>
  <c r="E8" i="4" s="1"/>
  <c r="D6" i="4"/>
  <c r="D31" i="4" s="1"/>
  <c r="AQ70" i="4"/>
  <c r="AR70" i="4" s="1"/>
  <c r="AQ69" i="4"/>
  <c r="AR69" i="4" s="1"/>
  <c r="O77" i="4"/>
  <c r="P77" i="4" s="1"/>
  <c r="G57" i="7" s="1"/>
  <c r="O76" i="4"/>
  <c r="P76" i="4" s="1"/>
  <c r="G56" i="7" s="1"/>
  <c r="O80" i="4"/>
  <c r="AQ75" i="4"/>
  <c r="AR75" i="4" s="1"/>
  <c r="AC68" i="4"/>
  <c r="AD68" i="4" s="1"/>
  <c r="AC74" i="4"/>
  <c r="AQ68" i="4"/>
  <c r="AR68" i="4" s="1"/>
  <c r="AQ76" i="4"/>
  <c r="AR76" i="4" s="1"/>
  <c r="AQ81" i="4"/>
  <c r="AR81" i="4" s="1"/>
  <c r="AC70" i="4"/>
  <c r="AD70" i="4" s="1"/>
  <c r="AC77" i="4"/>
  <c r="AD77" i="4" s="1"/>
  <c r="AQ74" i="4"/>
  <c r="AR74" i="4" s="1"/>
  <c r="O75" i="4"/>
  <c r="O47" i="4"/>
  <c r="AS47" i="4" s="1"/>
  <c r="C56" i="4"/>
  <c r="C99" i="4" s="1"/>
  <c r="AC73" i="4"/>
  <c r="O81" i="4"/>
  <c r="AC81" i="4"/>
  <c r="AD81" i="4" s="1"/>
  <c r="AQ80" i="4"/>
  <c r="AR80" i="4" s="1"/>
  <c r="AC80" i="4"/>
  <c r="AD80" i="4" s="1"/>
  <c r="AC75" i="4"/>
  <c r="AD75" i="4" s="1"/>
  <c r="O70" i="4"/>
  <c r="AC69" i="4"/>
  <c r="AD69" i="4" s="1"/>
  <c r="O64" i="4"/>
  <c r="AQ77" i="4"/>
  <c r="AR77" i="4" s="1"/>
  <c r="AQ64" i="4"/>
  <c r="AR64" i="4" s="1"/>
  <c r="AC76" i="4"/>
  <c r="AD76" i="4" s="1"/>
  <c r="D44" i="4" l="1"/>
  <c r="D29" i="4"/>
  <c r="D63" i="4" s="1"/>
  <c r="E20" i="4"/>
  <c r="E35" i="4" s="1"/>
  <c r="E18" i="4"/>
  <c r="E33" i="4" s="1"/>
  <c r="E19" i="4"/>
  <c r="E34" i="4" s="1"/>
  <c r="E17" i="4"/>
  <c r="E32" i="4" s="1"/>
  <c r="E24" i="4"/>
  <c r="E39" i="4" s="1"/>
  <c r="E26" i="4"/>
  <c r="E41" i="4" s="1"/>
  <c r="E27" i="4"/>
  <c r="E42" i="4" s="1"/>
  <c r="E21" i="4"/>
  <c r="E36" i="4" s="1"/>
  <c r="E28" i="4"/>
  <c r="E43" i="4" s="1"/>
  <c r="E22" i="4"/>
  <c r="E37" i="4" s="1"/>
  <c r="E25" i="4"/>
  <c r="E40" i="4" s="1"/>
  <c r="E23" i="4"/>
  <c r="E38" i="4" s="1"/>
  <c r="C65" i="4"/>
  <c r="C86" i="4"/>
  <c r="C78" i="4"/>
  <c r="C66" i="4"/>
  <c r="AS67" i="4"/>
  <c r="AS76" i="4"/>
  <c r="D46" i="4"/>
  <c r="D16" i="4"/>
  <c r="D103" i="4"/>
  <c r="D84" i="4"/>
  <c r="D94" i="4"/>
  <c r="D58" i="4"/>
  <c r="F3" i="4"/>
  <c r="F8" i="4" s="1"/>
  <c r="E6" i="4"/>
  <c r="E31" i="4" s="1"/>
  <c r="C98" i="4"/>
  <c r="C88" i="4"/>
  <c r="AD73" i="4"/>
  <c r="AS73" i="4"/>
  <c r="AD74" i="4"/>
  <c r="AS74" i="4"/>
  <c r="AS64" i="4"/>
  <c r="P64" i="4"/>
  <c r="G44" i="7" s="1"/>
  <c r="AS81" i="4"/>
  <c r="P81" i="4"/>
  <c r="G61" i="7" s="1"/>
  <c r="AS68" i="4"/>
  <c r="P70" i="4"/>
  <c r="G50" i="7" s="1"/>
  <c r="AS70" i="4"/>
  <c r="AS75" i="4"/>
  <c r="P75" i="4"/>
  <c r="G55" i="7" s="1"/>
  <c r="AS80" i="4"/>
  <c r="P80" i="4"/>
  <c r="G60" i="7" s="1"/>
  <c r="AS69" i="4"/>
  <c r="AS77" i="4"/>
  <c r="E44" i="4" l="1"/>
  <c r="E29" i="4"/>
  <c r="E63" i="4" s="1"/>
  <c r="F22" i="4"/>
  <c r="F37" i="4" s="1"/>
  <c r="F21" i="4"/>
  <c r="F36" i="4" s="1"/>
  <c r="F27" i="4"/>
  <c r="F42" i="4" s="1"/>
  <c r="F26" i="4"/>
  <c r="F41" i="4" s="1"/>
  <c r="F25" i="4"/>
  <c r="F40" i="4" s="1"/>
  <c r="F23" i="4"/>
  <c r="F38" i="4" s="1"/>
  <c r="F20" i="4"/>
  <c r="F35" i="4" s="1"/>
  <c r="F24" i="4"/>
  <c r="F39" i="4" s="1"/>
  <c r="F28" i="4"/>
  <c r="F43" i="4" s="1"/>
  <c r="F19" i="4"/>
  <c r="F34" i="4" s="1"/>
  <c r="F17" i="4"/>
  <c r="F32" i="4" s="1"/>
  <c r="F18" i="4"/>
  <c r="F33" i="4" s="1"/>
  <c r="D86" i="4"/>
  <c r="D66" i="4"/>
  <c r="D78" i="4"/>
  <c r="D65" i="4"/>
  <c r="F6" i="4"/>
  <c r="F31" i="4" s="1"/>
  <c r="G3" i="4"/>
  <c r="G8" i="4" s="1"/>
  <c r="E94" i="4"/>
  <c r="E103" i="4"/>
  <c r="E58" i="4"/>
  <c r="E84" i="4"/>
  <c r="E16" i="4"/>
  <c r="E46" i="4"/>
  <c r="F44" i="4" l="1"/>
  <c r="G23" i="4"/>
  <c r="G38" i="4" s="1"/>
  <c r="G22" i="4"/>
  <c r="G37" i="4" s="1"/>
  <c r="G21" i="4"/>
  <c r="G36" i="4" s="1"/>
  <c r="G27" i="4"/>
  <c r="G42" i="4" s="1"/>
  <c r="G26" i="4"/>
  <c r="G41" i="4" s="1"/>
  <c r="G24" i="4"/>
  <c r="G39" i="4" s="1"/>
  <c r="G19" i="4"/>
  <c r="G34" i="4" s="1"/>
  <c r="G20" i="4"/>
  <c r="G35" i="4" s="1"/>
  <c r="G17" i="4"/>
  <c r="G32" i="4" s="1"/>
  <c r="G18" i="4"/>
  <c r="G33" i="4" s="1"/>
  <c r="G28" i="4"/>
  <c r="G43" i="4" s="1"/>
  <c r="G25" i="4"/>
  <c r="G40" i="4" s="1"/>
  <c r="F29" i="4"/>
  <c r="F63" i="4" s="1"/>
  <c r="E86" i="4"/>
  <c r="E78" i="4"/>
  <c r="E65" i="4"/>
  <c r="E66" i="4"/>
  <c r="H3" i="4"/>
  <c r="H8" i="4" s="1"/>
  <c r="G6" i="4"/>
  <c r="G31" i="4" s="1"/>
  <c r="F103" i="4"/>
  <c r="F58" i="4"/>
  <c r="F84" i="4"/>
  <c r="F46" i="4"/>
  <c r="F16" i="4"/>
  <c r="F94" i="4"/>
  <c r="G44" i="4" l="1"/>
  <c r="H28" i="4"/>
  <c r="H43" i="4" s="1"/>
  <c r="H23" i="4"/>
  <c r="H38" i="4" s="1"/>
  <c r="H21" i="4"/>
  <c r="H36" i="4" s="1"/>
  <c r="H27" i="4"/>
  <c r="H42" i="4" s="1"/>
  <c r="H18" i="4"/>
  <c r="H33" i="4" s="1"/>
  <c r="H24" i="4"/>
  <c r="H39" i="4" s="1"/>
  <c r="H19" i="4"/>
  <c r="H34" i="4" s="1"/>
  <c r="H25" i="4"/>
  <c r="H40" i="4" s="1"/>
  <c r="H20" i="4"/>
  <c r="H35" i="4" s="1"/>
  <c r="H17" i="4"/>
  <c r="H32" i="4" s="1"/>
  <c r="H26" i="4"/>
  <c r="H41" i="4" s="1"/>
  <c r="H22" i="4"/>
  <c r="H37" i="4" s="1"/>
  <c r="G29" i="4"/>
  <c r="G63" i="4" s="1"/>
  <c r="F86" i="4"/>
  <c r="F66" i="4"/>
  <c r="F78" i="4"/>
  <c r="F65" i="4"/>
  <c r="C85" i="4"/>
  <c r="C95" i="4" s="1"/>
  <c r="F85" i="4"/>
  <c r="F95" i="4" s="1"/>
  <c r="D85" i="4"/>
  <c r="D95" i="4" s="1"/>
  <c r="E85" i="4"/>
  <c r="G46" i="4"/>
  <c r="G103" i="4"/>
  <c r="G58" i="4"/>
  <c r="G16" i="4"/>
  <c r="G84" i="4"/>
  <c r="G94" i="4"/>
  <c r="I3" i="4"/>
  <c r="I8" i="4" s="1"/>
  <c r="H6" i="4"/>
  <c r="H31" i="4" s="1"/>
  <c r="H44" i="4" l="1"/>
  <c r="I19" i="4"/>
  <c r="I34" i="4" s="1"/>
  <c r="I17" i="4"/>
  <c r="I32" i="4" s="1"/>
  <c r="I20" i="4"/>
  <c r="I35" i="4" s="1"/>
  <c r="I23" i="4"/>
  <c r="I38" i="4" s="1"/>
  <c r="I21" i="4"/>
  <c r="I36" i="4" s="1"/>
  <c r="I24" i="4"/>
  <c r="I39" i="4" s="1"/>
  <c r="I22" i="4"/>
  <c r="I37" i="4" s="1"/>
  <c r="I18" i="4"/>
  <c r="I33" i="4" s="1"/>
  <c r="I26" i="4"/>
  <c r="I41" i="4" s="1"/>
  <c r="I27" i="4"/>
  <c r="I42" i="4" s="1"/>
  <c r="I28" i="4"/>
  <c r="I43" i="4" s="1"/>
  <c r="I25" i="4"/>
  <c r="I40" i="4" s="1"/>
  <c r="H29" i="4"/>
  <c r="H63" i="4" s="1"/>
  <c r="G86" i="4"/>
  <c r="G66" i="4"/>
  <c r="G78" i="4"/>
  <c r="G65" i="4"/>
  <c r="F87" i="4"/>
  <c r="C87" i="4"/>
  <c r="G85" i="4"/>
  <c r="D87" i="4"/>
  <c r="E95" i="4"/>
  <c r="E87" i="4"/>
  <c r="H103" i="4"/>
  <c r="H46" i="4"/>
  <c r="H58" i="4"/>
  <c r="H16" i="4"/>
  <c r="H84" i="4"/>
  <c r="H94" i="4"/>
  <c r="J3" i="4"/>
  <c r="J8" i="4" s="1"/>
  <c r="I6" i="4"/>
  <c r="I31" i="4" s="1"/>
  <c r="I44" i="4" l="1"/>
  <c r="J26" i="4"/>
  <c r="J41" i="4" s="1"/>
  <c r="J25" i="4"/>
  <c r="J40" i="4" s="1"/>
  <c r="J19" i="4"/>
  <c r="J34" i="4" s="1"/>
  <c r="J28" i="4"/>
  <c r="J43" i="4" s="1"/>
  <c r="J18" i="4"/>
  <c r="J33" i="4" s="1"/>
  <c r="J17" i="4"/>
  <c r="J32" i="4" s="1"/>
  <c r="J27" i="4"/>
  <c r="J42" i="4" s="1"/>
  <c r="J24" i="4"/>
  <c r="J39" i="4" s="1"/>
  <c r="J20" i="4"/>
  <c r="J35" i="4" s="1"/>
  <c r="J22" i="4"/>
  <c r="J37" i="4" s="1"/>
  <c r="J21" i="4"/>
  <c r="J36" i="4" s="1"/>
  <c r="J23" i="4"/>
  <c r="J38" i="4" s="1"/>
  <c r="I29" i="4"/>
  <c r="I63" i="4" s="1"/>
  <c r="H86" i="4"/>
  <c r="H66" i="4"/>
  <c r="H78" i="4"/>
  <c r="H65" i="4"/>
  <c r="H85" i="4"/>
  <c r="G87" i="4"/>
  <c r="G95" i="4"/>
  <c r="I46" i="4"/>
  <c r="I103" i="4"/>
  <c r="I16" i="4"/>
  <c r="I94" i="4"/>
  <c r="I58" i="4"/>
  <c r="I84" i="4"/>
  <c r="J6" i="4"/>
  <c r="J31" i="4" s="1"/>
  <c r="K3" i="4"/>
  <c r="K8" i="4" s="1"/>
  <c r="J44" i="4" l="1"/>
  <c r="J29" i="4"/>
  <c r="J63" i="4" s="1"/>
  <c r="K27" i="4"/>
  <c r="K42" i="4" s="1"/>
  <c r="K22" i="4"/>
  <c r="K37" i="4" s="1"/>
  <c r="K17" i="4"/>
  <c r="K32" i="4" s="1"/>
  <c r="K26" i="4"/>
  <c r="K41" i="4" s="1"/>
  <c r="K25" i="4"/>
  <c r="K40" i="4" s="1"/>
  <c r="K18" i="4"/>
  <c r="K33" i="4" s="1"/>
  <c r="K19" i="4"/>
  <c r="K34" i="4" s="1"/>
  <c r="K24" i="4"/>
  <c r="K39" i="4" s="1"/>
  <c r="K20" i="4"/>
  <c r="K35" i="4" s="1"/>
  <c r="K23" i="4"/>
  <c r="K38" i="4" s="1"/>
  <c r="K21" i="4"/>
  <c r="K36" i="4" s="1"/>
  <c r="K28" i="4"/>
  <c r="K43" i="4" s="1"/>
  <c r="I86" i="4"/>
  <c r="I78" i="4"/>
  <c r="I65" i="4"/>
  <c r="I66" i="4"/>
  <c r="I85" i="4"/>
  <c r="H95" i="4"/>
  <c r="H87" i="4"/>
  <c r="K6" i="4"/>
  <c r="K31" i="4" s="1"/>
  <c r="L3" i="4"/>
  <c r="L8" i="4" s="1"/>
  <c r="J94" i="4"/>
  <c r="J46" i="4"/>
  <c r="J16" i="4"/>
  <c r="J103" i="4"/>
  <c r="J58" i="4"/>
  <c r="J84" i="4"/>
  <c r="D56" i="4"/>
  <c r="D99" i="4" s="1"/>
  <c r="K44" i="4" l="1"/>
  <c r="L28" i="4"/>
  <c r="L43" i="4" s="1"/>
  <c r="L21" i="4"/>
  <c r="L36" i="4" s="1"/>
  <c r="L22" i="4"/>
  <c r="L37" i="4" s="1"/>
  <c r="L19" i="4"/>
  <c r="L34" i="4" s="1"/>
  <c r="L17" i="4"/>
  <c r="L32" i="4" s="1"/>
  <c r="L25" i="4"/>
  <c r="L40" i="4" s="1"/>
  <c r="L27" i="4"/>
  <c r="L42" i="4" s="1"/>
  <c r="L26" i="4"/>
  <c r="L41" i="4" s="1"/>
  <c r="L20" i="4"/>
  <c r="L35" i="4" s="1"/>
  <c r="L23" i="4"/>
  <c r="L38" i="4" s="1"/>
  <c r="L18" i="4"/>
  <c r="L33" i="4" s="1"/>
  <c r="L24" i="4"/>
  <c r="L39" i="4" s="1"/>
  <c r="K29" i="4"/>
  <c r="K63" i="4" s="1"/>
  <c r="J86" i="4"/>
  <c r="J66" i="4"/>
  <c r="J78" i="4"/>
  <c r="J65" i="4"/>
  <c r="J85" i="4"/>
  <c r="I95" i="4"/>
  <c r="I87" i="4"/>
  <c r="M3" i="4"/>
  <c r="M8" i="4" s="1"/>
  <c r="L6" i="4"/>
  <c r="L31" i="4" s="1"/>
  <c r="K103" i="4"/>
  <c r="K58" i="4"/>
  <c r="K16" i="4"/>
  <c r="K84" i="4"/>
  <c r="K94" i="4"/>
  <c r="K46" i="4"/>
  <c r="D98" i="4"/>
  <c r="D88" i="4"/>
  <c r="L44" i="4" l="1"/>
  <c r="L29" i="4"/>
  <c r="L63" i="4" s="1"/>
  <c r="M25" i="4"/>
  <c r="M40" i="4" s="1"/>
  <c r="M28" i="4"/>
  <c r="M43" i="4" s="1"/>
  <c r="M18" i="4"/>
  <c r="M33" i="4" s="1"/>
  <c r="M19" i="4"/>
  <c r="M34" i="4" s="1"/>
  <c r="M17" i="4"/>
  <c r="M32" i="4" s="1"/>
  <c r="M20" i="4"/>
  <c r="M35" i="4" s="1"/>
  <c r="M26" i="4"/>
  <c r="M41" i="4" s="1"/>
  <c r="M27" i="4"/>
  <c r="M42" i="4" s="1"/>
  <c r="M21" i="4"/>
  <c r="M36" i="4" s="1"/>
  <c r="M24" i="4"/>
  <c r="M39" i="4" s="1"/>
  <c r="M22" i="4"/>
  <c r="M37" i="4" s="1"/>
  <c r="M23" i="4"/>
  <c r="M38" i="4" s="1"/>
  <c r="K86" i="4"/>
  <c r="K66" i="4"/>
  <c r="K78" i="4"/>
  <c r="K65" i="4"/>
  <c r="J95" i="4"/>
  <c r="J87" i="4"/>
  <c r="K85" i="4"/>
  <c r="F56" i="4"/>
  <c r="F99" i="4" s="1"/>
  <c r="L46" i="4"/>
  <c r="L58" i="4"/>
  <c r="L16" i="4"/>
  <c r="L103" i="4"/>
  <c r="L94" i="4"/>
  <c r="L84" i="4"/>
  <c r="N3" i="4"/>
  <c r="N8" i="4" s="1"/>
  <c r="M6" i="4"/>
  <c r="M31" i="4" s="1"/>
  <c r="L78" i="4" l="1"/>
  <c r="L65" i="4"/>
  <c r="M44" i="4"/>
  <c r="M29" i="4"/>
  <c r="M63" i="4" s="1"/>
  <c r="N22" i="4"/>
  <c r="N21" i="4"/>
  <c r="N36" i="4" s="1"/>
  <c r="O36" i="4" s="1"/>
  <c r="N23" i="4"/>
  <c r="N38" i="4" s="1"/>
  <c r="O38" i="4" s="1"/>
  <c r="N24" i="4"/>
  <c r="N26" i="4"/>
  <c r="N41" i="4" s="1"/>
  <c r="O41" i="4" s="1"/>
  <c r="N25" i="4"/>
  <c r="N19" i="4"/>
  <c r="N34" i="4" s="1"/>
  <c r="O34" i="4" s="1"/>
  <c r="N20" i="4"/>
  <c r="N35" i="4" s="1"/>
  <c r="O35" i="4" s="1"/>
  <c r="N17" i="4"/>
  <c r="N32" i="4" s="1"/>
  <c r="N18" i="4"/>
  <c r="N33" i="4" s="1"/>
  <c r="O33" i="4" s="1"/>
  <c r="N27" i="4"/>
  <c r="N28" i="4"/>
  <c r="L86" i="4"/>
  <c r="L66" i="4"/>
  <c r="F98" i="4"/>
  <c r="K87" i="4"/>
  <c r="K95" i="4"/>
  <c r="L85" i="4"/>
  <c r="F88" i="4"/>
  <c r="N6" i="4"/>
  <c r="N31" i="4" s="1"/>
  <c r="Q3" i="4"/>
  <c r="Q8" i="4" s="1"/>
  <c r="M84" i="4"/>
  <c r="M46" i="4"/>
  <c r="M94" i="4"/>
  <c r="M103" i="4"/>
  <c r="M16" i="4"/>
  <c r="M58" i="4"/>
  <c r="G56" i="4"/>
  <c r="G99" i="4" s="1"/>
  <c r="H56" i="4"/>
  <c r="H99" i="4" s="1"/>
  <c r="O23" i="4" l="1"/>
  <c r="O27" i="4"/>
  <c r="P27" i="4" s="1"/>
  <c r="N42" i="4"/>
  <c r="O42" i="4" s="1"/>
  <c r="P42" i="4" s="1"/>
  <c r="O24" i="4"/>
  <c r="P24" i="4" s="1"/>
  <c r="N39" i="4"/>
  <c r="O39" i="4" s="1"/>
  <c r="P39" i="4" s="1"/>
  <c r="O25" i="4"/>
  <c r="N40" i="4"/>
  <c r="O40" i="4" s="1"/>
  <c r="P40" i="4" s="1"/>
  <c r="O26" i="4"/>
  <c r="P26" i="4" s="1"/>
  <c r="O28" i="4"/>
  <c r="P28" i="4" s="1"/>
  <c r="N43" i="4"/>
  <c r="O43" i="4" s="1"/>
  <c r="P43" i="4" s="1"/>
  <c r="O22" i="4"/>
  <c r="P22" i="4" s="1"/>
  <c r="N37" i="4"/>
  <c r="O37" i="4" s="1"/>
  <c r="P37" i="4" s="1"/>
  <c r="O32" i="4"/>
  <c r="P32" i="4" s="1"/>
  <c r="N29" i="4"/>
  <c r="N63" i="4" s="1"/>
  <c r="Q27" i="4"/>
  <c r="Q42" i="4" s="1"/>
  <c r="Q26" i="4"/>
  <c r="Q41" i="4" s="1"/>
  <c r="Q24" i="4"/>
  <c r="Q39" i="4" s="1"/>
  <c r="Q23" i="4"/>
  <c r="Q38" i="4" s="1"/>
  <c r="Q22" i="4"/>
  <c r="Q37" i="4" s="1"/>
  <c r="Q28" i="4"/>
  <c r="Q43" i="4" s="1"/>
  <c r="Q21" i="4"/>
  <c r="Q36" i="4" s="1"/>
  <c r="Q19" i="4"/>
  <c r="Q34" i="4" s="1"/>
  <c r="Q18" i="4"/>
  <c r="Q33" i="4" s="1"/>
  <c r="Q20" i="4"/>
  <c r="Q35" i="4" s="1"/>
  <c r="Q25" i="4"/>
  <c r="Q40" i="4" s="1"/>
  <c r="Q17" i="4"/>
  <c r="Q32" i="4" s="1"/>
  <c r="P35" i="4"/>
  <c r="P36" i="4"/>
  <c r="P33" i="4"/>
  <c r="P41" i="4"/>
  <c r="P38" i="4"/>
  <c r="P34" i="4"/>
  <c r="P23" i="4"/>
  <c r="P25" i="4"/>
  <c r="M86" i="4"/>
  <c r="M78" i="4"/>
  <c r="M65" i="4"/>
  <c r="M66" i="4"/>
  <c r="O21" i="4"/>
  <c r="P21" i="4" s="1"/>
  <c r="O19" i="4"/>
  <c r="O18" i="4"/>
  <c r="O20" i="4"/>
  <c r="M85" i="4"/>
  <c r="L95" i="4"/>
  <c r="L87" i="4"/>
  <c r="O17" i="4"/>
  <c r="R3" i="4"/>
  <c r="R8" i="4" s="1"/>
  <c r="Q6" i="4"/>
  <c r="Q31" i="4" s="1"/>
  <c r="N94" i="4"/>
  <c r="N58" i="4"/>
  <c r="N46" i="4"/>
  <c r="N16" i="4"/>
  <c r="N103" i="4"/>
  <c r="N84" i="4"/>
  <c r="H98" i="4"/>
  <c r="H88" i="4"/>
  <c r="G88" i="4"/>
  <c r="G98" i="4"/>
  <c r="I56" i="4"/>
  <c r="I99" i="4" s="1"/>
  <c r="O44" i="4" l="1"/>
  <c r="N44" i="4"/>
  <c r="P44" i="4"/>
  <c r="Q44" i="4"/>
  <c r="O29" i="4"/>
  <c r="Q29" i="4"/>
  <c r="Q63" i="4" s="1"/>
  <c r="R26" i="4"/>
  <c r="R41" i="4" s="1"/>
  <c r="R22" i="4"/>
  <c r="R37" i="4" s="1"/>
  <c r="R18" i="4"/>
  <c r="R33" i="4" s="1"/>
  <c r="R25" i="4"/>
  <c r="R40" i="4" s="1"/>
  <c r="R21" i="4"/>
  <c r="R36" i="4" s="1"/>
  <c r="R17" i="4"/>
  <c r="R32" i="4" s="1"/>
  <c r="R28" i="4"/>
  <c r="R43" i="4" s="1"/>
  <c r="R24" i="4"/>
  <c r="R39" i="4" s="1"/>
  <c r="R20" i="4"/>
  <c r="R35" i="4" s="1"/>
  <c r="R23" i="4"/>
  <c r="R38" i="4" s="1"/>
  <c r="R19" i="4"/>
  <c r="R34" i="4" s="1"/>
  <c r="R27" i="4"/>
  <c r="R42" i="4" s="1"/>
  <c r="N66" i="4"/>
  <c r="O66" i="4" s="1"/>
  <c r="N78" i="4"/>
  <c r="O78" i="4" s="1"/>
  <c r="N65" i="4"/>
  <c r="O65" i="4" s="1"/>
  <c r="P20" i="4"/>
  <c r="N85" i="4"/>
  <c r="P18" i="4"/>
  <c r="P19" i="4"/>
  <c r="P17" i="4"/>
  <c r="M95" i="4"/>
  <c r="M87" i="4"/>
  <c r="Q58" i="4"/>
  <c r="Q94" i="4"/>
  <c r="Q16" i="4"/>
  <c r="Q103" i="4"/>
  <c r="Q84" i="4"/>
  <c r="Q46" i="4"/>
  <c r="S3" i="4"/>
  <c r="S8" i="4" s="1"/>
  <c r="R6" i="4"/>
  <c r="R31" i="4" s="1"/>
  <c r="I98" i="4"/>
  <c r="I88" i="4"/>
  <c r="J56" i="4"/>
  <c r="J99" i="4" s="1"/>
  <c r="R44" i="4" l="1"/>
  <c r="S22" i="4"/>
  <c r="S37" i="4" s="1"/>
  <c r="S21" i="4"/>
  <c r="S36" i="4" s="1"/>
  <c r="S20" i="4"/>
  <c r="S35" i="4" s="1"/>
  <c r="S18" i="4"/>
  <c r="S33" i="4" s="1"/>
  <c r="S17" i="4"/>
  <c r="S32" i="4" s="1"/>
  <c r="S19" i="4"/>
  <c r="S34" i="4" s="1"/>
  <c r="S28" i="4"/>
  <c r="S43" i="4" s="1"/>
  <c r="S27" i="4"/>
  <c r="S42" i="4" s="1"/>
  <c r="S26" i="4"/>
  <c r="S41" i="4" s="1"/>
  <c r="S25" i="4"/>
  <c r="S40" i="4" s="1"/>
  <c r="S24" i="4"/>
  <c r="S39" i="4" s="1"/>
  <c r="S23" i="4"/>
  <c r="S38" i="4" s="1"/>
  <c r="R29" i="4"/>
  <c r="R63" i="4" s="1"/>
  <c r="P29" i="4"/>
  <c r="I8" i="7" s="1"/>
  <c r="N86" i="4"/>
  <c r="O86" i="4" s="1"/>
  <c r="P86" i="4" s="1"/>
  <c r="Q86" i="4"/>
  <c r="Q78" i="4"/>
  <c r="Q66" i="4"/>
  <c r="Q65" i="4"/>
  <c r="G42" i="7"/>
  <c r="P78" i="4"/>
  <c r="G58" i="7" s="1"/>
  <c r="P65" i="4"/>
  <c r="G45" i="7" s="1"/>
  <c r="P66" i="4"/>
  <c r="G46" i="7" s="1"/>
  <c r="N95" i="4"/>
  <c r="O95" i="4" s="1"/>
  <c r="O85" i="4"/>
  <c r="Q85" i="4"/>
  <c r="O63" i="4"/>
  <c r="T3" i="4"/>
  <c r="T8" i="4" s="1"/>
  <c r="S6" i="4"/>
  <c r="S31" i="4" s="1"/>
  <c r="R46" i="4"/>
  <c r="R84" i="4"/>
  <c r="R94" i="4"/>
  <c r="R58" i="4"/>
  <c r="R16" i="4"/>
  <c r="R103" i="4"/>
  <c r="K56" i="4"/>
  <c r="K99" i="4" s="1"/>
  <c r="J98" i="4"/>
  <c r="J88" i="4"/>
  <c r="S44" i="4" l="1"/>
  <c r="S29" i="4"/>
  <c r="S63" i="4" s="1"/>
  <c r="T18" i="4"/>
  <c r="T33" i="4" s="1"/>
  <c r="T25" i="4"/>
  <c r="T40" i="4" s="1"/>
  <c r="T28" i="4"/>
  <c r="T43" i="4" s="1"/>
  <c r="T27" i="4"/>
  <c r="T42" i="4" s="1"/>
  <c r="T17" i="4"/>
  <c r="T32" i="4" s="1"/>
  <c r="T22" i="4"/>
  <c r="T37" i="4" s="1"/>
  <c r="T21" i="4"/>
  <c r="T36" i="4" s="1"/>
  <c r="T24" i="4"/>
  <c r="T39" i="4" s="1"/>
  <c r="T23" i="4"/>
  <c r="T38" i="4" s="1"/>
  <c r="T26" i="4"/>
  <c r="T41" i="4" s="1"/>
  <c r="T20" i="4"/>
  <c r="T35" i="4" s="1"/>
  <c r="T19" i="4"/>
  <c r="T34" i="4" s="1"/>
  <c r="N87" i="4"/>
  <c r="O87" i="4" s="1"/>
  <c r="P87" i="4" s="1"/>
  <c r="D45" i="7"/>
  <c r="D58" i="7"/>
  <c r="D46" i="7"/>
  <c r="D42" i="7"/>
  <c r="D52" i="7"/>
  <c r="D51" i="7"/>
  <c r="D56" i="7"/>
  <c r="D53" i="7"/>
  <c r="D48" i="7"/>
  <c r="D57" i="7"/>
  <c r="D54" i="7"/>
  <c r="D47" i="7"/>
  <c r="D49" i="7"/>
  <c r="D44" i="7"/>
  <c r="D60" i="7"/>
  <c r="D50" i="7"/>
  <c r="D55" i="7"/>
  <c r="D61" i="7"/>
  <c r="R86" i="4"/>
  <c r="R66" i="4"/>
  <c r="R65" i="4"/>
  <c r="R78" i="4"/>
  <c r="F8" i="7"/>
  <c r="P85" i="4"/>
  <c r="R85" i="4"/>
  <c r="P63" i="4"/>
  <c r="G43" i="7" s="1"/>
  <c r="P95" i="4"/>
  <c r="Q95" i="4"/>
  <c r="Q87" i="4"/>
  <c r="O55" i="4"/>
  <c r="S46" i="4"/>
  <c r="S84" i="4"/>
  <c r="S103" i="4"/>
  <c r="S58" i="4"/>
  <c r="S16" i="4"/>
  <c r="S94" i="4"/>
  <c r="U3" i="4"/>
  <c r="U8" i="4" s="1"/>
  <c r="T6" i="4"/>
  <c r="T31" i="4" s="1"/>
  <c r="L56" i="4"/>
  <c r="L99" i="4" s="1"/>
  <c r="K88" i="4"/>
  <c r="K98" i="4"/>
  <c r="T44" i="4" l="1"/>
  <c r="U23" i="4"/>
  <c r="U38" i="4" s="1"/>
  <c r="U17" i="4"/>
  <c r="U32" i="4" s="1"/>
  <c r="U28" i="4"/>
  <c r="U43" i="4" s="1"/>
  <c r="U19" i="4"/>
  <c r="U34" i="4" s="1"/>
  <c r="U21" i="4"/>
  <c r="U36" i="4" s="1"/>
  <c r="U20" i="4"/>
  <c r="U35" i="4" s="1"/>
  <c r="U22" i="4"/>
  <c r="U37" i="4" s="1"/>
  <c r="U24" i="4"/>
  <c r="U39" i="4" s="1"/>
  <c r="U26" i="4"/>
  <c r="U41" i="4" s="1"/>
  <c r="U18" i="4"/>
  <c r="U33" i="4" s="1"/>
  <c r="U27" i="4"/>
  <c r="U42" i="4" s="1"/>
  <c r="U25" i="4"/>
  <c r="U40" i="4" s="1"/>
  <c r="T29" i="4"/>
  <c r="T63" i="4" s="1"/>
  <c r="D43" i="7"/>
  <c r="S86" i="4"/>
  <c r="S66" i="4"/>
  <c r="S65" i="4"/>
  <c r="S78" i="4"/>
  <c r="S85" i="4"/>
  <c r="R87" i="4"/>
  <c r="R95" i="4"/>
  <c r="U6" i="4"/>
  <c r="U31" i="4" s="1"/>
  <c r="V3" i="4"/>
  <c r="V8" i="4" s="1"/>
  <c r="T84" i="4"/>
  <c r="T16" i="4"/>
  <c r="T103" i="4"/>
  <c r="T46" i="4"/>
  <c r="T94" i="4"/>
  <c r="T58" i="4"/>
  <c r="M56" i="4"/>
  <c r="M99" i="4" s="1"/>
  <c r="L98" i="4"/>
  <c r="L88" i="4"/>
  <c r="U44" i="4" l="1"/>
  <c r="U29" i="4"/>
  <c r="U63" i="4" s="1"/>
  <c r="V26" i="4"/>
  <c r="V41" i="4" s="1"/>
  <c r="V22" i="4"/>
  <c r="V37" i="4" s="1"/>
  <c r="V18" i="4"/>
  <c r="V33" i="4" s="1"/>
  <c r="V25" i="4"/>
  <c r="V40" i="4" s="1"/>
  <c r="V21" i="4"/>
  <c r="V36" i="4" s="1"/>
  <c r="V17" i="4"/>
  <c r="V32" i="4" s="1"/>
  <c r="V28" i="4"/>
  <c r="V43" i="4" s="1"/>
  <c r="V24" i="4"/>
  <c r="V39" i="4" s="1"/>
  <c r="V20" i="4"/>
  <c r="V35" i="4" s="1"/>
  <c r="V27" i="4"/>
  <c r="V42" i="4" s="1"/>
  <c r="V19" i="4"/>
  <c r="V34" i="4" s="1"/>
  <c r="V23" i="4"/>
  <c r="V38" i="4" s="1"/>
  <c r="T86" i="4"/>
  <c r="T78" i="4"/>
  <c r="T66" i="4"/>
  <c r="T65" i="4"/>
  <c r="T85" i="4"/>
  <c r="S87" i="4"/>
  <c r="S95" i="4"/>
  <c r="W3" i="4"/>
  <c r="W8" i="4" s="1"/>
  <c r="V6" i="4"/>
  <c r="V31" i="4" s="1"/>
  <c r="U46" i="4"/>
  <c r="U84" i="4"/>
  <c r="U58" i="4"/>
  <c r="U16" i="4"/>
  <c r="U103" i="4"/>
  <c r="U94" i="4"/>
  <c r="M88" i="4"/>
  <c r="M98" i="4"/>
  <c r="V44" i="4" l="1"/>
  <c r="W23" i="4"/>
  <c r="W38" i="4" s="1"/>
  <c r="W18" i="4"/>
  <c r="W33" i="4" s="1"/>
  <c r="W20" i="4"/>
  <c r="W35" i="4" s="1"/>
  <c r="W19" i="4"/>
  <c r="W34" i="4" s="1"/>
  <c r="W25" i="4"/>
  <c r="W40" i="4" s="1"/>
  <c r="W24" i="4"/>
  <c r="W39" i="4" s="1"/>
  <c r="W26" i="4"/>
  <c r="W41" i="4" s="1"/>
  <c r="W21" i="4"/>
  <c r="W36" i="4" s="1"/>
  <c r="W28" i="4"/>
  <c r="W43" i="4" s="1"/>
  <c r="W22" i="4"/>
  <c r="W37" i="4" s="1"/>
  <c r="W17" i="4"/>
  <c r="W32" i="4" s="1"/>
  <c r="W27" i="4"/>
  <c r="W42" i="4" s="1"/>
  <c r="V29" i="4"/>
  <c r="V63" i="4" s="1"/>
  <c r="U86" i="4"/>
  <c r="U78" i="4"/>
  <c r="U66" i="4"/>
  <c r="U65" i="4"/>
  <c r="U85" i="4"/>
  <c r="T95" i="4"/>
  <c r="T87" i="4"/>
  <c r="V84" i="4"/>
  <c r="V16" i="4"/>
  <c r="V103" i="4"/>
  <c r="V58" i="4"/>
  <c r="V46" i="4"/>
  <c r="V94" i="4"/>
  <c r="X3" i="4"/>
  <c r="X8" i="4" s="1"/>
  <c r="W6" i="4"/>
  <c r="W31" i="4" s="1"/>
  <c r="N56" i="4"/>
  <c r="N99" i="4" s="1"/>
  <c r="O52" i="4"/>
  <c r="W44" i="4" l="1"/>
  <c r="W29" i="4"/>
  <c r="W63" i="4" s="1"/>
  <c r="X20" i="4"/>
  <c r="X35" i="4" s="1"/>
  <c r="X27" i="4"/>
  <c r="X42" i="4" s="1"/>
  <c r="X26" i="4"/>
  <c r="X41" i="4" s="1"/>
  <c r="X25" i="4"/>
  <c r="X40" i="4" s="1"/>
  <c r="X28" i="4"/>
  <c r="X43" i="4" s="1"/>
  <c r="X23" i="4"/>
  <c r="X38" i="4" s="1"/>
  <c r="X17" i="4"/>
  <c r="X32" i="4" s="1"/>
  <c r="X19" i="4"/>
  <c r="X34" i="4" s="1"/>
  <c r="X22" i="4"/>
  <c r="X37" i="4" s="1"/>
  <c r="X21" i="4"/>
  <c r="X36" i="4" s="1"/>
  <c r="X24" i="4"/>
  <c r="X39" i="4" s="1"/>
  <c r="X18" i="4"/>
  <c r="X33" i="4" s="1"/>
  <c r="V86" i="4"/>
  <c r="V66" i="4"/>
  <c r="V65" i="4"/>
  <c r="V78" i="4"/>
  <c r="U95" i="4"/>
  <c r="U87" i="4"/>
  <c r="V85" i="4"/>
  <c r="Y3" i="4"/>
  <c r="Y8" i="4" s="1"/>
  <c r="X6" i="4"/>
  <c r="X31" i="4" s="1"/>
  <c r="W58" i="4"/>
  <c r="W16" i="4"/>
  <c r="W46" i="4"/>
  <c r="W84" i="4"/>
  <c r="W103" i="4"/>
  <c r="W94" i="4"/>
  <c r="Q56" i="4"/>
  <c r="Q99" i="4" s="1"/>
  <c r="R56" i="4"/>
  <c r="R99" i="4" s="1"/>
  <c r="N98" i="4"/>
  <c r="N88" i="4"/>
  <c r="O56" i="4"/>
  <c r="X44" i="4" l="1"/>
  <c r="X29" i="4"/>
  <c r="X63" i="4" s="1"/>
  <c r="Y21" i="4"/>
  <c r="Y36" i="4" s="1"/>
  <c r="Y19" i="4"/>
  <c r="Y34" i="4" s="1"/>
  <c r="Y17" i="4"/>
  <c r="Y32" i="4" s="1"/>
  <c r="Y28" i="4"/>
  <c r="Y43" i="4" s="1"/>
  <c r="Y26" i="4"/>
  <c r="Y41" i="4" s="1"/>
  <c r="Y27" i="4"/>
  <c r="Y42" i="4" s="1"/>
  <c r="Y24" i="4"/>
  <c r="Y39" i="4" s="1"/>
  <c r="Y18" i="4"/>
  <c r="Y33" i="4" s="1"/>
  <c r="Y25" i="4"/>
  <c r="Y40" i="4" s="1"/>
  <c r="Y23" i="4"/>
  <c r="Y38" i="4" s="1"/>
  <c r="Y22" i="4"/>
  <c r="Y37" i="4" s="1"/>
  <c r="Y20" i="4"/>
  <c r="Y35" i="4" s="1"/>
  <c r="W86" i="4"/>
  <c r="W66" i="4"/>
  <c r="W65" i="4"/>
  <c r="W78" i="4"/>
  <c r="V95" i="4"/>
  <c r="V87" i="4"/>
  <c r="W85" i="4"/>
  <c r="X46" i="4"/>
  <c r="X103" i="4"/>
  <c r="X58" i="4"/>
  <c r="X94" i="4"/>
  <c r="X84" i="4"/>
  <c r="X16" i="4"/>
  <c r="Y6" i="4"/>
  <c r="Y31" i="4" s="1"/>
  <c r="Z3" i="4"/>
  <c r="Z8" i="4" s="1"/>
  <c r="Q88" i="4"/>
  <c r="Q98" i="4"/>
  <c r="R88" i="4"/>
  <c r="R98" i="4"/>
  <c r="Y44" i="4" l="1"/>
  <c r="Y29" i="4"/>
  <c r="Y63" i="4" s="1"/>
  <c r="Z26" i="4"/>
  <c r="Z41" i="4" s="1"/>
  <c r="Z22" i="4"/>
  <c r="Z37" i="4" s="1"/>
  <c r="Z18" i="4"/>
  <c r="Z33" i="4" s="1"/>
  <c r="Z25" i="4"/>
  <c r="Z40" i="4" s="1"/>
  <c r="Z21" i="4"/>
  <c r="Z36" i="4" s="1"/>
  <c r="Z17" i="4"/>
  <c r="Z32" i="4" s="1"/>
  <c r="Z28" i="4"/>
  <c r="Z43" i="4" s="1"/>
  <c r="Z24" i="4"/>
  <c r="Z39" i="4" s="1"/>
  <c r="Z20" i="4"/>
  <c r="Z35" i="4" s="1"/>
  <c r="Z23" i="4"/>
  <c r="Z38" i="4" s="1"/>
  <c r="Z27" i="4"/>
  <c r="Z42" i="4" s="1"/>
  <c r="Z19" i="4"/>
  <c r="Z34" i="4" s="1"/>
  <c r="X86" i="4"/>
  <c r="X78" i="4"/>
  <c r="X66" i="4"/>
  <c r="X65" i="4"/>
  <c r="W87" i="4"/>
  <c r="W95" i="4"/>
  <c r="X85" i="4"/>
  <c r="Y16" i="4"/>
  <c r="Y103" i="4"/>
  <c r="Y84" i="4"/>
  <c r="Y94" i="4"/>
  <c r="Y58" i="4"/>
  <c r="Y46" i="4"/>
  <c r="AA3" i="4"/>
  <c r="AA8" i="4" s="1"/>
  <c r="Z6" i="4"/>
  <c r="Z31" i="4" s="1"/>
  <c r="S56" i="4"/>
  <c r="S99" i="4" s="1"/>
  <c r="T56" i="4"/>
  <c r="T99" i="4" s="1"/>
  <c r="Z44" i="4" l="1"/>
  <c r="AA26" i="4"/>
  <c r="AA41" i="4" s="1"/>
  <c r="AA19" i="4"/>
  <c r="AA34" i="4" s="1"/>
  <c r="AA28" i="4"/>
  <c r="AA43" i="4" s="1"/>
  <c r="AA22" i="4"/>
  <c r="AA37" i="4" s="1"/>
  <c r="AA21" i="4"/>
  <c r="AA36" i="4" s="1"/>
  <c r="AA24" i="4"/>
  <c r="AA39" i="4" s="1"/>
  <c r="AA27" i="4"/>
  <c r="AA42" i="4" s="1"/>
  <c r="AA18" i="4"/>
  <c r="AA33" i="4" s="1"/>
  <c r="AA20" i="4"/>
  <c r="AA35" i="4" s="1"/>
  <c r="AA17" i="4"/>
  <c r="AA32" i="4" s="1"/>
  <c r="AA23" i="4"/>
  <c r="AA38" i="4" s="1"/>
  <c r="AA25" i="4"/>
  <c r="AA40" i="4" s="1"/>
  <c r="Z29" i="4"/>
  <c r="Z63" i="4" s="1"/>
  <c r="Y86" i="4"/>
  <c r="Y78" i="4"/>
  <c r="Y66" i="4"/>
  <c r="Y65" i="4"/>
  <c r="Y85" i="4"/>
  <c r="X95" i="4"/>
  <c r="X87" i="4"/>
  <c r="AB3" i="4"/>
  <c r="AB8" i="4" s="1"/>
  <c r="AA6" i="4"/>
  <c r="AA31" i="4" s="1"/>
  <c r="Z94" i="4"/>
  <c r="Z84" i="4"/>
  <c r="Z58" i="4"/>
  <c r="Z46" i="4"/>
  <c r="Z103" i="4"/>
  <c r="Z16" i="4"/>
  <c r="T88" i="4"/>
  <c r="T98" i="4"/>
  <c r="S98" i="4"/>
  <c r="S88" i="4"/>
  <c r="AA44" i="4" l="1"/>
  <c r="AB23" i="4"/>
  <c r="AB20" i="4"/>
  <c r="AB35" i="4" s="1"/>
  <c r="AC35" i="4" s="1"/>
  <c r="AB19" i="4"/>
  <c r="AB34" i="4" s="1"/>
  <c r="AC34" i="4" s="1"/>
  <c r="AB26" i="4"/>
  <c r="AB28" i="4"/>
  <c r="AB27" i="4"/>
  <c r="AB42" i="4" s="1"/>
  <c r="AC42" i="4" s="1"/>
  <c r="AB18" i="4"/>
  <c r="AB33" i="4" s="1"/>
  <c r="AC33" i="4" s="1"/>
  <c r="AB25" i="4"/>
  <c r="AB22" i="4"/>
  <c r="AB37" i="4" s="1"/>
  <c r="AC37" i="4" s="1"/>
  <c r="AB17" i="4"/>
  <c r="AB32" i="4" s="1"/>
  <c r="AB21" i="4"/>
  <c r="AB36" i="4" s="1"/>
  <c r="AC36" i="4" s="1"/>
  <c r="AB24" i="4"/>
  <c r="AA29" i="4"/>
  <c r="AA63" i="4" s="1"/>
  <c r="Z86" i="4"/>
  <c r="Z66" i="4"/>
  <c r="Z65" i="4"/>
  <c r="Z78" i="4"/>
  <c r="Y95" i="4"/>
  <c r="Y87" i="4"/>
  <c r="Z85" i="4"/>
  <c r="AA84" i="4"/>
  <c r="AA46" i="4"/>
  <c r="AA103" i="4"/>
  <c r="AA58" i="4"/>
  <c r="AA94" i="4"/>
  <c r="AA16" i="4"/>
  <c r="AE3" i="4"/>
  <c r="AE8" i="4" s="1"/>
  <c r="AB6" i="4"/>
  <c r="AB31" i="4" s="1"/>
  <c r="U56" i="4"/>
  <c r="U99" i="4" s="1"/>
  <c r="V56" i="4"/>
  <c r="V99" i="4" s="1"/>
  <c r="AC22" i="4" l="1"/>
  <c r="AC27" i="4"/>
  <c r="AC24" i="4"/>
  <c r="AB39" i="4"/>
  <c r="AC39" i="4" s="1"/>
  <c r="AD39" i="4" s="1"/>
  <c r="AC28" i="4"/>
  <c r="AD28" i="4" s="1"/>
  <c r="AB43" i="4"/>
  <c r="AC43" i="4" s="1"/>
  <c r="AD43" i="4" s="1"/>
  <c r="AC26" i="4"/>
  <c r="AD26" i="4" s="1"/>
  <c r="AB41" i="4"/>
  <c r="AC41" i="4" s="1"/>
  <c r="AD41" i="4" s="1"/>
  <c r="AC25" i="4"/>
  <c r="AB40" i="4"/>
  <c r="AC40" i="4" s="1"/>
  <c r="AD40" i="4" s="1"/>
  <c r="AC23" i="4"/>
  <c r="AD23" i="4" s="1"/>
  <c r="AB38" i="4"/>
  <c r="AC38" i="4" s="1"/>
  <c r="AD38" i="4" s="1"/>
  <c r="AC32" i="4"/>
  <c r="AD32" i="4" s="1"/>
  <c r="AE28" i="4"/>
  <c r="AE43" i="4" s="1"/>
  <c r="AE17" i="4"/>
  <c r="AE32" i="4" s="1"/>
  <c r="AE23" i="4"/>
  <c r="AE38" i="4" s="1"/>
  <c r="AE24" i="4"/>
  <c r="AE39" i="4" s="1"/>
  <c r="AE25" i="4"/>
  <c r="AE40" i="4" s="1"/>
  <c r="AE26" i="4"/>
  <c r="AE41" i="4" s="1"/>
  <c r="AE27" i="4"/>
  <c r="AE42" i="4" s="1"/>
  <c r="AE22" i="4"/>
  <c r="AE37" i="4" s="1"/>
  <c r="AE20" i="4"/>
  <c r="AE35" i="4" s="1"/>
  <c r="AE21" i="4"/>
  <c r="AE36" i="4" s="1"/>
  <c r="AE19" i="4"/>
  <c r="AE34" i="4" s="1"/>
  <c r="AE18" i="4"/>
  <c r="AE33" i="4" s="1"/>
  <c r="AD36" i="4"/>
  <c r="AD37" i="4"/>
  <c r="AD35" i="4"/>
  <c r="AD33" i="4"/>
  <c r="AB29" i="4"/>
  <c r="AB63" i="4" s="1"/>
  <c r="AD42" i="4"/>
  <c r="AD34" i="4"/>
  <c r="AD24" i="4"/>
  <c r="AD27" i="4"/>
  <c r="AD25" i="4"/>
  <c r="AA86" i="4"/>
  <c r="AA66" i="4"/>
  <c r="AA65" i="4"/>
  <c r="AA78" i="4"/>
  <c r="AD22" i="4"/>
  <c r="Z95" i="4"/>
  <c r="Z87" i="4"/>
  <c r="AC18" i="4"/>
  <c r="AC19" i="4"/>
  <c r="AA85" i="4"/>
  <c r="AC17" i="4"/>
  <c r="AC21" i="4"/>
  <c r="AC20" i="4"/>
  <c r="AE6" i="4"/>
  <c r="AE31" i="4" s="1"/>
  <c r="AF3" i="4"/>
  <c r="AF8" i="4" s="1"/>
  <c r="AB84" i="4"/>
  <c r="AB94" i="4"/>
  <c r="AB16" i="4"/>
  <c r="AB46" i="4"/>
  <c r="AB58" i="4"/>
  <c r="AB103" i="4"/>
  <c r="U98" i="4"/>
  <c r="U88" i="4"/>
  <c r="V88" i="4"/>
  <c r="V98" i="4"/>
  <c r="W56" i="4"/>
  <c r="W99" i="4" s="1"/>
  <c r="AB44" i="4" l="1"/>
  <c r="AC44" i="4"/>
  <c r="AD44" i="4"/>
  <c r="AE44" i="4"/>
  <c r="AF26" i="4"/>
  <c r="AF41" i="4" s="1"/>
  <c r="AF22" i="4"/>
  <c r="AF37" i="4" s="1"/>
  <c r="AF18" i="4"/>
  <c r="AF33" i="4" s="1"/>
  <c r="AF25" i="4"/>
  <c r="AF40" i="4" s="1"/>
  <c r="AF21" i="4"/>
  <c r="AF36" i="4" s="1"/>
  <c r="AF17" i="4"/>
  <c r="AF32" i="4" s="1"/>
  <c r="AF28" i="4"/>
  <c r="AF43" i="4" s="1"/>
  <c r="AF24" i="4"/>
  <c r="AF39" i="4" s="1"/>
  <c r="AF20" i="4"/>
  <c r="AF35" i="4" s="1"/>
  <c r="AF27" i="4"/>
  <c r="AF42" i="4" s="1"/>
  <c r="AF19" i="4"/>
  <c r="AF34" i="4" s="1"/>
  <c r="AF23" i="4"/>
  <c r="AF38" i="4" s="1"/>
  <c r="AC29" i="4"/>
  <c r="AE29" i="4"/>
  <c r="AE63" i="4" s="1"/>
  <c r="AB78" i="4"/>
  <c r="AC78" i="4" s="1"/>
  <c r="AB66" i="4"/>
  <c r="AC66" i="4" s="1"/>
  <c r="AB65" i="4"/>
  <c r="AC63" i="4"/>
  <c r="AD21" i="4"/>
  <c r="AD18" i="4"/>
  <c r="AB85" i="4"/>
  <c r="AD19" i="4"/>
  <c r="AD20" i="4"/>
  <c r="AD17" i="4"/>
  <c r="AA95" i="4"/>
  <c r="AA87" i="4"/>
  <c r="AF6" i="4"/>
  <c r="AF31" i="4" s="1"/>
  <c r="AG3" i="4"/>
  <c r="AG8" i="4" s="1"/>
  <c r="AE94" i="4"/>
  <c r="AE103" i="4"/>
  <c r="AE58" i="4"/>
  <c r="AE46" i="4"/>
  <c r="AE16" i="4"/>
  <c r="AE84" i="4"/>
  <c r="W98" i="4"/>
  <c r="W88" i="4"/>
  <c r="X56" i="4"/>
  <c r="X99" i="4" s="1"/>
  <c r="AF44" i="4" l="1"/>
  <c r="AG28" i="4"/>
  <c r="AG43" i="4" s="1"/>
  <c r="AG27" i="4"/>
  <c r="AG42" i="4" s="1"/>
  <c r="AG25" i="4"/>
  <c r="AG40" i="4" s="1"/>
  <c r="AG26" i="4"/>
  <c r="AG41" i="4" s="1"/>
  <c r="AG23" i="4"/>
  <c r="AG38" i="4" s="1"/>
  <c r="AG22" i="4"/>
  <c r="AG37" i="4" s="1"/>
  <c r="AG20" i="4"/>
  <c r="AG35" i="4" s="1"/>
  <c r="AG24" i="4"/>
  <c r="AG39" i="4" s="1"/>
  <c r="AG21" i="4"/>
  <c r="AG36" i="4" s="1"/>
  <c r="AG17" i="4"/>
  <c r="AG32" i="4" s="1"/>
  <c r="AG19" i="4"/>
  <c r="AG34" i="4" s="1"/>
  <c r="AG18" i="4"/>
  <c r="AG33" i="4" s="1"/>
  <c r="AD29" i="4"/>
  <c r="AF29" i="4"/>
  <c r="AF63" i="4" s="1"/>
  <c r="AB86" i="4"/>
  <c r="AC86" i="4" s="1"/>
  <c r="AD86" i="4" s="1"/>
  <c r="AE86" i="4"/>
  <c r="AE66" i="4"/>
  <c r="AE65" i="4"/>
  <c r="AE78" i="4"/>
  <c r="AD78" i="4"/>
  <c r="AD66" i="4"/>
  <c r="AB95" i="4"/>
  <c r="AC95" i="4" s="1"/>
  <c r="AC85" i="4"/>
  <c r="AC65" i="4"/>
  <c r="AE85" i="4"/>
  <c r="AD63" i="4"/>
  <c r="AH3" i="4"/>
  <c r="AH8" i="4" s="1"/>
  <c r="AG6" i="4"/>
  <c r="AG31" i="4" s="1"/>
  <c r="AF103" i="4"/>
  <c r="AF46" i="4"/>
  <c r="AF58" i="4"/>
  <c r="AF16" i="4"/>
  <c r="AF84" i="4"/>
  <c r="AF94" i="4"/>
  <c r="X88" i="4"/>
  <c r="X98" i="4"/>
  <c r="Y56" i="4"/>
  <c r="Y99" i="4" s="1"/>
  <c r="AG44" i="4" l="1"/>
  <c r="AH28" i="4"/>
  <c r="AH43" i="4" s="1"/>
  <c r="AH23" i="4"/>
  <c r="AH38" i="4" s="1"/>
  <c r="AH27" i="4"/>
  <c r="AH42" i="4" s="1"/>
  <c r="AH25" i="4"/>
  <c r="AH40" i="4" s="1"/>
  <c r="AH20" i="4"/>
  <c r="AH35" i="4" s="1"/>
  <c r="AH24" i="4"/>
  <c r="AH39" i="4" s="1"/>
  <c r="AH26" i="4"/>
  <c r="AH41" i="4" s="1"/>
  <c r="AH21" i="4"/>
  <c r="AH36" i="4" s="1"/>
  <c r="AH18" i="4"/>
  <c r="AH33" i="4" s="1"/>
  <c r="AH22" i="4"/>
  <c r="AH37" i="4" s="1"/>
  <c r="AH17" i="4"/>
  <c r="AH32" i="4" s="1"/>
  <c r="AH19" i="4"/>
  <c r="AH34" i="4" s="1"/>
  <c r="AG29" i="4"/>
  <c r="AG63" i="4" s="1"/>
  <c r="AB87" i="4"/>
  <c r="AC87" i="4" s="1"/>
  <c r="AD87" i="4" s="1"/>
  <c r="AF86" i="4"/>
  <c r="AF78" i="4"/>
  <c r="AF66" i="4"/>
  <c r="AF65" i="4"/>
  <c r="AD95" i="4"/>
  <c r="AE95" i="4"/>
  <c r="AE87" i="4"/>
  <c r="AD65" i="4"/>
  <c r="AC55" i="4"/>
  <c r="AD85" i="4"/>
  <c r="AF85" i="4"/>
  <c r="AG84" i="4"/>
  <c r="AG94" i="4"/>
  <c r="AG16" i="4"/>
  <c r="AG58" i="4"/>
  <c r="AG46" i="4"/>
  <c r="AG103" i="4"/>
  <c r="AI3" i="4"/>
  <c r="AI8" i="4" s="1"/>
  <c r="AH6" i="4"/>
  <c r="AH31" i="4" s="1"/>
  <c r="Y88" i="4"/>
  <c r="Y98" i="4"/>
  <c r="Z56" i="4"/>
  <c r="Z99" i="4" s="1"/>
  <c r="AH44" i="4" l="1"/>
  <c r="AI24" i="4"/>
  <c r="AI39" i="4" s="1"/>
  <c r="AI18" i="4"/>
  <c r="AI33" i="4" s="1"/>
  <c r="AI27" i="4"/>
  <c r="AI42" i="4" s="1"/>
  <c r="AI26" i="4"/>
  <c r="AI41" i="4" s="1"/>
  <c r="AI28" i="4"/>
  <c r="AI43" i="4" s="1"/>
  <c r="AI19" i="4"/>
  <c r="AI34" i="4" s="1"/>
  <c r="AI25" i="4"/>
  <c r="AI40" i="4" s="1"/>
  <c r="AI22" i="4"/>
  <c r="AI37" i="4" s="1"/>
  <c r="AI23" i="4"/>
  <c r="AI38" i="4" s="1"/>
  <c r="AI17" i="4"/>
  <c r="AI32" i="4" s="1"/>
  <c r="AI20" i="4"/>
  <c r="AI35" i="4" s="1"/>
  <c r="AI21" i="4"/>
  <c r="AI36" i="4" s="1"/>
  <c r="AH29" i="4"/>
  <c r="AH63" i="4" s="1"/>
  <c r="AG86" i="4"/>
  <c r="AG78" i="4"/>
  <c r="AG66" i="4"/>
  <c r="AG65" i="4"/>
  <c r="AG85" i="4"/>
  <c r="AF95" i="4"/>
  <c r="AF87" i="4"/>
  <c r="AI6" i="4"/>
  <c r="AI31" i="4" s="1"/>
  <c r="AJ3" i="4"/>
  <c r="AJ8" i="4" s="1"/>
  <c r="AH103" i="4"/>
  <c r="AH58" i="4"/>
  <c r="AH84" i="4"/>
  <c r="AH16" i="4"/>
  <c r="AH94" i="4"/>
  <c r="AH46" i="4"/>
  <c r="Z88" i="4"/>
  <c r="Z98" i="4"/>
  <c r="AA56" i="4"/>
  <c r="AA99" i="4" s="1"/>
  <c r="AI44" i="4" l="1"/>
  <c r="AJ26" i="4"/>
  <c r="AJ41" i="4" s="1"/>
  <c r="AJ22" i="4"/>
  <c r="AJ37" i="4" s="1"/>
  <c r="AJ18" i="4"/>
  <c r="AJ33" i="4" s="1"/>
  <c r="AJ25" i="4"/>
  <c r="AJ40" i="4" s="1"/>
  <c r="AJ21" i="4"/>
  <c r="AJ36" i="4" s="1"/>
  <c r="AJ17" i="4"/>
  <c r="AJ32" i="4" s="1"/>
  <c r="AJ28" i="4"/>
  <c r="AJ43" i="4" s="1"/>
  <c r="AJ24" i="4"/>
  <c r="AJ39" i="4" s="1"/>
  <c r="AJ20" i="4"/>
  <c r="AJ35" i="4" s="1"/>
  <c r="AJ23" i="4"/>
  <c r="AJ38" i="4" s="1"/>
  <c r="AJ19" i="4"/>
  <c r="AJ34" i="4" s="1"/>
  <c r="AJ27" i="4"/>
  <c r="AJ42" i="4" s="1"/>
  <c r="AI29" i="4"/>
  <c r="AI63" i="4" s="1"/>
  <c r="AH86" i="4"/>
  <c r="AH66" i="4"/>
  <c r="AH65" i="4"/>
  <c r="AH78" i="4"/>
  <c r="AH85" i="4"/>
  <c r="AG95" i="4"/>
  <c r="AG87" i="4"/>
  <c r="AK3" i="4"/>
  <c r="AK8" i="4" s="1"/>
  <c r="AJ6" i="4"/>
  <c r="AJ31" i="4" s="1"/>
  <c r="AI94" i="4"/>
  <c r="AI103" i="4"/>
  <c r="AI16" i="4"/>
  <c r="AI58" i="4"/>
  <c r="AI84" i="4"/>
  <c r="AI46" i="4"/>
  <c r="AA98" i="4"/>
  <c r="AA88" i="4"/>
  <c r="AJ44" i="4" l="1"/>
  <c r="AJ29" i="4"/>
  <c r="AJ63" i="4" s="1"/>
  <c r="AK28" i="4"/>
  <c r="AK43" i="4" s="1"/>
  <c r="AK23" i="4"/>
  <c r="AK38" i="4" s="1"/>
  <c r="AK25" i="4"/>
  <c r="AK40" i="4" s="1"/>
  <c r="AK24" i="4"/>
  <c r="AK39" i="4" s="1"/>
  <c r="AK19" i="4"/>
  <c r="AK34" i="4" s="1"/>
  <c r="AK17" i="4"/>
  <c r="AK32" i="4" s="1"/>
  <c r="AK27" i="4"/>
  <c r="AK42" i="4" s="1"/>
  <c r="AK21" i="4"/>
  <c r="AK36" i="4" s="1"/>
  <c r="AK22" i="4"/>
  <c r="AK37" i="4" s="1"/>
  <c r="AK26" i="4"/>
  <c r="AK41" i="4" s="1"/>
  <c r="AK20" i="4"/>
  <c r="AK35" i="4" s="1"/>
  <c r="AK18" i="4"/>
  <c r="AK33" i="4" s="1"/>
  <c r="AI86" i="4"/>
  <c r="AI66" i="4"/>
  <c r="AI65" i="4"/>
  <c r="AI78" i="4"/>
  <c r="AH87" i="4"/>
  <c r="AH95" i="4"/>
  <c r="AI85" i="4"/>
  <c r="AJ94" i="4"/>
  <c r="AJ84" i="4"/>
  <c r="AJ46" i="4"/>
  <c r="AJ103" i="4"/>
  <c r="AJ58" i="4"/>
  <c r="AJ16" i="4"/>
  <c r="AL3" i="4"/>
  <c r="AL8" i="4" s="1"/>
  <c r="AK6" i="4"/>
  <c r="AK31" i="4" s="1"/>
  <c r="AB56" i="4"/>
  <c r="AB99" i="4" s="1"/>
  <c r="AC52" i="4"/>
  <c r="AK44" i="4" l="1"/>
  <c r="AK29" i="4"/>
  <c r="AK63" i="4" s="1"/>
  <c r="AL28" i="4"/>
  <c r="AL43" i="4" s="1"/>
  <c r="AL23" i="4"/>
  <c r="AL38" i="4" s="1"/>
  <c r="AL20" i="4"/>
  <c r="AL35" i="4" s="1"/>
  <c r="AL18" i="4"/>
  <c r="AL33" i="4" s="1"/>
  <c r="AL24" i="4"/>
  <c r="AL39" i="4" s="1"/>
  <c r="AL22" i="4"/>
  <c r="AL37" i="4" s="1"/>
  <c r="AL26" i="4"/>
  <c r="AL41" i="4" s="1"/>
  <c r="AL25" i="4"/>
  <c r="AL40" i="4" s="1"/>
  <c r="AL21" i="4"/>
  <c r="AL36" i="4" s="1"/>
  <c r="AL19" i="4"/>
  <c r="AL34" i="4" s="1"/>
  <c r="AL27" i="4"/>
  <c r="AL42" i="4" s="1"/>
  <c r="AL17" i="4"/>
  <c r="AL32" i="4" s="1"/>
  <c r="AJ86" i="4"/>
  <c r="AJ78" i="4"/>
  <c r="AJ66" i="4"/>
  <c r="AJ65" i="4"/>
  <c r="AJ85" i="4"/>
  <c r="AI87" i="4"/>
  <c r="AI95" i="4"/>
  <c r="AM3" i="4"/>
  <c r="AM8" i="4" s="1"/>
  <c r="AL6" i="4"/>
  <c r="AL31" i="4" s="1"/>
  <c r="AK103" i="4"/>
  <c r="AK84" i="4"/>
  <c r="AK46" i="4"/>
  <c r="AK58" i="4"/>
  <c r="AK16" i="4"/>
  <c r="AK94" i="4"/>
  <c r="AF56" i="4"/>
  <c r="AF99" i="4" s="1"/>
  <c r="AE56" i="4"/>
  <c r="AE99" i="4" s="1"/>
  <c r="AB88" i="4"/>
  <c r="AB98" i="4"/>
  <c r="AC56" i="4"/>
  <c r="AL44" i="4" l="1"/>
  <c r="AM26" i="4"/>
  <c r="AM41" i="4" s="1"/>
  <c r="AM17" i="4"/>
  <c r="AM32" i="4" s="1"/>
  <c r="AM25" i="4"/>
  <c r="AM40" i="4" s="1"/>
  <c r="AM27" i="4"/>
  <c r="AM42" i="4" s="1"/>
  <c r="AM22" i="4"/>
  <c r="AM37" i="4" s="1"/>
  <c r="AM28" i="4"/>
  <c r="AM43" i="4" s="1"/>
  <c r="AM20" i="4"/>
  <c r="AM35" i="4" s="1"/>
  <c r="AM24" i="4"/>
  <c r="AM39" i="4" s="1"/>
  <c r="AM19" i="4"/>
  <c r="AM34" i="4" s="1"/>
  <c r="AM23" i="4"/>
  <c r="AM38" i="4" s="1"/>
  <c r="AM18" i="4"/>
  <c r="AM33" i="4" s="1"/>
  <c r="AM21" i="4"/>
  <c r="AM36" i="4" s="1"/>
  <c r="AL29" i="4"/>
  <c r="AL63" i="4" s="1"/>
  <c r="AK86" i="4"/>
  <c r="AK78" i="4"/>
  <c r="AK66" i="4"/>
  <c r="AK65" i="4"/>
  <c r="AJ95" i="4"/>
  <c r="AJ87" i="4"/>
  <c r="AK85" i="4"/>
  <c r="AL46" i="4"/>
  <c r="AL58" i="4"/>
  <c r="AL103" i="4"/>
  <c r="AL16" i="4"/>
  <c r="AL94" i="4"/>
  <c r="AL84" i="4"/>
  <c r="AM6" i="4"/>
  <c r="AM31" i="4" s="1"/>
  <c r="AN3" i="4"/>
  <c r="AN8" i="4" s="1"/>
  <c r="AG56" i="4"/>
  <c r="AG99" i="4" s="1"/>
  <c r="AF98" i="4"/>
  <c r="AF88" i="4"/>
  <c r="AE88" i="4"/>
  <c r="AE98" i="4"/>
  <c r="AC88" i="4"/>
  <c r="AC99" i="4"/>
  <c r="AC98" i="4"/>
  <c r="AM44" i="4" l="1"/>
  <c r="AN26" i="4"/>
  <c r="AN41" i="4" s="1"/>
  <c r="AN22" i="4"/>
  <c r="AN37" i="4" s="1"/>
  <c r="AN18" i="4"/>
  <c r="AN33" i="4" s="1"/>
  <c r="AN25" i="4"/>
  <c r="AN40" i="4" s="1"/>
  <c r="AN21" i="4"/>
  <c r="AN36" i="4" s="1"/>
  <c r="AN17" i="4"/>
  <c r="AN32" i="4" s="1"/>
  <c r="AN28" i="4"/>
  <c r="AN43" i="4" s="1"/>
  <c r="AN24" i="4"/>
  <c r="AN39" i="4" s="1"/>
  <c r="AN20" i="4"/>
  <c r="AN35" i="4" s="1"/>
  <c r="AN27" i="4"/>
  <c r="AN42" i="4" s="1"/>
  <c r="AN23" i="4"/>
  <c r="AN38" i="4" s="1"/>
  <c r="AN19" i="4"/>
  <c r="AN34" i="4" s="1"/>
  <c r="AM29" i="4"/>
  <c r="AM63" i="4" s="1"/>
  <c r="AL86" i="4"/>
  <c r="AL66" i="4"/>
  <c r="AL65" i="4"/>
  <c r="AL78" i="4"/>
  <c r="AK95" i="4"/>
  <c r="AK87" i="4"/>
  <c r="AL85" i="4"/>
  <c r="AM84" i="4"/>
  <c r="AM94" i="4"/>
  <c r="AM103" i="4"/>
  <c r="AM16" i="4"/>
  <c r="AM46" i="4"/>
  <c r="AM58" i="4"/>
  <c r="AO3" i="4"/>
  <c r="AO8" i="4" s="1"/>
  <c r="AN6" i="4"/>
  <c r="AN31" i="4" s="1"/>
  <c r="AG98" i="4"/>
  <c r="AG88" i="4"/>
  <c r="AH56" i="4"/>
  <c r="AH99" i="4" s="1"/>
  <c r="AN44" i="4" l="1"/>
  <c r="AO25" i="4"/>
  <c r="AO40" i="4" s="1"/>
  <c r="AO18" i="4"/>
  <c r="AO33" i="4" s="1"/>
  <c r="AO23" i="4"/>
  <c r="AO38" i="4" s="1"/>
  <c r="AO21" i="4"/>
  <c r="AO36" i="4" s="1"/>
  <c r="AO28" i="4"/>
  <c r="AO43" i="4" s="1"/>
  <c r="AO22" i="4"/>
  <c r="AO37" i="4" s="1"/>
  <c r="AO24" i="4"/>
  <c r="AO39" i="4" s="1"/>
  <c r="AO27" i="4"/>
  <c r="AO42" i="4" s="1"/>
  <c r="AO19" i="4"/>
  <c r="AO34" i="4" s="1"/>
  <c r="AO26" i="4"/>
  <c r="AO41" i="4" s="1"/>
  <c r="AO17" i="4"/>
  <c r="AO32" i="4" s="1"/>
  <c r="AO20" i="4"/>
  <c r="AO35" i="4" s="1"/>
  <c r="AN29" i="4"/>
  <c r="AN63" i="4" s="1"/>
  <c r="AM86" i="4"/>
  <c r="AM66" i="4"/>
  <c r="AM65" i="4"/>
  <c r="AM78" i="4"/>
  <c r="AM85" i="4"/>
  <c r="AL95" i="4"/>
  <c r="AL87" i="4"/>
  <c r="AN103" i="4"/>
  <c r="AN46" i="4"/>
  <c r="AN84" i="4"/>
  <c r="AN16" i="4"/>
  <c r="AN58" i="4"/>
  <c r="AN94" i="4"/>
  <c r="AP3" i="4"/>
  <c r="AP8" i="4" s="1"/>
  <c r="AO6" i="4"/>
  <c r="AO31" i="4" s="1"/>
  <c r="AI56" i="4"/>
  <c r="AI99" i="4" s="1"/>
  <c r="AH98" i="4"/>
  <c r="AH88" i="4"/>
  <c r="AO44" i="4" l="1"/>
  <c r="AP24" i="4"/>
  <c r="AP39" i="4" s="1"/>
  <c r="AQ39" i="4" s="1"/>
  <c r="AP26" i="4"/>
  <c r="AP41" i="4" s="1"/>
  <c r="AQ41" i="4" s="1"/>
  <c r="AP23" i="4"/>
  <c r="AP38" i="4" s="1"/>
  <c r="AQ38" i="4" s="1"/>
  <c r="AP25" i="4"/>
  <c r="AP40" i="4" s="1"/>
  <c r="AQ40" i="4" s="1"/>
  <c r="AP17" i="4"/>
  <c r="AP32" i="4" s="1"/>
  <c r="AP18" i="4"/>
  <c r="AP33" i="4" s="1"/>
  <c r="AQ33" i="4" s="1"/>
  <c r="AP19" i="4"/>
  <c r="AP34" i="4" s="1"/>
  <c r="AQ34" i="4" s="1"/>
  <c r="AP21" i="4"/>
  <c r="AP36" i="4" s="1"/>
  <c r="AQ36" i="4" s="1"/>
  <c r="AP22" i="4"/>
  <c r="AP37" i="4" s="1"/>
  <c r="AQ37" i="4" s="1"/>
  <c r="AP20" i="4"/>
  <c r="AP35" i="4" s="1"/>
  <c r="AQ35" i="4" s="1"/>
  <c r="AP28" i="4"/>
  <c r="AP27" i="4"/>
  <c r="AP42" i="4" s="1"/>
  <c r="AQ42" i="4" s="1"/>
  <c r="AO29" i="4"/>
  <c r="AO63" i="4" s="1"/>
  <c r="AN86" i="4"/>
  <c r="AN78" i="4"/>
  <c r="AN66" i="4"/>
  <c r="AN65" i="4"/>
  <c r="AM87" i="4"/>
  <c r="AM95" i="4"/>
  <c r="AP6" i="4"/>
  <c r="AN85" i="4"/>
  <c r="AO84" i="4"/>
  <c r="AO58" i="4"/>
  <c r="AO103" i="4"/>
  <c r="AO46" i="4"/>
  <c r="AO16" i="4"/>
  <c r="AO94" i="4"/>
  <c r="AI98" i="4"/>
  <c r="AI88" i="4"/>
  <c r="AJ56" i="4"/>
  <c r="AJ99" i="4" s="1"/>
  <c r="AQ25" i="4" l="1"/>
  <c r="AR25" i="4" s="1"/>
  <c r="AQ22" i="4"/>
  <c r="AS22" i="4" s="1"/>
  <c r="AQ24" i="4"/>
  <c r="AQ26" i="4"/>
  <c r="AR26" i="4" s="1"/>
  <c r="AQ23" i="4"/>
  <c r="AR23" i="4" s="1"/>
  <c r="AQ28" i="4"/>
  <c r="AR28" i="4" s="1"/>
  <c r="AP43" i="4"/>
  <c r="AQ43" i="4" s="1"/>
  <c r="AR43" i="4" s="1"/>
  <c r="AQ27" i="4"/>
  <c r="AS27" i="4" s="1"/>
  <c r="AQ32" i="4"/>
  <c r="AR32" i="4" s="1"/>
  <c r="AR33" i="4"/>
  <c r="AS33" i="4"/>
  <c r="AR35" i="4"/>
  <c r="AS35" i="4"/>
  <c r="AR41" i="4"/>
  <c r="AS41" i="4"/>
  <c r="AP29" i="4"/>
  <c r="AP63" i="4" s="1"/>
  <c r="AR38" i="4"/>
  <c r="AS38" i="4"/>
  <c r="AR34" i="4"/>
  <c r="AS34" i="4"/>
  <c r="AR39" i="4"/>
  <c r="AS39" i="4"/>
  <c r="AR40" i="4"/>
  <c r="AS40" i="4"/>
  <c r="AR37" i="4"/>
  <c r="AS37" i="4"/>
  <c r="AR36" i="4"/>
  <c r="AS36" i="4"/>
  <c r="AR42" i="4"/>
  <c r="AS42" i="4"/>
  <c r="AS23" i="4"/>
  <c r="AR24" i="4"/>
  <c r="AS24" i="4"/>
  <c r="AO86" i="4"/>
  <c r="AO78" i="4"/>
  <c r="AO66" i="4"/>
  <c r="AO65" i="4"/>
  <c r="AR22" i="4"/>
  <c r="AP16" i="4"/>
  <c r="AP31" i="4"/>
  <c r="AP58" i="4"/>
  <c r="AP84" i="4"/>
  <c r="AP94" i="4"/>
  <c r="AP103" i="4"/>
  <c r="AP46" i="4"/>
  <c r="AO85" i="4"/>
  <c r="AQ20" i="4"/>
  <c r="AQ18" i="4"/>
  <c r="AN95" i="4"/>
  <c r="AN87" i="4"/>
  <c r="AQ17" i="4"/>
  <c r="AQ21" i="4"/>
  <c r="AQ19" i="4"/>
  <c r="AJ98" i="4"/>
  <c r="AJ88" i="4"/>
  <c r="AK56" i="4"/>
  <c r="AK99" i="4" s="1"/>
  <c r="AS25" i="4" l="1"/>
  <c r="AS28" i="4"/>
  <c r="AS32" i="4"/>
  <c r="AS26" i="4"/>
  <c r="AR27" i="4"/>
  <c r="AS43" i="4"/>
  <c r="AQ44" i="4"/>
  <c r="AP44" i="4"/>
  <c r="AR44" i="4"/>
  <c r="AQ29" i="4"/>
  <c r="AP66" i="4"/>
  <c r="AQ66" i="4" s="1"/>
  <c r="AP65" i="4"/>
  <c r="AQ65" i="4" s="1"/>
  <c r="AP78" i="4"/>
  <c r="AQ78" i="4" s="1"/>
  <c r="AO95" i="4"/>
  <c r="AO87" i="4"/>
  <c r="AR20" i="4"/>
  <c r="AS20" i="4"/>
  <c r="AR17" i="4"/>
  <c r="AS17" i="4"/>
  <c r="AR21" i="4"/>
  <c r="AS21" i="4"/>
  <c r="AR19" i="4"/>
  <c r="AS19" i="4"/>
  <c r="AP85" i="4"/>
  <c r="AR18" i="4"/>
  <c r="AS18" i="4"/>
  <c r="AL56" i="4"/>
  <c r="AL99" i="4" s="1"/>
  <c r="AK98" i="4"/>
  <c r="AK88" i="4"/>
  <c r="AS44" i="4" l="1"/>
  <c r="AR29" i="4"/>
  <c r="AS29" i="4"/>
  <c r="AP86" i="4"/>
  <c r="AQ86" i="4" s="1"/>
  <c r="AR86" i="4" s="1"/>
  <c r="AR78" i="4"/>
  <c r="AS78" i="4"/>
  <c r="AR65" i="4"/>
  <c r="AS65" i="4"/>
  <c r="AP95" i="4"/>
  <c r="AQ85" i="4"/>
  <c r="AR66" i="4"/>
  <c r="AS66" i="4"/>
  <c r="AQ63" i="4"/>
  <c r="AL98" i="4"/>
  <c r="AL88" i="4"/>
  <c r="AM56" i="4"/>
  <c r="AM99" i="4" s="1"/>
  <c r="AS86" i="4" l="1"/>
  <c r="AP87" i="4"/>
  <c r="AQ87" i="4" s="1"/>
  <c r="AS87" i="4" s="1"/>
  <c r="AQ95" i="4"/>
  <c r="AR63" i="4"/>
  <c r="AS63" i="4"/>
  <c r="AQ55" i="4"/>
  <c r="AS55" i="4" s="1"/>
  <c r="AR85" i="4"/>
  <c r="AS85" i="4"/>
  <c r="AN56" i="4"/>
  <c r="AN99" i="4" s="1"/>
  <c r="AM98" i="4"/>
  <c r="AM88" i="4"/>
  <c r="AR87" i="4" l="1"/>
  <c r="AR95" i="4"/>
  <c r="AS95" i="4"/>
  <c r="AN98" i="4"/>
  <c r="AN88" i="4"/>
  <c r="AO56" i="4"/>
  <c r="AO99" i="4" s="1"/>
  <c r="AO98" i="4" l="1"/>
  <c r="AO88" i="4"/>
  <c r="AP56" i="4" l="1"/>
  <c r="AP99" i="4" s="1"/>
  <c r="AQ52" i="4"/>
  <c r="AQ56" i="4" l="1"/>
  <c r="AS56" i="4" s="1"/>
  <c r="AS52" i="4"/>
  <c r="AP98" i="4"/>
  <c r="AP88" i="4"/>
  <c r="AQ99" i="4" l="1"/>
  <c r="AQ98" i="4"/>
  <c r="AQ88" i="4"/>
  <c r="E56" i="4" l="1"/>
  <c r="E98" i="4" s="1"/>
  <c r="O98" i="4" s="1"/>
  <c r="AS98" i="4" s="1"/>
  <c r="C82" i="4"/>
  <c r="C96" i="4" s="1"/>
  <c r="E88" i="4" l="1"/>
  <c r="O88" i="4" s="1"/>
  <c r="AS88" i="4" s="1"/>
  <c r="E99" i="4"/>
  <c r="O99" i="4" s="1"/>
  <c r="AS99" i="4" s="1"/>
  <c r="C59" i="4"/>
  <c r="C97" i="4"/>
  <c r="C89" i="4"/>
  <c r="C91" i="4" l="1"/>
  <c r="C90" i="4"/>
  <c r="C101" i="4"/>
  <c r="D100" i="4" s="1"/>
  <c r="C60" i="4"/>
  <c r="C61" i="4" s="1"/>
  <c r="C118" i="4" l="1"/>
  <c r="C107" i="4"/>
  <c r="C92" i="4"/>
  <c r="C117" i="4" s="1"/>
  <c r="C108" i="4" l="1"/>
  <c r="C109" i="4"/>
  <c r="C110" i="4" s="1"/>
  <c r="I82" i="4"/>
  <c r="I96" i="4" s="1"/>
  <c r="M82" i="4"/>
  <c r="M96" i="4" s="1"/>
  <c r="G82" i="4"/>
  <c r="G96" i="4" s="1"/>
  <c r="N82" i="4"/>
  <c r="N96" i="4" s="1"/>
  <c r="F82" i="4"/>
  <c r="F96" i="4" s="1"/>
  <c r="E82" i="4"/>
  <c r="E96" i="4" s="1"/>
  <c r="K82" i="4"/>
  <c r="K96" i="4" s="1"/>
  <c r="L82" i="4"/>
  <c r="L96" i="4" s="1"/>
  <c r="H82" i="4"/>
  <c r="H96" i="4" s="1"/>
  <c r="J82" i="4"/>
  <c r="J96" i="4" s="1"/>
  <c r="O79" i="4"/>
  <c r="D82" i="4"/>
  <c r="D96" i="4" s="1"/>
  <c r="K97" i="4" l="1"/>
  <c r="J97" i="4"/>
  <c r="E97" i="4"/>
  <c r="M97" i="4"/>
  <c r="D59" i="4"/>
  <c r="D60" i="4" s="1"/>
  <c r="N89" i="4"/>
  <c r="N90" i="4" s="1"/>
  <c r="H59" i="4"/>
  <c r="H97" i="4"/>
  <c r="I59" i="4"/>
  <c r="I97" i="4"/>
  <c r="G89" i="4"/>
  <c r="G90" i="4" s="1"/>
  <c r="G97" i="4"/>
  <c r="M89" i="4"/>
  <c r="M91" i="4" s="1"/>
  <c r="N97" i="4"/>
  <c r="N59" i="4"/>
  <c r="M59" i="4"/>
  <c r="L97" i="4"/>
  <c r="L59" i="4"/>
  <c r="D89" i="4"/>
  <c r="J89" i="4"/>
  <c r="J59" i="4"/>
  <c r="F59" i="4"/>
  <c r="F89" i="4"/>
  <c r="F97" i="4"/>
  <c r="L89" i="4"/>
  <c r="O82" i="4"/>
  <c r="P79" i="4"/>
  <c r="G59" i="7" s="1"/>
  <c r="K59" i="4"/>
  <c r="K89" i="4"/>
  <c r="E89" i="4"/>
  <c r="E59" i="4"/>
  <c r="H89" i="4"/>
  <c r="G59" i="4"/>
  <c r="I89" i="4"/>
  <c r="D59" i="7" l="1"/>
  <c r="D62" i="7" s="1"/>
  <c r="G62" i="7"/>
  <c r="N91" i="4"/>
  <c r="G91" i="4"/>
  <c r="D61" i="4"/>
  <c r="E61" i="4" s="1"/>
  <c r="F61" i="4" s="1"/>
  <c r="G61" i="4" s="1"/>
  <c r="H61" i="4" s="1"/>
  <c r="I61" i="4" s="1"/>
  <c r="J61" i="4" s="1"/>
  <c r="K61" i="4" s="1"/>
  <c r="L61" i="4" s="1"/>
  <c r="M61" i="4" s="1"/>
  <c r="N61" i="4" s="1"/>
  <c r="E60" i="4"/>
  <c r="F60" i="4" s="1"/>
  <c r="G60" i="4" s="1"/>
  <c r="H60" i="4" s="1"/>
  <c r="I60" i="4" s="1"/>
  <c r="J60" i="4" s="1"/>
  <c r="K60" i="4" s="1"/>
  <c r="L60" i="4" s="1"/>
  <c r="M60" i="4" s="1"/>
  <c r="N60" i="4" s="1"/>
  <c r="M90" i="4"/>
  <c r="L91" i="4"/>
  <c r="L90" i="4"/>
  <c r="O89" i="4"/>
  <c r="D90" i="4"/>
  <c r="D91" i="4"/>
  <c r="M107" i="4"/>
  <c r="M109" i="4" s="1"/>
  <c r="H91" i="4"/>
  <c r="H90" i="4"/>
  <c r="F91" i="4"/>
  <c r="F90" i="4"/>
  <c r="J90" i="4"/>
  <c r="J91" i="4"/>
  <c r="P82" i="4"/>
  <c r="K91" i="4"/>
  <c r="K90" i="4"/>
  <c r="I90" i="4"/>
  <c r="I91" i="4"/>
  <c r="E91" i="4"/>
  <c r="E90" i="4"/>
  <c r="O96" i="4"/>
  <c r="D97" i="4"/>
  <c r="G107" i="4" l="1"/>
  <c r="G109" i="4" s="1"/>
  <c r="N107" i="4"/>
  <c r="N109" i="4" s="1"/>
  <c r="D118" i="4"/>
  <c r="E118" i="4" s="1"/>
  <c r="F118" i="4" s="1"/>
  <c r="G118" i="4" s="1"/>
  <c r="H118" i="4" s="1"/>
  <c r="I118" i="4" s="1"/>
  <c r="J118" i="4" s="1"/>
  <c r="K118" i="4" s="1"/>
  <c r="L118" i="4" s="1"/>
  <c r="M118" i="4" s="1"/>
  <c r="N118" i="4" s="1"/>
  <c r="J107" i="4"/>
  <c r="J109" i="4" s="1"/>
  <c r="H107" i="4"/>
  <c r="H109" i="4" s="1"/>
  <c r="O90" i="4"/>
  <c r="D92" i="4"/>
  <c r="D117" i="4" s="1"/>
  <c r="D101" i="4"/>
  <c r="E100" i="4" s="1"/>
  <c r="E101" i="4" s="1"/>
  <c r="F100" i="4" s="1"/>
  <c r="F101" i="4" s="1"/>
  <c r="G100" i="4" s="1"/>
  <c r="G101" i="4" s="1"/>
  <c r="H100" i="4" s="1"/>
  <c r="H101" i="4" s="1"/>
  <c r="I100" i="4" s="1"/>
  <c r="I101" i="4" s="1"/>
  <c r="J100" i="4" s="1"/>
  <c r="J101" i="4" s="1"/>
  <c r="K100" i="4" s="1"/>
  <c r="K101" i="4" s="1"/>
  <c r="L100" i="4" s="1"/>
  <c r="L101" i="4" s="1"/>
  <c r="M100" i="4" s="1"/>
  <c r="M101" i="4" s="1"/>
  <c r="N100" i="4" s="1"/>
  <c r="N101" i="4" s="1"/>
  <c r="O97" i="4"/>
  <c r="E107" i="4"/>
  <c r="E109" i="4" s="1"/>
  <c r="F107" i="4"/>
  <c r="F109" i="4" s="1"/>
  <c r="O91" i="4"/>
  <c r="P91" i="4" s="1"/>
  <c r="D65" i="7" s="1"/>
  <c r="L1" i="7" s="1"/>
  <c r="D107" i="4"/>
  <c r="L107" i="4"/>
  <c r="L109" i="4" s="1"/>
  <c r="P96" i="4"/>
  <c r="K107" i="4"/>
  <c r="K109" i="4" s="1"/>
  <c r="I107" i="4"/>
  <c r="I109" i="4" s="1"/>
  <c r="P89" i="4"/>
  <c r="I65" i="7" l="1"/>
  <c r="M1" i="7" s="1"/>
  <c r="E92" i="4"/>
  <c r="E117" i="4" s="1"/>
  <c r="P97" i="4"/>
  <c r="O101" i="4"/>
  <c r="Q100" i="4"/>
  <c r="AC100" i="4" s="1"/>
  <c r="W82" i="4"/>
  <c r="W96" i="4" s="1"/>
  <c r="AL82" i="4"/>
  <c r="AL96" i="4" s="1"/>
  <c r="AM82" i="4"/>
  <c r="AM96" i="4" s="1"/>
  <c r="AA82" i="4"/>
  <c r="AA96" i="4" s="1"/>
  <c r="AB82" i="4"/>
  <c r="AB96" i="4" s="1"/>
  <c r="T82" i="4"/>
  <c r="T96" i="4" s="1"/>
  <c r="AJ82" i="4"/>
  <c r="AJ96" i="4" s="1"/>
  <c r="U82" i="4"/>
  <c r="U96" i="4" s="1"/>
  <c r="AK82" i="4"/>
  <c r="AK96" i="4" s="1"/>
  <c r="AG82" i="4"/>
  <c r="AG96" i="4" s="1"/>
  <c r="S82" i="4"/>
  <c r="S96" i="4" s="1"/>
  <c r="V82" i="4"/>
  <c r="V96" i="4" s="1"/>
  <c r="Z82" i="4"/>
  <c r="Z96" i="4" s="1"/>
  <c r="AH82" i="4"/>
  <c r="AH96" i="4" s="1"/>
  <c r="X82" i="4"/>
  <c r="X96" i="4" s="1"/>
  <c r="AF82" i="4"/>
  <c r="AF96" i="4" s="1"/>
  <c r="AO82" i="4"/>
  <c r="AO96" i="4" s="1"/>
  <c r="AI82" i="4"/>
  <c r="AI96" i="4" s="1"/>
  <c r="AP82" i="4"/>
  <c r="AP96" i="4" s="1"/>
  <c r="Y82" i="4"/>
  <c r="Y96" i="4" s="1"/>
  <c r="AN82" i="4"/>
  <c r="AN96" i="4" s="1"/>
  <c r="R82" i="4"/>
  <c r="R96" i="4" s="1"/>
  <c r="D108" i="4"/>
  <c r="E108" i="4" s="1"/>
  <c r="F108" i="4" s="1"/>
  <c r="G108" i="4" s="1"/>
  <c r="H108" i="4" s="1"/>
  <c r="I108" i="4" s="1"/>
  <c r="J108" i="4" s="1"/>
  <c r="K108" i="4" s="1"/>
  <c r="L108" i="4" s="1"/>
  <c r="M108" i="4" s="1"/>
  <c r="N108" i="4" s="1"/>
  <c r="D109" i="4"/>
  <c r="D110" i="4" s="1"/>
  <c r="E110" i="4" s="1"/>
  <c r="F110" i="4" s="1"/>
  <c r="G110" i="4" s="1"/>
  <c r="H110" i="4" s="1"/>
  <c r="I110" i="4" s="1"/>
  <c r="J110" i="4" s="1"/>
  <c r="K110" i="4" s="1"/>
  <c r="L110" i="4" s="1"/>
  <c r="M110" i="4" s="1"/>
  <c r="N110" i="4" s="1"/>
  <c r="P90" i="4"/>
  <c r="F92" i="4" l="1"/>
  <c r="F117" i="4" s="1"/>
  <c r="AF89" i="4"/>
  <c r="AF59" i="4"/>
  <c r="AF97" i="4"/>
  <c r="AB89" i="4"/>
  <c r="AB97" i="4"/>
  <c r="AB59" i="4"/>
  <c r="AL59" i="4"/>
  <c r="AL97" i="4"/>
  <c r="AL89" i="4"/>
  <c r="V59" i="4"/>
  <c r="V89" i="4"/>
  <c r="V97" i="4"/>
  <c r="AP59" i="4"/>
  <c r="AP89" i="4"/>
  <c r="AP97" i="4"/>
  <c r="X59" i="4"/>
  <c r="X89" i="4"/>
  <c r="X97" i="4"/>
  <c r="S59" i="4"/>
  <c r="S89" i="4"/>
  <c r="S97" i="4"/>
  <c r="AC79" i="4"/>
  <c r="Q82" i="4"/>
  <c r="Q96" i="4" s="1"/>
  <c r="AA59" i="4"/>
  <c r="AA97" i="4"/>
  <c r="AA89" i="4"/>
  <c r="W89" i="4"/>
  <c r="W59" i="4"/>
  <c r="W97" i="4"/>
  <c r="Y59" i="4"/>
  <c r="Y97" i="4"/>
  <c r="Y89" i="4"/>
  <c r="U59" i="4"/>
  <c r="U97" i="4"/>
  <c r="U89" i="4"/>
  <c r="R59" i="4"/>
  <c r="R89" i="4"/>
  <c r="R97" i="4"/>
  <c r="AI97" i="4"/>
  <c r="AI59" i="4"/>
  <c r="AI89" i="4"/>
  <c r="AH59" i="4"/>
  <c r="AH89" i="4"/>
  <c r="AH97" i="4"/>
  <c r="AG59" i="4"/>
  <c r="AG89" i="4"/>
  <c r="AG97" i="4"/>
  <c r="AJ97" i="4"/>
  <c r="AJ89" i="4"/>
  <c r="AJ59" i="4"/>
  <c r="AQ79" i="4"/>
  <c r="AE82" i="4"/>
  <c r="AE96" i="4" s="1"/>
  <c r="AN59" i="4"/>
  <c r="AN97" i="4"/>
  <c r="AN89" i="4"/>
  <c r="AO97" i="4"/>
  <c r="AO59" i="4"/>
  <c r="AO89" i="4"/>
  <c r="Z97" i="4"/>
  <c r="Z89" i="4"/>
  <c r="Z59" i="4"/>
  <c r="AK59" i="4"/>
  <c r="AK89" i="4"/>
  <c r="AK97" i="4"/>
  <c r="T89" i="4"/>
  <c r="T59" i="4"/>
  <c r="T97" i="4"/>
  <c r="AM59" i="4"/>
  <c r="AM97" i="4"/>
  <c r="AM89" i="4"/>
  <c r="G92" i="4" l="1"/>
  <c r="G117" i="4" s="1"/>
  <c r="Z90" i="4"/>
  <c r="Z91" i="4"/>
  <c r="AJ91" i="4"/>
  <c r="AJ90" i="4"/>
  <c r="AI91" i="4"/>
  <c r="AI90" i="4"/>
  <c r="R91" i="4"/>
  <c r="R90" i="4"/>
  <c r="U91" i="4"/>
  <c r="U90" i="4"/>
  <c r="W90" i="4"/>
  <c r="W91" i="4"/>
  <c r="Q59" i="4"/>
  <c r="Q89" i="4"/>
  <c r="V90" i="4"/>
  <c r="V91" i="4"/>
  <c r="AB90" i="4"/>
  <c r="AB91" i="4"/>
  <c r="AK91" i="4"/>
  <c r="AK90" i="4"/>
  <c r="AE59" i="4"/>
  <c r="AE89" i="4"/>
  <c r="AA91" i="4"/>
  <c r="AA90" i="4"/>
  <c r="AD79" i="4"/>
  <c r="AD82" i="4" s="1"/>
  <c r="AC82" i="4"/>
  <c r="AS79" i="4"/>
  <c r="AS82" i="4" s="1"/>
  <c r="AP90" i="4"/>
  <c r="AP91" i="4"/>
  <c r="AN91" i="4"/>
  <c r="AN90" i="4"/>
  <c r="AM90" i="4"/>
  <c r="AM91" i="4"/>
  <c r="AO90" i="4"/>
  <c r="AO91" i="4"/>
  <c r="AQ82" i="4"/>
  <c r="AR79" i="4"/>
  <c r="AR82" i="4" s="1"/>
  <c r="AH91" i="4"/>
  <c r="AH90" i="4"/>
  <c r="X91" i="4"/>
  <c r="X90" i="4"/>
  <c r="T91" i="4"/>
  <c r="T90" i="4"/>
  <c r="AG91" i="4"/>
  <c r="AG90" i="4"/>
  <c r="Y91" i="4"/>
  <c r="Y90" i="4"/>
  <c r="S90" i="4"/>
  <c r="S91" i="4"/>
  <c r="AL90" i="4"/>
  <c r="AL91" i="4"/>
  <c r="AF90" i="4"/>
  <c r="AF91" i="4"/>
  <c r="H92" i="4" l="1"/>
  <c r="H117" i="4" s="1"/>
  <c r="AH107" i="4"/>
  <c r="AH109" i="4" s="1"/>
  <c r="AA107" i="4"/>
  <c r="AA109" i="4" s="1"/>
  <c r="AE90" i="4"/>
  <c r="AQ89" i="4"/>
  <c r="AR89" i="4" s="1"/>
  <c r="AE91" i="4"/>
  <c r="AK107" i="4"/>
  <c r="AK109" i="4" s="1"/>
  <c r="W107" i="4"/>
  <c r="W109" i="4" s="1"/>
  <c r="U107" i="4"/>
  <c r="U109" i="4" s="1"/>
  <c r="AI107" i="4"/>
  <c r="AI109" i="4" s="1"/>
  <c r="AF107" i="4"/>
  <c r="AF109" i="4" s="1"/>
  <c r="Y107" i="4"/>
  <c r="Y109" i="4" s="1"/>
  <c r="AL107" i="4"/>
  <c r="AL109" i="4" s="1"/>
  <c r="S107" i="4"/>
  <c r="S109" i="4" s="1"/>
  <c r="T107" i="4"/>
  <c r="T109" i="4" s="1"/>
  <c r="AO107" i="4"/>
  <c r="AO109" i="4" s="1"/>
  <c r="AM107" i="4"/>
  <c r="AM109" i="4" s="1"/>
  <c r="AP107" i="4"/>
  <c r="AP109" i="4" s="1"/>
  <c r="AQ96" i="4"/>
  <c r="AR96" i="4" s="1"/>
  <c r="AE97" i="4"/>
  <c r="V107" i="4"/>
  <c r="V109" i="4" s="1"/>
  <c r="AC89" i="4"/>
  <c r="Q90" i="4"/>
  <c r="Q91" i="4"/>
  <c r="Q118" i="4" s="1"/>
  <c r="R118" i="4" s="1"/>
  <c r="S118" i="4" s="1"/>
  <c r="T118" i="4" s="1"/>
  <c r="U118" i="4" s="1"/>
  <c r="V118" i="4" s="1"/>
  <c r="W118" i="4" s="1"/>
  <c r="X118" i="4" s="1"/>
  <c r="Y118" i="4" s="1"/>
  <c r="Z118" i="4" s="1"/>
  <c r="AA118" i="4" s="1"/>
  <c r="AB118" i="4" s="1"/>
  <c r="Z107" i="4"/>
  <c r="Z109" i="4" s="1"/>
  <c r="AB107" i="4"/>
  <c r="AB109" i="4" s="1"/>
  <c r="Q60" i="4"/>
  <c r="R60" i="4" s="1"/>
  <c r="S60" i="4" s="1"/>
  <c r="T60" i="4" s="1"/>
  <c r="U60" i="4" s="1"/>
  <c r="V60" i="4" s="1"/>
  <c r="W60" i="4" s="1"/>
  <c r="X60" i="4" s="1"/>
  <c r="Y60" i="4" s="1"/>
  <c r="Z60" i="4" s="1"/>
  <c r="AA60" i="4" s="1"/>
  <c r="AB60" i="4" s="1"/>
  <c r="AE60" i="4" s="1"/>
  <c r="AF60" i="4" s="1"/>
  <c r="AG60" i="4" s="1"/>
  <c r="AH60" i="4" s="1"/>
  <c r="AI60" i="4" s="1"/>
  <c r="AJ60" i="4" s="1"/>
  <c r="AK60" i="4" s="1"/>
  <c r="AL60" i="4" s="1"/>
  <c r="AM60" i="4" s="1"/>
  <c r="AN60" i="4" s="1"/>
  <c r="AO60" i="4" s="1"/>
  <c r="AP60" i="4" s="1"/>
  <c r="Q61" i="4"/>
  <c r="R61" i="4" s="1"/>
  <c r="S61" i="4" s="1"/>
  <c r="T61" i="4" s="1"/>
  <c r="U61" i="4" s="1"/>
  <c r="V61" i="4" s="1"/>
  <c r="W61" i="4" s="1"/>
  <c r="X61" i="4" s="1"/>
  <c r="Y61" i="4" s="1"/>
  <c r="Z61" i="4" s="1"/>
  <c r="AA61" i="4" s="1"/>
  <c r="AB61" i="4" s="1"/>
  <c r="AE61" i="4" s="1"/>
  <c r="AF61" i="4" s="1"/>
  <c r="AG61" i="4" s="1"/>
  <c r="AH61" i="4" s="1"/>
  <c r="AI61" i="4" s="1"/>
  <c r="AJ61" i="4" s="1"/>
  <c r="AK61" i="4" s="1"/>
  <c r="AL61" i="4" s="1"/>
  <c r="AM61" i="4" s="1"/>
  <c r="AN61" i="4" s="1"/>
  <c r="AO61" i="4" s="1"/>
  <c r="AP61" i="4" s="1"/>
  <c r="R107" i="4"/>
  <c r="R109" i="4" s="1"/>
  <c r="AG107" i="4"/>
  <c r="AG109" i="4" s="1"/>
  <c r="X107" i="4"/>
  <c r="X109" i="4" s="1"/>
  <c r="AN107" i="4"/>
  <c r="AN109" i="4" s="1"/>
  <c r="AC96" i="4"/>
  <c r="Q97" i="4"/>
  <c r="AJ107" i="4"/>
  <c r="AJ109" i="4" s="1"/>
  <c r="AE118" i="4" l="1"/>
  <c r="AF118" i="4" s="1"/>
  <c r="AG118" i="4" s="1"/>
  <c r="AH118" i="4" s="1"/>
  <c r="AI118" i="4" s="1"/>
  <c r="AJ118" i="4" s="1"/>
  <c r="AK118" i="4" s="1"/>
  <c r="AL118" i="4" s="1"/>
  <c r="AM118" i="4" s="1"/>
  <c r="AN118" i="4" s="1"/>
  <c r="AO118" i="4" s="1"/>
  <c r="AP118" i="4" s="1"/>
  <c r="I92" i="4"/>
  <c r="I117" i="4" s="1"/>
  <c r="AD96" i="4"/>
  <c r="AS96" i="4"/>
  <c r="AQ97" i="4"/>
  <c r="AR97" i="4" s="1"/>
  <c r="AD89" i="4"/>
  <c r="AS89" i="4"/>
  <c r="AQ90" i="4"/>
  <c r="AR90" i="4" s="1"/>
  <c r="AC90" i="4"/>
  <c r="AE107" i="4"/>
  <c r="AE109" i="4" s="1"/>
  <c r="AQ91" i="4"/>
  <c r="AR91" i="4" s="1"/>
  <c r="AC97" i="4"/>
  <c r="Q101" i="4"/>
  <c r="R100" i="4" s="1"/>
  <c r="R101" i="4" s="1"/>
  <c r="S100" i="4" s="1"/>
  <c r="S101" i="4" s="1"/>
  <c r="T100" i="4" s="1"/>
  <c r="T101" i="4" s="1"/>
  <c r="U100" i="4" s="1"/>
  <c r="U101" i="4" s="1"/>
  <c r="V100" i="4" s="1"/>
  <c r="V101" i="4" s="1"/>
  <c r="W100" i="4" s="1"/>
  <c r="W101" i="4" s="1"/>
  <c r="X100" i="4" s="1"/>
  <c r="X101" i="4" s="1"/>
  <c r="Y100" i="4" s="1"/>
  <c r="Y101" i="4" s="1"/>
  <c r="Z100" i="4" s="1"/>
  <c r="Z101" i="4" s="1"/>
  <c r="AA100" i="4" s="1"/>
  <c r="AA101" i="4" s="1"/>
  <c r="AB100" i="4" s="1"/>
  <c r="AB101" i="4" s="1"/>
  <c r="Q107" i="4"/>
  <c r="AC91" i="4"/>
  <c r="AD91" i="4" s="1"/>
  <c r="D67" i="7" l="1"/>
  <c r="L2" i="7" s="1"/>
  <c r="I67" i="7"/>
  <c r="M2" i="7" s="1"/>
  <c r="D69" i="7"/>
  <c r="L3" i="7" s="1"/>
  <c r="I69" i="7"/>
  <c r="M3" i="7" s="1"/>
  <c r="J92" i="4"/>
  <c r="J117" i="4" s="1"/>
  <c r="AC101" i="4"/>
  <c r="AE100" i="4"/>
  <c r="AD97" i="4"/>
  <c r="AS97" i="4"/>
  <c r="AD90" i="4"/>
  <c r="AS90" i="4"/>
  <c r="Q109" i="4"/>
  <c r="Q110" i="4" s="1"/>
  <c r="R110" i="4" s="1"/>
  <c r="S110" i="4" s="1"/>
  <c r="T110" i="4" s="1"/>
  <c r="U110" i="4" s="1"/>
  <c r="V110" i="4" s="1"/>
  <c r="W110" i="4" s="1"/>
  <c r="X110" i="4" s="1"/>
  <c r="Y110" i="4" s="1"/>
  <c r="Z110" i="4" s="1"/>
  <c r="AA110" i="4" s="1"/>
  <c r="AB110" i="4" s="1"/>
  <c r="AE110" i="4" s="1"/>
  <c r="AF110" i="4" s="1"/>
  <c r="AG110" i="4" s="1"/>
  <c r="AH110" i="4" s="1"/>
  <c r="AI110" i="4" s="1"/>
  <c r="AJ110" i="4" s="1"/>
  <c r="AK110" i="4" s="1"/>
  <c r="AL110" i="4" s="1"/>
  <c r="AM110" i="4" s="1"/>
  <c r="AN110" i="4" s="1"/>
  <c r="AO110" i="4" s="1"/>
  <c r="AP110" i="4" s="1"/>
  <c r="Q108" i="4"/>
  <c r="R108" i="4" s="1"/>
  <c r="S108" i="4" s="1"/>
  <c r="T108" i="4" s="1"/>
  <c r="U108" i="4" s="1"/>
  <c r="V108" i="4" s="1"/>
  <c r="W108" i="4" s="1"/>
  <c r="X108" i="4" s="1"/>
  <c r="Y108" i="4" s="1"/>
  <c r="Z108" i="4" s="1"/>
  <c r="AA108" i="4" s="1"/>
  <c r="AB108" i="4" s="1"/>
  <c r="AE108" i="4" s="1"/>
  <c r="AF108" i="4" s="1"/>
  <c r="AG108" i="4" s="1"/>
  <c r="AH108" i="4" s="1"/>
  <c r="AI108" i="4" s="1"/>
  <c r="AJ108" i="4" s="1"/>
  <c r="AK108" i="4" s="1"/>
  <c r="AL108" i="4" s="1"/>
  <c r="AM108" i="4" s="1"/>
  <c r="AN108" i="4" s="1"/>
  <c r="AO108" i="4" s="1"/>
  <c r="AP108" i="4" s="1"/>
  <c r="AS118" i="4"/>
  <c r="AS120" i="4" l="1"/>
  <c r="B115" i="4" s="1"/>
  <c r="D71" i="7" s="1"/>
  <c r="L4" i="7" s="1"/>
  <c r="K92" i="4"/>
  <c r="K117" i="4" s="1"/>
  <c r="AQ100" i="4"/>
  <c r="AE101" i="4"/>
  <c r="AF100" i="4" s="1"/>
  <c r="AF101" i="4" s="1"/>
  <c r="AG100" i="4" s="1"/>
  <c r="AG101" i="4" s="1"/>
  <c r="AH100" i="4" s="1"/>
  <c r="AH101" i="4" s="1"/>
  <c r="AI100" i="4" s="1"/>
  <c r="AI101" i="4" s="1"/>
  <c r="AJ100" i="4" s="1"/>
  <c r="AJ101" i="4" s="1"/>
  <c r="AK100" i="4" s="1"/>
  <c r="AK101" i="4" s="1"/>
  <c r="AL100" i="4" s="1"/>
  <c r="AL101" i="4" s="1"/>
  <c r="AM100" i="4" s="1"/>
  <c r="AM101" i="4" s="1"/>
  <c r="AN100" i="4" s="1"/>
  <c r="AN101" i="4" s="1"/>
  <c r="AO100" i="4" s="1"/>
  <c r="AO101" i="4" s="1"/>
  <c r="AP100" i="4" s="1"/>
  <c r="AP101" i="4" s="1"/>
  <c r="AQ101" i="4" s="1"/>
  <c r="AS101" i="4" s="1"/>
  <c r="B113" i="4"/>
  <c r="B112" i="4"/>
  <c r="L92" i="4" l="1"/>
  <c r="L117" i="4" s="1"/>
  <c r="M92" i="4" l="1"/>
  <c r="N92" i="4" s="1"/>
  <c r="M117" i="4" l="1"/>
  <c r="O92" i="4"/>
  <c r="N117" i="4"/>
  <c r="Q92" i="4"/>
  <c r="Q117" i="4" l="1"/>
  <c r="R92" i="4"/>
  <c r="R117" i="4" l="1"/>
  <c r="S92" i="4"/>
  <c r="S117" i="4" l="1"/>
  <c r="T92" i="4"/>
  <c r="T117" i="4" l="1"/>
  <c r="U92" i="4"/>
  <c r="U117" i="4" l="1"/>
  <c r="V92" i="4"/>
  <c r="V117" i="4" l="1"/>
  <c r="W92" i="4"/>
  <c r="W117" i="4" l="1"/>
  <c r="X92" i="4"/>
  <c r="X117" i="4" l="1"/>
  <c r="Y92" i="4"/>
  <c r="Y117" i="4" l="1"/>
  <c r="Z92" i="4"/>
  <c r="Z117" i="4" l="1"/>
  <c r="AA92" i="4"/>
  <c r="AA117" i="4" l="1"/>
  <c r="AB92" i="4"/>
  <c r="AC92" i="4" l="1"/>
  <c r="AB117" i="4"/>
  <c r="AE92" i="4"/>
  <c r="AE117" i="4" l="1"/>
  <c r="AF92" i="4"/>
  <c r="AF117" i="4" l="1"/>
  <c r="AG92" i="4"/>
  <c r="AG117" i="4" l="1"/>
  <c r="AH92" i="4"/>
  <c r="AH117" i="4" l="1"/>
  <c r="AI92" i="4"/>
  <c r="AI117" i="4" l="1"/>
  <c r="AJ92" i="4"/>
  <c r="AJ117" i="4" l="1"/>
  <c r="AK92" i="4"/>
  <c r="AK117" i="4" l="1"/>
  <c r="AL92" i="4"/>
  <c r="AL117" i="4" l="1"/>
  <c r="AM92" i="4"/>
  <c r="AM117" i="4" l="1"/>
  <c r="AN92" i="4"/>
  <c r="AN117" i="4" l="1"/>
  <c r="AO92" i="4"/>
  <c r="AO117" i="4" l="1"/>
  <c r="AP92" i="4"/>
  <c r="AQ92" i="4" l="1"/>
  <c r="AP117" i="4"/>
  <c r="AS117" i="4" s="1"/>
  <c r="AS119" i="4" l="1"/>
  <c r="B114" i="4" s="1"/>
  <c r="D2" i="4" l="1"/>
  <c r="D73" i="7"/>
  <c r="L5" i="7" s="1"/>
</calcChain>
</file>

<file path=xl/comments1.xml><?xml version="1.0" encoding="utf-8"?>
<comments xmlns="http://schemas.openxmlformats.org/spreadsheetml/2006/main">
  <authors>
    <author>Яна Мирская</author>
  </authors>
  <commentList>
    <comment ref="A90" authorId="0" shapeId="0">
      <text>
        <r>
          <rPr>
            <b/>
            <sz val="9"/>
            <color indexed="81"/>
            <rFont val="Tahoma"/>
            <charset val="1"/>
          </rPr>
          <t>Выручка - себестоимость - текущие затраты  - инвестиции , т.е. чистая прибыль - инвестиции</t>
        </r>
      </text>
    </comment>
    <comment ref="A91" authorId="0" shapeId="0">
      <text>
        <r>
          <rPr>
            <b/>
            <sz val="9"/>
            <color indexed="81"/>
            <rFont val="Tahoma"/>
            <charset val="1"/>
          </rPr>
          <t>Выручка - себестоимость - текущие затраты = чистая прибыль</t>
        </r>
      </text>
    </comment>
    <comment ref="A92" authorId="0" shapeId="0">
      <text>
        <r>
          <rPr>
            <b/>
            <sz val="9"/>
            <color indexed="81"/>
            <rFont val="Tahoma"/>
            <charset val="1"/>
          </rPr>
          <t>Чистая прибыль суммарно за каждый месяц - инвестиции.
Показывает с какого месяца проект окупился.</t>
        </r>
      </text>
    </comment>
    <comment ref="A95" authorId="0" shapeId="0">
      <text>
        <r>
          <rPr>
            <b/>
            <sz val="9"/>
            <color indexed="81"/>
            <rFont val="Tahoma"/>
            <charset val="1"/>
          </rPr>
          <t>Выручка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96" authorId="0" shapeId="0">
      <text>
        <r>
          <rPr>
            <b/>
            <sz val="9"/>
            <color indexed="81"/>
            <rFont val="Tahoma"/>
            <charset val="1"/>
          </rPr>
          <t>Себестоимость + текущие затраты</t>
        </r>
      </text>
    </comment>
    <comment ref="A97" authorId="0" shapeId="0">
      <text>
        <r>
          <rPr>
            <b/>
            <sz val="9"/>
            <color indexed="81"/>
            <rFont val="Tahoma"/>
            <charset val="1"/>
          </rPr>
          <t>чистая прибыль</t>
        </r>
      </text>
    </comment>
    <comment ref="A98" authorId="0" shapeId="0">
      <text>
        <r>
          <rPr>
            <b/>
            <sz val="9"/>
            <color indexed="81"/>
            <rFont val="Tahoma"/>
            <charset val="1"/>
          </rPr>
          <t>инвестиции</t>
        </r>
      </text>
    </comment>
    <comment ref="A99" authorId="0" shapeId="0">
      <text>
        <r>
          <rPr>
            <b/>
            <sz val="9"/>
            <color indexed="81"/>
            <rFont val="Tahoma"/>
            <charset val="1"/>
          </rPr>
          <t>привлечение средств для осуществления инвестиций</t>
        </r>
      </text>
    </comment>
    <comment ref="A100" authorId="0" shapeId="0">
      <text>
        <r>
          <rPr>
            <b/>
            <sz val="9"/>
            <color indexed="81"/>
            <rFont val="Tahoma"/>
            <charset val="1"/>
          </rPr>
          <t>Деньги на начало месяца (накопленная чистая прибыль за прошлые месяцы)</t>
        </r>
      </text>
    </comment>
    <comment ref="A101" authorId="0" shapeId="0">
      <text>
        <r>
          <rPr>
            <b/>
            <sz val="9"/>
            <color indexed="81"/>
            <rFont val="Tahoma"/>
            <charset val="1"/>
          </rPr>
          <t>Деньги на конец месяца (накопленная чистая прибыль за прошлые месяцы с учетом текущего месяца)</t>
        </r>
      </text>
    </comment>
    <comment ref="A105" authorId="0" shapeId="0">
      <text>
        <r>
          <rPr>
            <b/>
            <sz val="9"/>
            <color indexed="81"/>
            <rFont val="Tahoma"/>
            <charset val="1"/>
          </rPr>
          <t>коэффициент обесценивания денег</t>
        </r>
      </text>
    </comment>
    <comment ref="A107" authorId="0" shapeId="0">
      <text>
        <r>
          <rPr>
            <b/>
            <sz val="9"/>
            <color indexed="81"/>
            <rFont val="Tahoma"/>
            <charset val="1"/>
          </rPr>
          <t>чистая прибыль помесячно</t>
        </r>
      </text>
    </comment>
    <comment ref="A108" authorId="0" shapeId="0">
      <text>
        <r>
          <rPr>
            <b/>
            <sz val="9"/>
            <color indexed="81"/>
            <rFont val="Tahoma"/>
            <charset val="1"/>
          </rPr>
          <t>чистая прибыль суммарно за каждый месяц</t>
        </r>
      </text>
    </comment>
    <comment ref="A109" authorId="0" shapeId="0">
      <text>
        <r>
          <rPr>
            <b/>
            <sz val="9"/>
            <color indexed="81"/>
            <rFont val="Tahoma"/>
            <charset val="1"/>
          </rPr>
          <t>чистая прибыль помесячно с учетом применения дисконтрования (обесценивания денег)</t>
        </r>
      </text>
    </comment>
    <comment ref="A110" authorId="0" shapeId="0">
      <text>
        <r>
          <rPr>
            <b/>
            <sz val="9"/>
            <color indexed="81"/>
            <rFont val="Tahoma"/>
            <charset val="1"/>
          </rPr>
          <t>чистая прибыль суммарно за каждый месяц  с учетом применения дисконтрования (обесценивания денег)</t>
        </r>
      </text>
    </comment>
    <comment ref="A112" authorId="0" shapeId="0">
      <text>
        <r>
          <rPr>
            <b/>
            <sz val="9"/>
            <color indexed="81"/>
            <rFont val="Tahoma"/>
            <charset val="1"/>
          </rPr>
          <t>Дисконтированная чистая прибыль суммарно за 3 года - инвестиции</t>
        </r>
      </text>
    </comment>
    <comment ref="A113" authorId="0" shapeId="0">
      <text>
        <r>
          <rPr>
            <b/>
            <sz val="9"/>
            <color indexed="81"/>
            <rFont val="Tahoma"/>
            <charset val="1"/>
          </rPr>
          <t>Во сколько раз дисконтированная чистая прибыль суммарно за 3 года превышает инвестиции. Должен быль больше 1</t>
        </r>
      </text>
    </comment>
    <comment ref="A114" authorId="0" shapeId="0">
      <text>
        <r>
          <rPr>
            <b/>
            <sz val="9"/>
            <color indexed="81"/>
            <rFont val="Tahoma"/>
            <charset val="1"/>
          </rPr>
          <t xml:space="preserve">Количество месяцев, за которые накопленная (суммарная) чистая прибыль превысит размер инвестиций </t>
        </r>
      </text>
    </comment>
    <comment ref="A115" authorId="0" shapeId="0">
      <text>
        <r>
          <rPr>
            <b/>
            <sz val="9"/>
            <color indexed="81"/>
            <rFont val="Tahoma"/>
            <charset val="1"/>
          </rPr>
          <t>Количество месяцев, за которые появится чистая прибыль, т.е выручка - текущие затраты &gt;0</t>
        </r>
      </text>
    </comment>
  </commentList>
</comments>
</file>

<file path=xl/sharedStrings.xml><?xml version="1.0" encoding="utf-8"?>
<sst xmlns="http://schemas.openxmlformats.org/spreadsheetml/2006/main" count="248" uniqueCount="171">
  <si>
    <t>Итого:</t>
  </si>
  <si>
    <t>Текущие затраты</t>
  </si>
  <si>
    <t>Прочее</t>
  </si>
  <si>
    <t>Итого</t>
  </si>
  <si>
    <t>мес.</t>
  </si>
  <si>
    <t>Изменения можно вносить только в ячейки, окрашенные в серый цвет</t>
  </si>
  <si>
    <t>ЗАГРУЗКА</t>
  </si>
  <si>
    <t>ДИНАМИКА ПРОДАЖ</t>
  </si>
  <si>
    <t>ТЕКУЩИЕ ЗАТРАТЫ</t>
  </si>
  <si>
    <t>ИТОГО</t>
  </si>
  <si>
    <t>ОТЧЕТ О ПРИБЫЛЯХ И УБЫТКАХ</t>
  </si>
  <si>
    <t>Выручка</t>
  </si>
  <si>
    <t>Валовая прибыль</t>
  </si>
  <si>
    <t>ДВИЖЕНИЕ ДЕНЕЖНЫХ СРЕДСТВ (КЭШ-ФЛО)</t>
  </si>
  <si>
    <t>Поступления от основной деятельности</t>
  </si>
  <si>
    <t>Кэш-фло от оперативной деятельности</t>
  </si>
  <si>
    <t>Кэш-фло от инвестиционной деятельности</t>
  </si>
  <si>
    <t>Кэш-фло от финансовой деятельности</t>
  </si>
  <si>
    <t>Баланс наличности на начало периода</t>
  </si>
  <si>
    <t>Баланс наличности на конец периода</t>
  </si>
  <si>
    <t>ОКУПАЕМОСТЬ ПРОЕКТА</t>
  </si>
  <si>
    <t>Индекс прибыльности проекта (PI)</t>
  </si>
  <si>
    <t>Паушальный взнос</t>
  </si>
  <si>
    <t>Месяц, с которого начинается работа</t>
  </si>
  <si>
    <t>январь</t>
  </si>
  <si>
    <t>февраль</t>
  </si>
  <si>
    <t>июль</t>
  </si>
  <si>
    <t>август</t>
  </si>
  <si>
    <t>сентябрь</t>
  </si>
  <si>
    <t>октябрь</t>
  </si>
  <si>
    <t>ноябрь</t>
  </si>
  <si>
    <t>декабрь</t>
  </si>
  <si>
    <t>1-й год работы</t>
  </si>
  <si>
    <t>2-й год работы</t>
  </si>
  <si>
    <t>прибыль</t>
  </si>
  <si>
    <t>3-й год работы</t>
  </si>
  <si>
    <t>Итого за 1-й год</t>
  </si>
  <si>
    <t>Среднемесячно за 1-й год</t>
  </si>
  <si>
    <t>Среднемесячно за 2-й год</t>
  </si>
  <si>
    <t>Итого за 2-й год</t>
  </si>
  <si>
    <t>Итого за 3-й год</t>
  </si>
  <si>
    <t>Среднемесячно за 3-й год</t>
  </si>
  <si>
    <t>Итого за три года</t>
  </si>
  <si>
    <t>Ремонт помещения</t>
  </si>
  <si>
    <t>Местная реклама (буклеты, печатная продукция и т.д.)</t>
  </si>
  <si>
    <t>Зарплата персонала</t>
  </si>
  <si>
    <t>самоокупаемость</t>
  </si>
  <si>
    <t>Срок выхода на самоокупаемость проекта, мес.:</t>
  </si>
  <si>
    <t>Выход на самоокупаемость с</t>
  </si>
  <si>
    <t>Валюта, в которой производится расчет</t>
  </si>
  <si>
    <t>Хозяйственные нужды</t>
  </si>
  <si>
    <t>Финансовые параметры</t>
  </si>
  <si>
    <t>март</t>
  </si>
  <si>
    <t>апрель</t>
  </si>
  <si>
    <t>май</t>
  </si>
  <si>
    <t>Сигнализация (охранная и пожарная)</t>
  </si>
  <si>
    <t>Инвестиции в открытие</t>
  </si>
  <si>
    <t>Видеонаблюдение</t>
  </si>
  <si>
    <t>Аренда</t>
  </si>
  <si>
    <t>Коммунальные платежи</t>
  </si>
  <si>
    <t>UAH</t>
  </si>
  <si>
    <t>USD</t>
  </si>
  <si>
    <t>EUR</t>
  </si>
  <si>
    <t>RUB</t>
  </si>
  <si>
    <t>Рекламная кампания</t>
  </si>
  <si>
    <t>Персонал</t>
  </si>
  <si>
    <t>Должностные единицы</t>
  </si>
  <si>
    <t>Сервисное обслуживание техники и оборудования</t>
  </si>
  <si>
    <t>Услуги связи и интернет</t>
  </si>
  <si>
    <t>Окупаемость инвестиций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</si>
  <si>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>(убыток)</t>
    </r>
    <r>
      <rPr>
        <b/>
        <sz val="8"/>
        <rFont val="Arial Cyr"/>
        <charset val="204"/>
      </rPr>
      <t xml:space="preserve"> без учета инвестиций</t>
    </r>
  </si>
  <si>
    <t>Охрана</t>
  </si>
  <si>
    <t>накопленная прибыль</t>
  </si>
  <si>
    <t>общая выручка</t>
  </si>
  <si>
    <t>Удельный вес в объеме выручки за 1-й год работы</t>
  </si>
  <si>
    <t>Налоги</t>
  </si>
  <si>
    <t>июнь</t>
  </si>
  <si>
    <t>Обучение персонала</t>
  </si>
  <si>
    <t>Транспортные расходы</t>
  </si>
  <si>
    <t>Выход продаж на плановые показатели и дальнейший рост объемов*</t>
  </si>
  <si>
    <t>Рост арендной платы*</t>
  </si>
  <si>
    <t>Рост заработной платы (фиксированного оклада)*</t>
  </si>
  <si>
    <t xml:space="preserve"> * - по сравнения с данными, указанными на странице "Исходные данные".</t>
  </si>
  <si>
    <t>Роялти</t>
  </si>
  <si>
    <t>Среднемесячная сумма затрат за 1-й год работы</t>
  </si>
  <si>
    <t>накопленная прибыль с покрытыми убытками</t>
  </si>
  <si>
    <t>Формат сотрудничества</t>
  </si>
  <si>
    <t>ИНВЕСТИЦИИ</t>
  </si>
  <si>
    <t>Роялти, % от общей выручки</t>
  </si>
  <si>
    <t>Базовый размер бонуса, % от базы начисления*</t>
  </si>
  <si>
    <t xml:space="preserve"> * - База начисления бонуса</t>
  </si>
  <si>
    <t>Среднемесячная сумма затрат</t>
  </si>
  <si>
    <t>Форматы сотрудничества (название)</t>
  </si>
  <si>
    <t>Первоначальная закупка товара</t>
  </si>
  <si>
    <t>Банковское обслуживание</t>
  </si>
  <si>
    <t>Маркетинговые отчисления, % от общей выручки</t>
  </si>
  <si>
    <t>Маркетинговые отчисления</t>
  </si>
  <si>
    <t>Процент выхода продаж на плановые показатели*, %</t>
  </si>
  <si>
    <t>Рост заработной платы (фиксированного оклада)**, %</t>
  </si>
  <si>
    <t>Рост арендной платы**, %</t>
  </si>
  <si>
    <t>Порядковый месяц от начала работы</t>
  </si>
  <si>
    <t>Коэффициент дисконтирования, % годовых</t>
  </si>
  <si>
    <t>Ведение бухгалтерского учета</t>
  </si>
  <si>
    <t>или</t>
  </si>
  <si>
    <t>Рентабельность (чистая прибыль/выручка), %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</si>
  <si>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 xml:space="preserve">(убыток) </t>
    </r>
    <r>
      <rPr>
        <b/>
        <sz val="8"/>
        <rFont val="Arial Cyr"/>
        <charset val="204"/>
      </rPr>
      <t>с учетом инвестиций</t>
    </r>
    <r>
      <rPr>
        <b/>
        <sz val="8"/>
        <color rgb="FFFF0000"/>
        <rFont val="Arial Cyr"/>
        <charset val="204"/>
      </rPr>
      <t xml:space="preserve"> </t>
    </r>
  </si>
  <si>
    <t>% от выручки, который проходит по безналичному расчету</t>
  </si>
  <si>
    <t>размер банковской комиссии</t>
  </si>
  <si>
    <t>Срок окупаемости проекта с учетом инвестиций, мес.:</t>
  </si>
  <si>
    <t>Среднемесячная чистая прибыль 
за 1-й год работы</t>
  </si>
  <si>
    <t>Среднемесячная чистая прибыль 
за 2-й год работы</t>
  </si>
  <si>
    <t>Среднемесячная чистая прибыль 
за 3-й год работы</t>
  </si>
  <si>
    <t>Процент роста выручки*, %</t>
  </si>
  <si>
    <t>Рост коммунальных платежей**, %</t>
  </si>
  <si>
    <t>Рост затрат на услуги связи и интернет**, %</t>
  </si>
  <si>
    <t>Рост затрат на налоги**, %</t>
  </si>
  <si>
    <t>Рост коммунальных платежей*</t>
  </si>
  <si>
    <t>Рост затрат на услуги связи и интернет*</t>
  </si>
  <si>
    <t>Рост затрат на налоги*</t>
  </si>
  <si>
    <t>Мебель</t>
  </si>
  <si>
    <t>Оборудование</t>
  </si>
  <si>
    <t>Количество сотрудников, чел.</t>
  </si>
  <si>
    <t>ДИНАМИКА СЕБЕСТОИМОСТИ</t>
  </si>
  <si>
    <t>Курс валют (1 единица валюты = указанному количеству гривен)</t>
  </si>
  <si>
    <t>Товарные группы</t>
  </si>
  <si>
    <t>Средний чек</t>
  </si>
  <si>
    <t>Среднее количество чеков в день, шт./день</t>
  </si>
  <si>
    <t>Форматы сотрудничества</t>
  </si>
  <si>
    <t>Параметры сезонности и выхода продаж на плановые показатели и дальнейший рост объемов продаж</t>
  </si>
  <si>
    <t>Процент влияния сезона на плановые показатели по выручке*, %</t>
  </si>
  <si>
    <t>Название месяца</t>
  </si>
  <si>
    <t>Процент влияния сезонности на плановые показатели по выручке*</t>
  </si>
  <si>
    <t xml:space="preserve"> * - процент по отношению к данным о среднем чеке и количеству чеков, указанным в блоке "Финансовые параметры" на странице "Исходные данные".
 ** - по сравнения с данными, указанными в блоке "Персонал" и "Текущие затраты" на странице "Исходные данные".</t>
  </si>
  <si>
    <t>Фиксированный оклад в день</t>
  </si>
  <si>
    <t>UAH/день</t>
  </si>
  <si>
    <t>Программа учета</t>
  </si>
  <si>
    <t>Программа учета*</t>
  </si>
  <si>
    <t>UAH/мес.* или %</t>
  </si>
  <si>
    <r>
      <t>Налоги</t>
    </r>
    <r>
      <rPr>
        <b/>
        <sz val="16"/>
        <color rgb="FFFF0000"/>
        <rFont val="Calibri"/>
        <family val="2"/>
        <charset val="204"/>
        <scheme val="minor"/>
      </rPr>
      <t>**</t>
    </r>
    <r>
      <rPr>
        <b/>
        <sz val="16"/>
        <color theme="6" tint="-0.499984740745262"/>
        <rFont val="Calibri"/>
        <family val="2"/>
        <charset val="204"/>
        <scheme val="minor"/>
      </rPr>
      <t>, % от общей выручки</t>
    </r>
  </si>
  <si>
    <r>
      <t>Налоги</t>
    </r>
    <r>
      <rPr>
        <b/>
        <sz val="16"/>
        <color rgb="FFFF0000"/>
        <rFont val="Calibri"/>
        <family val="2"/>
        <charset val="204"/>
        <scheme val="minor"/>
      </rPr>
      <t>**</t>
    </r>
    <r>
      <rPr>
        <b/>
        <sz val="16"/>
        <color theme="6" tint="-0.499984740745262"/>
        <rFont val="Calibri"/>
        <family val="2"/>
        <charset val="204"/>
        <scheme val="minor"/>
      </rPr>
      <t>, фиксированная сумма</t>
    </r>
  </si>
  <si>
    <t>Униформа персонала</t>
  </si>
  <si>
    <t>Униформа персонала*</t>
  </si>
  <si>
    <r>
      <t xml:space="preserve"> </t>
    </r>
    <r>
      <rPr>
        <sz val="14"/>
        <rFont val="Calibri"/>
        <family val="2"/>
        <charset val="204"/>
        <scheme val="minor"/>
      </rPr>
      <t>* - затраты на программу учета осуществляются в указанной сумме раз в год, а затраты на униформу персонала - раз в 6 месяцев.</t>
    </r>
    <r>
      <rPr>
        <b/>
        <sz val="14"/>
        <color rgb="FFFF0000"/>
        <rFont val="Calibri"/>
        <family val="2"/>
        <charset val="204"/>
        <scheme val="minor"/>
      </rPr>
      <t xml:space="preserve">
 ** - налог нужно указывать или как % от общей выручки, или фиксированную сумму. Если указать оба варианта, расчет не производиться, т.е. данные затраты будут равны нулю.</t>
    </r>
  </si>
  <si>
    <t>Себестоимость</t>
  </si>
  <si>
    <t>Удельный вес товарной группы в общей выручке, %</t>
  </si>
  <si>
    <t>Исходные данные для финансовой модели франшизы "Alexandra Andreeva studio"</t>
  </si>
  <si>
    <t>Финансовая модель франшизы "Alexandra Andreeva studio"</t>
  </si>
  <si>
    <t>Business</t>
  </si>
  <si>
    <t>Exclusive</t>
  </si>
  <si>
    <t>Микрокапсульное наращивание волос</t>
  </si>
  <si>
    <t>Реконструкция волос HAHONICO, JOICO</t>
  </si>
  <si>
    <t>Абсолютное счастье для волос LEBEL</t>
  </si>
  <si>
    <t>Биозавивка волос MOSSA</t>
  </si>
  <si>
    <t>Окрашивание волос BES, LEBEL</t>
  </si>
  <si>
    <t>Укладки</t>
  </si>
  <si>
    <t>Стрижки</t>
  </si>
  <si>
    <t>Кератиновое выпрямление Pure Brazilian</t>
  </si>
  <si>
    <t>Маникюр</t>
  </si>
  <si>
    <t>Косметология</t>
  </si>
  <si>
    <t>Доля себестоимости в выручке (без зарплаты и текущих затрат), %</t>
  </si>
  <si>
    <t>Расходные материалы</t>
  </si>
  <si>
    <t>Количество рабочих дней в месяце, дней</t>
  </si>
  <si>
    <t>Массаж - Косметология</t>
  </si>
  <si>
    <t>Макияж - Брови - Ресници</t>
  </si>
  <si>
    <t>Маникюр - Педикюр</t>
  </si>
  <si>
    <t>Администратор</t>
  </si>
  <si>
    <t>Парикмахер</t>
  </si>
  <si>
    <t>Бухгалтер</t>
  </si>
  <si>
    <t>Макияж</t>
  </si>
  <si>
    <t>Обслуживание помещения</t>
  </si>
  <si>
    <t>Обслуживание помещеия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</si>
</sst>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_р_._-;\-* #,##0.00_р_._-;_-* &quot;-&quot;??_р_._-;_-@_-"/>
    <numFmt numFmtId="165" formatCode="#,##0.0"/>
    <numFmt numFmtId="166" formatCode="#,##0.0000"/>
    <numFmt numFmtId="167" formatCode="0.0%"/>
    <numFmt numFmtId="168" formatCode="#,##0_ ;[Red]\-#,##0\ "/>
  </numFmts>
  <fonts count="6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48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sz val="8"/>
      <name val="Arial Cyr"/>
      <family val="2"/>
      <charset val="204"/>
    </font>
    <font>
      <sz val="8"/>
      <color indexed="9"/>
      <name val="Arial Cyr"/>
      <family val="2"/>
      <charset val="204"/>
    </font>
    <font>
      <i/>
      <sz val="8"/>
      <color indexed="9"/>
      <name val="Arial Cyr"/>
      <family val="2"/>
      <charset val="204"/>
    </font>
    <font>
      <b/>
      <i/>
      <sz val="8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8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9"/>
      <name val="Arial Cyr"/>
      <charset val="204"/>
    </font>
    <font>
      <b/>
      <sz val="8"/>
      <color rgb="FFFF0000"/>
      <name val="Arial Cyr"/>
      <charset val="204"/>
    </font>
    <font>
      <sz val="8"/>
      <name val="Arial Cyr"/>
      <charset val="204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Arial Cyr"/>
      <family val="2"/>
      <charset val="204"/>
    </font>
    <font>
      <b/>
      <sz val="10"/>
      <name val="Arial Cyr"/>
      <charset val="204"/>
    </font>
    <font>
      <sz val="11"/>
      <color rgb="FF0070C0"/>
      <name val="Calibri"/>
      <family val="2"/>
      <charset val="204"/>
      <scheme val="minor"/>
    </font>
    <font>
      <b/>
      <sz val="10"/>
      <name val="Arial Cyr"/>
      <family val="2"/>
      <charset val="204"/>
    </font>
    <font>
      <b/>
      <sz val="10"/>
      <color rgb="FF0070C0"/>
      <name val="Arial Cyr"/>
      <family val="2"/>
      <charset val="204"/>
    </font>
    <font>
      <b/>
      <sz val="8"/>
      <color indexed="9"/>
      <name val="Arial Cyr"/>
      <family val="2"/>
      <charset val="204"/>
    </font>
    <font>
      <b/>
      <sz val="11"/>
      <color indexed="8"/>
      <name val="Arial Cyr"/>
      <family val="2"/>
      <charset val="204"/>
    </font>
    <font>
      <sz val="8"/>
      <color theme="3"/>
      <name val="Arial Cyr"/>
      <family val="2"/>
      <charset val="204"/>
    </font>
    <font>
      <b/>
      <sz val="8"/>
      <color theme="3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8"/>
      <color rgb="FF0070C0"/>
      <name val="Arial Cyr"/>
      <charset val="204"/>
    </font>
    <font>
      <sz val="8"/>
      <color rgb="FF0070C0"/>
      <name val="Arial Cyr"/>
      <charset val="204"/>
    </font>
    <font>
      <b/>
      <i/>
      <sz val="8"/>
      <color rgb="FF0070C0"/>
      <name val="Arial Cyr"/>
      <charset val="204"/>
    </font>
    <font>
      <b/>
      <sz val="14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sz val="8"/>
      <color rgb="FF0070C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8"/>
      <color rgb="FF0070C0"/>
      <name val="Arial Cyr"/>
      <family val="2"/>
      <charset val="204"/>
    </font>
    <font>
      <b/>
      <sz val="8"/>
      <color rgb="FF0070C0"/>
      <name val="Arial Cyr"/>
      <family val="2"/>
      <charset val="204"/>
    </font>
    <font>
      <sz val="11"/>
      <color rgb="FF0070C0"/>
      <name val="Arial Cyr"/>
      <family val="2"/>
      <charset val="204"/>
    </font>
    <font>
      <b/>
      <sz val="11"/>
      <color rgb="FF0070C0"/>
      <name val="Arial Cyr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387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9" fontId="10" fillId="0" borderId="0" xfId="2" applyFont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0" fillId="0" borderId="5" xfId="0" applyBorder="1"/>
    <xf numFmtId="0" fontId="0" fillId="0" borderId="5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12" fillId="3" borderId="0" xfId="3" applyFont="1" applyFill="1" applyBorder="1" applyAlignment="1">
      <alignment vertical="center"/>
    </xf>
    <xf numFmtId="0" fontId="12" fillId="3" borderId="0" xfId="3" applyFont="1" applyFill="1" applyBorder="1" applyAlignment="1">
      <alignment vertical="center" wrapText="1"/>
    </xf>
    <xf numFmtId="0" fontId="13" fillId="3" borderId="0" xfId="3" applyFont="1" applyFill="1" applyBorder="1" applyAlignment="1">
      <alignment vertical="center" wrapText="1"/>
    </xf>
    <xf numFmtId="0" fontId="11" fillId="3" borderId="0" xfId="3" applyFont="1" applyFill="1"/>
    <xf numFmtId="0" fontId="11" fillId="0" borderId="0" xfId="3" applyFont="1"/>
    <xf numFmtId="0" fontId="14" fillId="0" borderId="0" xfId="3" applyFont="1"/>
    <xf numFmtId="0" fontId="15" fillId="4" borderId="6" xfId="3" applyFont="1" applyFill="1" applyBorder="1" applyAlignment="1">
      <alignment vertical="center"/>
    </xf>
    <xf numFmtId="0" fontId="15" fillId="4" borderId="6" xfId="3" applyFont="1" applyFill="1" applyBorder="1" applyAlignment="1">
      <alignment horizontal="center" vertical="center"/>
    </xf>
    <xf numFmtId="165" fontId="16" fillId="4" borderId="6" xfId="3" applyNumberFormat="1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vertical="center"/>
    </xf>
    <xf numFmtId="0" fontId="15" fillId="4" borderId="6" xfId="0" applyFont="1" applyFill="1" applyBorder="1" applyAlignment="1">
      <alignment horizontal="center" vertical="center"/>
    </xf>
    <xf numFmtId="0" fontId="14" fillId="0" borderId="0" xfId="0" applyFont="1"/>
    <xf numFmtId="0" fontId="14" fillId="5" borderId="0" xfId="0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vertical="center"/>
    </xf>
    <xf numFmtId="9" fontId="14" fillId="0" borderId="0" xfId="4" applyFont="1" applyFill="1"/>
    <xf numFmtId="0" fontId="14" fillId="0" borderId="0" xfId="0" applyFont="1" applyFill="1"/>
    <xf numFmtId="0" fontId="19" fillId="0" borderId="7" xfId="0" applyFont="1" applyFill="1" applyBorder="1" applyAlignment="1">
      <alignment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3" fontId="14" fillId="5" borderId="0" xfId="0" applyNumberFormat="1" applyFont="1" applyFill="1" applyBorder="1" applyAlignment="1">
      <alignment vertical="center"/>
    </xf>
    <xf numFmtId="3" fontId="14" fillId="0" borderId="0" xfId="4" applyNumberFormat="1" applyFont="1"/>
    <xf numFmtId="3" fontId="14" fillId="0" borderId="0" xfId="0" applyNumberFormat="1" applyFont="1"/>
    <xf numFmtId="3" fontId="14" fillId="0" borderId="0" xfId="0" applyNumberFormat="1" applyFont="1" applyFill="1" applyBorder="1" applyAlignment="1">
      <alignment vertical="center"/>
    </xf>
    <xf numFmtId="3" fontId="14" fillId="0" borderId="0" xfId="4" applyNumberFormat="1" applyFont="1" applyFill="1"/>
    <xf numFmtId="3" fontId="14" fillId="0" borderId="0" xfId="0" applyNumberFormat="1" applyFont="1" applyFill="1"/>
    <xf numFmtId="0" fontId="14" fillId="0" borderId="0" xfId="3" applyFont="1" applyBorder="1" applyAlignment="1">
      <alignment horizontal="center" vertical="center"/>
    </xf>
    <xf numFmtId="0" fontId="14" fillId="0" borderId="0" xfId="3" applyFont="1" applyBorder="1" applyAlignment="1">
      <alignment vertical="center"/>
    </xf>
    <xf numFmtId="4" fontId="14" fillId="0" borderId="0" xfId="3" applyNumberFormat="1" applyFont="1" applyFill="1" applyBorder="1" applyAlignment="1">
      <alignment vertical="center"/>
    </xf>
    <xf numFmtId="0" fontId="14" fillId="0" borderId="0" xfId="3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vertical="center"/>
    </xf>
    <xf numFmtId="10" fontId="17" fillId="0" borderId="0" xfId="0" applyNumberFormat="1" applyFont="1" applyBorder="1" applyAlignment="1">
      <alignment vertical="center"/>
    </xf>
    <xf numFmtId="166" fontId="14" fillId="0" borderId="0" xfId="0" applyNumberFormat="1" applyFont="1" applyFill="1" applyBorder="1" applyAlignment="1">
      <alignment horizontal="left" vertical="center"/>
    </xf>
    <xf numFmtId="166" fontId="14" fillId="0" borderId="0" xfId="0" applyNumberFormat="1" applyFont="1"/>
    <xf numFmtId="166" fontId="17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/>
    <xf numFmtId="3" fontId="20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horizontal="center" vertical="center"/>
    </xf>
    <xf numFmtId="4" fontId="20" fillId="0" borderId="1" xfId="0" applyNumberFormat="1" applyFont="1" applyFill="1" applyBorder="1" applyAlignment="1">
      <alignment vertical="center"/>
    </xf>
    <xf numFmtId="0" fontId="20" fillId="0" borderId="0" xfId="0" applyFont="1"/>
    <xf numFmtId="4" fontId="19" fillId="0" borderId="0" xfId="0" applyNumberFormat="1" applyFont="1"/>
    <xf numFmtId="0" fontId="23" fillId="0" borderId="0" xfId="0" applyFont="1"/>
    <xf numFmtId="0" fontId="22" fillId="0" borderId="0" xfId="0" applyFont="1"/>
    <xf numFmtId="0" fontId="24" fillId="3" borderId="0" xfId="3" applyFont="1" applyFill="1" applyBorder="1" applyAlignment="1">
      <alignment horizontal="left" vertical="center"/>
    </xf>
    <xf numFmtId="9" fontId="14" fillId="5" borderId="0" xfId="0" applyNumberFormat="1" applyFont="1" applyFill="1" applyBorder="1" applyAlignment="1">
      <alignment horizontal="left" vertical="center"/>
    </xf>
    <xf numFmtId="9" fontId="14" fillId="0" borderId="0" xfId="0" applyNumberFormat="1" applyFont="1" applyFill="1" applyBorder="1" applyAlignment="1">
      <alignment horizontal="left" vertical="center"/>
    </xf>
    <xf numFmtId="0" fontId="14" fillId="6" borderId="0" xfId="3" applyFont="1" applyFill="1" applyBorder="1" applyAlignment="1">
      <alignment horizontal="center" vertical="center"/>
    </xf>
    <xf numFmtId="0" fontId="14" fillId="6" borderId="0" xfId="3" applyFont="1" applyFill="1"/>
    <xf numFmtId="0" fontId="26" fillId="6" borderId="0" xfId="0" applyFont="1" applyFill="1" applyBorder="1" applyAlignment="1">
      <alignment horizontal="left"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0" xfId="0" applyFont="1" applyFill="1"/>
    <xf numFmtId="3" fontId="14" fillId="6" borderId="0" xfId="0" applyNumberFormat="1" applyFont="1" applyFill="1"/>
    <xf numFmtId="0" fontId="2" fillId="0" borderId="0" xfId="0" applyFont="1" applyAlignment="1">
      <alignment horizontal="center" vertical="center"/>
    </xf>
    <xf numFmtId="0" fontId="11" fillId="0" borderId="0" xfId="3" applyFont="1" applyBorder="1" applyAlignment="1">
      <alignment horizontal="left" vertical="center" wrapText="1"/>
    </xf>
    <xf numFmtId="0" fontId="28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10" fontId="28" fillId="0" borderId="0" xfId="2" applyNumberFormat="1" applyFont="1"/>
    <xf numFmtId="0" fontId="27" fillId="0" borderId="0" xfId="0" applyFont="1" applyAlignment="1">
      <alignment horizontal="center" vertical="center"/>
    </xf>
    <xf numFmtId="0" fontId="3" fillId="6" borderId="0" xfId="0" applyFont="1" applyFill="1" applyProtection="1">
      <protection locked="0"/>
    </xf>
    <xf numFmtId="0" fontId="29" fillId="0" borderId="0" xfId="0" applyFont="1" applyAlignment="1">
      <alignment vertical="center"/>
    </xf>
    <xf numFmtId="0" fontId="28" fillId="6" borderId="0" xfId="0" applyFont="1" applyFill="1" applyProtection="1">
      <protection locked="0"/>
    </xf>
    <xf numFmtId="0" fontId="31" fillId="0" borderId="0" xfId="0" applyFont="1" applyAlignment="1">
      <alignment vertical="center"/>
    </xf>
    <xf numFmtId="9" fontId="10" fillId="6" borderId="0" xfId="2" applyFont="1" applyFill="1" applyBorder="1" applyAlignment="1">
      <alignment horizontal="left" vertical="center" indent="1"/>
    </xf>
    <xf numFmtId="0" fontId="2" fillId="6" borderId="0" xfId="0" applyFont="1" applyFill="1" applyAlignment="1"/>
    <xf numFmtId="0" fontId="2" fillId="6" borderId="0" xfId="0" applyFont="1" applyFill="1" applyBorder="1" applyAlignment="1"/>
    <xf numFmtId="0" fontId="5" fillId="6" borderId="0" xfId="0" applyFont="1" applyFill="1" applyAlignment="1">
      <alignment vertical="center"/>
    </xf>
    <xf numFmtId="0" fontId="28" fillId="0" borderId="0" xfId="0" applyFont="1"/>
    <xf numFmtId="0" fontId="0" fillId="6" borderId="0" xfId="0" applyFill="1" applyBorder="1"/>
    <xf numFmtId="0" fontId="33" fillId="0" borderId="0" xfId="0" applyFont="1"/>
    <xf numFmtId="3" fontId="9" fillId="6" borderId="0" xfId="1" applyNumberFormat="1" applyFont="1" applyFill="1" applyBorder="1" applyAlignment="1">
      <alignment vertical="center"/>
    </xf>
    <xf numFmtId="9" fontId="9" fillId="6" borderId="0" xfId="2" applyFont="1" applyFill="1" applyBorder="1" applyAlignment="1">
      <alignment vertical="center"/>
    </xf>
    <xf numFmtId="9" fontId="14" fillId="6" borderId="0" xfId="3" applyNumberFormat="1" applyFont="1" applyFill="1" applyBorder="1" applyAlignment="1">
      <alignment horizontal="center" vertical="center"/>
    </xf>
    <xf numFmtId="0" fontId="14" fillId="6" borderId="0" xfId="3" applyFont="1" applyFill="1" applyBorder="1" applyAlignment="1">
      <alignment horizontal="left" vertical="center"/>
    </xf>
    <xf numFmtId="0" fontId="34" fillId="0" borderId="0" xfId="3" applyFont="1"/>
    <xf numFmtId="0" fontId="14" fillId="6" borderId="0" xfId="3" applyFont="1" applyFill="1" applyBorder="1"/>
    <xf numFmtId="0" fontId="11" fillId="6" borderId="0" xfId="3" applyFont="1" applyFill="1" applyBorder="1"/>
    <xf numFmtId="0" fontId="15" fillId="4" borderId="9" xfId="0" applyFont="1" applyFill="1" applyBorder="1" applyAlignment="1">
      <alignment horizontal="center" vertical="center"/>
    </xf>
    <xf numFmtId="0" fontId="15" fillId="4" borderId="9" xfId="3" applyFont="1" applyFill="1" applyBorder="1" applyAlignment="1">
      <alignment horizontal="center" vertical="center"/>
    </xf>
    <xf numFmtId="0" fontId="36" fillId="0" borderId="0" xfId="0" applyFont="1"/>
    <xf numFmtId="0" fontId="36" fillId="0" borderId="0" xfId="0" applyFont="1" applyAlignment="1">
      <alignment vertical="center"/>
    </xf>
    <xf numFmtId="3" fontId="19" fillId="0" borderId="7" xfId="0" applyNumberFormat="1" applyFont="1" applyFill="1" applyBorder="1" applyAlignment="1">
      <alignment vertical="center"/>
    </xf>
    <xf numFmtId="3" fontId="0" fillId="0" borderId="0" xfId="0" applyNumberFormat="1"/>
    <xf numFmtId="1" fontId="20" fillId="0" borderId="1" xfId="0" applyNumberFormat="1" applyFont="1" applyFill="1" applyBorder="1"/>
    <xf numFmtId="0" fontId="2" fillId="0" borderId="0" xfId="0" applyFont="1"/>
    <xf numFmtId="0" fontId="37" fillId="3" borderId="0" xfId="3" applyFont="1" applyFill="1"/>
    <xf numFmtId="0" fontId="37" fillId="0" borderId="0" xfId="3" applyFont="1"/>
    <xf numFmtId="0" fontId="38" fillId="0" borderId="0" xfId="3" applyFont="1"/>
    <xf numFmtId="0" fontId="37" fillId="6" borderId="0" xfId="3" applyFont="1" applyFill="1" applyBorder="1"/>
    <xf numFmtId="0" fontId="39" fillId="4" borderId="9" xfId="3" applyFont="1" applyFill="1" applyBorder="1" applyAlignment="1">
      <alignment horizontal="center" vertical="center" wrapText="1"/>
    </xf>
    <xf numFmtId="0" fontId="20" fillId="0" borderId="0" xfId="3" applyFont="1"/>
    <xf numFmtId="0" fontId="39" fillId="4" borderId="9" xfId="0" applyFont="1" applyFill="1" applyBorder="1" applyAlignment="1">
      <alignment horizontal="center" vertical="center" wrapText="1"/>
    </xf>
    <xf numFmtId="3" fontId="20" fillId="5" borderId="0" xfId="0" applyNumberFormat="1" applyFont="1" applyFill="1" applyBorder="1" applyAlignment="1">
      <alignment vertical="center"/>
    </xf>
    <xf numFmtId="0" fontId="39" fillId="4" borderId="6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vertical="center"/>
    </xf>
    <xf numFmtId="0" fontId="20" fillId="0" borderId="0" xfId="3" applyFont="1" applyBorder="1" applyAlignment="1">
      <alignment vertical="center"/>
    </xf>
    <xf numFmtId="0" fontId="39" fillId="4" borderId="6" xfId="0" applyFont="1" applyFill="1" applyBorder="1" applyAlignment="1">
      <alignment horizontal="center" vertical="center"/>
    </xf>
    <xf numFmtId="166" fontId="20" fillId="0" borderId="0" xfId="0" applyNumberFormat="1" applyFont="1" applyFill="1" applyBorder="1" applyAlignment="1">
      <alignment vertical="center"/>
    </xf>
    <xf numFmtId="0" fontId="40" fillId="0" borderId="0" xfId="0" applyFont="1"/>
    <xf numFmtId="3" fontId="17" fillId="6" borderId="0" xfId="0" applyNumberFormat="1" applyFont="1" applyFill="1" applyBorder="1" applyAlignment="1">
      <alignment vertical="center"/>
    </xf>
    <xf numFmtId="3" fontId="19" fillId="6" borderId="7" xfId="0" applyNumberFormat="1" applyFont="1" applyFill="1" applyBorder="1" applyAlignment="1">
      <alignment vertical="center"/>
    </xf>
    <xf numFmtId="165" fontId="15" fillId="4" borderId="6" xfId="3" applyNumberFormat="1" applyFont="1" applyFill="1" applyBorder="1" applyAlignment="1">
      <alignment horizontal="center" vertical="center" wrapText="1"/>
    </xf>
    <xf numFmtId="165" fontId="15" fillId="4" borderId="6" xfId="0" applyNumberFormat="1" applyFont="1" applyFill="1" applyBorder="1" applyAlignment="1">
      <alignment horizontal="center" vertical="center" wrapText="1"/>
    </xf>
    <xf numFmtId="0" fontId="41" fillId="0" borderId="0" xfId="0" applyFont="1"/>
    <xf numFmtId="0" fontId="41" fillId="0" borderId="0" xfId="0" applyFont="1" applyFill="1"/>
    <xf numFmtId="0" fontId="42" fillId="0" borderId="0" xfId="0" applyFont="1" applyFill="1"/>
    <xf numFmtId="0" fontId="5" fillId="0" borderId="0" xfId="0" applyFont="1" applyBorder="1" applyAlignment="1">
      <alignment vertical="center"/>
    </xf>
    <xf numFmtId="3" fontId="17" fillId="6" borderId="0" xfId="3" applyNumberFormat="1" applyFont="1" applyFill="1" applyBorder="1" applyAlignment="1">
      <alignment vertical="center"/>
    </xf>
    <xf numFmtId="3" fontId="14" fillId="6" borderId="0" xfId="0" applyNumberFormat="1" applyFont="1" applyFill="1" applyBorder="1" applyAlignment="1">
      <alignment vertical="center"/>
    </xf>
    <xf numFmtId="3" fontId="17" fillId="0" borderId="0" xfId="3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3" fontId="20" fillId="0" borderId="0" xfId="0" applyNumberFormat="1" applyFont="1" applyBorder="1" applyAlignment="1">
      <alignment vertical="center"/>
    </xf>
    <xf numFmtId="0" fontId="12" fillId="3" borderId="0" xfId="3" applyFont="1" applyFill="1" applyBorder="1" applyAlignment="1">
      <alignment horizontal="right" vertical="center"/>
    </xf>
    <xf numFmtId="1" fontId="24" fillId="3" borderId="0" xfId="3" applyNumberFormat="1" applyFont="1" applyFill="1" applyBorder="1" applyAlignment="1">
      <alignment horizontal="left" vertical="center"/>
    </xf>
    <xf numFmtId="168" fontId="14" fillId="0" borderId="0" xfId="0" applyNumberFormat="1" applyFont="1" applyFill="1" applyBorder="1" applyAlignment="1">
      <alignment vertical="center"/>
    </xf>
    <xf numFmtId="168" fontId="20" fillId="0" borderId="0" xfId="0" applyNumberFormat="1" applyFont="1" applyFill="1" applyBorder="1" applyAlignment="1">
      <alignment vertical="center"/>
    </xf>
    <xf numFmtId="168" fontId="17" fillId="6" borderId="0" xfId="3" applyNumberFormat="1" applyFont="1" applyFill="1" applyBorder="1" applyAlignment="1">
      <alignment vertical="center"/>
    </xf>
    <xf numFmtId="168" fontId="14" fillId="6" borderId="0" xfId="0" applyNumberFormat="1" applyFont="1" applyFill="1" applyBorder="1" applyAlignment="1">
      <alignment vertical="center"/>
    </xf>
    <xf numFmtId="168" fontId="17" fillId="0" borderId="0" xfId="3" applyNumberFormat="1" applyFont="1" applyFill="1" applyBorder="1" applyAlignment="1">
      <alignment vertical="center"/>
    </xf>
    <xf numFmtId="3" fontId="8" fillId="6" borderId="0" xfId="1" applyNumberFormat="1" applyFont="1" applyFill="1" applyBorder="1" applyAlignment="1" applyProtection="1">
      <alignment horizontal="center" vertical="center"/>
      <protection locked="0"/>
    </xf>
    <xf numFmtId="0" fontId="20" fillId="6" borderId="7" xfId="3" applyFont="1" applyFill="1" applyBorder="1" applyAlignment="1">
      <alignment horizontal="left" vertical="center"/>
    </xf>
    <xf numFmtId="0" fontId="14" fillId="6" borderId="7" xfId="3" applyFont="1" applyFill="1" applyBorder="1" applyAlignment="1">
      <alignment horizontal="center" vertical="center"/>
    </xf>
    <xf numFmtId="3" fontId="20" fillId="6" borderId="7" xfId="3" applyNumberFormat="1" applyFont="1" applyFill="1" applyBorder="1" applyAlignment="1">
      <alignment vertical="center"/>
    </xf>
    <xf numFmtId="0" fontId="29" fillId="0" borderId="0" xfId="0" applyFont="1" applyAlignment="1">
      <alignment horizontal="right" vertical="center"/>
    </xf>
    <xf numFmtId="0" fontId="2" fillId="6" borderId="0" xfId="0" applyFont="1" applyFill="1" applyBorder="1"/>
    <xf numFmtId="0" fontId="29" fillId="0" borderId="0" xfId="0" applyFont="1" applyAlignment="1">
      <alignment horizontal="left" vertical="center"/>
    </xf>
    <xf numFmtId="0" fontId="46" fillId="6" borderId="0" xfId="3" applyFont="1" applyFill="1" applyBorder="1" applyAlignment="1">
      <alignment horizontal="left" vertical="center"/>
    </xf>
    <xf numFmtId="0" fontId="47" fillId="6" borderId="0" xfId="3" applyFont="1" applyFill="1" applyBorder="1" applyAlignment="1">
      <alignment horizontal="center" vertical="center"/>
    </xf>
    <xf numFmtId="4" fontId="46" fillId="6" borderId="0" xfId="3" applyNumberFormat="1" applyFont="1" applyFill="1" applyBorder="1" applyAlignment="1">
      <alignment vertical="center"/>
    </xf>
    <xf numFmtId="4" fontId="48" fillId="6" borderId="0" xfId="0" applyNumberFormat="1" applyFont="1" applyFill="1" applyBorder="1" applyAlignment="1">
      <alignment vertical="center"/>
    </xf>
    <xf numFmtId="0" fontId="47" fillId="6" borderId="0" xfId="3" applyFont="1" applyFill="1"/>
    <xf numFmtId="0" fontId="43" fillId="6" borderId="0" xfId="0" applyFont="1" applyFill="1" applyBorder="1" applyAlignment="1">
      <alignment horizontal="left" wrapText="1"/>
    </xf>
    <xf numFmtId="9" fontId="10" fillId="0" borderId="0" xfId="2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9" fontId="33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47" fillId="0" borderId="0" xfId="3" applyFont="1" applyBorder="1" applyAlignment="1">
      <alignment horizontal="center" vertical="center"/>
    </xf>
    <xf numFmtId="0" fontId="47" fillId="0" borderId="0" xfId="3" applyFont="1" applyBorder="1" applyAlignment="1">
      <alignment vertical="center"/>
    </xf>
    <xf numFmtId="0" fontId="47" fillId="0" borderId="0" xfId="3" applyFont="1"/>
    <xf numFmtId="0" fontId="47" fillId="0" borderId="0" xfId="3" applyFont="1" applyFill="1" applyBorder="1" applyAlignment="1">
      <alignment vertical="center"/>
    </xf>
    <xf numFmtId="3" fontId="47" fillId="0" borderId="0" xfId="3" applyNumberFormat="1" applyFont="1" applyBorder="1" applyAlignment="1">
      <alignment vertical="center"/>
    </xf>
    <xf numFmtId="14" fontId="0" fillId="0" borderId="0" xfId="0" applyNumberFormat="1"/>
    <xf numFmtId="0" fontId="29" fillId="2" borderId="1" xfId="0" applyFont="1" applyFill="1" applyBorder="1" applyAlignment="1">
      <alignment horizontal="center" vertical="center"/>
    </xf>
    <xf numFmtId="166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3" fillId="6" borderId="1" xfId="0" applyFont="1" applyFill="1" applyBorder="1" applyAlignment="1">
      <alignment vertical="center" wrapText="1"/>
    </xf>
    <xf numFmtId="0" fontId="0" fillId="6" borderId="0" xfId="0" applyFill="1"/>
    <xf numFmtId="0" fontId="36" fillId="6" borderId="0" xfId="0" applyFont="1" applyFill="1"/>
    <xf numFmtId="0" fontId="6" fillId="0" borderId="0" xfId="0" applyFont="1" applyAlignment="1">
      <alignment horizontal="center" vertical="center" wrapText="1"/>
    </xf>
    <xf numFmtId="0" fontId="29" fillId="0" borderId="5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33" fillId="0" borderId="0" xfId="0" applyFont="1" applyBorder="1"/>
    <xf numFmtId="0" fontId="31" fillId="6" borderId="0" xfId="0" applyFont="1" applyFill="1" applyAlignment="1">
      <alignment vertical="center"/>
    </xf>
    <xf numFmtId="0" fontId="31" fillId="6" borderId="0" xfId="0" applyNumberFormat="1" applyFont="1" applyFill="1" applyAlignment="1">
      <alignment horizontal="left" vertical="center"/>
    </xf>
    <xf numFmtId="9" fontId="20" fillId="6" borderId="0" xfId="3" applyNumberFormat="1" applyFont="1" applyFill="1" applyBorder="1" applyAlignment="1">
      <alignment horizontal="center" vertical="center"/>
    </xf>
    <xf numFmtId="0" fontId="11" fillId="6" borderId="0" xfId="3" applyFont="1" applyFill="1"/>
    <xf numFmtId="9" fontId="14" fillId="6" borderId="0" xfId="2" applyFont="1" applyFill="1" applyBorder="1" applyAlignment="1">
      <alignment vertical="center"/>
    </xf>
    <xf numFmtId="166" fontId="14" fillId="6" borderId="0" xfId="0" applyNumberFormat="1" applyFont="1" applyFill="1" applyBorder="1" applyAlignment="1">
      <alignment horizontal="left" vertical="center"/>
    </xf>
    <xf numFmtId="9" fontId="14" fillId="6" borderId="0" xfId="2" applyFont="1" applyFill="1" applyBorder="1" applyAlignment="1">
      <alignment horizontal="center" vertical="center"/>
    </xf>
    <xf numFmtId="168" fontId="52" fillId="6" borderId="0" xfId="0" applyNumberFormat="1" applyFont="1" applyFill="1"/>
    <xf numFmtId="166" fontId="20" fillId="6" borderId="0" xfId="0" applyNumberFormat="1" applyFont="1" applyFill="1" applyBorder="1" applyAlignment="1">
      <alignment vertical="center"/>
    </xf>
    <xf numFmtId="166" fontId="17" fillId="6" borderId="0" xfId="0" applyNumberFormat="1" applyFont="1" applyFill="1" applyBorder="1" applyAlignment="1">
      <alignment vertical="center"/>
    </xf>
    <xf numFmtId="166" fontId="14" fillId="6" borderId="0" xfId="0" applyNumberFormat="1" applyFont="1" applyFill="1"/>
    <xf numFmtId="9" fontId="9" fillId="6" borderId="0" xfId="2" applyFont="1" applyFill="1" applyBorder="1" applyAlignment="1">
      <alignment horizontal="left" vertical="center" wrapText="1"/>
    </xf>
    <xf numFmtId="4" fontId="8" fillId="2" borderId="1" xfId="2" applyNumberFormat="1" applyFont="1" applyFill="1" applyBorder="1" applyAlignment="1" applyProtection="1">
      <alignment horizontal="center" vertical="center"/>
      <protection locked="0"/>
    </xf>
    <xf numFmtId="0" fontId="14" fillId="5" borderId="0" xfId="0" applyNumberFormat="1" applyFont="1" applyFill="1" applyBorder="1" applyAlignment="1">
      <alignment horizontal="left" vertical="center"/>
    </xf>
    <xf numFmtId="0" fontId="14" fillId="0" borderId="0" xfId="0" applyNumberFormat="1" applyFont="1" applyFill="1" applyBorder="1" applyAlignment="1">
      <alignment horizontal="left" vertical="center"/>
    </xf>
    <xf numFmtId="3" fontId="51" fillId="2" borderId="1" xfId="1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0" fontId="0" fillId="0" borderId="5" xfId="0" applyBorder="1" applyAlignment="1">
      <alignment vertical="center"/>
    </xf>
    <xf numFmtId="0" fontId="14" fillId="6" borderId="0" xfId="0" applyFont="1" applyFill="1" applyBorder="1" applyAlignment="1">
      <alignment horizontal="left" vertical="center"/>
    </xf>
    <xf numFmtId="0" fontId="20" fillId="6" borderId="0" xfId="0" applyFont="1" applyFill="1" applyBorder="1" applyAlignment="1">
      <alignment horizontal="right"/>
    </xf>
    <xf numFmtId="0" fontId="20" fillId="6" borderId="0" xfId="0" applyFont="1" applyFill="1" applyAlignment="1">
      <alignment horizontal="right"/>
    </xf>
    <xf numFmtId="3" fontId="14" fillId="6" borderId="0" xfId="0" applyNumberFormat="1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left" vertical="center" wrapText="1"/>
    </xf>
    <xf numFmtId="0" fontId="25" fillId="6" borderId="0" xfId="0" applyFont="1" applyFill="1" applyBorder="1" applyAlignment="1">
      <alignment horizontal="left" vertical="center"/>
    </xf>
    <xf numFmtId="0" fontId="56" fillId="0" borderId="0" xfId="0" applyFont="1"/>
    <xf numFmtId="3" fontId="56" fillId="0" borderId="0" xfId="0" applyNumberFormat="1" applyFont="1" applyBorder="1" applyAlignment="1">
      <alignment vertical="center"/>
    </xf>
    <xf numFmtId="168" fontId="57" fillId="0" borderId="0" xfId="0" applyNumberFormat="1" applyFont="1" applyFill="1" applyBorder="1" applyAlignment="1">
      <alignment vertical="center"/>
    </xf>
    <xf numFmtId="0" fontId="58" fillId="0" borderId="0" xfId="0" applyFont="1"/>
    <xf numFmtId="0" fontId="59" fillId="0" borderId="0" xfId="0" applyFont="1"/>
    <xf numFmtId="9" fontId="8" fillId="6" borderId="0" xfId="2" applyFont="1" applyFill="1" applyBorder="1" applyAlignment="1">
      <alignment horizontal="left"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0" fontId="39" fillId="4" borderId="9" xfId="0" applyFont="1" applyFill="1" applyBorder="1" applyAlignment="1">
      <alignment horizontal="center" vertical="center" wrapText="1"/>
    </xf>
    <xf numFmtId="3" fontId="53" fillId="0" borderId="0" xfId="0" applyNumberFormat="1" applyFont="1"/>
    <xf numFmtId="9" fontId="53" fillId="0" borderId="0" xfId="0" applyNumberFormat="1" applyFont="1"/>
    <xf numFmtId="0" fontId="53" fillId="0" borderId="0" xfId="0" applyFont="1"/>
    <xf numFmtId="0" fontId="4" fillId="0" borderId="1" xfId="0" applyFont="1" applyBorder="1" applyAlignment="1" applyProtection="1">
      <alignment horizontal="center" vertical="center" wrapText="1"/>
    </xf>
    <xf numFmtId="0" fontId="14" fillId="6" borderId="0" xfId="3" applyFont="1" applyFill="1" applyBorder="1" applyAlignment="1" applyProtection="1">
      <alignment horizontal="left" vertical="center"/>
    </xf>
    <xf numFmtId="0" fontId="14" fillId="6" borderId="0" xfId="3" applyFont="1" applyFill="1" applyBorder="1" applyAlignment="1" applyProtection="1">
      <alignment horizontal="center" vertical="center"/>
    </xf>
    <xf numFmtId="9" fontId="14" fillId="6" borderId="0" xfId="3" applyNumberFormat="1" applyFont="1" applyFill="1" applyBorder="1" applyAlignment="1" applyProtection="1">
      <alignment horizontal="center" vertical="center"/>
    </xf>
    <xf numFmtId="9" fontId="20" fillId="6" borderId="0" xfId="3" applyNumberFormat="1" applyFont="1" applyFill="1" applyBorder="1" applyAlignment="1" applyProtection="1">
      <alignment horizontal="center" vertical="center"/>
    </xf>
    <xf numFmtId="0" fontId="14" fillId="6" borderId="0" xfId="3" applyFont="1" applyFill="1" applyProtection="1"/>
    <xf numFmtId="0" fontId="14" fillId="0" borderId="0" xfId="3" applyFont="1" applyProtection="1"/>
    <xf numFmtId="0" fontId="11" fillId="6" borderId="0" xfId="3" applyFont="1" applyFill="1" applyProtection="1"/>
    <xf numFmtId="0" fontId="0" fillId="0" borderId="0" xfId="0" applyBorder="1" applyAlignment="1">
      <alignment vertical="center"/>
    </xf>
    <xf numFmtId="3" fontId="51" fillId="2" borderId="1" xfId="1" applyNumberFormat="1" applyFont="1" applyFill="1" applyBorder="1" applyAlignment="1" applyProtection="1">
      <alignment horizontal="center" vertical="center"/>
      <protection locked="0"/>
    </xf>
    <xf numFmtId="3" fontId="51" fillId="6" borderId="1" xfId="1" applyNumberFormat="1" applyFont="1" applyFill="1" applyBorder="1" applyAlignment="1" applyProtection="1">
      <alignment horizontal="center" vertical="center"/>
      <protection locked="0"/>
    </xf>
    <xf numFmtId="0" fontId="49" fillId="0" borderId="1" xfId="0" applyFont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3" fontId="51" fillId="6" borderId="1" xfId="1" applyNumberFormat="1" applyFont="1" applyFill="1" applyBorder="1" applyAlignment="1" applyProtection="1">
      <alignment horizontal="center" vertical="center"/>
      <protection locked="0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0" fontId="43" fillId="6" borderId="1" xfId="0" applyFont="1" applyFill="1" applyBorder="1" applyAlignment="1">
      <alignment horizontal="center" vertical="center" wrapText="1"/>
    </xf>
    <xf numFmtId="3" fontId="51" fillId="2" borderId="1" xfId="1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 indent="1"/>
    </xf>
    <xf numFmtId="3" fontId="10" fillId="6" borderId="0" xfId="1" applyNumberFormat="1" applyFont="1" applyFill="1" applyBorder="1" applyAlignment="1" applyProtection="1">
      <alignment vertical="center"/>
      <protection locked="0"/>
    </xf>
    <xf numFmtId="0" fontId="0" fillId="0" borderId="0" xfId="0" applyBorder="1" applyAlignment="1"/>
    <xf numFmtId="0" fontId="4" fillId="0" borderId="7" xfId="0" applyFont="1" applyBorder="1" applyAlignment="1">
      <alignment vertical="center" wrapText="1"/>
    </xf>
    <xf numFmtId="3" fontId="10" fillId="0" borderId="0" xfId="1" applyNumberFormat="1" applyFont="1" applyBorder="1" applyAlignment="1">
      <alignment vertical="center"/>
    </xf>
    <xf numFmtId="0" fontId="2" fillId="6" borderId="0" xfId="0" applyFont="1" applyFill="1" applyAlignment="1">
      <alignment horizontal="center" vertical="center" wrapText="1"/>
    </xf>
    <xf numFmtId="9" fontId="8" fillId="2" borderId="14" xfId="2" applyFont="1" applyFill="1" applyBorder="1" applyAlignment="1" applyProtection="1">
      <alignment horizontal="center" vertical="center"/>
      <protection locked="0"/>
    </xf>
    <xf numFmtId="3" fontId="8" fillId="6" borderId="16" xfId="2" applyNumberFormat="1" applyFont="1" applyFill="1" applyBorder="1" applyAlignment="1" applyProtection="1">
      <alignment horizontal="center" vertical="center"/>
      <protection locked="0"/>
    </xf>
    <xf numFmtId="3" fontId="8" fillId="6" borderId="17" xfId="2" applyNumberFormat="1" applyFont="1" applyFill="1" applyBorder="1" applyAlignment="1" applyProtection="1">
      <alignment horizontal="center" vertical="center"/>
      <protection locked="0"/>
    </xf>
    <xf numFmtId="3" fontId="8" fillId="2" borderId="1" xfId="1" applyNumberFormat="1" applyFont="1" applyFill="1" applyBorder="1" applyAlignment="1" applyProtection="1">
      <alignment horizontal="center" vertical="center"/>
      <protection locked="0"/>
    </xf>
    <xf numFmtId="167" fontId="8" fillId="6" borderId="1" xfId="2" applyNumberFormat="1" applyFont="1" applyFill="1" applyBorder="1" applyAlignment="1" applyProtection="1">
      <alignment horizontal="center" vertical="center"/>
      <protection locked="0"/>
    </xf>
    <xf numFmtId="167" fontId="8" fillId="6" borderId="0" xfId="2" applyNumberFormat="1" applyFont="1" applyFill="1" applyBorder="1" applyAlignment="1" applyProtection="1">
      <alignment horizontal="center" vertical="center"/>
      <protection locked="0"/>
    </xf>
    <xf numFmtId="3" fontId="8" fillId="6" borderId="1" xfId="1" applyNumberFormat="1" applyFont="1" applyFill="1" applyBorder="1" applyAlignment="1" applyProtection="1">
      <alignment horizontal="center" vertical="center"/>
      <protection locked="0"/>
    </xf>
    <xf numFmtId="166" fontId="49" fillId="0" borderId="1" xfId="0" applyNumberFormat="1" applyFont="1" applyBorder="1" applyAlignment="1">
      <alignment horizontal="center" vertical="center" wrapText="1"/>
    </xf>
    <xf numFmtId="167" fontId="8" fillId="2" borderId="1" xfId="2" applyNumberFormat="1" applyFont="1" applyFill="1" applyBorder="1" applyAlignment="1" applyProtection="1">
      <alignment horizontal="center" vertical="center"/>
      <protection locked="0"/>
    </xf>
    <xf numFmtId="9" fontId="8" fillId="2" borderId="1" xfId="2" applyFont="1" applyFill="1" applyBorder="1" applyAlignment="1" applyProtection="1">
      <alignment horizontal="center" vertical="center"/>
      <protection locked="0"/>
    </xf>
    <xf numFmtId="165" fontId="29" fillId="0" borderId="22" xfId="0" applyNumberFormat="1" applyFont="1" applyBorder="1" applyAlignment="1">
      <alignment horizontal="center" vertical="center" wrapText="1"/>
    </xf>
    <xf numFmtId="165" fontId="29" fillId="0" borderId="23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9" fontId="9" fillId="0" borderId="0" xfId="2" applyFont="1" applyBorder="1" applyAlignment="1">
      <alignment horizontal="left" vertical="center" wrapText="1"/>
    </xf>
    <xf numFmtId="9" fontId="9" fillId="0" borderId="8" xfId="2" applyFont="1" applyBorder="1" applyAlignment="1">
      <alignment horizontal="left" vertical="center" wrapText="1"/>
    </xf>
    <xf numFmtId="3" fontId="8" fillId="6" borderId="1" xfId="1" applyNumberFormat="1" applyFont="1" applyFill="1" applyBorder="1" applyAlignment="1">
      <alignment horizontal="center" vertical="center"/>
    </xf>
    <xf numFmtId="3" fontId="8" fillId="6" borderId="14" xfId="1" applyNumberFormat="1" applyFont="1" applyFill="1" applyBorder="1" applyAlignment="1">
      <alignment horizontal="center" vertical="center"/>
    </xf>
    <xf numFmtId="3" fontId="30" fillId="6" borderId="16" xfId="1" applyNumberFormat="1" applyFont="1" applyFill="1" applyBorder="1" applyAlignment="1">
      <alignment horizontal="center" vertical="center"/>
    </xf>
    <xf numFmtId="3" fontId="30" fillId="6" borderId="17" xfId="1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3" fontId="8" fillId="2" borderId="13" xfId="1" applyNumberFormat="1" applyFont="1" applyFill="1" applyBorder="1" applyAlignment="1">
      <alignment horizontal="center" vertical="center"/>
    </xf>
    <xf numFmtId="3" fontId="8" fillId="2" borderId="1" xfId="1" applyNumberFormat="1" applyFont="1" applyFill="1" applyBorder="1" applyAlignment="1">
      <alignment horizontal="center" vertical="center"/>
    </xf>
    <xf numFmtId="3" fontId="30" fillId="6" borderId="15" xfId="1" applyNumberFormat="1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10" fontId="8" fillId="2" borderId="16" xfId="2" applyNumberFormat="1" applyFont="1" applyFill="1" applyBorder="1" applyAlignment="1" applyProtection="1">
      <alignment horizontal="center" vertical="center"/>
      <protection locked="0"/>
    </xf>
    <xf numFmtId="10" fontId="8" fillId="2" borderId="14" xfId="2" applyNumberFormat="1" applyFont="1" applyFill="1" applyBorder="1" applyAlignment="1" applyProtection="1">
      <alignment horizontal="center" vertical="center"/>
      <protection locked="0"/>
    </xf>
    <xf numFmtId="10" fontId="8" fillId="2" borderId="17" xfId="2" applyNumberFormat="1" applyFont="1" applyFill="1" applyBorder="1" applyAlignment="1" applyProtection="1">
      <alignment horizontal="center" vertical="center"/>
      <protection locked="0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3" fontId="8" fillId="6" borderId="2" xfId="2" applyNumberFormat="1" applyFont="1" applyFill="1" applyBorder="1" applyAlignment="1" applyProtection="1">
      <alignment horizontal="center" vertical="center"/>
      <protection locked="0"/>
    </xf>
    <xf numFmtId="3" fontId="8" fillId="6" borderId="4" xfId="2" applyNumberFormat="1" applyFont="1" applyFill="1" applyBorder="1" applyAlignment="1" applyProtection="1">
      <alignment horizontal="center" vertical="center"/>
      <protection locked="0"/>
    </xf>
    <xf numFmtId="0" fontId="49" fillId="0" borderId="1" xfId="0" applyFont="1" applyBorder="1" applyAlignment="1">
      <alignment horizontal="center" vertical="center" wrapText="1"/>
    </xf>
    <xf numFmtId="9" fontId="50" fillId="2" borderId="1" xfId="2" applyFont="1" applyFill="1" applyBorder="1" applyAlignment="1" applyProtection="1">
      <alignment vertical="center" wrapText="1"/>
      <protection locked="0"/>
    </xf>
    <xf numFmtId="165" fontId="8" fillId="6" borderId="1" xfId="2" applyNumberFormat="1" applyFont="1" applyFill="1" applyBorder="1" applyAlignment="1" applyProtection="1">
      <alignment horizontal="center" vertical="center"/>
      <protection locked="0"/>
    </xf>
    <xf numFmtId="165" fontId="8" fillId="6" borderId="2" xfId="2" applyNumberFormat="1" applyFont="1" applyFill="1" applyBorder="1" applyAlignment="1" applyProtection="1">
      <alignment horizontal="center" vertical="center"/>
      <protection locked="0"/>
    </xf>
    <xf numFmtId="9" fontId="8" fillId="6" borderId="26" xfId="2" applyFont="1" applyFill="1" applyBorder="1" applyAlignment="1" applyProtection="1">
      <alignment horizontal="center" vertical="center"/>
      <protection locked="0"/>
    </xf>
    <xf numFmtId="9" fontId="8" fillId="6" borderId="16" xfId="2" applyFont="1" applyFill="1" applyBorder="1" applyAlignment="1" applyProtection="1">
      <alignment horizontal="center" vertical="center"/>
      <protection locked="0"/>
    </xf>
    <xf numFmtId="165" fontId="9" fillId="2" borderId="1" xfId="2" applyNumberFormat="1" applyFont="1" applyFill="1" applyBorder="1" applyAlignment="1" applyProtection="1">
      <alignment horizontal="left" vertical="center" wrapText="1"/>
      <protection locked="0"/>
    </xf>
    <xf numFmtId="165" fontId="9" fillId="2" borderId="2" xfId="2" applyNumberFormat="1" applyFont="1" applyFill="1" applyBorder="1" applyAlignment="1" applyProtection="1">
      <alignment horizontal="left" vertical="center" wrapText="1"/>
      <protection locked="0"/>
    </xf>
    <xf numFmtId="9" fontId="8" fillId="2" borderId="24" xfId="2" applyFont="1" applyFill="1" applyBorder="1" applyAlignment="1" applyProtection="1">
      <alignment horizontal="center" vertical="center"/>
      <protection locked="0"/>
    </xf>
    <xf numFmtId="9" fontId="8" fillId="2" borderId="4" xfId="2" applyFont="1" applyFill="1" applyBorder="1" applyAlignment="1" applyProtection="1">
      <alignment horizontal="center" vertical="center"/>
      <protection locked="0"/>
    </xf>
    <xf numFmtId="9" fontId="8" fillId="2" borderId="13" xfId="2" applyFont="1" applyFill="1" applyBorder="1" applyAlignment="1" applyProtection="1">
      <alignment horizontal="center" vertical="center"/>
      <protection locked="0"/>
    </xf>
    <xf numFmtId="9" fontId="8" fillId="6" borderId="15" xfId="2" applyFont="1" applyFill="1" applyBorder="1" applyAlignment="1" applyProtection="1">
      <alignment horizontal="center" vertical="center"/>
      <protection locked="0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9" fontId="8" fillId="2" borderId="3" xfId="2" applyFont="1" applyFill="1" applyBorder="1" applyAlignment="1" applyProtection="1">
      <alignment horizontal="center" vertical="center"/>
      <protection locked="0"/>
    </xf>
    <xf numFmtId="0" fontId="63" fillId="0" borderId="1" xfId="0" applyNumberFormat="1" applyFont="1" applyBorder="1" applyAlignment="1">
      <alignment horizontal="center" vertical="center" wrapText="1"/>
    </xf>
    <xf numFmtId="10" fontId="51" fillId="2" borderId="1" xfId="2" applyNumberFormat="1" applyFont="1" applyFill="1" applyBorder="1" applyAlignment="1" applyProtection="1">
      <alignment horizontal="center" vertical="center"/>
      <protection locked="0"/>
    </xf>
    <xf numFmtId="0" fontId="49" fillId="6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2" fillId="6" borderId="15" xfId="2" applyNumberFormat="1" applyFont="1" applyFill="1" applyBorder="1" applyAlignment="1">
      <alignment horizontal="center" vertical="center" wrapText="1"/>
    </xf>
    <xf numFmtId="0" fontId="32" fillId="6" borderId="16" xfId="2" applyNumberFormat="1" applyFont="1" applyFill="1" applyBorder="1" applyAlignment="1">
      <alignment horizontal="center" vertical="center" wrapText="1"/>
    </xf>
    <xf numFmtId="0" fontId="43" fillId="6" borderId="0" xfId="0" applyFont="1" applyFill="1" applyBorder="1" applyAlignment="1">
      <alignment horizontal="left" vertical="center" wrapText="1"/>
    </xf>
    <xf numFmtId="0" fontId="43" fillId="6" borderId="5" xfId="0" applyFont="1" applyFill="1" applyBorder="1" applyAlignment="1">
      <alignment horizontal="left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29" fillId="0" borderId="8" xfId="0" applyFont="1" applyBorder="1" applyAlignment="1">
      <alignment horizontal="left" vertical="center" wrapText="1"/>
    </xf>
    <xf numFmtId="0" fontId="29" fillId="2" borderId="2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165" fontId="9" fillId="6" borderId="1" xfId="2" applyNumberFormat="1" applyFont="1" applyFill="1" applyBorder="1" applyAlignment="1" applyProtection="1">
      <alignment horizontal="left" vertical="center" wrapText="1"/>
      <protection locked="0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3" fontId="8" fillId="2" borderId="1" xfId="2" applyNumberFormat="1" applyFont="1" applyFill="1" applyBorder="1" applyAlignment="1" applyProtection="1">
      <alignment horizontal="center" vertical="center"/>
      <protection locked="0"/>
    </xf>
    <xf numFmtId="0" fontId="32" fillId="6" borderId="13" xfId="2" applyNumberFormat="1" applyFont="1" applyFill="1" applyBorder="1" applyAlignment="1">
      <alignment horizontal="center" vertical="center" wrapText="1"/>
    </xf>
    <xf numFmtId="0" fontId="32" fillId="6" borderId="1" xfId="2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8" fillId="2" borderId="1" xfId="2" applyNumberFormat="1" applyFont="1" applyFill="1" applyBorder="1" applyAlignment="1" applyProtection="1">
      <alignment horizontal="center" vertical="center"/>
      <protection locked="0"/>
    </xf>
    <xf numFmtId="165" fontId="29" fillId="0" borderId="10" xfId="0" applyNumberFormat="1" applyFont="1" applyBorder="1" applyAlignment="1">
      <alignment horizontal="center" vertical="center" wrapText="1"/>
    </xf>
    <xf numFmtId="165" fontId="29" fillId="0" borderId="11" xfId="0" applyNumberFormat="1" applyFont="1" applyBorder="1" applyAlignment="1">
      <alignment horizontal="center" vertical="center" wrapText="1"/>
    </xf>
    <xf numFmtId="165" fontId="29" fillId="0" borderId="12" xfId="0" applyNumberFormat="1" applyFont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9" fontId="9" fillId="0" borderId="0" xfId="2" applyFont="1" applyBorder="1" applyAlignment="1">
      <alignment vertical="center" wrapText="1"/>
    </xf>
    <xf numFmtId="9" fontId="9" fillId="0" borderId="8" xfId="2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9" fontId="9" fillId="6" borderId="0" xfId="2" applyFont="1" applyFill="1" applyBorder="1" applyAlignment="1">
      <alignment horizontal="left" vertical="center" wrapText="1"/>
    </xf>
    <xf numFmtId="9" fontId="50" fillId="0" borderId="0" xfId="2" applyFont="1" applyBorder="1" applyAlignment="1">
      <alignment vertical="center" wrapText="1"/>
    </xf>
    <xf numFmtId="0" fontId="32" fillId="0" borderId="0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43" fillId="6" borderId="3" xfId="0" applyFont="1" applyFill="1" applyBorder="1" applyAlignment="1">
      <alignment horizontal="left" wrapText="1"/>
    </xf>
    <xf numFmtId="0" fontId="60" fillId="6" borderId="5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9" fontId="9" fillId="6" borderId="8" xfId="2" applyFont="1" applyFill="1" applyBorder="1" applyAlignment="1">
      <alignment horizontal="left" vertical="center" wrapText="1"/>
    </xf>
    <xf numFmtId="9" fontId="9" fillId="6" borderId="0" xfId="2" applyFont="1" applyFill="1" applyBorder="1" applyAlignment="1">
      <alignment horizontal="left" vertical="center"/>
    </xf>
    <xf numFmtId="9" fontId="9" fillId="6" borderId="8" xfId="2" applyFont="1" applyFill="1" applyBorder="1" applyAlignment="1">
      <alignment horizontal="left" vertical="center"/>
    </xf>
    <xf numFmtId="0" fontId="9" fillId="6" borderId="1" xfId="2" applyNumberFormat="1" applyFont="1" applyFill="1" applyBorder="1" applyAlignment="1">
      <alignment vertical="center" wrapText="1"/>
    </xf>
    <xf numFmtId="3" fontId="51" fillId="6" borderId="1" xfId="1" applyNumberFormat="1" applyFont="1" applyFill="1" applyBorder="1" applyAlignment="1" applyProtection="1">
      <alignment horizontal="center" vertical="center"/>
      <protection locked="0"/>
    </xf>
    <xf numFmtId="3" fontId="8" fillId="6" borderId="25" xfId="2" applyNumberFormat="1" applyFont="1" applyFill="1" applyBorder="1" applyAlignment="1" applyProtection="1">
      <alignment horizontal="center" vertical="center"/>
      <protection locked="0"/>
    </xf>
    <xf numFmtId="3" fontId="8" fillId="6" borderId="26" xfId="2" applyNumberFormat="1" applyFont="1" applyFill="1" applyBorder="1" applyAlignment="1" applyProtection="1">
      <alignment horizontal="center" vertical="center"/>
      <protection locked="0"/>
    </xf>
    <xf numFmtId="3" fontId="8" fillId="6" borderId="3" xfId="2" applyNumberFormat="1" applyFont="1" applyFill="1" applyBorder="1" applyAlignment="1" applyProtection="1">
      <alignment horizontal="center" vertical="center"/>
      <protection locked="0"/>
    </xf>
    <xf numFmtId="0" fontId="4" fillId="0" borderId="18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9" fillId="0" borderId="27" xfId="0" applyFont="1" applyBorder="1" applyAlignment="1">
      <alignment horizontal="center" vertical="center" wrapText="1"/>
    </xf>
    <xf numFmtId="0" fontId="49" fillId="0" borderId="28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3" fontId="7" fillId="6" borderId="1" xfId="1" applyNumberFormat="1" applyFont="1" applyFill="1" applyBorder="1" applyAlignment="1">
      <alignment horizontal="center" vertical="center"/>
    </xf>
    <xf numFmtId="3" fontId="51" fillId="6" borderId="2" xfId="1" applyNumberFormat="1" applyFont="1" applyFill="1" applyBorder="1" applyAlignment="1" applyProtection="1">
      <alignment horizontal="center" vertical="center"/>
      <protection locked="0"/>
    </xf>
    <xf numFmtId="3" fontId="51" fillId="6" borderId="4" xfId="1" applyNumberFormat="1" applyFont="1" applyFill="1" applyBorder="1" applyAlignment="1" applyProtection="1">
      <alignment horizontal="center" vertical="center"/>
      <protection locked="0"/>
    </xf>
    <xf numFmtId="10" fontId="51" fillId="6" borderId="1" xfId="2" applyNumberFormat="1" applyFont="1" applyFill="1" applyBorder="1" applyAlignment="1" applyProtection="1">
      <alignment horizontal="center" vertical="center"/>
      <protection locked="0"/>
    </xf>
    <xf numFmtId="0" fontId="0" fillId="6" borderId="3" xfId="0" applyFill="1" applyBorder="1" applyAlignment="1">
      <alignment horizontal="left" vertical="center" wrapText="1"/>
    </xf>
    <xf numFmtId="0" fontId="50" fillId="6" borderId="1" xfId="2" applyNumberFormat="1" applyFont="1" applyFill="1" applyBorder="1" applyAlignment="1" applyProtection="1">
      <alignment horizontal="center" vertical="center" wrapText="1"/>
      <protection locked="0"/>
    </xf>
    <xf numFmtId="0" fontId="32" fillId="0" borderId="8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Border="1" applyAlignment="1">
      <alignment horizontal="right" vertical="center"/>
    </xf>
    <xf numFmtId="0" fontId="29" fillId="0" borderId="0" xfId="0" applyFont="1" applyBorder="1" applyAlignment="1">
      <alignment horizontal="left" vertical="center"/>
    </xf>
    <xf numFmtId="0" fontId="4" fillId="6" borderId="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3" fontId="30" fillId="6" borderId="1" xfId="1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9" fontId="8" fillId="0" borderId="0" xfId="2" applyFont="1" applyBorder="1" applyAlignment="1">
      <alignment horizontal="center" vertical="center" wrapText="1"/>
    </xf>
    <xf numFmtId="167" fontId="30" fillId="6" borderId="0" xfId="2" applyNumberFormat="1" applyFont="1" applyFill="1" applyBorder="1" applyAlignment="1" applyProtection="1">
      <alignment horizontal="center" vertical="center"/>
      <protection locked="0"/>
    </xf>
    <xf numFmtId="3" fontId="7" fillId="0" borderId="2" xfId="1" applyNumberFormat="1" applyFont="1" applyBorder="1" applyAlignment="1">
      <alignment horizontal="center" vertical="center"/>
    </xf>
    <xf numFmtId="3" fontId="7" fillId="0" borderId="3" xfId="1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9" fontId="7" fillId="0" borderId="1" xfId="2" applyFont="1" applyBorder="1" applyAlignment="1">
      <alignment horizontal="center" vertical="center"/>
    </xf>
    <xf numFmtId="3" fontId="30" fillId="6" borderId="0" xfId="1" applyNumberFormat="1" applyFont="1" applyFill="1" applyBorder="1" applyAlignment="1">
      <alignment horizontal="center" vertical="center"/>
    </xf>
    <xf numFmtId="9" fontId="9" fillId="0" borderId="0" xfId="2" applyFont="1" applyBorder="1" applyAlignment="1">
      <alignment horizontal="left" vertical="center"/>
    </xf>
    <xf numFmtId="9" fontId="9" fillId="0" borderId="8" xfId="2" applyFont="1" applyBorder="1" applyAlignment="1">
      <alignment horizontal="left" vertical="center"/>
    </xf>
    <xf numFmtId="0" fontId="43" fillId="6" borderId="5" xfId="0" applyFont="1" applyFill="1" applyBorder="1" applyAlignment="1">
      <alignment horizontal="left" wrapText="1"/>
    </xf>
    <xf numFmtId="0" fontId="44" fillId="2" borderId="0" xfId="0" applyFont="1" applyFill="1" applyAlignment="1">
      <alignment horizontal="center"/>
    </xf>
    <xf numFmtId="0" fontId="39" fillId="4" borderId="0" xfId="0" applyFont="1" applyFill="1" applyBorder="1" applyAlignment="1">
      <alignment horizontal="center" vertical="center" wrapText="1"/>
    </xf>
    <xf numFmtId="0" fontId="39" fillId="4" borderId="9" xfId="0" applyFont="1" applyFill="1" applyBorder="1" applyAlignment="1">
      <alignment horizontal="center" vertical="center" wrapText="1"/>
    </xf>
    <xf numFmtId="0" fontId="35" fillId="6" borderId="2" xfId="3" applyFont="1" applyFill="1" applyBorder="1" applyAlignment="1">
      <alignment horizontal="center" vertical="center" wrapText="1"/>
    </xf>
    <xf numFmtId="0" fontId="35" fillId="6" borderId="3" xfId="3" applyFont="1" applyFill="1" applyBorder="1" applyAlignment="1">
      <alignment horizontal="center" vertical="center" wrapText="1"/>
    </xf>
    <xf numFmtId="0" fontId="35" fillId="6" borderId="4" xfId="3" applyFont="1" applyFill="1" applyBorder="1" applyAlignment="1">
      <alignment horizontal="center" vertical="center" wrapText="1"/>
    </xf>
    <xf numFmtId="0" fontId="35" fillId="0" borderId="2" xfId="3" applyFont="1" applyBorder="1" applyAlignment="1">
      <alignment horizontal="center" vertical="center" wrapText="1"/>
    </xf>
    <xf numFmtId="0" fontId="35" fillId="0" borderId="3" xfId="3" applyFont="1" applyBorder="1" applyAlignment="1">
      <alignment horizontal="center" vertical="center" wrapText="1"/>
    </xf>
    <xf numFmtId="0" fontId="35" fillId="0" borderId="4" xfId="3" applyFont="1" applyBorder="1" applyAlignment="1">
      <alignment horizontal="center" vertical="center" wrapText="1"/>
    </xf>
    <xf numFmtId="0" fontId="35" fillId="0" borderId="1" xfId="3" applyFont="1" applyBorder="1" applyAlignment="1">
      <alignment horizontal="center" vertical="center" wrapText="1"/>
    </xf>
    <xf numFmtId="0" fontId="15" fillId="4" borderId="0" xfId="3" applyFont="1" applyFill="1" applyBorder="1" applyAlignment="1">
      <alignment horizontal="left" vertical="center"/>
    </xf>
  </cellXfs>
  <cellStyles count="6">
    <cellStyle name="Обычный" xfId="0" builtinId="0"/>
    <cellStyle name="Обычный_7.1. ТЭО (RH)" xfId="3"/>
    <cellStyle name="Процентный" xfId="2" builtinId="5"/>
    <cellStyle name="Процентный 2" xfId="4"/>
    <cellStyle name="Финансовый" xfId="1" builtinId="3"/>
    <cellStyle name="Финансовый 2" xfId="5"/>
  </cellStyles>
  <dxfs count="4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4" dropStyle="combo" dx="22" fmlaLink="$O$2" fmlaRange="$P$2:$P$5" sel="1" val="0"/>
</file>

<file path=xl/ctrlProps/ctrlProp2.xml><?xml version="1.0" encoding="utf-8"?>
<formControlPr xmlns="http://schemas.microsoft.com/office/spreadsheetml/2009/9/main" objectType="Drop" dropLines="12" dropStyle="combo" dx="22" fmlaLink="Q$2" fmlaRange="$R$2:$R$13" sel="10" val="0"/>
</file>

<file path=xl/ctrlProps/ctrlProp3.xml><?xml version="1.0" encoding="utf-8"?>
<formControlPr xmlns="http://schemas.microsoft.com/office/spreadsheetml/2009/9/main" objectType="Drop" dropLines="2" dropStyle="combo" dx="22" fmlaLink="$N$1" fmlaRange="$O$1:$O$2" sel="2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9.png"/><Relationship Id="rId3" Type="http://schemas.openxmlformats.org/officeDocument/2006/relationships/image" Target="../media/image3.png"/><Relationship Id="rId21" Type="http://schemas.openxmlformats.org/officeDocument/2006/relationships/image" Target="../media/image2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8.png"/><Relationship Id="rId2" Type="http://schemas.openxmlformats.org/officeDocument/2006/relationships/image" Target="../media/image2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121</xdr:row>
      <xdr:rowOff>26175</xdr:rowOff>
    </xdr:from>
    <xdr:to>
      <xdr:col>0</xdr:col>
      <xdr:colOff>542100</xdr:colOff>
      <xdr:row>121</xdr:row>
      <xdr:rowOff>530175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657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52274</xdr:colOff>
      <xdr:row>118</xdr:row>
      <xdr:rowOff>23700</xdr:rowOff>
    </xdr:from>
    <xdr:to>
      <xdr:col>0</xdr:col>
      <xdr:colOff>592274</xdr:colOff>
      <xdr:row>118</xdr:row>
      <xdr:rowOff>515580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24074325"/>
          <a:ext cx="540000" cy="49188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122</xdr:row>
      <xdr:rowOff>21300</xdr:rowOff>
    </xdr:from>
    <xdr:to>
      <xdr:col>0</xdr:col>
      <xdr:colOff>553875</xdr:colOff>
      <xdr:row>122</xdr:row>
      <xdr:rowOff>525300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103</xdr:row>
      <xdr:rowOff>9525</xdr:rowOff>
    </xdr:from>
    <xdr:to>
      <xdr:col>0</xdr:col>
      <xdr:colOff>551625</xdr:colOff>
      <xdr:row>103</xdr:row>
      <xdr:rowOff>513525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5354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</xdr:colOff>
      <xdr:row>62</xdr:row>
      <xdr:rowOff>28578</xdr:rowOff>
    </xdr:from>
    <xdr:to>
      <xdr:col>0</xdr:col>
      <xdr:colOff>546867</xdr:colOff>
      <xdr:row>63</xdr:row>
      <xdr:rowOff>3412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3158791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2</xdr:row>
          <xdr:rowOff>57150</xdr:rowOff>
        </xdr:from>
        <xdr:to>
          <xdr:col>4</xdr:col>
          <xdr:colOff>825500</xdr:colOff>
          <xdr:row>2</xdr:row>
          <xdr:rowOff>342900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47622</xdr:colOff>
      <xdr:row>60</xdr:row>
      <xdr:rowOff>12814</xdr:rowOff>
    </xdr:from>
    <xdr:to>
      <xdr:col>0</xdr:col>
      <xdr:colOff>551622</xdr:colOff>
      <xdr:row>60</xdr:row>
      <xdr:rowOff>516815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2133377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61</xdr:row>
      <xdr:rowOff>23815</xdr:rowOff>
    </xdr:from>
    <xdr:to>
      <xdr:col>0</xdr:col>
      <xdr:colOff>554426</xdr:colOff>
      <xdr:row>61</xdr:row>
      <xdr:rowOff>523331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2649203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53</xdr:row>
      <xdr:rowOff>0</xdr:rowOff>
    </xdr:from>
    <xdr:to>
      <xdr:col>0</xdr:col>
      <xdr:colOff>551624</xdr:colOff>
      <xdr:row>53</xdr:row>
      <xdr:rowOff>504000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835342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59</xdr:row>
      <xdr:rowOff>90</xdr:rowOff>
    </xdr:from>
    <xdr:to>
      <xdr:col>0</xdr:col>
      <xdr:colOff>551623</xdr:colOff>
      <xdr:row>59</xdr:row>
      <xdr:rowOff>504091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615828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113</xdr:row>
      <xdr:rowOff>19050</xdr:rowOff>
    </xdr:from>
    <xdr:to>
      <xdr:col>0</xdr:col>
      <xdr:colOff>551625</xdr:colOff>
      <xdr:row>113</xdr:row>
      <xdr:rowOff>523050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</xdr:row>
          <xdr:rowOff>50800</xdr:rowOff>
        </xdr:from>
        <xdr:to>
          <xdr:col>4</xdr:col>
          <xdr:colOff>831850</xdr:colOff>
          <xdr:row>3</xdr:row>
          <xdr:rowOff>342900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44824</xdr:colOff>
      <xdr:row>107</xdr:row>
      <xdr:rowOff>22412</xdr:rowOff>
    </xdr:from>
    <xdr:to>
      <xdr:col>0</xdr:col>
      <xdr:colOff>548824</xdr:colOff>
      <xdr:row>107</xdr:row>
      <xdr:rowOff>526412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824" y="2617694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56</xdr:row>
      <xdr:rowOff>501742</xdr:rowOff>
    </xdr:from>
    <xdr:to>
      <xdr:col>0</xdr:col>
      <xdr:colOff>560030</xdr:colOff>
      <xdr:row>57</xdr:row>
      <xdr:rowOff>472903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30" y="11107830"/>
          <a:ext cx="504000" cy="504561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106</xdr:row>
      <xdr:rowOff>0</xdr:rowOff>
    </xdr:from>
    <xdr:to>
      <xdr:col>0</xdr:col>
      <xdr:colOff>551630</xdr:colOff>
      <xdr:row>106</xdr:row>
      <xdr:rowOff>506721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8030825"/>
          <a:ext cx="504000" cy="506721"/>
        </a:xfrm>
        <a:prstGeom prst="rect">
          <a:avLst/>
        </a:prstGeom>
      </xdr:spPr>
    </xdr:pic>
    <xdr:clientData/>
  </xdr:twoCellAnchor>
  <xdr:oneCellAnchor>
    <xdr:from>
      <xdr:col>0</xdr:col>
      <xdr:colOff>52393</xdr:colOff>
      <xdr:row>111</xdr:row>
      <xdr:rowOff>9526</xdr:rowOff>
    </xdr:from>
    <xdr:ext cx="504000" cy="504000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393" y="25298401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47630</xdr:colOff>
      <xdr:row>105</xdr:row>
      <xdr:rowOff>4763</xdr:rowOff>
    </xdr:from>
    <xdr:to>
      <xdr:col>0</xdr:col>
      <xdr:colOff>551630</xdr:colOff>
      <xdr:row>105</xdr:row>
      <xdr:rowOff>511485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30" y="25241251"/>
          <a:ext cx="504000" cy="5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52393</xdr:colOff>
      <xdr:row>112</xdr:row>
      <xdr:rowOff>0</xdr:rowOff>
    </xdr:from>
    <xdr:to>
      <xdr:col>0</xdr:col>
      <xdr:colOff>556393</xdr:colOff>
      <xdr:row>112</xdr:row>
      <xdr:rowOff>504561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93" y="21383625"/>
          <a:ext cx="504000" cy="504561"/>
        </a:xfrm>
        <a:prstGeom prst="rect">
          <a:avLst/>
        </a:prstGeom>
      </xdr:spPr>
    </xdr:pic>
    <xdr:clientData/>
  </xdr:twoCellAnchor>
  <xdr:oneCellAnchor>
    <xdr:from>
      <xdr:col>0</xdr:col>
      <xdr:colOff>52393</xdr:colOff>
      <xdr:row>54</xdr:row>
      <xdr:rowOff>21775</xdr:rowOff>
    </xdr:from>
    <xdr:ext cx="504000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393" y="25331061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57156</xdr:colOff>
      <xdr:row>102</xdr:row>
      <xdr:rowOff>0</xdr:rowOff>
    </xdr:from>
    <xdr:ext cx="479937" cy="50400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6" y="18183225"/>
          <a:ext cx="479937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38104</xdr:colOff>
      <xdr:row>115</xdr:row>
      <xdr:rowOff>9526</xdr:rowOff>
    </xdr:from>
    <xdr:to>
      <xdr:col>0</xdr:col>
      <xdr:colOff>542104</xdr:colOff>
      <xdr:row>115</xdr:row>
      <xdr:rowOff>513526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4" y="23131464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38104</xdr:colOff>
      <xdr:row>56</xdr:row>
      <xdr:rowOff>0</xdr:rowOff>
    </xdr:from>
    <xdr:ext cx="517622" cy="506721"/>
    <xdr:pic>
      <xdr:nvPicPr>
        <xdr:cNvPr id="39" name="Рисунок 2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2906374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38101</xdr:colOff>
      <xdr:row>114</xdr:row>
      <xdr:rowOff>0</xdr:rowOff>
    </xdr:from>
    <xdr:to>
      <xdr:col>0</xdr:col>
      <xdr:colOff>542101</xdr:colOff>
      <xdr:row>114</xdr:row>
      <xdr:rowOff>504000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2777914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57</xdr:row>
      <xdr:rowOff>527957</xdr:rowOff>
    </xdr:from>
    <xdr:to>
      <xdr:col>0</xdr:col>
      <xdr:colOff>536658</xdr:colOff>
      <xdr:row>58</xdr:row>
      <xdr:rowOff>494073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18625457"/>
          <a:ext cx="504000" cy="499516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116</xdr:row>
      <xdr:rowOff>317500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811395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104</xdr:row>
      <xdr:rowOff>9525</xdr:rowOff>
    </xdr:from>
    <xdr:ext cx="504000" cy="50400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8636011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120</xdr:row>
      <xdr:rowOff>23700</xdr:rowOff>
    </xdr:from>
    <xdr:ext cx="540000" cy="49188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63389443"/>
          <a:ext cx="540000" cy="491880"/>
        </a:xfrm>
        <a:prstGeom prst="rect">
          <a:avLst/>
        </a:prstGeom>
      </xdr:spPr>
    </xdr:pic>
    <xdr:clientData/>
  </xdr:oneCellAnchor>
  <xdr:twoCellAnchor editAs="oneCell">
    <xdr:from>
      <xdr:col>0</xdr:col>
      <xdr:colOff>31750</xdr:colOff>
      <xdr:row>55</xdr:row>
      <xdr:rowOff>0</xdr:rowOff>
    </xdr:from>
    <xdr:to>
      <xdr:col>0</xdr:col>
      <xdr:colOff>535750</xdr:colOff>
      <xdr:row>55</xdr:row>
      <xdr:rowOff>499516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30327600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108</xdr:row>
      <xdr:rowOff>0</xdr:rowOff>
    </xdr:from>
    <xdr:to>
      <xdr:col>0</xdr:col>
      <xdr:colOff>561150</xdr:colOff>
      <xdr:row>108</xdr:row>
      <xdr:rowOff>504000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150" y="43427650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50800</xdr:colOff>
      <xdr:row>109</xdr:row>
      <xdr:rowOff>539750</xdr:rowOff>
    </xdr:from>
    <xdr:ext cx="504000" cy="504000"/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396740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109</xdr:row>
      <xdr:rowOff>6350</xdr:rowOff>
    </xdr:from>
    <xdr:to>
      <xdr:col>0</xdr:col>
      <xdr:colOff>562160</xdr:colOff>
      <xdr:row>109</xdr:row>
      <xdr:rowOff>510350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150" y="43980100"/>
          <a:ext cx="50501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59</xdr:row>
      <xdr:rowOff>26175</xdr:rowOff>
    </xdr:from>
    <xdr:ext cx="504000" cy="50400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39977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58</xdr:row>
      <xdr:rowOff>23700</xdr:rowOff>
    </xdr:from>
    <xdr:ext cx="540000" cy="49188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1721442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49875</xdr:colOff>
      <xdr:row>60</xdr:row>
      <xdr:rowOff>21300</xdr:rowOff>
    </xdr:from>
    <xdr:ext cx="504000" cy="504000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1757778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44</xdr:row>
      <xdr:rowOff>9525</xdr:rowOff>
    </xdr:from>
    <xdr:ext cx="504000" cy="50400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7144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42867</xdr:colOff>
      <xdr:row>19</xdr:row>
      <xdr:rowOff>28578</xdr:rowOff>
    </xdr:from>
    <xdr:ext cx="504000" cy="50400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2098658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47622</xdr:colOff>
      <xdr:row>17</xdr:row>
      <xdr:rowOff>12814</xdr:rowOff>
    </xdr:from>
    <xdr:ext cx="504000" cy="504001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1534254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50426</xdr:colOff>
      <xdr:row>18</xdr:row>
      <xdr:rowOff>23815</xdr:rowOff>
    </xdr:from>
    <xdr:ext cx="504000" cy="499516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1728135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47624</xdr:colOff>
      <xdr:row>10</xdr:row>
      <xdr:rowOff>0</xdr:rowOff>
    </xdr:from>
    <xdr:ext cx="504000" cy="504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0584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47623</xdr:colOff>
      <xdr:row>16</xdr:row>
      <xdr:rowOff>90</xdr:rowOff>
    </xdr:from>
    <xdr:ext cx="504000" cy="504001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338650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54</xdr:row>
      <xdr:rowOff>19050</xdr:rowOff>
    </xdr:from>
    <xdr:ext cx="504000" cy="504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84401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48</xdr:row>
      <xdr:rowOff>22412</xdr:rowOff>
    </xdr:from>
    <xdr:ext cx="504000" cy="5040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824" y="16115852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13</xdr:row>
      <xdr:rowOff>501742</xdr:rowOff>
    </xdr:from>
    <xdr:ext cx="504000" cy="504561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30" y="11154502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47</xdr:row>
      <xdr:rowOff>0</xdr:rowOff>
    </xdr:from>
    <xdr:ext cx="504000" cy="506721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5910560"/>
          <a:ext cx="504000" cy="506721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52</xdr:row>
      <xdr:rowOff>9526</xdr:rowOff>
    </xdr:from>
    <xdr:ext cx="504000" cy="504000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393" y="16468726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46</xdr:row>
      <xdr:rowOff>4763</xdr:rowOff>
    </xdr:from>
    <xdr:ext cx="504000" cy="50672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30" y="15732443"/>
          <a:ext cx="504000" cy="506722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53</xdr:row>
      <xdr:rowOff>0</xdr:rowOff>
    </xdr:from>
    <xdr:ext cx="504000" cy="504561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93" y="16642080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57156</xdr:colOff>
      <xdr:row>43</xdr:row>
      <xdr:rowOff>0</xdr:rowOff>
    </xdr:from>
    <xdr:ext cx="479937" cy="504000"/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6" y="15179040"/>
          <a:ext cx="479937" cy="504000"/>
        </a:xfrm>
        <a:prstGeom prst="rect">
          <a:avLst/>
        </a:prstGeom>
      </xdr:spPr>
    </xdr:pic>
    <xdr:clientData/>
  </xdr:oneCellAnchor>
  <xdr:oneCellAnchor>
    <xdr:from>
      <xdr:col>0</xdr:col>
      <xdr:colOff>38104</xdr:colOff>
      <xdr:row>56</xdr:row>
      <xdr:rowOff>9526</xdr:rowOff>
    </xdr:from>
    <xdr:ext cx="504000" cy="504000"/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4" y="17017366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38104</xdr:colOff>
      <xdr:row>13</xdr:row>
      <xdr:rowOff>0</xdr:rowOff>
    </xdr:from>
    <xdr:ext cx="517622" cy="506721"/>
    <xdr:pic>
      <xdr:nvPicPr>
        <xdr:cNvPr id="31" name="Рисунок 21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0972799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330200</xdr:colOff>
          <xdr:row>3</xdr:row>
          <xdr:rowOff>107950</xdr:rowOff>
        </xdr:from>
        <xdr:to>
          <xdr:col>3</xdr:col>
          <xdr:colOff>1263650</xdr:colOff>
          <xdr:row>3</xdr:row>
          <xdr:rowOff>425450</xdr:rowOff>
        </xdr:to>
        <xdr:sp macro="" textlink="">
          <xdr:nvSpPr>
            <xdr:cNvPr id="6149" name="Drop Down 1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0</xdr:col>
      <xdr:colOff>57836</xdr:colOff>
      <xdr:row>11</xdr:row>
      <xdr:rowOff>4768</xdr:rowOff>
    </xdr:from>
    <xdr:ext cx="504000" cy="50400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836" y="13998354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55</xdr:row>
      <xdr:rowOff>0</xdr:rowOff>
    </xdr:from>
    <xdr:ext cx="504000" cy="504000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352425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14</xdr:row>
      <xdr:rowOff>527957</xdr:rowOff>
    </xdr:from>
    <xdr:ext cx="504000" cy="499516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12812486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57</xdr:row>
      <xdr:rowOff>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7638829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45</xdr:row>
      <xdr:rowOff>9525</xdr:rowOff>
    </xdr:from>
    <xdr:ext cx="504000" cy="50400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87992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54430</xdr:colOff>
      <xdr:row>12</xdr:row>
      <xdr:rowOff>0</xdr:rowOff>
    </xdr:from>
    <xdr:ext cx="504000" cy="499516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9780814"/>
          <a:ext cx="504000" cy="499516"/>
        </a:xfrm>
        <a:prstGeom prst="rect">
          <a:avLst/>
        </a:prstGeom>
      </xdr:spPr>
    </xdr:pic>
    <xdr:clientData/>
  </xdr:oneCellAnchor>
  <xdr:twoCellAnchor editAs="oneCell">
    <xdr:from>
      <xdr:col>0</xdr:col>
      <xdr:colOff>32658</xdr:colOff>
      <xdr:row>49</xdr:row>
      <xdr:rowOff>10886</xdr:rowOff>
    </xdr:from>
    <xdr:to>
      <xdr:col>0</xdr:col>
      <xdr:colOff>536658</xdr:colOff>
      <xdr:row>49</xdr:row>
      <xdr:rowOff>514886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658" y="26071286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42</xdr:row>
      <xdr:rowOff>0</xdr:rowOff>
    </xdr:from>
    <xdr:to>
      <xdr:col>0</xdr:col>
      <xdr:colOff>542101</xdr:colOff>
      <xdr:row>42</xdr:row>
      <xdr:rowOff>504000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2326600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32658</xdr:colOff>
      <xdr:row>51</xdr:row>
      <xdr:rowOff>5443</xdr:rowOff>
    </xdr:from>
    <xdr:ext cx="504000" cy="504000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7132643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39008</xdr:colOff>
      <xdr:row>50</xdr:row>
      <xdr:rowOff>5443</xdr:rowOff>
    </xdr:from>
    <xdr:to>
      <xdr:col>0</xdr:col>
      <xdr:colOff>544018</xdr:colOff>
      <xdr:row>50</xdr:row>
      <xdr:rowOff>509443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9008" y="26599243"/>
          <a:ext cx="505010" cy="504000"/>
        </a:xfrm>
        <a:prstGeom prst="rect">
          <a:avLst/>
        </a:prstGeom>
      </xdr:spPr>
    </xdr:pic>
    <xdr:clientData/>
  </xdr:twoCellAnchor>
  <xdr:oneCellAnchor>
    <xdr:from>
      <xdr:col>0</xdr:col>
      <xdr:colOff>43544</xdr:colOff>
      <xdr:row>41</xdr:row>
      <xdr:rowOff>0</xdr:rowOff>
    </xdr:from>
    <xdr:ext cx="504000" cy="50400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" y="15136586"/>
          <a:ext cx="504000" cy="504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manager/AppData/Local/Temp/Rar$DI00.349/DOCUME~1/ZaziOne/LOCALS~1/Temp/bat/&#1056;&#1072;&#1089;&#1095;&#1077;&#109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ZIPC\Exchange\_&#1071;&#1085;&#1072;\&#1056;&#1052;C%20&#1040;&#1074;&#1090;&#1086;\&#1060;&#1080;&#1085;&#1072;&#1085;&#1089;&#1086;&#1074;&#1072;&#1103;%20&#1084;&#1086;&#1076;&#1077;&#1083;&#1100;%20&#1092;&#1088;&#1072;&#1085;&#1096;&#1080;&#1079;&#1099;%20RMSAuto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manager/AppData/Local/Temp/Rar$DI00.349/Documents%20and%20Settings/&#1052;&#1072;&#1088;&#1075;&#1086;/&#1056;&#1072;&#1073;&#1086;&#1095;&#1080;&#1081;%20&#1089;&#1090;&#1086;&#1083;/5.%20&#1058;&#1069;&#105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>
        <row r="7">
          <cell r="D7">
            <v>39083</v>
          </cell>
        </row>
        <row r="8">
          <cell r="D8">
            <v>6</v>
          </cell>
        </row>
        <row r="9">
          <cell r="D9">
            <v>3</v>
          </cell>
          <cell r="E9" t="str">
            <v>пг.</v>
          </cell>
        </row>
        <row r="10">
          <cell r="D10">
            <v>180</v>
          </cell>
        </row>
        <row r="11">
          <cell r="B11" t="str">
            <v>грн.</v>
          </cell>
          <cell r="D11">
            <v>4</v>
          </cell>
        </row>
        <row r="12">
          <cell r="B12" t="str">
            <v>тыс. $</v>
          </cell>
          <cell r="D12">
            <v>6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грн.</v>
          </cell>
          <cell r="D19">
            <v>1</v>
          </cell>
        </row>
        <row r="20">
          <cell r="D20" t="b">
            <v>1</v>
          </cell>
        </row>
        <row r="25">
          <cell r="F25">
            <v>2007</v>
          </cell>
        </row>
        <row r="26">
          <cell r="F26">
            <v>1</v>
          </cell>
        </row>
        <row r="86">
          <cell r="F86" t="str">
            <v>"0"</v>
          </cell>
          <cell r="G86" t="str">
            <v>1/ 2007</v>
          </cell>
          <cell r="H86" t="str">
            <v>2/ 2007</v>
          </cell>
          <cell r="I86" t="str">
            <v>1/ 2008</v>
          </cell>
          <cell r="J86" t="str">
            <v>2/ 2008</v>
          </cell>
          <cell r="K86" t="str">
            <v>1/ 2009</v>
          </cell>
          <cell r="L86" t="str">
            <v>2/ 2009</v>
          </cell>
        </row>
        <row r="88">
          <cell r="F88">
            <v>2</v>
          </cell>
        </row>
        <row r="749">
          <cell r="B749">
            <v>0</v>
          </cell>
        </row>
        <row r="751">
          <cell r="B751">
            <v>0</v>
          </cell>
        </row>
        <row r="755">
          <cell r="B755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10</v>
          </cell>
        </row>
        <row r="889">
          <cell r="B889">
            <v>0.2</v>
          </cell>
        </row>
        <row r="890">
          <cell r="B890">
            <v>30</v>
          </cell>
        </row>
        <row r="891">
          <cell r="B891">
            <v>2</v>
          </cell>
        </row>
        <row r="892">
          <cell r="B892">
            <v>1</v>
          </cell>
        </row>
        <row r="945">
          <cell r="B945">
            <v>0.25</v>
          </cell>
        </row>
        <row r="946">
          <cell r="B946">
            <v>60</v>
          </cell>
        </row>
      </sheetData>
      <sheetData sheetId="2" refreshError="1"/>
      <sheetData sheetId="3" refreshError="1">
        <row r="9">
          <cell r="E9">
            <v>4</v>
          </cell>
        </row>
      </sheetData>
      <sheetData sheetId="4" refreshError="1"/>
      <sheetData sheetId="5" refreshError="1">
        <row r="5">
          <cell r="B5" t="str">
            <v>5.05</v>
          </cell>
        </row>
        <row r="10">
          <cell r="B10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Исходные данные"/>
      <sheetName val="2. Резюме проекта"/>
      <sheetName val="3. Детальный расчет"/>
    </sheetNames>
    <sheetDataSet>
      <sheetData sheetId="0">
        <row r="1">
          <cell r="I1">
            <v>4</v>
          </cell>
        </row>
      </sheetData>
      <sheetData sheetId="1"/>
      <sheetData sheetId="2">
        <row r="12">
          <cell r="D12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24"/>
  <sheetViews>
    <sheetView showGridLines="0" topLeftCell="A55" zoomScale="60" zoomScaleNormal="60" workbookViewId="0">
      <selection activeCell="H60" sqref="H60:I60"/>
    </sheetView>
  </sheetViews>
  <sheetFormatPr defaultRowHeight="34.25" customHeight="1" x14ac:dyDescent="0.35"/>
  <cols>
    <col min="1" max="1" width="8.453125" customWidth="1"/>
    <col min="2" max="2" width="27.6328125" customWidth="1"/>
    <col min="3" max="3" width="19.54296875" customWidth="1"/>
    <col min="4" max="4" width="21.1796875" customWidth="1"/>
    <col min="5" max="5" width="23.453125" customWidth="1"/>
    <col min="6" max="6" width="26.54296875" customWidth="1"/>
    <col min="7" max="7" width="23.453125" customWidth="1"/>
    <col min="8" max="8" width="24.7265625" customWidth="1"/>
    <col min="9" max="9" width="23.453125" customWidth="1"/>
    <col min="10" max="10" width="21.1796875" customWidth="1"/>
    <col min="11" max="11" width="27.6328125" customWidth="1"/>
    <col min="12" max="12" width="11.81640625" customWidth="1"/>
    <col min="13" max="14" width="9.1796875" customWidth="1"/>
    <col min="15" max="15" width="1.6328125" hidden="1" customWidth="1"/>
    <col min="16" max="16" width="4.26953125" hidden="1" customWidth="1"/>
    <col min="17" max="17" width="1.6328125" hidden="1" customWidth="1"/>
    <col min="18" max="18" width="8.1796875" hidden="1" customWidth="1"/>
    <col min="19" max="24" width="8.81640625" customWidth="1"/>
  </cols>
  <sheetData>
    <row r="1" spans="1:25" ht="34.25" customHeight="1" x14ac:dyDescent="0.35">
      <c r="A1" s="310" t="s">
        <v>5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79"/>
    </row>
    <row r="2" spans="1:25" ht="72.650000000000006" customHeight="1" x14ac:dyDescent="0.35">
      <c r="A2" s="313" t="s">
        <v>145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147"/>
      <c r="O2" s="75">
        <v>1</v>
      </c>
      <c r="P2" s="81" t="s">
        <v>60</v>
      </c>
      <c r="Q2" s="93">
        <v>10</v>
      </c>
      <c r="R2" s="93" t="s">
        <v>24</v>
      </c>
      <c r="T2" s="93"/>
      <c r="U2" s="93"/>
    </row>
    <row r="3" spans="1:25" ht="34.25" customHeight="1" x14ac:dyDescent="0.35">
      <c r="A3" s="74" t="s">
        <v>49</v>
      </c>
      <c r="B3" s="80"/>
      <c r="K3" s="72"/>
      <c r="L3" s="160"/>
      <c r="M3" s="73"/>
      <c r="O3" s="81"/>
      <c r="P3" s="81" t="str">
        <f>E5</f>
        <v>USD</v>
      </c>
      <c r="Q3" s="93"/>
      <c r="R3" s="93" t="s">
        <v>25</v>
      </c>
      <c r="T3" s="93"/>
      <c r="U3" s="93"/>
    </row>
    <row r="4" spans="1:25" ht="34.25" customHeight="1" x14ac:dyDescent="0.35">
      <c r="A4" s="139" t="s">
        <v>23</v>
      </c>
      <c r="B4" s="80"/>
      <c r="I4" s="137"/>
      <c r="K4" s="72"/>
      <c r="L4" s="72"/>
      <c r="M4" s="73"/>
      <c r="O4" s="81"/>
      <c r="P4" s="81" t="str">
        <f>G5</f>
        <v>EUR</v>
      </c>
      <c r="Q4" s="93"/>
      <c r="R4" s="93" t="s">
        <v>52</v>
      </c>
    </row>
    <row r="5" spans="1:25" ht="46.5" customHeight="1" x14ac:dyDescent="0.35">
      <c r="A5" s="296" t="s">
        <v>123</v>
      </c>
      <c r="B5" s="296"/>
      <c r="C5" s="296"/>
      <c r="D5" s="297"/>
      <c r="E5" s="156" t="s">
        <v>61</v>
      </c>
      <c r="F5" s="157">
        <v>27</v>
      </c>
      <c r="G5" s="298" t="s">
        <v>62</v>
      </c>
      <c r="H5" s="299"/>
      <c r="I5" s="157">
        <v>31</v>
      </c>
      <c r="J5" s="156" t="s">
        <v>63</v>
      </c>
      <c r="K5" s="157">
        <v>0.41689999999999999</v>
      </c>
      <c r="L5" s="72"/>
      <c r="M5" s="73"/>
      <c r="O5" s="81"/>
      <c r="P5" s="81" t="str">
        <f>J5</f>
        <v>RUB</v>
      </c>
      <c r="Q5" s="93"/>
      <c r="R5" s="93" t="s">
        <v>53</v>
      </c>
    </row>
    <row r="6" spans="1:25" ht="17.75" customHeight="1" x14ac:dyDescent="0.35">
      <c r="A6" s="76"/>
      <c r="P6" s="81"/>
      <c r="Q6" s="93"/>
      <c r="R6" s="93" t="s">
        <v>54</v>
      </c>
    </row>
    <row r="7" spans="1:25" ht="46.5" customHeight="1" x14ac:dyDescent="0.35">
      <c r="A7" s="289" t="s">
        <v>92</v>
      </c>
      <c r="B7" s="289"/>
      <c r="C7" s="289"/>
      <c r="D7" s="306" t="s">
        <v>147</v>
      </c>
      <c r="E7" s="306"/>
      <c r="F7" s="306"/>
      <c r="G7" s="306"/>
      <c r="H7" s="306" t="s">
        <v>148</v>
      </c>
      <c r="I7" s="306"/>
      <c r="J7" s="306"/>
      <c r="K7" s="306"/>
      <c r="L7" s="72"/>
      <c r="M7" s="73"/>
      <c r="O7" s="81"/>
      <c r="P7" s="81"/>
      <c r="Q7" s="93"/>
      <c r="R7" s="93" t="s">
        <v>76</v>
      </c>
    </row>
    <row r="8" spans="1:25" ht="17.75" customHeight="1" x14ac:dyDescent="0.35">
      <c r="A8" s="76"/>
      <c r="P8" s="81"/>
      <c r="Q8" s="93"/>
      <c r="R8" s="93" t="s">
        <v>26</v>
      </c>
    </row>
    <row r="9" spans="1:25" ht="34.25" customHeight="1" x14ac:dyDescent="0.35">
      <c r="A9" s="76" t="s">
        <v>51</v>
      </c>
      <c r="P9" s="81"/>
      <c r="Q9" s="93"/>
      <c r="R9" s="93" t="s">
        <v>27</v>
      </c>
    </row>
    <row r="10" spans="1:25" s="1" customFormat="1" ht="36" customHeight="1" x14ac:dyDescent="0.35">
      <c r="A10" s="317" t="s">
        <v>127</v>
      </c>
      <c r="B10" s="317"/>
      <c r="C10" s="253" t="s">
        <v>125</v>
      </c>
      <c r="D10" s="253"/>
      <c r="E10" s="253"/>
      <c r="F10" s="253" t="s">
        <v>126</v>
      </c>
      <c r="G10" s="253"/>
      <c r="H10" s="329" t="str">
        <f>"Плановая среднемесячная выручка, "&amp;CHOOSE($O$2,$P$2,$P$3,$P$4,$P$5)&amp;"/мес."</f>
        <v>Плановая среднемесячная выручка, UAH/мес.</v>
      </c>
      <c r="I10" s="330"/>
      <c r="J10" s="330"/>
      <c r="K10" s="331"/>
      <c r="L10" s="67"/>
      <c r="O10" s="67"/>
      <c r="P10" s="69"/>
      <c r="Q10" s="94"/>
      <c r="R10" s="83" t="s">
        <v>28</v>
      </c>
      <c r="S10" s="70"/>
    </row>
    <row r="11" spans="1:25" s="1" customFormat="1" ht="36" customHeight="1" x14ac:dyDescent="0.35">
      <c r="A11" s="317"/>
      <c r="B11" s="317"/>
      <c r="C11" s="198" t="s">
        <v>60</v>
      </c>
      <c r="D11" s="253" t="str">
        <f>"В валюте, в которой производиться расчет, "&amp;CHOOSE($O$2,$P$2,$P$3,$P$4,$P$5)&amp;""</f>
        <v>В валюте, в которой производиться расчет, UAH</v>
      </c>
      <c r="E11" s="253"/>
      <c r="F11" s="253"/>
      <c r="G11" s="253"/>
      <c r="H11" s="332"/>
      <c r="I11" s="333"/>
      <c r="J11" s="333"/>
      <c r="K11" s="334"/>
      <c r="L11" s="67"/>
      <c r="O11" s="67"/>
      <c r="P11" s="69"/>
      <c r="Q11" s="94"/>
      <c r="R11" s="93" t="s">
        <v>29</v>
      </c>
      <c r="S11" s="70"/>
    </row>
    <row r="12" spans="1:25" s="1" customFormat="1" ht="44.75" customHeight="1" x14ac:dyDescent="0.35">
      <c r="A12" s="300" t="str">
        <f>D7</f>
        <v>Business</v>
      </c>
      <c r="B12" s="300"/>
      <c r="C12" s="179">
        <v>1275</v>
      </c>
      <c r="D12" s="301">
        <f>C12/CHOOSE($O$2,1,$F$5,$I$5,$K$5)</f>
        <v>1275</v>
      </c>
      <c r="E12" s="301"/>
      <c r="F12" s="302">
        <v>13</v>
      </c>
      <c r="G12" s="302"/>
      <c r="H12" s="267">
        <f>D12*F12*30</f>
        <v>497250</v>
      </c>
      <c r="I12" s="328"/>
      <c r="J12" s="328"/>
      <c r="K12" s="268"/>
      <c r="L12" s="67"/>
      <c r="O12" s="67"/>
      <c r="P12" s="69"/>
      <c r="Q12" s="94"/>
      <c r="R12" s="93" t="s">
        <v>30</v>
      </c>
      <c r="S12" s="94"/>
      <c r="T12" s="94"/>
      <c r="U12" s="94"/>
      <c r="V12" s="94"/>
      <c r="W12" s="94"/>
      <c r="X12" s="94"/>
    </row>
    <row r="13" spans="1:25" ht="44.75" customHeight="1" x14ac:dyDescent="0.35">
      <c r="A13" s="300" t="str">
        <f>H7</f>
        <v>Exclusive</v>
      </c>
      <c r="B13" s="300"/>
      <c r="C13" s="179">
        <v>1380</v>
      </c>
      <c r="D13" s="301">
        <f t="shared" ref="D13" si="0">C13/CHOOSE($O$2,1,$F$5,$I$5,$K$5)</f>
        <v>1380</v>
      </c>
      <c r="E13" s="301"/>
      <c r="F13" s="302">
        <v>15</v>
      </c>
      <c r="G13" s="302"/>
      <c r="H13" s="267">
        <f>D13*F13*30</f>
        <v>621000</v>
      </c>
      <c r="I13" s="328"/>
      <c r="J13" s="328"/>
      <c r="K13" s="268"/>
      <c r="L13" s="77"/>
      <c r="O13" s="93"/>
      <c r="P13" s="93"/>
      <c r="Q13" s="71"/>
      <c r="R13" s="93" t="s">
        <v>31</v>
      </c>
      <c r="S13" s="94"/>
      <c r="T13" s="94"/>
      <c r="U13" s="94"/>
      <c r="V13" s="94"/>
      <c r="W13" s="94"/>
      <c r="X13" s="94"/>
      <c r="Y13" s="1"/>
    </row>
    <row r="14" spans="1:25" ht="23.15" customHeight="1" thickBot="1" x14ac:dyDescent="0.4">
      <c r="A14" s="76"/>
      <c r="P14" s="81"/>
      <c r="Q14" s="93"/>
    </row>
    <row r="15" spans="1:25" s="1" customFormat="1" ht="36" customHeight="1" x14ac:dyDescent="0.35">
      <c r="A15" s="317" t="s">
        <v>124</v>
      </c>
      <c r="B15" s="335"/>
      <c r="C15" s="307" t="str">
        <f>A12</f>
        <v>Business</v>
      </c>
      <c r="D15" s="308"/>
      <c r="E15" s="308"/>
      <c r="F15" s="309"/>
      <c r="G15" s="243" t="str">
        <f>A13</f>
        <v>Exclusive</v>
      </c>
      <c r="H15" s="243"/>
      <c r="I15" s="243"/>
      <c r="J15" s="243"/>
      <c r="K15" s="244"/>
      <c r="L15" s="67"/>
      <c r="O15" s="67"/>
      <c r="P15" s="69"/>
      <c r="Q15" s="94"/>
      <c r="R15" s="93"/>
      <c r="S15" s="70"/>
    </row>
    <row r="16" spans="1:25" s="1" customFormat="1" ht="66" customHeight="1" x14ac:dyDescent="0.35">
      <c r="A16" s="317"/>
      <c r="B16" s="335"/>
      <c r="C16" s="252" t="s">
        <v>144</v>
      </c>
      <c r="D16" s="253"/>
      <c r="E16" s="216" t="str">
        <f>H10</f>
        <v>Плановая среднемесячная выручка, UAH/мес.</v>
      </c>
      <c r="F16" s="224" t="s">
        <v>159</v>
      </c>
      <c r="G16" s="284" t="str">
        <f>C16</f>
        <v>Удельный вес товарной группы в общей выручке, %</v>
      </c>
      <c r="H16" s="253"/>
      <c r="I16" s="290" t="str">
        <f>E16</f>
        <v>Плановая среднемесячная выручка, UAH/мес.</v>
      </c>
      <c r="J16" s="284"/>
      <c r="K16" s="224" t="str">
        <f>F16</f>
        <v>Доля себестоимости в выручке (без зарплаты и текущих затрат), %</v>
      </c>
      <c r="L16" s="232"/>
      <c r="O16" s="67"/>
      <c r="P16" s="69"/>
      <c r="Q16" s="94"/>
      <c r="R16" s="93"/>
      <c r="S16" s="70"/>
    </row>
    <row r="17" spans="1:25" s="1" customFormat="1" ht="44.75" customHeight="1" x14ac:dyDescent="0.35">
      <c r="A17" s="275" t="s">
        <v>149</v>
      </c>
      <c r="B17" s="276"/>
      <c r="C17" s="277">
        <v>0.22</v>
      </c>
      <c r="D17" s="278"/>
      <c r="E17" s="219">
        <f t="shared" ref="E17:E22" si="1">C17*$H$12</f>
        <v>109395</v>
      </c>
      <c r="F17" s="233">
        <v>0.13</v>
      </c>
      <c r="G17" s="285">
        <v>0.19</v>
      </c>
      <c r="H17" s="278"/>
      <c r="I17" s="267">
        <f>G17*$H$13</f>
        <v>117990</v>
      </c>
      <c r="J17" s="268"/>
      <c r="K17" s="233">
        <v>0.13</v>
      </c>
      <c r="L17" s="67"/>
      <c r="O17" s="67"/>
      <c r="P17" s="69"/>
      <c r="Q17" s="94"/>
      <c r="R17" s="94"/>
      <c r="S17" s="94"/>
      <c r="T17" s="94"/>
      <c r="U17" s="94"/>
      <c r="V17" s="94"/>
      <c r="W17" s="94"/>
      <c r="X17" s="94"/>
    </row>
    <row r="18" spans="1:25" ht="44.75" customHeight="1" x14ac:dyDescent="0.35">
      <c r="A18" s="275" t="s">
        <v>150</v>
      </c>
      <c r="B18" s="276"/>
      <c r="C18" s="279">
        <v>0.02</v>
      </c>
      <c r="D18" s="242"/>
      <c r="E18" s="219">
        <f t="shared" si="1"/>
        <v>9945</v>
      </c>
      <c r="F18" s="233">
        <v>0.23</v>
      </c>
      <c r="G18" s="278">
        <v>0.02</v>
      </c>
      <c r="H18" s="242"/>
      <c r="I18" s="267">
        <f t="shared" ref="I18:I22" si="2">G18*$H$13</f>
        <v>12420</v>
      </c>
      <c r="J18" s="268"/>
      <c r="K18" s="233">
        <v>0.23</v>
      </c>
      <c r="L18" s="77"/>
      <c r="O18" s="93"/>
      <c r="P18" s="93"/>
      <c r="Q18" s="71"/>
      <c r="R18" s="94"/>
      <c r="S18" s="94"/>
      <c r="T18" s="94"/>
      <c r="U18" s="94"/>
      <c r="V18" s="94"/>
      <c r="W18" s="94"/>
      <c r="X18" s="94"/>
      <c r="Y18" s="1"/>
    </row>
    <row r="19" spans="1:25" ht="44.75" customHeight="1" x14ac:dyDescent="0.35">
      <c r="A19" s="275" t="s">
        <v>151</v>
      </c>
      <c r="B19" s="276"/>
      <c r="C19" s="279">
        <v>0.08</v>
      </c>
      <c r="D19" s="242"/>
      <c r="E19" s="219">
        <f t="shared" si="1"/>
        <v>39780</v>
      </c>
      <c r="F19" s="233">
        <v>0.4</v>
      </c>
      <c r="G19" s="278">
        <v>0.06</v>
      </c>
      <c r="H19" s="242"/>
      <c r="I19" s="267">
        <f t="shared" si="2"/>
        <v>37260</v>
      </c>
      <c r="J19" s="268"/>
      <c r="K19" s="233">
        <v>0.4</v>
      </c>
      <c r="M19" s="155"/>
      <c r="R19" s="94"/>
      <c r="S19" s="94"/>
      <c r="T19" s="94"/>
      <c r="U19" s="94"/>
      <c r="V19" s="94"/>
      <c r="W19" s="94"/>
      <c r="X19" s="94"/>
      <c r="Y19" s="1"/>
    </row>
    <row r="20" spans="1:25" ht="44.75" customHeight="1" x14ac:dyDescent="0.35">
      <c r="A20" s="275" t="s">
        <v>152</v>
      </c>
      <c r="B20" s="276"/>
      <c r="C20" s="279">
        <v>0.02</v>
      </c>
      <c r="D20" s="242"/>
      <c r="E20" s="219">
        <f t="shared" si="1"/>
        <v>9945</v>
      </c>
      <c r="F20" s="233">
        <v>0.15</v>
      </c>
      <c r="G20" s="278">
        <v>0.02</v>
      </c>
      <c r="H20" s="242"/>
      <c r="I20" s="267">
        <f t="shared" si="2"/>
        <v>12420</v>
      </c>
      <c r="J20" s="268"/>
      <c r="K20" s="233">
        <v>0.15</v>
      </c>
      <c r="M20" s="155"/>
      <c r="R20" s="94"/>
      <c r="S20" s="94"/>
      <c r="T20" s="94"/>
      <c r="U20" s="94"/>
      <c r="V20" s="94"/>
      <c r="W20" s="94"/>
      <c r="X20" s="94"/>
      <c r="Y20" s="1"/>
    </row>
    <row r="21" spans="1:25" s="1" customFormat="1" ht="44.75" customHeight="1" x14ac:dyDescent="0.35">
      <c r="A21" s="275" t="s">
        <v>153</v>
      </c>
      <c r="B21" s="276"/>
      <c r="C21" s="279">
        <v>0.31</v>
      </c>
      <c r="D21" s="242"/>
      <c r="E21" s="219">
        <f t="shared" si="1"/>
        <v>154147.5</v>
      </c>
      <c r="F21" s="233">
        <v>0.17</v>
      </c>
      <c r="G21" s="278">
        <v>0.21</v>
      </c>
      <c r="H21" s="242"/>
      <c r="I21" s="267">
        <f t="shared" si="2"/>
        <v>130410</v>
      </c>
      <c r="J21" s="268"/>
      <c r="K21" s="233">
        <v>0.17</v>
      </c>
      <c r="L21" s="67"/>
      <c r="O21" s="67"/>
      <c r="P21" s="69"/>
      <c r="Q21" s="94"/>
      <c r="R21" s="94"/>
      <c r="S21" s="94"/>
      <c r="T21" s="94"/>
      <c r="U21" s="94"/>
      <c r="V21" s="94"/>
      <c r="W21" s="94"/>
      <c r="X21" s="94"/>
    </row>
    <row r="22" spans="1:25" s="1" customFormat="1" ht="44.75" customHeight="1" x14ac:dyDescent="0.35">
      <c r="A22" s="275" t="s">
        <v>154</v>
      </c>
      <c r="B22" s="276"/>
      <c r="C22" s="279">
        <v>0.05</v>
      </c>
      <c r="D22" s="242"/>
      <c r="E22" s="219">
        <f t="shared" si="1"/>
        <v>24862.5</v>
      </c>
      <c r="F22" s="233">
        <v>0.03</v>
      </c>
      <c r="G22" s="278">
        <v>0.04</v>
      </c>
      <c r="H22" s="242"/>
      <c r="I22" s="267">
        <f t="shared" si="2"/>
        <v>24840</v>
      </c>
      <c r="J22" s="268"/>
      <c r="K22" s="233">
        <v>0.03</v>
      </c>
      <c r="L22" s="67"/>
      <c r="O22" s="67"/>
      <c r="P22" s="69"/>
      <c r="Q22" s="94"/>
      <c r="R22" s="94"/>
      <c r="S22" s="94"/>
      <c r="T22" s="94"/>
      <c r="U22" s="94"/>
      <c r="V22" s="94"/>
      <c r="W22" s="94"/>
      <c r="X22" s="94"/>
    </row>
    <row r="23" spans="1:25" s="1" customFormat="1" ht="44.75" customHeight="1" x14ac:dyDescent="0.35">
      <c r="A23" s="275" t="s">
        <v>155</v>
      </c>
      <c r="B23" s="276"/>
      <c r="C23" s="279">
        <v>0.1</v>
      </c>
      <c r="D23" s="242"/>
      <c r="E23" s="219">
        <f t="shared" ref="E23:E28" si="3">C23*$H$12</f>
        <v>49725</v>
      </c>
      <c r="F23" s="233">
        <v>0.02</v>
      </c>
      <c r="G23" s="278">
        <v>0.08</v>
      </c>
      <c r="H23" s="242"/>
      <c r="I23" s="267">
        <f>G23*$H$13</f>
        <v>49680</v>
      </c>
      <c r="J23" s="268"/>
      <c r="K23" s="233">
        <v>0.02</v>
      </c>
      <c r="L23" s="67"/>
      <c r="O23" s="67"/>
      <c r="P23" s="69"/>
      <c r="Q23" s="94"/>
      <c r="R23" s="94"/>
      <c r="S23" s="94"/>
      <c r="T23" s="94"/>
      <c r="U23" s="94"/>
      <c r="V23" s="94"/>
      <c r="W23" s="94"/>
      <c r="X23" s="94"/>
    </row>
    <row r="24" spans="1:25" ht="44.75" customHeight="1" x14ac:dyDescent="0.35">
      <c r="A24" s="275" t="s">
        <v>156</v>
      </c>
      <c r="B24" s="276"/>
      <c r="C24" s="279">
        <v>0.03</v>
      </c>
      <c r="D24" s="242"/>
      <c r="E24" s="219">
        <f t="shared" si="3"/>
        <v>14917.5</v>
      </c>
      <c r="F24" s="233">
        <v>0.2</v>
      </c>
      <c r="G24" s="278">
        <v>0.03</v>
      </c>
      <c r="H24" s="242"/>
      <c r="I24" s="267">
        <f t="shared" ref="I24:I28" si="4">G24*$H$13</f>
        <v>18630</v>
      </c>
      <c r="J24" s="268"/>
      <c r="K24" s="233">
        <v>0.2</v>
      </c>
      <c r="L24" s="77"/>
      <c r="O24" s="93"/>
      <c r="P24" s="93"/>
      <c r="Q24" s="71"/>
      <c r="R24" s="94"/>
      <c r="S24" s="94"/>
      <c r="T24" s="94"/>
      <c r="U24" s="94"/>
      <c r="V24" s="94"/>
      <c r="W24" s="94"/>
      <c r="X24" s="94"/>
      <c r="Y24" s="1"/>
    </row>
    <row r="25" spans="1:25" ht="44.75" customHeight="1" x14ac:dyDescent="0.35">
      <c r="A25" s="275" t="s">
        <v>164</v>
      </c>
      <c r="B25" s="276"/>
      <c r="C25" s="279">
        <v>0</v>
      </c>
      <c r="D25" s="242"/>
      <c r="E25" s="219">
        <f t="shared" si="3"/>
        <v>0</v>
      </c>
      <c r="F25" s="233">
        <v>0</v>
      </c>
      <c r="G25" s="278">
        <v>0.11</v>
      </c>
      <c r="H25" s="242"/>
      <c r="I25" s="267">
        <f t="shared" si="4"/>
        <v>68310</v>
      </c>
      <c r="J25" s="268"/>
      <c r="K25" s="233">
        <v>0.02</v>
      </c>
      <c r="M25" s="155"/>
      <c r="R25" s="94"/>
      <c r="S25" s="94"/>
      <c r="T25" s="94"/>
      <c r="U25" s="94"/>
      <c r="V25" s="94"/>
      <c r="W25" s="94"/>
      <c r="X25" s="94"/>
      <c r="Y25" s="1"/>
    </row>
    <row r="26" spans="1:25" ht="44.75" customHeight="1" x14ac:dyDescent="0.35">
      <c r="A26" s="275" t="s">
        <v>163</v>
      </c>
      <c r="B26" s="276"/>
      <c r="C26" s="279">
        <v>0</v>
      </c>
      <c r="D26" s="242"/>
      <c r="E26" s="219">
        <f t="shared" si="3"/>
        <v>0</v>
      </c>
      <c r="F26" s="233">
        <v>0</v>
      </c>
      <c r="G26" s="278">
        <v>0.03</v>
      </c>
      <c r="H26" s="242"/>
      <c r="I26" s="267">
        <f t="shared" si="4"/>
        <v>18630</v>
      </c>
      <c r="J26" s="268"/>
      <c r="K26" s="233">
        <v>0.02</v>
      </c>
      <c r="M26" s="155"/>
      <c r="R26" s="94"/>
      <c r="S26" s="94"/>
      <c r="T26" s="94"/>
      <c r="U26" s="94"/>
      <c r="V26" s="94"/>
      <c r="W26" s="94"/>
      <c r="X26" s="94"/>
      <c r="Y26" s="1"/>
    </row>
    <row r="27" spans="1:25" s="1" customFormat="1" ht="44.75" customHeight="1" x14ac:dyDescent="0.35">
      <c r="A27" s="275" t="s">
        <v>162</v>
      </c>
      <c r="B27" s="276"/>
      <c r="C27" s="279">
        <v>0</v>
      </c>
      <c r="D27" s="242"/>
      <c r="E27" s="219">
        <f t="shared" si="3"/>
        <v>0</v>
      </c>
      <c r="F27" s="233">
        <v>0</v>
      </c>
      <c r="G27" s="278">
        <v>7.0000000000000007E-2</v>
      </c>
      <c r="H27" s="242"/>
      <c r="I27" s="267">
        <f t="shared" si="4"/>
        <v>43470.000000000007</v>
      </c>
      <c r="J27" s="268"/>
      <c r="K27" s="233">
        <v>0.03</v>
      </c>
      <c r="L27" s="67"/>
      <c r="O27" s="67"/>
      <c r="P27" s="69"/>
      <c r="Q27" s="94"/>
      <c r="R27" s="94"/>
      <c r="S27" s="94"/>
      <c r="T27" s="94"/>
      <c r="U27" s="94"/>
      <c r="V27" s="94"/>
      <c r="W27" s="94"/>
      <c r="X27" s="94"/>
    </row>
    <row r="28" spans="1:25" s="1" customFormat="1" ht="44.75" customHeight="1" x14ac:dyDescent="0.35">
      <c r="A28" s="275" t="s">
        <v>124</v>
      </c>
      <c r="B28" s="276"/>
      <c r="C28" s="279">
        <v>0.17</v>
      </c>
      <c r="D28" s="242"/>
      <c r="E28" s="219">
        <f t="shared" si="3"/>
        <v>84532.5</v>
      </c>
      <c r="F28" s="233">
        <v>0.49</v>
      </c>
      <c r="G28" s="278">
        <v>0.14000000000000001</v>
      </c>
      <c r="H28" s="242"/>
      <c r="I28" s="267">
        <f t="shared" si="4"/>
        <v>86940.000000000015</v>
      </c>
      <c r="J28" s="268"/>
      <c r="K28" s="233">
        <v>0.49</v>
      </c>
      <c r="L28" s="67"/>
      <c r="O28" s="67"/>
      <c r="P28" s="69"/>
      <c r="Q28" s="94"/>
      <c r="R28" s="94"/>
      <c r="S28" s="94"/>
      <c r="T28" s="94"/>
      <c r="U28" s="94"/>
      <c r="V28" s="94"/>
      <c r="W28" s="94"/>
      <c r="X28" s="94"/>
    </row>
    <row r="29" spans="1:25" ht="35" customHeight="1" thickBot="1" x14ac:dyDescent="0.4">
      <c r="A29" s="271" t="s">
        <v>3</v>
      </c>
      <c r="B29" s="272"/>
      <c r="C29" s="280">
        <f>SUM(C17:D28)</f>
        <v>1</v>
      </c>
      <c r="D29" s="274"/>
      <c r="E29" s="234">
        <f>SUM(E17:E28)</f>
        <v>497250</v>
      </c>
      <c r="F29" s="235"/>
      <c r="G29" s="273">
        <f>SUM(G17:H28)</f>
        <v>1</v>
      </c>
      <c r="H29" s="274"/>
      <c r="I29" s="326">
        <f>SUM(I17:J28)</f>
        <v>621000</v>
      </c>
      <c r="J29" s="327"/>
      <c r="K29" s="235"/>
      <c r="M29" s="155"/>
      <c r="R29" s="94"/>
      <c r="S29" s="94"/>
      <c r="T29" s="94"/>
      <c r="U29" s="94"/>
      <c r="V29" s="94"/>
      <c r="W29" s="94"/>
      <c r="X29" s="94"/>
      <c r="Y29" s="1"/>
    </row>
    <row r="30" spans="1:25" ht="23.15" customHeight="1" x14ac:dyDescent="0.35">
      <c r="A30" s="76"/>
      <c r="P30" s="81"/>
      <c r="Q30" s="93"/>
    </row>
    <row r="31" spans="1:25" ht="47.15" customHeight="1" thickBot="1" x14ac:dyDescent="0.4">
      <c r="A31" s="76" t="s">
        <v>128</v>
      </c>
      <c r="P31" s="81"/>
      <c r="Q31" s="93"/>
    </row>
    <row r="32" spans="1:25" s="1" customFormat="1" ht="30.65" customHeight="1" x14ac:dyDescent="0.35">
      <c r="A32" s="305" t="s">
        <v>100</v>
      </c>
      <c r="B32" s="265"/>
      <c r="C32" s="265" t="s">
        <v>97</v>
      </c>
      <c r="D32" s="265"/>
      <c r="E32" s="265"/>
      <c r="F32" s="266"/>
      <c r="G32" s="281" t="s">
        <v>129</v>
      </c>
      <c r="H32" s="282"/>
      <c r="I32" s="282"/>
      <c r="J32" s="282"/>
      <c r="K32" s="283"/>
      <c r="L32" s="67"/>
      <c r="O32" s="67"/>
      <c r="P32" s="69"/>
      <c r="Q32" s="94"/>
      <c r="S32" s="70"/>
    </row>
    <row r="33" spans="1:19" s="1" customFormat="1" ht="32.75" customHeight="1" x14ac:dyDescent="0.35">
      <c r="A33" s="252"/>
      <c r="B33" s="253"/>
      <c r="C33" s="253" t="str">
        <f>D7</f>
        <v>Business</v>
      </c>
      <c r="D33" s="253"/>
      <c r="E33" s="253" t="str">
        <f>H7</f>
        <v>Exclusive</v>
      </c>
      <c r="F33" s="260"/>
      <c r="G33" s="223" t="s">
        <v>130</v>
      </c>
      <c r="H33" s="253" t="str">
        <f>C33</f>
        <v>Business</v>
      </c>
      <c r="I33" s="253"/>
      <c r="J33" s="253" t="str">
        <f>E33</f>
        <v>Exclusive</v>
      </c>
      <c r="K33" s="260"/>
      <c r="L33" s="67"/>
      <c r="O33" s="67"/>
      <c r="P33" s="69"/>
      <c r="Q33" s="94"/>
      <c r="S33" s="70"/>
    </row>
    <row r="34" spans="1:19" s="1" customFormat="1" ht="35" customHeight="1" x14ac:dyDescent="0.35">
      <c r="A34" s="303">
        <v>1</v>
      </c>
      <c r="B34" s="304"/>
      <c r="C34" s="261">
        <v>0.7</v>
      </c>
      <c r="D34" s="261"/>
      <c r="E34" s="261">
        <v>0.6</v>
      </c>
      <c r="F34" s="263"/>
      <c r="G34" s="225" t="str">
        <f t="shared" ref="G34:G45" si="5">R2</f>
        <v>январь</v>
      </c>
      <c r="H34" s="261">
        <v>1</v>
      </c>
      <c r="I34" s="261"/>
      <c r="J34" s="261">
        <v>1</v>
      </c>
      <c r="K34" s="263"/>
      <c r="L34" s="67"/>
      <c r="O34" s="67"/>
      <c r="P34" s="69"/>
      <c r="Q34" s="94"/>
      <c r="S34" s="70"/>
    </row>
    <row r="35" spans="1:19" ht="35" customHeight="1" x14ac:dyDescent="0.35">
      <c r="A35" s="303">
        <v>2</v>
      </c>
      <c r="B35" s="304"/>
      <c r="C35" s="261">
        <v>0.8</v>
      </c>
      <c r="D35" s="261"/>
      <c r="E35" s="261">
        <v>0.7</v>
      </c>
      <c r="F35" s="263"/>
      <c r="G35" s="225" t="str">
        <f t="shared" si="5"/>
        <v>февраль</v>
      </c>
      <c r="H35" s="261">
        <v>1</v>
      </c>
      <c r="I35" s="261"/>
      <c r="J35" s="261">
        <v>1</v>
      </c>
      <c r="K35" s="263"/>
      <c r="L35" s="77"/>
      <c r="O35" s="93"/>
      <c r="P35" s="93"/>
      <c r="Q35" s="71"/>
      <c r="S35" s="71"/>
    </row>
    <row r="36" spans="1:19" ht="35" customHeight="1" x14ac:dyDescent="0.35">
      <c r="A36" s="303">
        <v>3</v>
      </c>
      <c r="B36" s="304"/>
      <c r="C36" s="261">
        <v>0.9</v>
      </c>
      <c r="D36" s="261"/>
      <c r="E36" s="261">
        <v>0.8</v>
      </c>
      <c r="F36" s="263"/>
      <c r="G36" s="225" t="str">
        <f t="shared" si="5"/>
        <v>март</v>
      </c>
      <c r="H36" s="261">
        <v>1</v>
      </c>
      <c r="I36" s="261"/>
      <c r="J36" s="261">
        <v>1</v>
      </c>
      <c r="K36" s="263"/>
      <c r="M36" s="155"/>
    </row>
    <row r="37" spans="1:19" s="1" customFormat="1" ht="35" customHeight="1" x14ac:dyDescent="0.35">
      <c r="A37" s="303">
        <v>4</v>
      </c>
      <c r="B37" s="304"/>
      <c r="C37" s="261">
        <v>1</v>
      </c>
      <c r="D37" s="261"/>
      <c r="E37" s="261">
        <v>0.9</v>
      </c>
      <c r="F37" s="263"/>
      <c r="G37" s="225" t="str">
        <f t="shared" si="5"/>
        <v>апрель</v>
      </c>
      <c r="H37" s="261">
        <v>1</v>
      </c>
      <c r="I37" s="261"/>
      <c r="J37" s="261">
        <v>1</v>
      </c>
      <c r="K37" s="263"/>
      <c r="L37" s="67"/>
      <c r="O37" s="67"/>
      <c r="P37" s="69"/>
      <c r="Q37" s="94"/>
      <c r="S37" s="70"/>
    </row>
    <row r="38" spans="1:19" ht="35" customHeight="1" x14ac:dyDescent="0.35">
      <c r="A38" s="303">
        <v>5</v>
      </c>
      <c r="B38" s="304"/>
      <c r="C38" s="261">
        <v>1</v>
      </c>
      <c r="D38" s="261"/>
      <c r="E38" s="261">
        <v>1</v>
      </c>
      <c r="F38" s="263"/>
      <c r="G38" s="225" t="str">
        <f t="shared" si="5"/>
        <v>май</v>
      </c>
      <c r="H38" s="261">
        <v>1</v>
      </c>
      <c r="I38" s="261"/>
      <c r="J38" s="261">
        <v>1</v>
      </c>
      <c r="K38" s="263"/>
      <c r="L38" s="77"/>
      <c r="O38" s="93"/>
      <c r="P38" s="93"/>
      <c r="Q38" s="71"/>
      <c r="S38" s="71"/>
    </row>
    <row r="39" spans="1:19" ht="35" customHeight="1" x14ac:dyDescent="0.35">
      <c r="A39" s="303">
        <v>6</v>
      </c>
      <c r="B39" s="304"/>
      <c r="C39" s="261">
        <v>1</v>
      </c>
      <c r="D39" s="261"/>
      <c r="E39" s="261">
        <v>1</v>
      </c>
      <c r="F39" s="263"/>
      <c r="G39" s="225" t="str">
        <f t="shared" si="5"/>
        <v>июнь</v>
      </c>
      <c r="H39" s="261">
        <v>1</v>
      </c>
      <c r="I39" s="261"/>
      <c r="J39" s="261">
        <v>1</v>
      </c>
      <c r="K39" s="263"/>
      <c r="M39" s="155"/>
    </row>
    <row r="40" spans="1:19" s="1" customFormat="1" ht="35" customHeight="1" x14ac:dyDescent="0.35">
      <c r="A40" s="303">
        <v>7</v>
      </c>
      <c r="B40" s="304"/>
      <c r="C40" s="261">
        <v>1.05</v>
      </c>
      <c r="D40" s="261"/>
      <c r="E40" s="261">
        <v>1.05</v>
      </c>
      <c r="F40" s="263"/>
      <c r="G40" s="225" t="str">
        <f t="shared" si="5"/>
        <v>июль</v>
      </c>
      <c r="H40" s="261">
        <v>1</v>
      </c>
      <c r="I40" s="261"/>
      <c r="J40" s="261">
        <v>1</v>
      </c>
      <c r="K40" s="263"/>
      <c r="L40" s="67"/>
      <c r="O40" s="67"/>
      <c r="P40" s="69"/>
      <c r="Q40" s="94"/>
      <c r="S40" s="70"/>
    </row>
    <row r="41" spans="1:19" ht="35" customHeight="1" x14ac:dyDescent="0.35">
      <c r="A41" s="303">
        <v>8</v>
      </c>
      <c r="B41" s="304"/>
      <c r="C41" s="261">
        <v>1.1000000000000001</v>
      </c>
      <c r="D41" s="261"/>
      <c r="E41" s="261">
        <v>1.1000000000000001</v>
      </c>
      <c r="F41" s="263"/>
      <c r="G41" s="225" t="str">
        <f t="shared" si="5"/>
        <v>август</v>
      </c>
      <c r="H41" s="261">
        <v>1</v>
      </c>
      <c r="I41" s="261"/>
      <c r="J41" s="261">
        <v>1</v>
      </c>
      <c r="K41" s="263"/>
      <c r="L41" s="77"/>
      <c r="O41" s="93"/>
      <c r="P41" s="93"/>
      <c r="Q41" s="71"/>
      <c r="S41" s="71"/>
    </row>
    <row r="42" spans="1:19" ht="35" customHeight="1" x14ac:dyDescent="0.35">
      <c r="A42" s="303">
        <v>9</v>
      </c>
      <c r="B42" s="304"/>
      <c r="C42" s="261">
        <v>1.1000000000000001</v>
      </c>
      <c r="D42" s="261"/>
      <c r="E42" s="261">
        <v>1.1000000000000001</v>
      </c>
      <c r="F42" s="263"/>
      <c r="G42" s="225" t="str">
        <f t="shared" si="5"/>
        <v>сентябрь</v>
      </c>
      <c r="H42" s="261">
        <v>1</v>
      </c>
      <c r="I42" s="261"/>
      <c r="J42" s="261">
        <v>1</v>
      </c>
      <c r="K42" s="263"/>
      <c r="M42" s="155"/>
    </row>
    <row r="43" spans="1:19" s="1" customFormat="1" ht="35" customHeight="1" x14ac:dyDescent="0.35">
      <c r="A43" s="303">
        <v>10</v>
      </c>
      <c r="B43" s="304"/>
      <c r="C43" s="261">
        <v>1.1499999999999999</v>
      </c>
      <c r="D43" s="261"/>
      <c r="E43" s="261">
        <v>1.1499999999999999</v>
      </c>
      <c r="F43" s="263"/>
      <c r="G43" s="225" t="str">
        <f t="shared" si="5"/>
        <v>октябрь</v>
      </c>
      <c r="H43" s="261">
        <v>1</v>
      </c>
      <c r="I43" s="261"/>
      <c r="J43" s="261">
        <v>1</v>
      </c>
      <c r="K43" s="263"/>
      <c r="L43" s="67"/>
      <c r="O43" s="67"/>
      <c r="P43" s="69"/>
      <c r="Q43" s="94"/>
      <c r="S43" s="70"/>
    </row>
    <row r="44" spans="1:19" ht="35" customHeight="1" x14ac:dyDescent="0.35">
      <c r="A44" s="303">
        <v>11</v>
      </c>
      <c r="B44" s="304"/>
      <c r="C44" s="261">
        <v>1.2</v>
      </c>
      <c r="D44" s="261"/>
      <c r="E44" s="261">
        <v>1.2</v>
      </c>
      <c r="F44" s="263"/>
      <c r="G44" s="225" t="str">
        <f t="shared" si="5"/>
        <v>ноябрь</v>
      </c>
      <c r="H44" s="261">
        <v>1</v>
      </c>
      <c r="I44" s="261"/>
      <c r="J44" s="261">
        <v>1</v>
      </c>
      <c r="K44" s="263"/>
      <c r="L44" s="77"/>
      <c r="O44" s="93"/>
      <c r="P44" s="93"/>
      <c r="Q44" s="71"/>
      <c r="S44" s="71"/>
    </row>
    <row r="45" spans="1:19" ht="35" customHeight="1" thickBot="1" x14ac:dyDescent="0.4">
      <c r="A45" s="291">
        <v>12</v>
      </c>
      <c r="B45" s="292"/>
      <c r="C45" s="262">
        <v>1.25</v>
      </c>
      <c r="D45" s="262"/>
      <c r="E45" s="262">
        <v>1.25</v>
      </c>
      <c r="F45" s="264"/>
      <c r="G45" s="226" t="str">
        <f t="shared" si="5"/>
        <v>декабрь</v>
      </c>
      <c r="H45" s="262">
        <v>1</v>
      </c>
      <c r="I45" s="262"/>
      <c r="J45" s="262">
        <v>1</v>
      </c>
      <c r="K45" s="264"/>
      <c r="M45" s="155"/>
    </row>
    <row r="46" spans="1:19" ht="32.4" customHeight="1" x14ac:dyDescent="0.35">
      <c r="A46" s="293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P46" s="81"/>
      <c r="Q46" s="93"/>
    </row>
    <row r="47" spans="1:19" ht="54.25" customHeight="1" x14ac:dyDescent="0.35">
      <c r="A47" s="295"/>
      <c r="B47" s="295"/>
      <c r="C47" s="198" t="s">
        <v>112</v>
      </c>
      <c r="D47" s="253" t="s">
        <v>98</v>
      </c>
      <c r="E47" s="253"/>
      <c r="F47" s="198" t="s">
        <v>99</v>
      </c>
      <c r="G47" s="203" t="s">
        <v>113</v>
      </c>
      <c r="H47" s="203" t="s">
        <v>114</v>
      </c>
      <c r="I47" s="203" t="s">
        <v>115</v>
      </c>
      <c r="J47" s="253" t="s">
        <v>101</v>
      </c>
      <c r="K47" s="253"/>
      <c r="P47" s="81"/>
      <c r="Q47" s="93"/>
    </row>
    <row r="48" spans="1:19" ht="43.75" customHeight="1" x14ac:dyDescent="0.35">
      <c r="A48" s="324" t="s">
        <v>33</v>
      </c>
      <c r="B48" s="324"/>
      <c r="C48" s="197">
        <v>1.35</v>
      </c>
      <c r="D48" s="261">
        <v>1.1000000000000001</v>
      </c>
      <c r="E48" s="261"/>
      <c r="F48" s="197">
        <v>1.1000000000000001</v>
      </c>
      <c r="G48" s="197">
        <v>1.05</v>
      </c>
      <c r="H48" s="197">
        <v>1</v>
      </c>
      <c r="I48" s="197">
        <v>1.1000000000000001</v>
      </c>
      <c r="J48" s="261">
        <v>0.1</v>
      </c>
      <c r="K48" s="261"/>
      <c r="M48" s="155"/>
    </row>
    <row r="49" spans="1:28" ht="43.75" customHeight="1" x14ac:dyDescent="0.35">
      <c r="A49" s="324" t="s">
        <v>35</v>
      </c>
      <c r="B49" s="324"/>
      <c r="C49" s="197">
        <v>1.5</v>
      </c>
      <c r="D49" s="261">
        <v>1.2</v>
      </c>
      <c r="E49" s="261"/>
      <c r="F49" s="197">
        <v>1.1499999999999999</v>
      </c>
      <c r="G49" s="197">
        <v>1.05</v>
      </c>
      <c r="H49" s="197">
        <v>1</v>
      </c>
      <c r="I49" s="197">
        <v>1.1000000000000001</v>
      </c>
      <c r="J49" s="261"/>
      <c r="K49" s="261"/>
      <c r="M49" s="155"/>
    </row>
    <row r="50" spans="1:28" ht="56.15" customHeight="1" x14ac:dyDescent="0.35">
      <c r="A50" s="294" t="s">
        <v>132</v>
      </c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P50" s="81"/>
      <c r="Q50" s="93"/>
    </row>
    <row r="51" spans="1:28" ht="34.25" customHeight="1" thickBot="1" x14ac:dyDescent="0.4">
      <c r="A51" s="167" t="s">
        <v>56</v>
      </c>
      <c r="H51" s="4"/>
      <c r="I51" s="4"/>
      <c r="J51" s="4"/>
    </row>
    <row r="52" spans="1:28" ht="34.25" customHeight="1" x14ac:dyDescent="0.35">
      <c r="A52" s="167"/>
      <c r="D52" s="257" t="str">
        <f>D7</f>
        <v>Business</v>
      </c>
      <c r="E52" s="258"/>
      <c r="F52" s="258"/>
      <c r="G52" s="259"/>
      <c r="H52" s="257" t="str">
        <f>H7</f>
        <v>Exclusive</v>
      </c>
      <c r="I52" s="258"/>
      <c r="J52" s="258"/>
      <c r="K52" s="259"/>
    </row>
    <row r="53" spans="1:28" ht="62.15" customHeight="1" x14ac:dyDescent="0.35">
      <c r="D53" s="252" t="str">
        <f>C11</f>
        <v>UAH</v>
      </c>
      <c r="E53" s="253"/>
      <c r="F53" s="253" t="str">
        <f>"В валюте, в которой производиться расчет, "&amp;CHOOSE($O$2,$P$2,$P$3,$P$4,$P$5)&amp;""</f>
        <v>В валюте, в которой производиться расчет, UAH</v>
      </c>
      <c r="G53" s="260"/>
      <c r="H53" s="252" t="str">
        <f>D53</f>
        <v>UAH</v>
      </c>
      <c r="I53" s="253"/>
      <c r="J53" s="253" t="str">
        <f>"В валюте, в которой производиться расчет, "&amp;CHOOSE($O$2,$P$2,$P$3,$P$4,$P$5)&amp;""</f>
        <v>В валюте, в которой производиться расчет, UAH</v>
      </c>
      <c r="K53" s="260"/>
      <c r="L53" s="82"/>
      <c r="M53" s="82"/>
      <c r="P53" s="83"/>
      <c r="Q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42" customHeight="1" x14ac:dyDescent="0.35">
      <c r="A54" s="82"/>
      <c r="B54" s="246" t="s">
        <v>43</v>
      </c>
      <c r="C54" s="246"/>
      <c r="D54" s="254">
        <v>80000</v>
      </c>
      <c r="E54" s="255"/>
      <c r="F54" s="248">
        <f>D54/CHOOSE($O$2,1,$F$5,$I$5,$K$5)</f>
        <v>80000</v>
      </c>
      <c r="G54" s="249"/>
      <c r="H54" s="254">
        <v>110000</v>
      </c>
      <c r="I54" s="255"/>
      <c r="J54" s="248">
        <f>H54/CHOOSE($O$2,1,$F$5,$I$5,$K$5)</f>
        <v>110000</v>
      </c>
      <c r="K54" s="249"/>
      <c r="L54" s="84"/>
      <c r="O54" s="83"/>
      <c r="P54" s="83"/>
      <c r="Q54" s="83"/>
      <c r="S54" s="83"/>
      <c r="T54" s="83"/>
      <c r="U54" s="83"/>
      <c r="V54" s="83"/>
      <c r="W54" s="83"/>
      <c r="X54" s="83"/>
      <c r="Y54" s="83"/>
      <c r="Z54" s="83"/>
      <c r="AA54" s="83"/>
    </row>
    <row r="55" spans="1:28" ht="42" customHeight="1" x14ac:dyDescent="0.35">
      <c r="A55" s="82"/>
      <c r="B55" s="314" t="s">
        <v>119</v>
      </c>
      <c r="C55" s="314"/>
      <c r="D55" s="254">
        <v>70000</v>
      </c>
      <c r="E55" s="255"/>
      <c r="F55" s="248">
        <f t="shared" ref="F55:F62" si="6">D55/CHOOSE($O$2,1,$F$5,$I$5,$K$5)</f>
        <v>70000</v>
      </c>
      <c r="G55" s="249"/>
      <c r="H55" s="254">
        <v>80000</v>
      </c>
      <c r="I55" s="255"/>
      <c r="J55" s="248">
        <f t="shared" ref="J55:J62" si="7">H55/CHOOSE($O$2,1,$F$5,$I$5,$K$5)</f>
        <v>80000</v>
      </c>
      <c r="K55" s="249"/>
      <c r="L55" s="84"/>
      <c r="O55" s="83"/>
      <c r="P55" s="83"/>
      <c r="Q55" s="83"/>
      <c r="S55" s="83"/>
      <c r="T55" s="83"/>
      <c r="U55" s="83"/>
      <c r="V55" s="83"/>
      <c r="W55" s="83"/>
      <c r="X55" s="83"/>
      <c r="Y55" s="83"/>
      <c r="Z55" s="83"/>
      <c r="AA55" s="83"/>
    </row>
    <row r="56" spans="1:28" ht="42" customHeight="1" x14ac:dyDescent="0.35">
      <c r="A56" s="82"/>
      <c r="B56" s="314" t="s">
        <v>120</v>
      </c>
      <c r="C56" s="314"/>
      <c r="D56" s="254">
        <v>50000</v>
      </c>
      <c r="E56" s="255"/>
      <c r="F56" s="248">
        <f t="shared" si="6"/>
        <v>50000</v>
      </c>
      <c r="G56" s="249"/>
      <c r="H56" s="254">
        <v>70000</v>
      </c>
      <c r="I56" s="255"/>
      <c r="J56" s="248">
        <f t="shared" si="7"/>
        <v>70000</v>
      </c>
      <c r="K56" s="249"/>
      <c r="L56" s="84"/>
      <c r="O56" s="83"/>
      <c r="P56" s="83"/>
      <c r="Q56" s="83"/>
      <c r="S56" s="83"/>
      <c r="T56" s="83"/>
      <c r="U56" s="83"/>
      <c r="V56" s="83"/>
      <c r="W56" s="83"/>
      <c r="X56" s="83"/>
      <c r="Y56" s="83"/>
      <c r="Z56" s="83"/>
      <c r="AA56" s="83"/>
    </row>
    <row r="57" spans="1:28" ht="42" customHeight="1" x14ac:dyDescent="0.35">
      <c r="A57" s="138"/>
      <c r="B57" s="246" t="s">
        <v>57</v>
      </c>
      <c r="C57" s="246"/>
      <c r="D57" s="254">
        <v>8000</v>
      </c>
      <c r="E57" s="255"/>
      <c r="F57" s="248">
        <f t="shared" si="6"/>
        <v>8000</v>
      </c>
      <c r="G57" s="249"/>
      <c r="H57" s="254">
        <v>8000</v>
      </c>
      <c r="I57" s="255"/>
      <c r="J57" s="248">
        <f t="shared" si="7"/>
        <v>8000</v>
      </c>
      <c r="K57" s="249"/>
      <c r="L57" s="84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</row>
    <row r="58" spans="1:28" ht="42" customHeight="1" x14ac:dyDescent="0.35">
      <c r="A58" s="138"/>
      <c r="B58" s="246" t="s">
        <v>55</v>
      </c>
      <c r="C58" s="246"/>
      <c r="D58" s="254">
        <v>4000</v>
      </c>
      <c r="E58" s="255"/>
      <c r="F58" s="248">
        <f t="shared" si="6"/>
        <v>4000</v>
      </c>
      <c r="G58" s="249"/>
      <c r="H58" s="254">
        <v>4000</v>
      </c>
      <c r="I58" s="255"/>
      <c r="J58" s="248">
        <f t="shared" si="7"/>
        <v>4000</v>
      </c>
      <c r="K58" s="249"/>
      <c r="L58" s="84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</row>
    <row r="59" spans="1:28" ht="42" customHeight="1" x14ac:dyDescent="0.35">
      <c r="A59" s="138"/>
      <c r="B59" s="246" t="s">
        <v>93</v>
      </c>
      <c r="C59" s="246"/>
      <c r="D59" s="254">
        <v>50000</v>
      </c>
      <c r="E59" s="255"/>
      <c r="F59" s="248">
        <f t="shared" si="6"/>
        <v>50000</v>
      </c>
      <c r="G59" s="249"/>
      <c r="H59" s="254">
        <v>60000</v>
      </c>
      <c r="I59" s="255"/>
      <c r="J59" s="248">
        <f t="shared" si="7"/>
        <v>60000</v>
      </c>
      <c r="K59" s="249"/>
      <c r="L59" s="84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</row>
    <row r="60" spans="1:28" ht="42" customHeight="1" x14ac:dyDescent="0.35">
      <c r="A60" s="82"/>
      <c r="B60" s="246" t="s">
        <v>64</v>
      </c>
      <c r="C60" s="246"/>
      <c r="D60" s="254">
        <v>50000</v>
      </c>
      <c r="E60" s="255"/>
      <c r="F60" s="248">
        <f t="shared" si="6"/>
        <v>50000</v>
      </c>
      <c r="G60" s="249"/>
      <c r="H60" s="254">
        <v>70000</v>
      </c>
      <c r="I60" s="255"/>
      <c r="J60" s="248">
        <f t="shared" si="7"/>
        <v>70000</v>
      </c>
      <c r="K60" s="249"/>
      <c r="L60" s="84"/>
      <c r="O60" s="83"/>
      <c r="P60" s="83"/>
      <c r="Q60" s="83"/>
      <c r="S60" s="83"/>
      <c r="T60" s="83"/>
      <c r="U60" s="83"/>
      <c r="V60" s="83"/>
      <c r="W60" s="83"/>
      <c r="X60" s="83"/>
      <c r="Y60" s="83"/>
      <c r="Z60" s="83"/>
      <c r="AA60" s="83"/>
    </row>
    <row r="61" spans="1:28" ht="42" customHeight="1" x14ac:dyDescent="0.35">
      <c r="A61" s="82"/>
      <c r="B61" s="246" t="s">
        <v>22</v>
      </c>
      <c r="C61" s="246"/>
      <c r="D61" s="254">
        <v>100000</v>
      </c>
      <c r="E61" s="255"/>
      <c r="F61" s="248">
        <f t="shared" si="6"/>
        <v>100000</v>
      </c>
      <c r="G61" s="249"/>
      <c r="H61" s="254">
        <v>150000</v>
      </c>
      <c r="I61" s="255"/>
      <c r="J61" s="248">
        <f t="shared" si="7"/>
        <v>150000</v>
      </c>
      <c r="K61" s="249"/>
      <c r="L61" s="84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</row>
    <row r="62" spans="1:28" ht="42" customHeight="1" x14ac:dyDescent="0.35">
      <c r="A62" s="82"/>
      <c r="B62" s="246" t="s">
        <v>2</v>
      </c>
      <c r="C62" s="246"/>
      <c r="D62" s="254">
        <v>5000</v>
      </c>
      <c r="E62" s="255"/>
      <c r="F62" s="248">
        <f t="shared" si="6"/>
        <v>5000</v>
      </c>
      <c r="G62" s="249"/>
      <c r="H62" s="254">
        <v>8000</v>
      </c>
      <c r="I62" s="255"/>
      <c r="J62" s="248">
        <f t="shared" si="7"/>
        <v>8000</v>
      </c>
      <c r="K62" s="249"/>
      <c r="L62" s="84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</row>
    <row r="63" spans="1:28" ht="42" customHeight="1" thickBot="1" x14ac:dyDescent="0.4">
      <c r="A63" s="82"/>
      <c r="B63" s="316" t="s">
        <v>0</v>
      </c>
      <c r="C63" s="316"/>
      <c r="D63" s="256">
        <f>SUM(D54:E62)</f>
        <v>417000</v>
      </c>
      <c r="E63" s="250"/>
      <c r="F63" s="250">
        <f>SUM(F54:G62)</f>
        <v>417000</v>
      </c>
      <c r="G63" s="251"/>
      <c r="H63" s="256">
        <f>SUM(H54:I62)</f>
        <v>560000</v>
      </c>
      <c r="I63" s="250"/>
      <c r="J63" s="250">
        <f>SUM(J54:K62)</f>
        <v>560000</v>
      </c>
      <c r="K63" s="251"/>
      <c r="L63" s="84"/>
      <c r="M63" s="96"/>
      <c r="O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</row>
    <row r="64" spans="1:28" ht="34.25" customHeight="1" x14ac:dyDescent="0.35">
      <c r="A64" s="294"/>
      <c r="B64" s="294"/>
      <c r="C64" s="294"/>
      <c r="D64" s="294"/>
      <c r="E64" s="294"/>
      <c r="F64" s="294"/>
      <c r="G64" s="294"/>
      <c r="H64" s="294"/>
      <c r="I64" s="294"/>
      <c r="J64" s="294"/>
      <c r="K64" s="294"/>
      <c r="L64" s="84"/>
      <c r="O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</row>
    <row r="65" spans="1:27" ht="34.25" customHeight="1" x14ac:dyDescent="0.45">
      <c r="A65" s="167" t="s">
        <v>65</v>
      </c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84"/>
      <c r="O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</row>
    <row r="66" spans="1:27" ht="34.25" customHeight="1" x14ac:dyDescent="0.45">
      <c r="A66" s="168" t="str">
        <f>D52</f>
        <v>Business</v>
      </c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84"/>
      <c r="O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</row>
    <row r="67" spans="1:27" ht="34.25" customHeight="1" x14ac:dyDescent="0.35">
      <c r="A67" s="269" t="s">
        <v>66</v>
      </c>
      <c r="B67" s="269"/>
      <c r="C67" s="269"/>
      <c r="D67" s="288" t="s">
        <v>121</v>
      </c>
      <c r="E67" s="338" t="s">
        <v>133</v>
      </c>
      <c r="F67" s="339"/>
      <c r="G67" s="340"/>
      <c r="H67" s="336" t="s">
        <v>161</v>
      </c>
      <c r="I67" s="269" t="s">
        <v>89</v>
      </c>
      <c r="J67" s="269"/>
      <c r="K67" s="269" t="s">
        <v>90</v>
      </c>
      <c r="L67" s="84"/>
      <c r="O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</row>
    <row r="68" spans="1:27" ht="45.9" customHeight="1" x14ac:dyDescent="0.35">
      <c r="A68" s="269"/>
      <c r="B68" s="269"/>
      <c r="C68" s="269"/>
      <c r="D68" s="288"/>
      <c r="E68" s="217" t="s">
        <v>134</v>
      </c>
      <c r="F68" s="269" t="str">
        <f>"В валюте, в которой производиться расчет, "&amp;CHOOSE($O$2,$P$2,$P$3,$P$4,$P$5)&amp;"/день"</f>
        <v>В валюте, в которой производиться расчет, UAH/день</v>
      </c>
      <c r="G68" s="269"/>
      <c r="H68" s="337"/>
      <c r="I68" s="269"/>
      <c r="J68" s="269"/>
      <c r="K68" s="269"/>
      <c r="L68" s="84"/>
      <c r="O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</row>
    <row r="69" spans="1:27" s="1" customFormat="1" ht="40" customHeight="1" x14ac:dyDescent="0.35">
      <c r="A69" s="270" t="s">
        <v>165</v>
      </c>
      <c r="B69" s="270"/>
      <c r="C69" s="270"/>
      <c r="D69" s="182">
        <v>2</v>
      </c>
      <c r="E69" s="221">
        <v>200</v>
      </c>
      <c r="F69" s="325">
        <f t="shared" ref="F69:F78" si="8">E69/CHOOSE($O$2,1,$F$5,$I$5,$K$5)</f>
        <v>200</v>
      </c>
      <c r="G69" s="325"/>
      <c r="H69" s="221">
        <v>15</v>
      </c>
      <c r="I69" s="287">
        <v>0.04</v>
      </c>
      <c r="J69" s="287"/>
      <c r="K69" s="158" t="s">
        <v>73</v>
      </c>
      <c r="L69" s="84"/>
      <c r="N69" s="148"/>
      <c r="O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</row>
    <row r="70" spans="1:27" s="1" customFormat="1" ht="40" customHeight="1" x14ac:dyDescent="0.35">
      <c r="A70" s="270" t="s">
        <v>166</v>
      </c>
      <c r="B70" s="270"/>
      <c r="C70" s="270"/>
      <c r="D70" s="182">
        <v>8</v>
      </c>
      <c r="E70" s="221">
        <v>0</v>
      </c>
      <c r="F70" s="325">
        <f t="shared" si="8"/>
        <v>0</v>
      </c>
      <c r="G70" s="325"/>
      <c r="H70" s="221">
        <v>15</v>
      </c>
      <c r="I70" s="287">
        <v>0.26</v>
      </c>
      <c r="J70" s="287"/>
      <c r="K70" s="158" t="s">
        <v>73</v>
      </c>
      <c r="L70" s="84"/>
      <c r="M70" s="183"/>
      <c r="N70" s="148"/>
      <c r="O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</row>
    <row r="71" spans="1:27" s="1" customFormat="1" ht="40" customHeight="1" x14ac:dyDescent="0.35">
      <c r="A71" s="270" t="s">
        <v>167</v>
      </c>
      <c r="B71" s="270"/>
      <c r="C71" s="270"/>
      <c r="D71" s="182">
        <v>1</v>
      </c>
      <c r="E71" s="221">
        <v>250</v>
      </c>
      <c r="F71" s="325">
        <f t="shared" si="8"/>
        <v>250</v>
      </c>
      <c r="G71" s="325"/>
      <c r="H71" s="221">
        <v>20</v>
      </c>
      <c r="I71" s="287">
        <v>0</v>
      </c>
      <c r="J71" s="287"/>
      <c r="K71" s="158" t="s">
        <v>73</v>
      </c>
      <c r="L71" s="84"/>
      <c r="M71" s="183"/>
      <c r="N71" s="148"/>
      <c r="O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</row>
    <row r="72" spans="1:27" s="1" customFormat="1" ht="40" customHeight="1" x14ac:dyDescent="0.35">
      <c r="A72" s="270" t="s">
        <v>170</v>
      </c>
      <c r="B72" s="270"/>
      <c r="C72" s="270"/>
      <c r="D72" s="212">
        <v>1</v>
      </c>
      <c r="E72" s="221">
        <v>200</v>
      </c>
      <c r="F72" s="325">
        <f t="shared" si="8"/>
        <v>200</v>
      </c>
      <c r="G72" s="325"/>
      <c r="H72" s="221">
        <v>22</v>
      </c>
      <c r="I72" s="287">
        <v>0</v>
      </c>
      <c r="J72" s="287"/>
      <c r="K72" s="158" t="s">
        <v>73</v>
      </c>
      <c r="L72" s="84"/>
      <c r="M72" s="183"/>
      <c r="N72" s="148"/>
      <c r="O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</row>
    <row r="73" spans="1:27" s="1" customFormat="1" ht="40" customHeight="1" x14ac:dyDescent="0.35">
      <c r="A73" s="270"/>
      <c r="B73" s="270"/>
      <c r="C73" s="270"/>
      <c r="D73" s="212"/>
      <c r="E73" s="221"/>
      <c r="F73" s="325">
        <f t="shared" si="8"/>
        <v>0</v>
      </c>
      <c r="G73" s="325"/>
      <c r="H73" s="221"/>
      <c r="I73" s="287"/>
      <c r="J73" s="287"/>
      <c r="K73" s="158" t="s">
        <v>73</v>
      </c>
      <c r="L73" s="84"/>
      <c r="M73" s="183"/>
      <c r="N73" s="148"/>
      <c r="O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</row>
    <row r="74" spans="1:27" s="1" customFormat="1" ht="40" customHeight="1" x14ac:dyDescent="0.35">
      <c r="A74" s="270"/>
      <c r="B74" s="270"/>
      <c r="C74" s="270"/>
      <c r="D74" s="221"/>
      <c r="E74" s="221"/>
      <c r="F74" s="325">
        <f t="shared" si="8"/>
        <v>0</v>
      </c>
      <c r="G74" s="325"/>
      <c r="H74" s="221"/>
      <c r="I74" s="287"/>
      <c r="J74" s="287"/>
      <c r="K74" s="158" t="s">
        <v>73</v>
      </c>
      <c r="L74" s="84"/>
      <c r="N74" s="148"/>
      <c r="O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</row>
    <row r="75" spans="1:27" s="1" customFormat="1" ht="40" customHeight="1" x14ac:dyDescent="0.35">
      <c r="A75" s="270"/>
      <c r="B75" s="270"/>
      <c r="C75" s="270"/>
      <c r="D75" s="221"/>
      <c r="E75" s="221"/>
      <c r="F75" s="325">
        <f t="shared" si="8"/>
        <v>0</v>
      </c>
      <c r="G75" s="325"/>
      <c r="H75" s="221"/>
      <c r="I75" s="287"/>
      <c r="J75" s="287"/>
      <c r="K75" s="158" t="s">
        <v>73</v>
      </c>
      <c r="L75" s="84"/>
      <c r="M75" s="183"/>
      <c r="N75" s="148"/>
      <c r="O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</row>
    <row r="76" spans="1:27" s="1" customFormat="1" ht="40" customHeight="1" x14ac:dyDescent="0.35">
      <c r="A76" s="270"/>
      <c r="B76" s="270"/>
      <c r="C76" s="270"/>
      <c r="D76" s="221"/>
      <c r="E76" s="221"/>
      <c r="F76" s="325">
        <f t="shared" si="8"/>
        <v>0</v>
      </c>
      <c r="G76" s="325"/>
      <c r="H76" s="221"/>
      <c r="I76" s="287"/>
      <c r="J76" s="287"/>
      <c r="K76" s="158" t="s">
        <v>73</v>
      </c>
      <c r="L76" s="84"/>
      <c r="M76" s="183"/>
      <c r="N76" s="148"/>
      <c r="O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</row>
    <row r="77" spans="1:27" s="1" customFormat="1" ht="40" customHeight="1" x14ac:dyDescent="0.35">
      <c r="A77" s="270"/>
      <c r="B77" s="270"/>
      <c r="C77" s="270"/>
      <c r="D77" s="221"/>
      <c r="E77" s="221"/>
      <c r="F77" s="325">
        <f t="shared" si="8"/>
        <v>0</v>
      </c>
      <c r="G77" s="325"/>
      <c r="H77" s="221"/>
      <c r="I77" s="287"/>
      <c r="J77" s="287"/>
      <c r="K77" s="158" t="s">
        <v>73</v>
      </c>
      <c r="L77" s="84"/>
      <c r="M77" s="183"/>
      <c r="N77" s="148"/>
      <c r="O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</row>
    <row r="78" spans="1:27" s="1" customFormat="1" ht="40" customHeight="1" x14ac:dyDescent="0.35">
      <c r="A78" s="270"/>
      <c r="B78" s="270"/>
      <c r="C78" s="270"/>
      <c r="D78" s="221"/>
      <c r="E78" s="221"/>
      <c r="F78" s="325">
        <f t="shared" si="8"/>
        <v>0</v>
      </c>
      <c r="G78" s="325"/>
      <c r="H78" s="221"/>
      <c r="I78" s="287"/>
      <c r="J78" s="287"/>
      <c r="K78" s="158" t="s">
        <v>73</v>
      </c>
      <c r="L78" s="84"/>
      <c r="M78" s="183"/>
      <c r="N78" s="148"/>
      <c r="O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</row>
    <row r="79" spans="1:27" ht="25.75" customHeight="1" x14ac:dyDescent="0.45">
      <c r="A79" s="318"/>
      <c r="B79" s="318"/>
      <c r="C79" s="318"/>
      <c r="D79" s="318"/>
      <c r="E79" s="318"/>
      <c r="F79" s="318"/>
      <c r="G79" s="318"/>
      <c r="H79" s="318"/>
      <c r="I79" s="318"/>
      <c r="J79" s="318"/>
      <c r="K79" s="318"/>
      <c r="L79" s="84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</row>
    <row r="80" spans="1:27" ht="34.25" customHeight="1" x14ac:dyDescent="0.45">
      <c r="A80" s="168" t="str">
        <f>H7</f>
        <v>Exclusive</v>
      </c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84"/>
      <c r="O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</row>
    <row r="81" spans="1:27" ht="34.25" customHeight="1" x14ac:dyDescent="0.35">
      <c r="A81" s="269" t="s">
        <v>66</v>
      </c>
      <c r="B81" s="269"/>
      <c r="C81" s="269"/>
      <c r="D81" s="288" t="s">
        <v>121</v>
      </c>
      <c r="E81" s="269" t="str">
        <f>E67</f>
        <v>Фиксированный оклад в день</v>
      </c>
      <c r="F81" s="269"/>
      <c r="G81" s="269"/>
      <c r="H81" s="269"/>
      <c r="I81" s="269" t="s">
        <v>89</v>
      </c>
      <c r="J81" s="269"/>
      <c r="K81" s="269" t="s">
        <v>90</v>
      </c>
      <c r="L81" s="84"/>
      <c r="O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</row>
    <row r="82" spans="1:27" ht="45.9" customHeight="1" x14ac:dyDescent="0.35">
      <c r="A82" s="269"/>
      <c r="B82" s="269"/>
      <c r="C82" s="269"/>
      <c r="D82" s="288"/>
      <c r="E82" s="217" t="str">
        <f>E68</f>
        <v>UAH/день</v>
      </c>
      <c r="F82" s="269" t="str">
        <f>F68</f>
        <v>В валюте, в которой производиться расчет, UAH/день</v>
      </c>
      <c r="G82" s="269"/>
      <c r="H82" s="217" t="str">
        <f>H67</f>
        <v>Количество рабочих дней в месяце, дней</v>
      </c>
      <c r="I82" s="269"/>
      <c r="J82" s="269"/>
      <c r="K82" s="269"/>
      <c r="L82" s="84"/>
      <c r="O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</row>
    <row r="83" spans="1:27" s="1" customFormat="1" ht="40" customHeight="1" x14ac:dyDescent="0.35">
      <c r="A83" s="270" t="s">
        <v>165</v>
      </c>
      <c r="B83" s="270"/>
      <c r="C83" s="270"/>
      <c r="D83" s="182">
        <v>2</v>
      </c>
      <c r="E83" s="221">
        <v>200</v>
      </c>
      <c r="F83" s="325">
        <f t="shared" ref="F83:F97" si="9">E83/CHOOSE($O$2,1,$F$5,$I$5,$K$5)</f>
        <v>200</v>
      </c>
      <c r="G83" s="325"/>
      <c r="H83" s="221">
        <v>15</v>
      </c>
      <c r="I83" s="287">
        <v>0.04</v>
      </c>
      <c r="J83" s="287"/>
      <c r="K83" s="158" t="s">
        <v>73</v>
      </c>
      <c r="L83" s="84"/>
      <c r="N83" s="148"/>
      <c r="O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</row>
    <row r="84" spans="1:27" s="1" customFormat="1" ht="40" customHeight="1" x14ac:dyDescent="0.35">
      <c r="A84" s="270" t="s">
        <v>166</v>
      </c>
      <c r="B84" s="270"/>
      <c r="C84" s="270"/>
      <c r="D84" s="182">
        <v>8</v>
      </c>
      <c r="E84" s="221">
        <v>0</v>
      </c>
      <c r="F84" s="325">
        <f t="shared" si="9"/>
        <v>0</v>
      </c>
      <c r="G84" s="325"/>
      <c r="H84" s="221">
        <v>15</v>
      </c>
      <c r="I84" s="287">
        <v>0.2</v>
      </c>
      <c r="J84" s="287"/>
      <c r="K84" s="158" t="s">
        <v>73</v>
      </c>
      <c r="L84" s="84"/>
      <c r="M84" s="183"/>
      <c r="N84" s="148"/>
      <c r="O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</row>
    <row r="85" spans="1:27" s="1" customFormat="1" ht="40" customHeight="1" x14ac:dyDescent="0.35">
      <c r="A85" s="270" t="s">
        <v>167</v>
      </c>
      <c r="B85" s="270"/>
      <c r="C85" s="270"/>
      <c r="D85" s="182">
        <v>1</v>
      </c>
      <c r="E85" s="221">
        <v>250</v>
      </c>
      <c r="F85" s="325">
        <f t="shared" si="9"/>
        <v>250</v>
      </c>
      <c r="G85" s="325"/>
      <c r="H85" s="221">
        <v>20</v>
      </c>
      <c r="I85" s="287">
        <v>0</v>
      </c>
      <c r="J85" s="287"/>
      <c r="K85" s="158" t="s">
        <v>73</v>
      </c>
      <c r="L85" s="84"/>
      <c r="M85" s="183"/>
      <c r="N85" s="148"/>
      <c r="O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</row>
    <row r="86" spans="1:27" s="1" customFormat="1" ht="40" customHeight="1" x14ac:dyDescent="0.35">
      <c r="A86" s="270" t="s">
        <v>157</v>
      </c>
      <c r="B86" s="270"/>
      <c r="C86" s="270"/>
      <c r="D86" s="182">
        <v>4</v>
      </c>
      <c r="E86" s="221">
        <v>0</v>
      </c>
      <c r="F86" s="325">
        <f t="shared" si="9"/>
        <v>0</v>
      </c>
      <c r="G86" s="325"/>
      <c r="H86" s="221">
        <v>15</v>
      </c>
      <c r="I86" s="287">
        <v>7.0000000000000007E-2</v>
      </c>
      <c r="J86" s="287"/>
      <c r="K86" s="158" t="s">
        <v>73</v>
      </c>
      <c r="L86" s="84"/>
      <c r="M86" s="183"/>
      <c r="N86" s="148"/>
      <c r="O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</row>
    <row r="87" spans="1:27" s="1" customFormat="1" ht="40" customHeight="1" x14ac:dyDescent="0.35">
      <c r="A87" s="270" t="s">
        <v>168</v>
      </c>
      <c r="B87" s="270"/>
      <c r="C87" s="270"/>
      <c r="D87" s="182">
        <v>2</v>
      </c>
      <c r="E87" s="221">
        <v>0</v>
      </c>
      <c r="F87" s="325">
        <f t="shared" si="9"/>
        <v>0</v>
      </c>
      <c r="G87" s="325"/>
      <c r="H87" s="221">
        <v>10</v>
      </c>
      <c r="I87" s="287">
        <v>0.02</v>
      </c>
      <c r="J87" s="287"/>
      <c r="K87" s="158" t="s">
        <v>73</v>
      </c>
      <c r="L87" s="84"/>
      <c r="M87" s="183"/>
      <c r="N87" s="148"/>
      <c r="O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</row>
    <row r="88" spans="1:27" s="1" customFormat="1" ht="40" customHeight="1" x14ac:dyDescent="0.35">
      <c r="A88" s="270" t="s">
        <v>158</v>
      </c>
      <c r="B88" s="270"/>
      <c r="C88" s="270"/>
      <c r="D88" s="221">
        <v>2</v>
      </c>
      <c r="E88" s="221">
        <v>0</v>
      </c>
      <c r="F88" s="325">
        <f t="shared" si="9"/>
        <v>0</v>
      </c>
      <c r="G88" s="325"/>
      <c r="H88" s="221">
        <v>15</v>
      </c>
      <c r="I88" s="287">
        <v>0.03</v>
      </c>
      <c r="J88" s="287"/>
      <c r="K88" s="158" t="s">
        <v>73</v>
      </c>
      <c r="L88" s="84"/>
      <c r="N88" s="148"/>
      <c r="O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</row>
    <row r="89" spans="1:27" s="1" customFormat="1" ht="40" customHeight="1" x14ac:dyDescent="0.35">
      <c r="A89" s="270" t="s">
        <v>169</v>
      </c>
      <c r="B89" s="270"/>
      <c r="C89" s="270"/>
      <c r="D89" s="221">
        <v>1</v>
      </c>
      <c r="E89" s="221">
        <v>200</v>
      </c>
      <c r="F89" s="325">
        <f t="shared" si="9"/>
        <v>200</v>
      </c>
      <c r="G89" s="325"/>
      <c r="H89" s="221">
        <v>22</v>
      </c>
      <c r="I89" s="287">
        <v>0</v>
      </c>
      <c r="J89" s="287"/>
      <c r="K89" s="158" t="s">
        <v>73</v>
      </c>
      <c r="L89" s="84"/>
      <c r="M89" s="183"/>
      <c r="N89" s="148"/>
      <c r="O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</row>
    <row r="90" spans="1:27" s="1" customFormat="1" ht="40" customHeight="1" x14ac:dyDescent="0.35">
      <c r="A90" s="270"/>
      <c r="B90" s="270"/>
      <c r="C90" s="270"/>
      <c r="D90" s="221"/>
      <c r="E90" s="221"/>
      <c r="F90" s="325">
        <f t="shared" si="9"/>
        <v>0</v>
      </c>
      <c r="G90" s="325"/>
      <c r="H90" s="221"/>
      <c r="I90" s="287"/>
      <c r="J90" s="287"/>
      <c r="K90" s="158" t="s">
        <v>73</v>
      </c>
      <c r="L90" s="84"/>
      <c r="M90" s="183"/>
      <c r="N90" s="148"/>
      <c r="O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</row>
    <row r="91" spans="1:27" s="1" customFormat="1" ht="40" customHeight="1" x14ac:dyDescent="0.35">
      <c r="A91" s="270"/>
      <c r="B91" s="270"/>
      <c r="C91" s="270"/>
      <c r="D91" s="221"/>
      <c r="E91" s="221"/>
      <c r="F91" s="325">
        <f t="shared" si="9"/>
        <v>0</v>
      </c>
      <c r="G91" s="325"/>
      <c r="H91" s="221"/>
      <c r="I91" s="287"/>
      <c r="J91" s="287"/>
      <c r="K91" s="158" t="s">
        <v>73</v>
      </c>
      <c r="L91" s="84"/>
      <c r="M91" s="183"/>
      <c r="N91" s="148"/>
      <c r="O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</row>
    <row r="92" spans="1:27" s="1" customFormat="1" ht="40" customHeight="1" x14ac:dyDescent="0.35">
      <c r="A92" s="270"/>
      <c r="B92" s="270"/>
      <c r="C92" s="270"/>
      <c r="D92" s="221"/>
      <c r="E92" s="221"/>
      <c r="F92" s="325">
        <f t="shared" si="9"/>
        <v>0</v>
      </c>
      <c r="G92" s="325"/>
      <c r="H92" s="221"/>
      <c r="I92" s="287"/>
      <c r="J92" s="287"/>
      <c r="K92" s="158" t="s">
        <v>73</v>
      </c>
      <c r="L92" s="84"/>
      <c r="M92" s="183"/>
      <c r="N92" s="148"/>
      <c r="O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</row>
    <row r="93" spans="1:27" s="1" customFormat="1" ht="40" customHeight="1" x14ac:dyDescent="0.35">
      <c r="A93" s="270"/>
      <c r="B93" s="270"/>
      <c r="C93" s="270"/>
      <c r="D93" s="221"/>
      <c r="E93" s="221"/>
      <c r="F93" s="325">
        <f t="shared" si="9"/>
        <v>0</v>
      </c>
      <c r="G93" s="325"/>
      <c r="H93" s="221"/>
      <c r="I93" s="287"/>
      <c r="J93" s="287"/>
      <c r="K93" s="158" t="s">
        <v>73</v>
      </c>
      <c r="L93" s="84"/>
      <c r="N93" s="148"/>
      <c r="O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</row>
    <row r="94" spans="1:27" s="1" customFormat="1" ht="40" customHeight="1" x14ac:dyDescent="0.35">
      <c r="A94" s="270"/>
      <c r="B94" s="270"/>
      <c r="C94" s="270"/>
      <c r="D94" s="221"/>
      <c r="E94" s="221"/>
      <c r="F94" s="325">
        <f t="shared" si="9"/>
        <v>0</v>
      </c>
      <c r="G94" s="325"/>
      <c r="H94" s="221"/>
      <c r="I94" s="287"/>
      <c r="J94" s="287"/>
      <c r="K94" s="158" t="s">
        <v>73</v>
      </c>
      <c r="L94" s="84"/>
      <c r="M94" s="183"/>
      <c r="N94" s="148"/>
      <c r="O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</row>
    <row r="95" spans="1:27" s="1" customFormat="1" ht="40" customHeight="1" x14ac:dyDescent="0.35">
      <c r="A95" s="270"/>
      <c r="B95" s="270"/>
      <c r="C95" s="270"/>
      <c r="D95" s="221"/>
      <c r="E95" s="221"/>
      <c r="F95" s="325">
        <f t="shared" si="9"/>
        <v>0</v>
      </c>
      <c r="G95" s="325"/>
      <c r="H95" s="221"/>
      <c r="I95" s="287"/>
      <c r="J95" s="287"/>
      <c r="K95" s="158" t="s">
        <v>73</v>
      </c>
      <c r="L95" s="84"/>
      <c r="M95" s="183"/>
      <c r="N95" s="148"/>
      <c r="O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</row>
    <row r="96" spans="1:27" s="1" customFormat="1" ht="40" customHeight="1" x14ac:dyDescent="0.35">
      <c r="A96" s="270"/>
      <c r="B96" s="270"/>
      <c r="C96" s="270"/>
      <c r="D96" s="221"/>
      <c r="E96" s="221"/>
      <c r="F96" s="325">
        <f t="shared" si="9"/>
        <v>0</v>
      </c>
      <c r="G96" s="325"/>
      <c r="H96" s="221"/>
      <c r="I96" s="287"/>
      <c r="J96" s="287"/>
      <c r="K96" s="158" t="s">
        <v>73</v>
      </c>
      <c r="L96" s="84"/>
      <c r="M96" s="183"/>
      <c r="N96" s="148"/>
      <c r="O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</row>
    <row r="97" spans="1:27" s="1" customFormat="1" ht="40" customHeight="1" x14ac:dyDescent="0.35">
      <c r="A97" s="270"/>
      <c r="B97" s="270"/>
      <c r="C97" s="270"/>
      <c r="D97" s="221"/>
      <c r="E97" s="221"/>
      <c r="F97" s="325">
        <f t="shared" si="9"/>
        <v>0</v>
      </c>
      <c r="G97" s="325"/>
      <c r="H97" s="221"/>
      <c r="I97" s="287"/>
      <c r="J97" s="287"/>
      <c r="K97" s="158" t="s">
        <v>73</v>
      </c>
      <c r="L97" s="84"/>
      <c r="M97" s="183"/>
      <c r="N97" s="148"/>
      <c r="O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</row>
    <row r="98" spans="1:27" ht="25.75" customHeight="1" x14ac:dyDescent="0.45">
      <c r="A98" s="318"/>
      <c r="B98" s="318"/>
      <c r="C98" s="318"/>
      <c r="D98" s="318"/>
      <c r="E98" s="318"/>
      <c r="F98" s="318"/>
      <c r="G98" s="318"/>
      <c r="H98" s="318"/>
      <c r="I98" s="318"/>
      <c r="J98" s="318"/>
      <c r="K98" s="318"/>
    </row>
    <row r="99" spans="1:27" ht="42" customHeight="1" x14ac:dyDescent="0.35">
      <c r="A99" s="76" t="s">
        <v>1</v>
      </c>
      <c r="D99" s="165"/>
      <c r="E99" s="165"/>
      <c r="H99" s="320"/>
      <c r="I99" s="320"/>
      <c r="J99" s="320"/>
      <c r="K99" s="320"/>
    </row>
    <row r="100" spans="1:27" ht="42" customHeight="1" x14ac:dyDescent="0.35">
      <c r="D100" s="245" t="s">
        <v>91</v>
      </c>
      <c r="E100" s="245"/>
      <c r="F100" s="245"/>
      <c r="G100" s="245"/>
      <c r="H100" s="245"/>
      <c r="I100" s="245"/>
      <c r="J100" s="245"/>
      <c r="K100" s="245"/>
    </row>
    <row r="101" spans="1:27" ht="42" customHeight="1" x14ac:dyDescent="0.35">
      <c r="A101" s="164"/>
      <c r="D101" s="286" t="str">
        <f>A66</f>
        <v>Business</v>
      </c>
      <c r="E101" s="286"/>
      <c r="F101" s="286"/>
      <c r="G101" s="286"/>
      <c r="H101" s="286" t="str">
        <f>A80</f>
        <v>Exclusive</v>
      </c>
      <c r="I101" s="286"/>
      <c r="J101" s="286"/>
      <c r="K101" s="286"/>
    </row>
    <row r="102" spans="1:27" ht="58.75" customHeight="1" x14ac:dyDescent="0.35">
      <c r="A102" s="76"/>
      <c r="D102" s="240" t="s">
        <v>137</v>
      </c>
      <c r="E102" s="240"/>
      <c r="F102" s="240" t="str">
        <f>"В валюте, в которой производиться расчет, "&amp;CHOOSE($O$2,$P$2,$P$3,$P$4,$P$5)&amp;"/мес.*"</f>
        <v>В валюте, в которой производиться расчет, UAH/мес.*</v>
      </c>
      <c r="G102" s="240"/>
      <c r="H102" s="240" t="str">
        <f>D102</f>
        <v>UAH/мес.* или %</v>
      </c>
      <c r="I102" s="240"/>
      <c r="J102" s="240" t="str">
        <f>"В валюте, в которой производиться расчет, "&amp;CHOOSE($O$2,$P$2,$P$3,$P$4,$P$5)&amp;"/мес."</f>
        <v>В валюте, в которой производиться расчет, UAH/мес.</v>
      </c>
      <c r="K102" s="240"/>
    </row>
    <row r="103" spans="1:27" ht="43" customHeight="1" x14ac:dyDescent="0.35">
      <c r="A103" s="2"/>
      <c r="B103" s="246" t="s">
        <v>77</v>
      </c>
      <c r="C103" s="247"/>
      <c r="D103" s="236">
        <v>0</v>
      </c>
      <c r="E103" s="236"/>
      <c r="F103" s="239">
        <f>D103/CHOOSE($O$2,1,$F$5,$I$5,$K$5)</f>
        <v>0</v>
      </c>
      <c r="G103" s="239"/>
      <c r="H103" s="236">
        <v>0</v>
      </c>
      <c r="I103" s="236"/>
      <c r="J103" s="239">
        <f>H103/CHOOSE($O$2,1,$F$5,$I$5,$K$5)</f>
        <v>0</v>
      </c>
      <c r="K103" s="239"/>
      <c r="O103" s="96"/>
    </row>
    <row r="104" spans="1:27" ht="43" customHeight="1" x14ac:dyDescent="0.35">
      <c r="A104" s="120"/>
      <c r="B104" s="322" t="s">
        <v>88</v>
      </c>
      <c r="C104" s="323"/>
      <c r="D104" s="241">
        <v>0</v>
      </c>
      <c r="E104" s="241"/>
      <c r="F104" s="239">
        <v>0</v>
      </c>
      <c r="G104" s="239"/>
      <c r="H104" s="241">
        <v>0</v>
      </c>
      <c r="I104" s="241"/>
      <c r="J104" s="239">
        <v>0</v>
      </c>
      <c r="K104" s="239"/>
    </row>
    <row r="105" spans="1:27" ht="43" customHeight="1" x14ac:dyDescent="0.35">
      <c r="A105" s="120"/>
      <c r="B105" s="314" t="s">
        <v>95</v>
      </c>
      <c r="C105" s="321"/>
      <c r="D105" s="241">
        <v>0.08</v>
      </c>
      <c r="E105" s="241"/>
      <c r="F105" s="239"/>
      <c r="G105" s="239"/>
      <c r="H105" s="241">
        <v>0.1</v>
      </c>
      <c r="I105" s="241"/>
      <c r="J105" s="239"/>
      <c r="K105" s="239"/>
    </row>
    <row r="106" spans="1:27" s="2" customFormat="1" ht="43" customHeight="1" x14ac:dyDescent="0.35">
      <c r="A106" s="82"/>
      <c r="B106" s="311" t="s">
        <v>58</v>
      </c>
      <c r="C106" s="312"/>
      <c r="D106" s="236">
        <v>20000</v>
      </c>
      <c r="E106" s="236"/>
      <c r="F106" s="239">
        <f t="shared" ref="F106:F116" si="10">D106/CHOOSE($O$2,1,$F$5,$I$5,$K$5)</f>
        <v>20000</v>
      </c>
      <c r="G106" s="239"/>
      <c r="H106" s="236">
        <v>30000</v>
      </c>
      <c r="I106" s="236"/>
      <c r="J106" s="239">
        <f t="shared" ref="J106:J116" si="11">H106/CHOOSE($O$2,1,$F$5,$I$5,$K$5)</f>
        <v>30000</v>
      </c>
      <c r="K106" s="239"/>
      <c r="L106" s="84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</row>
    <row r="107" spans="1:27" ht="43" customHeight="1" x14ac:dyDescent="0.35">
      <c r="A107" s="82"/>
      <c r="B107" s="311" t="s">
        <v>59</v>
      </c>
      <c r="C107" s="312"/>
      <c r="D107" s="236">
        <v>2500</v>
      </c>
      <c r="E107" s="236"/>
      <c r="F107" s="239">
        <f t="shared" si="10"/>
        <v>2500</v>
      </c>
      <c r="G107" s="239"/>
      <c r="H107" s="236">
        <v>5000</v>
      </c>
      <c r="I107" s="236"/>
      <c r="J107" s="239">
        <f t="shared" si="11"/>
        <v>5000</v>
      </c>
      <c r="K107" s="239"/>
      <c r="M107" s="1"/>
    </row>
    <row r="108" spans="1:27" ht="43" customHeight="1" x14ac:dyDescent="0.35">
      <c r="A108" s="2"/>
      <c r="B108" s="246" t="s">
        <v>50</v>
      </c>
      <c r="C108" s="247"/>
      <c r="D108" s="236">
        <v>1500</v>
      </c>
      <c r="E108" s="236"/>
      <c r="F108" s="239">
        <f t="shared" si="10"/>
        <v>1500</v>
      </c>
      <c r="G108" s="239"/>
      <c r="H108" s="236">
        <v>2000</v>
      </c>
      <c r="I108" s="236"/>
      <c r="J108" s="239">
        <f t="shared" si="11"/>
        <v>2000</v>
      </c>
      <c r="K108" s="239"/>
      <c r="M108" s="1"/>
    </row>
    <row r="109" spans="1:27" ht="43" customHeight="1" x14ac:dyDescent="0.35">
      <c r="A109" s="82"/>
      <c r="B109" s="246" t="s">
        <v>160</v>
      </c>
      <c r="C109" s="247"/>
      <c r="D109" s="236">
        <v>40000</v>
      </c>
      <c r="E109" s="236"/>
      <c r="F109" s="239">
        <f t="shared" si="10"/>
        <v>40000</v>
      </c>
      <c r="G109" s="239"/>
      <c r="H109" s="236">
        <v>50000</v>
      </c>
      <c r="I109" s="236"/>
      <c r="J109" s="239">
        <f t="shared" si="11"/>
        <v>50000</v>
      </c>
      <c r="K109" s="239"/>
      <c r="M109" s="1"/>
    </row>
    <row r="110" spans="1:27" ht="43" customHeight="1" x14ac:dyDescent="0.35">
      <c r="A110" s="82"/>
      <c r="B110" s="246" t="s">
        <v>141</v>
      </c>
      <c r="C110" s="247"/>
      <c r="D110" s="236">
        <v>0</v>
      </c>
      <c r="E110" s="236"/>
      <c r="F110" s="239">
        <f t="shared" si="10"/>
        <v>0</v>
      </c>
      <c r="G110" s="239"/>
      <c r="H110" s="236">
        <v>0</v>
      </c>
      <c r="I110" s="236"/>
      <c r="J110" s="239">
        <f t="shared" si="11"/>
        <v>0</v>
      </c>
      <c r="K110" s="239"/>
      <c r="M110" s="1"/>
    </row>
    <row r="111" spans="1:27" ht="43" customHeight="1" x14ac:dyDescent="0.35">
      <c r="A111" s="82"/>
      <c r="B111" s="246" t="s">
        <v>136</v>
      </c>
      <c r="C111" s="247"/>
      <c r="D111" s="236">
        <v>600</v>
      </c>
      <c r="E111" s="236"/>
      <c r="F111" s="239">
        <f t="shared" si="10"/>
        <v>600</v>
      </c>
      <c r="G111" s="239"/>
      <c r="H111" s="236">
        <v>600</v>
      </c>
      <c r="I111" s="236"/>
      <c r="J111" s="239">
        <f t="shared" si="11"/>
        <v>600</v>
      </c>
      <c r="K111" s="239"/>
      <c r="M111" s="1"/>
    </row>
    <row r="112" spans="1:27" ht="43" customHeight="1" x14ac:dyDescent="0.35">
      <c r="A112" s="2"/>
      <c r="B112" s="315" t="s">
        <v>67</v>
      </c>
      <c r="C112" s="315"/>
      <c r="D112" s="236">
        <v>300</v>
      </c>
      <c r="E112" s="236"/>
      <c r="F112" s="239">
        <f t="shared" si="10"/>
        <v>300</v>
      </c>
      <c r="G112" s="239"/>
      <c r="H112" s="236">
        <v>300</v>
      </c>
      <c r="I112" s="236"/>
      <c r="J112" s="239">
        <f t="shared" si="11"/>
        <v>300</v>
      </c>
      <c r="K112" s="239"/>
    </row>
    <row r="113" spans="1:28" ht="43" customHeight="1" x14ac:dyDescent="0.35">
      <c r="A113" s="2"/>
      <c r="B113" s="246" t="s">
        <v>71</v>
      </c>
      <c r="C113" s="247"/>
      <c r="D113" s="236">
        <v>300</v>
      </c>
      <c r="E113" s="236"/>
      <c r="F113" s="239">
        <f t="shared" si="10"/>
        <v>300</v>
      </c>
      <c r="G113" s="239"/>
      <c r="H113" s="236">
        <v>300</v>
      </c>
      <c r="I113" s="236"/>
      <c r="J113" s="239">
        <f t="shared" si="11"/>
        <v>300</v>
      </c>
      <c r="K113" s="239"/>
    </row>
    <row r="114" spans="1:28" ht="43" customHeight="1" x14ac:dyDescent="0.35">
      <c r="A114" s="2"/>
      <c r="B114" s="246" t="s">
        <v>68</v>
      </c>
      <c r="C114" s="247"/>
      <c r="D114" s="236">
        <v>500</v>
      </c>
      <c r="E114" s="236"/>
      <c r="F114" s="239">
        <f t="shared" si="10"/>
        <v>500</v>
      </c>
      <c r="G114" s="239"/>
      <c r="H114" s="236">
        <v>500</v>
      </c>
      <c r="I114" s="236"/>
      <c r="J114" s="239">
        <f t="shared" si="11"/>
        <v>500</v>
      </c>
      <c r="K114" s="239"/>
      <c r="L114" s="85"/>
      <c r="M114" s="82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43" customHeight="1" x14ac:dyDescent="0.35">
      <c r="A115" s="2"/>
      <c r="B115" s="246" t="s">
        <v>102</v>
      </c>
      <c r="C115" s="247"/>
      <c r="D115" s="236">
        <v>0</v>
      </c>
      <c r="E115" s="236"/>
      <c r="F115" s="239">
        <f t="shared" si="10"/>
        <v>0</v>
      </c>
      <c r="G115" s="239"/>
      <c r="H115" s="236">
        <v>0</v>
      </c>
      <c r="I115" s="236"/>
      <c r="J115" s="239">
        <f t="shared" si="11"/>
        <v>0</v>
      </c>
      <c r="K115" s="239"/>
      <c r="L115" s="85"/>
      <c r="M115" s="82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43" customHeight="1" x14ac:dyDescent="0.35">
      <c r="A116" s="2"/>
      <c r="B116" s="246" t="s">
        <v>78</v>
      </c>
      <c r="C116" s="247"/>
      <c r="D116" s="236">
        <v>0</v>
      </c>
      <c r="E116" s="236"/>
      <c r="F116" s="239">
        <f t="shared" si="10"/>
        <v>0</v>
      </c>
      <c r="G116" s="239"/>
      <c r="H116" s="236">
        <v>0</v>
      </c>
      <c r="I116" s="236"/>
      <c r="J116" s="239">
        <f t="shared" si="11"/>
        <v>0</v>
      </c>
      <c r="K116" s="239"/>
    </row>
    <row r="117" spans="1:28" ht="49.5" customHeight="1" x14ac:dyDescent="0.35">
      <c r="A117" s="2"/>
      <c r="B117" s="246" t="s">
        <v>94</v>
      </c>
      <c r="C117" s="247"/>
      <c r="D117" s="242">
        <v>0.2</v>
      </c>
      <c r="E117" s="242"/>
      <c r="F117" s="240" t="s">
        <v>106</v>
      </c>
      <c r="G117" s="240"/>
      <c r="H117" s="242">
        <v>0.2</v>
      </c>
      <c r="I117" s="242"/>
      <c r="J117" s="240" t="str">
        <f>F117</f>
        <v>% от выручки, который проходит по безналичному расчету</v>
      </c>
      <c r="K117" s="240"/>
    </row>
    <row r="118" spans="1:28" ht="42" customHeight="1" x14ac:dyDescent="0.35">
      <c r="A118" s="2"/>
      <c r="B118" s="246"/>
      <c r="C118" s="247"/>
      <c r="D118" s="241">
        <v>0.02</v>
      </c>
      <c r="E118" s="241"/>
      <c r="F118" s="240" t="s">
        <v>107</v>
      </c>
      <c r="G118" s="240"/>
      <c r="H118" s="241">
        <v>0.02</v>
      </c>
      <c r="I118" s="241"/>
      <c r="J118" s="240" t="str">
        <f>F118</f>
        <v>размер банковской комиссии</v>
      </c>
      <c r="K118" s="240"/>
      <c r="L118" s="85"/>
      <c r="M118" s="82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43" customHeight="1" x14ac:dyDescent="0.35">
      <c r="A119" s="2"/>
      <c r="B119" s="246" t="s">
        <v>138</v>
      </c>
      <c r="C119" s="247"/>
      <c r="D119" s="241"/>
      <c r="E119" s="241"/>
      <c r="F119" s="237"/>
      <c r="G119" s="237"/>
      <c r="H119" s="241"/>
      <c r="I119" s="241"/>
      <c r="J119" s="237"/>
      <c r="K119" s="237"/>
    </row>
    <row r="120" spans="1:28" s="82" customFormat="1" ht="26.15" customHeight="1" x14ac:dyDescent="0.35">
      <c r="B120" s="196" t="s">
        <v>103</v>
      </c>
      <c r="C120" s="178"/>
      <c r="D120" s="238"/>
      <c r="E120" s="238"/>
      <c r="F120" s="238"/>
      <c r="G120" s="238"/>
      <c r="H120" s="238"/>
      <c r="I120" s="238"/>
      <c r="J120" s="238"/>
      <c r="K120" s="238"/>
    </row>
    <row r="121" spans="1:28" ht="43" customHeight="1" x14ac:dyDescent="0.35">
      <c r="A121" s="2"/>
      <c r="B121" s="246" t="s">
        <v>139</v>
      </c>
      <c r="C121" s="247"/>
      <c r="D121" s="236">
        <v>10000</v>
      </c>
      <c r="E121" s="236"/>
      <c r="F121" s="239">
        <f>D121/CHOOSE($O$2,1,$F$5,$I$5,$K$5)</f>
        <v>10000</v>
      </c>
      <c r="G121" s="239"/>
      <c r="H121" s="236">
        <v>15000</v>
      </c>
      <c r="I121" s="236"/>
      <c r="J121" s="239">
        <f>H121/CHOOSE($O$2,1,$F$5,$I$5,$K$5)</f>
        <v>15000</v>
      </c>
      <c r="K121" s="239"/>
    </row>
    <row r="122" spans="1:28" ht="43" customHeight="1" x14ac:dyDescent="0.35">
      <c r="A122" s="2"/>
      <c r="B122" s="246" t="s">
        <v>44</v>
      </c>
      <c r="C122" s="247"/>
      <c r="D122" s="236">
        <v>1000</v>
      </c>
      <c r="E122" s="236"/>
      <c r="F122" s="239">
        <f>D122/CHOOSE($O$2,1,$F$5,$I$5,$K$5)</f>
        <v>1000</v>
      </c>
      <c r="G122" s="239"/>
      <c r="H122" s="236">
        <v>1000</v>
      </c>
      <c r="I122" s="236"/>
      <c r="J122" s="239">
        <f>H122/CHOOSE($O$2,1,$F$5,$I$5,$K$5)</f>
        <v>1000</v>
      </c>
      <c r="K122" s="239"/>
    </row>
    <row r="123" spans="1:28" ht="43" customHeight="1" x14ac:dyDescent="0.35">
      <c r="A123" s="2"/>
      <c r="B123" s="246" t="s">
        <v>2</v>
      </c>
      <c r="C123" s="247"/>
      <c r="D123" s="236">
        <v>1000</v>
      </c>
      <c r="E123" s="236"/>
      <c r="F123" s="239">
        <f>D123/CHOOSE($O$2,1,$F$5,$I$5,$K$5)</f>
        <v>1000</v>
      </c>
      <c r="G123" s="239"/>
      <c r="H123" s="236">
        <v>1000</v>
      </c>
      <c r="I123" s="236"/>
      <c r="J123" s="239">
        <f>H123/CHOOSE($O$2,1,$F$5,$I$5,$K$5)</f>
        <v>1000</v>
      </c>
      <c r="K123" s="239"/>
    </row>
    <row r="124" spans="1:28" ht="45.9" customHeight="1" x14ac:dyDescent="0.35">
      <c r="A124" s="319" t="s">
        <v>142</v>
      </c>
      <c r="B124" s="319"/>
      <c r="C124" s="319"/>
      <c r="D124" s="319"/>
      <c r="E124" s="319"/>
      <c r="F124" s="319"/>
      <c r="G124" s="319"/>
      <c r="H124" s="319"/>
      <c r="I124" s="319"/>
      <c r="J124" s="319"/>
      <c r="K124" s="319"/>
    </row>
  </sheetData>
  <sheetProtection formatCells="0" formatColumns="0" formatRows="0" insertColumns="0" insertRows="0" insertHyperlinks="0" deleteColumns="0" deleteRows="0" sort="0" autoFilter="0" pivotTables="0"/>
  <mergeCells count="414">
    <mergeCell ref="I75:J75"/>
    <mergeCell ref="A76:C76"/>
    <mergeCell ref="I76:J76"/>
    <mergeCell ref="F88:G88"/>
    <mergeCell ref="F89:G89"/>
    <mergeCell ref="F90:G90"/>
    <mergeCell ref="F91:G91"/>
    <mergeCell ref="F92:G92"/>
    <mergeCell ref="F93:G93"/>
    <mergeCell ref="E67:G67"/>
    <mergeCell ref="F68:G68"/>
    <mergeCell ref="F69:G69"/>
    <mergeCell ref="F70:G70"/>
    <mergeCell ref="F71:G71"/>
    <mergeCell ref="F72:G72"/>
    <mergeCell ref="F73:G73"/>
    <mergeCell ref="F74:G74"/>
    <mergeCell ref="F75:G75"/>
    <mergeCell ref="I95:J95"/>
    <mergeCell ref="A96:C96"/>
    <mergeCell ref="I96:J96"/>
    <mergeCell ref="A97:C97"/>
    <mergeCell ref="I97:J97"/>
    <mergeCell ref="F97:G97"/>
    <mergeCell ref="A78:C78"/>
    <mergeCell ref="I78:J78"/>
    <mergeCell ref="A93:C93"/>
    <mergeCell ref="I93:J93"/>
    <mergeCell ref="A94:C94"/>
    <mergeCell ref="I94:J94"/>
    <mergeCell ref="A88:C88"/>
    <mergeCell ref="I88:J88"/>
    <mergeCell ref="A89:C89"/>
    <mergeCell ref="I89:J89"/>
    <mergeCell ref="A90:C90"/>
    <mergeCell ref="I90:J90"/>
    <mergeCell ref="A91:C91"/>
    <mergeCell ref="I91:J91"/>
    <mergeCell ref="A92:C92"/>
    <mergeCell ref="I92:J92"/>
    <mergeCell ref="F78:G78"/>
    <mergeCell ref="F82:G82"/>
    <mergeCell ref="I77:J77"/>
    <mergeCell ref="I29:J29"/>
    <mergeCell ref="H12:K12"/>
    <mergeCell ref="H13:K13"/>
    <mergeCell ref="H10:K11"/>
    <mergeCell ref="A74:C74"/>
    <mergeCell ref="I74:J74"/>
    <mergeCell ref="A27:B27"/>
    <mergeCell ref="C27:D27"/>
    <mergeCell ref="G27:H27"/>
    <mergeCell ref="A28:B28"/>
    <mergeCell ref="C28:D28"/>
    <mergeCell ref="G28:H28"/>
    <mergeCell ref="I27:J27"/>
    <mergeCell ref="I28:J28"/>
    <mergeCell ref="I71:J71"/>
    <mergeCell ref="I70:J70"/>
    <mergeCell ref="I67:J68"/>
    <mergeCell ref="A15:B16"/>
    <mergeCell ref="A17:B17"/>
    <mergeCell ref="J45:K45"/>
    <mergeCell ref="A21:B21"/>
    <mergeCell ref="A19:B19"/>
    <mergeCell ref="H67:H68"/>
    <mergeCell ref="B117:C118"/>
    <mergeCell ref="B56:C56"/>
    <mergeCell ref="A23:B23"/>
    <mergeCell ref="C23:D23"/>
    <mergeCell ref="G23:H23"/>
    <mergeCell ref="A24:B24"/>
    <mergeCell ref="C24:D24"/>
    <mergeCell ref="G24:H24"/>
    <mergeCell ref="A25:B25"/>
    <mergeCell ref="C25:D25"/>
    <mergeCell ref="G25:H25"/>
    <mergeCell ref="A26:B26"/>
    <mergeCell ref="C26:D26"/>
    <mergeCell ref="H45:I45"/>
    <mergeCell ref="A48:B48"/>
    <mergeCell ref="A49:B49"/>
    <mergeCell ref="I85:J85"/>
    <mergeCell ref="A86:C86"/>
    <mergeCell ref="I86:J86"/>
    <mergeCell ref="A87:C87"/>
    <mergeCell ref="I87:J87"/>
    <mergeCell ref="F85:G85"/>
    <mergeCell ref="F86:G86"/>
    <mergeCell ref="F87:G87"/>
    <mergeCell ref="A124:K124"/>
    <mergeCell ref="B115:C115"/>
    <mergeCell ref="B59:C59"/>
    <mergeCell ref="B123:C123"/>
    <mergeCell ref="B116:C116"/>
    <mergeCell ref="B54:C54"/>
    <mergeCell ref="A35:B35"/>
    <mergeCell ref="H99:K99"/>
    <mergeCell ref="A36:B36"/>
    <mergeCell ref="A37:B37"/>
    <mergeCell ref="A38:B38"/>
    <mergeCell ref="A43:B43"/>
    <mergeCell ref="A44:B44"/>
    <mergeCell ref="A39:B39"/>
    <mergeCell ref="A40:B40"/>
    <mergeCell ref="A41:B41"/>
    <mergeCell ref="A42:B42"/>
    <mergeCell ref="B121:C121"/>
    <mergeCell ref="B105:C105"/>
    <mergeCell ref="A79:K79"/>
    <mergeCell ref="K67:K68"/>
    <mergeCell ref="B62:C62"/>
    <mergeCell ref="D67:D68"/>
    <mergeCell ref="B104:C104"/>
    <mergeCell ref="A1:K1"/>
    <mergeCell ref="A64:K64"/>
    <mergeCell ref="B122:C122"/>
    <mergeCell ref="B114:C114"/>
    <mergeCell ref="B106:C106"/>
    <mergeCell ref="B108:C108"/>
    <mergeCell ref="B119:C119"/>
    <mergeCell ref="A2:K2"/>
    <mergeCell ref="B113:C113"/>
    <mergeCell ref="B55:C55"/>
    <mergeCell ref="B112:C112"/>
    <mergeCell ref="B109:C109"/>
    <mergeCell ref="B107:C107"/>
    <mergeCell ref="B103:C103"/>
    <mergeCell ref="B57:C57"/>
    <mergeCell ref="I69:J69"/>
    <mergeCell ref="B63:C63"/>
    <mergeCell ref="B61:C61"/>
    <mergeCell ref="F13:G13"/>
    <mergeCell ref="H34:I34"/>
    <mergeCell ref="J34:K34"/>
    <mergeCell ref="A10:B11"/>
    <mergeCell ref="A12:B12"/>
    <mergeCell ref="A98:K98"/>
    <mergeCell ref="A5:D5"/>
    <mergeCell ref="B60:C60"/>
    <mergeCell ref="B58:C58"/>
    <mergeCell ref="G5:H5"/>
    <mergeCell ref="H35:I35"/>
    <mergeCell ref="J35:K35"/>
    <mergeCell ref="H36:I36"/>
    <mergeCell ref="J36:K36"/>
    <mergeCell ref="H37:I37"/>
    <mergeCell ref="J37:K37"/>
    <mergeCell ref="A13:B13"/>
    <mergeCell ref="C10:E10"/>
    <mergeCell ref="F10:G11"/>
    <mergeCell ref="D11:E11"/>
    <mergeCell ref="D12:E12"/>
    <mergeCell ref="F12:G12"/>
    <mergeCell ref="D13:E13"/>
    <mergeCell ref="A34:B34"/>
    <mergeCell ref="A32:B33"/>
    <mergeCell ref="A18:B18"/>
    <mergeCell ref="A20:B20"/>
    <mergeCell ref="H7:K7"/>
    <mergeCell ref="D7:G7"/>
    <mergeCell ref="C15:F15"/>
    <mergeCell ref="A7:C7"/>
    <mergeCell ref="I16:J16"/>
    <mergeCell ref="I17:J17"/>
    <mergeCell ref="I18:J18"/>
    <mergeCell ref="I19:J19"/>
    <mergeCell ref="I20:J20"/>
    <mergeCell ref="I72:J72"/>
    <mergeCell ref="A73:C73"/>
    <mergeCell ref="I73:J73"/>
    <mergeCell ref="H38:I38"/>
    <mergeCell ref="J38:K38"/>
    <mergeCell ref="H39:I39"/>
    <mergeCell ref="J39:K39"/>
    <mergeCell ref="A45:B45"/>
    <mergeCell ref="A46:K46"/>
    <mergeCell ref="A50:K50"/>
    <mergeCell ref="A47:B47"/>
    <mergeCell ref="D47:E47"/>
    <mergeCell ref="D48:E48"/>
    <mergeCell ref="D49:E49"/>
    <mergeCell ref="J47:K47"/>
    <mergeCell ref="J48:K49"/>
    <mergeCell ref="H44:I44"/>
    <mergeCell ref="J44:K44"/>
    <mergeCell ref="K81:K82"/>
    <mergeCell ref="A83:C83"/>
    <mergeCell ref="I83:J83"/>
    <mergeCell ref="A84:C84"/>
    <mergeCell ref="I84:J84"/>
    <mergeCell ref="A81:C82"/>
    <mergeCell ref="D81:D82"/>
    <mergeCell ref="E81:H81"/>
    <mergeCell ref="I81:J82"/>
    <mergeCell ref="F83:G83"/>
    <mergeCell ref="F84:G84"/>
    <mergeCell ref="H101:K101"/>
    <mergeCell ref="J102:K102"/>
    <mergeCell ref="J103:K103"/>
    <mergeCell ref="J104:K104"/>
    <mergeCell ref="J105:K105"/>
    <mergeCell ref="J106:K106"/>
    <mergeCell ref="J107:K107"/>
    <mergeCell ref="J108:K108"/>
    <mergeCell ref="J109:K109"/>
    <mergeCell ref="F112:G112"/>
    <mergeCell ref="F113:G113"/>
    <mergeCell ref="F114:G114"/>
    <mergeCell ref="D112:E112"/>
    <mergeCell ref="D113:E113"/>
    <mergeCell ref="D114:E114"/>
    <mergeCell ref="D101:G101"/>
    <mergeCell ref="A85:C85"/>
    <mergeCell ref="A69:C69"/>
    <mergeCell ref="A70:C70"/>
    <mergeCell ref="A71:C71"/>
    <mergeCell ref="A77:C77"/>
    <mergeCell ref="A95:C95"/>
    <mergeCell ref="F76:G76"/>
    <mergeCell ref="F77:G77"/>
    <mergeCell ref="A75:C75"/>
    <mergeCell ref="F94:G94"/>
    <mergeCell ref="F95:G95"/>
    <mergeCell ref="F96:G96"/>
    <mergeCell ref="A67:C68"/>
    <mergeCell ref="A72:C72"/>
    <mergeCell ref="A29:B29"/>
    <mergeCell ref="G29:H29"/>
    <mergeCell ref="A22:B22"/>
    <mergeCell ref="C16:D16"/>
    <mergeCell ref="C17:D17"/>
    <mergeCell ref="C18:D18"/>
    <mergeCell ref="C19:D19"/>
    <mergeCell ref="C20:D20"/>
    <mergeCell ref="C21:D21"/>
    <mergeCell ref="C22:D22"/>
    <mergeCell ref="C29:D29"/>
    <mergeCell ref="G32:K32"/>
    <mergeCell ref="G16:H16"/>
    <mergeCell ref="G17:H17"/>
    <mergeCell ref="G18:H18"/>
    <mergeCell ref="G19:H19"/>
    <mergeCell ref="G20:H20"/>
    <mergeCell ref="G21:H21"/>
    <mergeCell ref="G22:H22"/>
    <mergeCell ref="G26:H26"/>
    <mergeCell ref="I21:J21"/>
    <mergeCell ref="I22:J22"/>
    <mergeCell ref="I23:J23"/>
    <mergeCell ref="I24:J24"/>
    <mergeCell ref="I25:J25"/>
    <mergeCell ref="I26:J26"/>
    <mergeCell ref="H33:I33"/>
    <mergeCell ref="J33:K33"/>
    <mergeCell ref="H40:I40"/>
    <mergeCell ref="J40:K40"/>
    <mergeCell ref="H41:I41"/>
    <mergeCell ref="J41:K41"/>
    <mergeCell ref="H42:I42"/>
    <mergeCell ref="J42:K42"/>
    <mergeCell ref="H43:I43"/>
    <mergeCell ref="J43:K43"/>
    <mergeCell ref="C32:F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F62:G62"/>
    <mergeCell ref="F63:G63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F53:G53"/>
    <mergeCell ref="F54:G54"/>
    <mergeCell ref="F55:G55"/>
    <mergeCell ref="F56:G56"/>
    <mergeCell ref="F57:G57"/>
    <mergeCell ref="F58:G58"/>
    <mergeCell ref="F59:G59"/>
    <mergeCell ref="F60:G60"/>
    <mergeCell ref="F61:G61"/>
    <mergeCell ref="D52:G52"/>
    <mergeCell ref="H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G15:K15"/>
    <mergeCell ref="D100:K100"/>
    <mergeCell ref="B111:C111"/>
    <mergeCell ref="B110:C110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110:G110"/>
    <mergeCell ref="F111:G11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F115:G115"/>
    <mergeCell ref="F116:G116"/>
    <mergeCell ref="F117:G117"/>
    <mergeCell ref="F118:G118"/>
    <mergeCell ref="F119:G119"/>
    <mergeCell ref="F120:G120"/>
    <mergeCell ref="F121:G121"/>
    <mergeCell ref="F122:G122"/>
    <mergeCell ref="F123:G123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H118:I118"/>
    <mergeCell ref="H119:I119"/>
    <mergeCell ref="H120:I120"/>
    <mergeCell ref="J110:K110"/>
    <mergeCell ref="J111:K111"/>
    <mergeCell ref="J112:K112"/>
    <mergeCell ref="J113:K113"/>
    <mergeCell ref="J114:K114"/>
    <mergeCell ref="J115:K115"/>
    <mergeCell ref="J116:K116"/>
    <mergeCell ref="J117:K117"/>
    <mergeCell ref="J118:K118"/>
    <mergeCell ref="H121:I121"/>
    <mergeCell ref="H122:I122"/>
    <mergeCell ref="H123:I123"/>
    <mergeCell ref="J119:K119"/>
    <mergeCell ref="J120:K120"/>
    <mergeCell ref="J121:K121"/>
    <mergeCell ref="J122:K122"/>
    <mergeCell ref="J123:K123"/>
    <mergeCell ref="H102:I102"/>
    <mergeCell ref="H103:I103"/>
    <mergeCell ref="H104:I104"/>
    <mergeCell ref="H105:I105"/>
    <mergeCell ref="H106:I106"/>
    <mergeCell ref="H107:I107"/>
    <mergeCell ref="H108:I108"/>
    <mergeCell ref="H109:I109"/>
    <mergeCell ref="H110:I110"/>
    <mergeCell ref="H111:I111"/>
    <mergeCell ref="H112:I112"/>
    <mergeCell ref="H113:I113"/>
    <mergeCell ref="H114:I114"/>
    <mergeCell ref="H115:I115"/>
    <mergeCell ref="H116:I116"/>
    <mergeCell ref="H117:I117"/>
  </mergeCells>
  <conditionalFormatting sqref="C29">
    <cfRule type="cellIs" dxfId="42" priority="3" operator="lessThan">
      <formula>1</formula>
    </cfRule>
    <cfRule type="cellIs" dxfId="41" priority="4" operator="greaterThan">
      <formula>1</formula>
    </cfRule>
  </conditionalFormatting>
  <conditionalFormatting sqref="G29">
    <cfRule type="cellIs" dxfId="40" priority="1" operator="lessThan">
      <formula>1</formula>
    </cfRule>
    <cfRule type="cellIs" dxfId="39" priority="2" operator="greaterThan">
      <formula>1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1" orientation="portrait" r:id="rId1"/>
  <rowBreaks count="1" manualBreakCount="1">
    <brk id="64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3</xdr:col>
                    <xdr:colOff>704850</xdr:colOff>
                    <xdr:row>2</xdr:row>
                    <xdr:rowOff>57150</xdr:rowOff>
                  </from>
                  <to>
                    <xdr:col>4</xdr:col>
                    <xdr:colOff>825500</xdr:colOff>
                    <xdr:row>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3</xdr:col>
                    <xdr:colOff>685800</xdr:colOff>
                    <xdr:row>3</xdr:row>
                    <xdr:rowOff>50800</xdr:rowOff>
                  </from>
                  <to>
                    <xdr:col>4</xdr:col>
                    <xdr:colOff>831850</xdr:colOff>
                    <xdr:row>3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74"/>
  <sheetViews>
    <sheetView showGridLines="0" tabSelected="1" topLeftCell="A28" zoomScale="70" zoomScaleNormal="70" zoomScaleSheetLayoutView="70" workbookViewId="0">
      <selection activeCell="E5" sqref="E5"/>
    </sheetView>
  </sheetViews>
  <sheetFormatPr defaultRowHeight="34.25" customHeight="1" x14ac:dyDescent="0.35"/>
  <cols>
    <col min="1" max="1" width="8.453125" customWidth="1"/>
    <col min="2" max="2" width="24.453125" customWidth="1"/>
    <col min="3" max="3" width="16.453125" customWidth="1"/>
    <col min="4" max="4" width="23.453125" customWidth="1"/>
    <col min="5" max="5" width="25.1796875" customWidth="1"/>
    <col min="6" max="6" width="17.7265625" customWidth="1"/>
    <col min="7" max="7" width="18.81640625" customWidth="1"/>
    <col min="8" max="8" width="25" customWidth="1"/>
    <col min="9" max="9" width="19.7265625" customWidth="1"/>
    <col min="10" max="10" width="30.54296875" customWidth="1"/>
    <col min="11" max="11" width="11.81640625" customWidth="1"/>
    <col min="12" max="13" width="9.1796875" hidden="1" customWidth="1"/>
    <col min="14" max="14" width="1.6328125" hidden="1" customWidth="1"/>
    <col min="15" max="15" width="20.7265625" hidden="1" customWidth="1"/>
    <col min="16" max="16" width="1.6328125" customWidth="1"/>
    <col min="17" max="17" width="15.81640625" bestFit="1" customWidth="1"/>
    <col min="18" max="18" width="6.1796875" customWidth="1"/>
    <col min="19" max="19" width="11.81640625" bestFit="1" customWidth="1"/>
    <col min="20" max="20" width="8.81640625" customWidth="1"/>
  </cols>
  <sheetData>
    <row r="1" spans="1:26" ht="59.4" customHeight="1" x14ac:dyDescent="0.35">
      <c r="A1" s="313" t="s">
        <v>146</v>
      </c>
      <c r="B1" s="313"/>
      <c r="C1" s="313"/>
      <c r="D1" s="313"/>
      <c r="E1" s="313"/>
      <c r="F1" s="313"/>
      <c r="G1" s="313"/>
      <c r="H1" s="313"/>
      <c r="I1" s="313"/>
      <c r="J1" s="313"/>
      <c r="K1" s="161"/>
      <c r="L1" s="200">
        <f>D65</f>
        <v>162581.75374999995</v>
      </c>
      <c r="M1" s="201">
        <f>I65</f>
        <v>0.26512037138955125</v>
      </c>
      <c r="N1" s="75">
        <v>2</v>
      </c>
      <c r="O1" s="81" t="str">
        <f>'Исходные данные'!D7</f>
        <v>Business</v>
      </c>
      <c r="P1" s="93"/>
      <c r="Q1" s="93"/>
      <c r="R1" s="81"/>
      <c r="S1" s="81"/>
      <c r="T1" s="93"/>
    </row>
    <row r="2" spans="1:26" ht="34.25" customHeight="1" x14ac:dyDescent="0.35">
      <c r="A2" s="350" t="s">
        <v>49</v>
      </c>
      <c r="B2" s="350"/>
      <c r="C2" s="350"/>
      <c r="D2" s="350"/>
      <c r="E2" s="162" t="str">
        <f>CHOOSE('Исходные данные'!$O$2,'Исходные данные'!$P$2,'Исходные данные'!$P$3,'Исходные данные'!$P$4,'Исходные данные'!$P$5)</f>
        <v>UAH</v>
      </c>
      <c r="F2" s="351"/>
      <c r="G2" s="351"/>
      <c r="H2" s="351"/>
      <c r="J2" s="72"/>
      <c r="K2" s="72"/>
      <c r="L2" s="200">
        <f>D67</f>
        <v>260226.19499999986</v>
      </c>
      <c r="M2" s="201">
        <f>I67</f>
        <v>0.31040280908928231</v>
      </c>
      <c r="N2" s="81"/>
      <c r="O2" s="81" t="str">
        <f>'Исходные данные'!H7</f>
        <v>Exclusive</v>
      </c>
      <c r="P2" s="93"/>
      <c r="Q2" s="93"/>
      <c r="R2" s="81"/>
      <c r="S2" s="81"/>
      <c r="T2" s="93"/>
    </row>
    <row r="3" spans="1:26" ht="34.25" customHeight="1" x14ac:dyDescent="0.35">
      <c r="A3" s="139" t="s">
        <v>23</v>
      </c>
      <c r="B3" s="80"/>
      <c r="E3" s="162" t="str">
        <f>CHOOSE('Исходные данные'!$Q$2,'Исходные данные'!$R$2,'Исходные данные'!$R$3,'Исходные данные'!$R$4,'Исходные данные'!$R$5,'Исходные данные'!$R$6,'Исходные данные'!$R$7,'Исходные данные'!#REF!,'Исходные данные'!$R$9,'Исходные данные'!$R$10,'Исходные данные'!$R$11,'Исходные данные'!$R$12,'Исходные данные'!$R$13)</f>
        <v>октябрь</v>
      </c>
      <c r="J3" s="72"/>
      <c r="K3" s="72"/>
      <c r="L3" s="200">
        <f>D69</f>
        <v>300193.54999999987</v>
      </c>
      <c r="M3" s="201">
        <f>I69</f>
        <v>0.32226897477187316</v>
      </c>
      <c r="N3" s="81"/>
      <c r="O3" s="81"/>
      <c r="P3" s="93"/>
      <c r="Q3" s="93"/>
    </row>
    <row r="4" spans="1:26" ht="34.25" customHeight="1" x14ac:dyDescent="0.35">
      <c r="A4" s="352" t="s">
        <v>86</v>
      </c>
      <c r="B4" s="352"/>
      <c r="C4" s="352"/>
      <c r="E4" s="163"/>
      <c r="F4" s="351"/>
      <c r="G4" s="351"/>
      <c r="H4" s="351"/>
      <c r="J4" s="72"/>
      <c r="K4" s="72"/>
      <c r="L4" s="200">
        <f>D71</f>
        <v>1</v>
      </c>
      <c r="M4" s="202"/>
      <c r="N4" s="81"/>
      <c r="O4" s="81"/>
      <c r="P4" s="93"/>
      <c r="Q4" s="93"/>
    </row>
    <row r="5" spans="1:26" ht="17.75" customHeight="1" x14ac:dyDescent="0.35">
      <c r="A5" s="76"/>
      <c r="E5" s="2"/>
      <c r="L5" s="200">
        <f>D73</f>
        <v>6</v>
      </c>
      <c r="M5" s="202"/>
      <c r="O5" s="81"/>
      <c r="P5" s="93"/>
      <c r="Q5" s="93"/>
    </row>
    <row r="6" spans="1:26" ht="34.25" customHeight="1" x14ac:dyDescent="0.35">
      <c r="A6" s="76" t="s">
        <v>51</v>
      </c>
      <c r="L6" s="200">
        <f>D18</f>
        <v>150000</v>
      </c>
      <c r="M6" s="202"/>
      <c r="O6" s="81"/>
      <c r="P6" s="93"/>
      <c r="Q6" s="93"/>
    </row>
    <row r="7" spans="1:26" s="1" customFormat="1" ht="56.15" customHeight="1" x14ac:dyDescent="0.35">
      <c r="A7" s="253" t="str">
        <f>"Средний чек, "&amp;CHOOSE('Исходные данные'!$O$2,'Исходные данные'!$P$2,'Исходные данные'!$P$3,'Исходные данные'!$P$4,'Исходные данные'!$P$5)&amp;""</f>
        <v>Средний чек, UAH</v>
      </c>
      <c r="B7" s="253"/>
      <c r="C7" s="290" t="str">
        <f>'Исходные данные'!F10</f>
        <v>Среднее количество чеков в день, шт./день</v>
      </c>
      <c r="D7" s="354"/>
      <c r="E7" s="284"/>
      <c r="F7" s="355" t="str">
        <f>"Среднемесячная выручка за 1-й год работы, "&amp;CHOOSE('Исходные данные'!$O$2,'Исходные данные'!$P$2,'Исходные данные'!$P$3,'Исходные данные'!$P$4,'Исходные данные'!$P$5)&amp;"/мес."</f>
        <v>Среднемесячная выручка за 1-й год работы, UAH/мес.</v>
      </c>
      <c r="G7" s="356"/>
      <c r="H7" s="357"/>
      <c r="I7" s="353" t="str">
        <f>"Среднемесячная валовая выручка за 1-й год работы (выручка - себестоимость), "&amp;CHOOSE('Исходные данные'!$O$2,'Исходные данные'!$P$2,'Исходные данные'!$P$3,'Исходные данные'!$P$4,'Исходные данные'!$P$5)&amp;"/мес."</f>
        <v>Среднемесячная валовая выручка за 1-й год работы (выручка - себестоимость), UAH/мес.</v>
      </c>
      <c r="J7" s="353"/>
      <c r="L7" s="200">
        <f>D20-D18</f>
        <v>410000</v>
      </c>
      <c r="O7" s="67"/>
      <c r="P7" s="69"/>
      <c r="Q7" s="94"/>
      <c r="R7" s="93"/>
      <c r="S7" s="70"/>
    </row>
    <row r="8" spans="1:26" s="1" customFormat="1" ht="40" customHeight="1" x14ac:dyDescent="0.35">
      <c r="A8" s="301">
        <f>CHOOSE($N$1,'Исходные данные'!$D$12,'Исходные данные'!$D$13)</f>
        <v>1380</v>
      </c>
      <c r="B8" s="301"/>
      <c r="C8" s="267">
        <f>CHOOSE($N$1,'Исходные данные'!$F$12,'Исходные данные'!$F$13)</f>
        <v>15</v>
      </c>
      <c r="D8" s="328"/>
      <c r="E8" s="268"/>
      <c r="F8" s="267">
        <f>'Детальный расчет'!P29</f>
        <v>613237.5</v>
      </c>
      <c r="G8" s="328"/>
      <c r="H8" s="268"/>
      <c r="I8" s="301">
        <f>'Детальный расчет'!P29-'Детальный расчет'!P44</f>
        <v>506350.20374999999</v>
      </c>
      <c r="J8" s="301"/>
      <c r="L8" s="67"/>
      <c r="O8" s="67"/>
      <c r="P8" s="69"/>
      <c r="Q8" s="94"/>
      <c r="R8" s="93"/>
      <c r="S8" s="70"/>
    </row>
    <row r="9" spans="1:26" ht="34.25" customHeight="1" x14ac:dyDescent="0.35">
      <c r="A9" s="347"/>
      <c r="B9" s="347"/>
      <c r="C9" s="347"/>
      <c r="D9" s="347"/>
      <c r="E9" s="347"/>
      <c r="F9" s="347"/>
      <c r="G9" s="347"/>
      <c r="H9" s="347"/>
      <c r="I9" s="347"/>
      <c r="J9" s="347"/>
    </row>
    <row r="10" spans="1:26" ht="34.25" customHeight="1" x14ac:dyDescent="0.35">
      <c r="A10" s="167" t="s">
        <v>56</v>
      </c>
      <c r="G10" s="4"/>
      <c r="H10" s="4"/>
      <c r="I10" s="4"/>
    </row>
    <row r="11" spans="1:26" ht="42" customHeight="1" x14ac:dyDescent="0.35">
      <c r="A11" s="82"/>
      <c r="B11" s="246" t="str">
        <f>'Исходные данные'!B54:C54</f>
        <v>Ремонт помещения</v>
      </c>
      <c r="C11" s="246"/>
      <c r="D11" s="248">
        <f>CHOOSE($N$1,'Исходные данные'!F54,'Исходные данные'!J54)</f>
        <v>110000</v>
      </c>
      <c r="E11" s="248"/>
      <c r="F11" s="248"/>
      <c r="G11" s="248"/>
      <c r="H11" s="248"/>
      <c r="I11" s="248"/>
      <c r="J11" s="227" t="str">
        <f>""&amp;CHOOSE('Исходные данные'!$O$2,'Исходные данные'!$P$2,'Исходные данные'!$P$3,'Исходные данные'!$P$4,'Исходные данные'!$P$5)&amp;""</f>
        <v>UAH</v>
      </c>
      <c r="K11" s="84"/>
      <c r="N11" s="83"/>
      <c r="O11" s="83"/>
      <c r="P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42" customHeight="1" x14ac:dyDescent="0.35">
      <c r="A12" s="82"/>
      <c r="B12" s="246" t="str">
        <f>'Исходные данные'!B55:C55</f>
        <v>Мебель</v>
      </c>
      <c r="C12" s="247"/>
      <c r="D12" s="248">
        <f>CHOOSE($N$1,'Исходные данные'!F55,'Исходные данные'!J55)</f>
        <v>80000</v>
      </c>
      <c r="E12" s="248"/>
      <c r="F12" s="248"/>
      <c r="G12" s="248"/>
      <c r="H12" s="248"/>
      <c r="I12" s="248"/>
      <c r="J12" s="227" t="str">
        <f>""&amp;CHOOSE('Исходные данные'!$O$2,'Исходные данные'!$P$2,'Исходные данные'!$P$3,'Исходные данные'!$P$4,'Исходные данные'!$P$5)&amp;""</f>
        <v>UAH</v>
      </c>
      <c r="K12" s="84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42" customHeight="1" x14ac:dyDescent="0.35">
      <c r="A13" s="82"/>
      <c r="B13" s="246" t="str">
        <f>'Исходные данные'!B56:C56</f>
        <v>Оборудование</v>
      </c>
      <c r="C13" s="247"/>
      <c r="D13" s="248">
        <f>CHOOSE($N$1,'Исходные данные'!F56,'Исходные данные'!J56)</f>
        <v>70000</v>
      </c>
      <c r="E13" s="248"/>
      <c r="F13" s="248"/>
      <c r="G13" s="248"/>
      <c r="H13" s="248"/>
      <c r="I13" s="248"/>
      <c r="J13" s="227" t="str">
        <f>""&amp;CHOOSE('Исходные данные'!$O$2,'Исходные данные'!$P$2,'Исходные данные'!$P$3,'Исходные данные'!$P$4,'Исходные данные'!$P$5)&amp;""</f>
        <v>UAH</v>
      </c>
      <c r="K13" s="84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2" customHeight="1" x14ac:dyDescent="0.35">
      <c r="A14" s="138"/>
      <c r="B14" s="246" t="s">
        <v>57</v>
      </c>
      <c r="C14" s="247"/>
      <c r="D14" s="248">
        <f>CHOOSE($N$1,'Исходные данные'!F57,'Исходные данные'!J57)</f>
        <v>8000</v>
      </c>
      <c r="E14" s="248"/>
      <c r="F14" s="248"/>
      <c r="G14" s="248"/>
      <c r="H14" s="248"/>
      <c r="I14" s="248"/>
      <c r="J14" s="227" t="str">
        <f>""&amp;CHOOSE('Исходные данные'!$O$2,'Исходные данные'!$P$2,'Исходные данные'!$P$3,'Исходные данные'!$P$4,'Исходные данные'!$P$5)&amp;""</f>
        <v>UAH</v>
      </c>
      <c r="K14" s="84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42" customHeight="1" x14ac:dyDescent="0.35">
      <c r="A15" s="138"/>
      <c r="B15" s="246" t="s">
        <v>55</v>
      </c>
      <c r="C15" s="247"/>
      <c r="D15" s="248">
        <f>CHOOSE($N$1,'Исходные данные'!F58,'Исходные данные'!J58)</f>
        <v>4000</v>
      </c>
      <c r="E15" s="248"/>
      <c r="F15" s="248"/>
      <c r="G15" s="248"/>
      <c r="H15" s="248"/>
      <c r="I15" s="248"/>
      <c r="J15" s="227" t="str">
        <f>""&amp;CHOOSE('Исходные данные'!$O$2,'Исходные данные'!$P$2,'Исходные данные'!$P$3,'Исходные данные'!$P$4,'Исходные данные'!$P$5)&amp;""</f>
        <v>UAH</v>
      </c>
      <c r="K15" s="84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42" customHeight="1" x14ac:dyDescent="0.35">
      <c r="A16" s="138"/>
      <c r="B16" s="246" t="str">
        <f>'Исходные данные'!B59:C59</f>
        <v>Первоначальная закупка товара</v>
      </c>
      <c r="C16" s="247"/>
      <c r="D16" s="248">
        <f>CHOOSE($N$1,'Исходные данные'!F59,'Исходные данные'!J59)</f>
        <v>60000</v>
      </c>
      <c r="E16" s="248"/>
      <c r="F16" s="248"/>
      <c r="G16" s="248"/>
      <c r="H16" s="248"/>
      <c r="I16" s="248"/>
      <c r="J16" s="227" t="str">
        <f>""&amp;CHOOSE('Исходные данные'!$O$2,'Исходные данные'!$P$2,'Исходные данные'!$P$3,'Исходные данные'!$P$4,'Исходные данные'!$P$5)&amp;""</f>
        <v>UAH</v>
      </c>
      <c r="K16" s="84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7" ht="42" customHeight="1" x14ac:dyDescent="0.35">
      <c r="A17" s="82"/>
      <c r="B17" s="246" t="s">
        <v>64</v>
      </c>
      <c r="C17" s="247"/>
      <c r="D17" s="248">
        <f>CHOOSE($N$1,'Исходные данные'!F60,'Исходные данные'!J60)</f>
        <v>70000</v>
      </c>
      <c r="E17" s="248"/>
      <c r="F17" s="248"/>
      <c r="G17" s="248"/>
      <c r="H17" s="248"/>
      <c r="I17" s="248"/>
      <c r="J17" s="227" t="str">
        <f>""&amp;CHOOSE('Исходные данные'!$O$2,'Исходные данные'!$P$2,'Исходные данные'!$P$3,'Исходные данные'!$P$4,'Исходные данные'!$P$5)&amp;""</f>
        <v>UAH</v>
      </c>
      <c r="K17" s="84"/>
      <c r="N17" s="83"/>
      <c r="O17" s="83"/>
      <c r="P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7" ht="42" customHeight="1" x14ac:dyDescent="0.35">
      <c r="A18" s="82"/>
      <c r="B18" s="246" t="s">
        <v>22</v>
      </c>
      <c r="C18" s="247"/>
      <c r="D18" s="248">
        <f>CHOOSE($N$1,'Исходные данные'!F61,'Исходные данные'!J61)</f>
        <v>150000</v>
      </c>
      <c r="E18" s="248"/>
      <c r="F18" s="248"/>
      <c r="G18" s="248"/>
      <c r="H18" s="248"/>
      <c r="I18" s="248"/>
      <c r="J18" s="227" t="str">
        <f>""&amp;CHOOSE('Исходные данные'!$O$2,'Исходные данные'!$P$2,'Исходные данные'!$P$3,'Исходные данные'!$P$4,'Исходные данные'!$P$5)&amp;""</f>
        <v>UAH</v>
      </c>
      <c r="K18" s="84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7" ht="42" customHeight="1" x14ac:dyDescent="0.35">
      <c r="A19" s="82"/>
      <c r="B19" s="246" t="s">
        <v>2</v>
      </c>
      <c r="C19" s="247"/>
      <c r="D19" s="248">
        <f>CHOOSE($N$1,'Исходные данные'!F62,'Исходные данные'!J62)</f>
        <v>8000</v>
      </c>
      <c r="E19" s="248"/>
      <c r="F19" s="248"/>
      <c r="G19" s="248"/>
      <c r="H19" s="248"/>
      <c r="I19" s="248"/>
      <c r="J19" s="227" t="str">
        <f>""&amp;CHOOSE('Исходные данные'!$O$2,'Исходные данные'!$P$2,'Исходные данные'!$P$3,'Исходные данные'!$P$4,'Исходные данные'!$P$5)&amp;""</f>
        <v>UAH</v>
      </c>
      <c r="K19" s="84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7" ht="42" customHeight="1" x14ac:dyDescent="0.35">
      <c r="A20" s="82"/>
      <c r="B20" s="316" t="s">
        <v>0</v>
      </c>
      <c r="C20" s="349"/>
      <c r="D20" s="358">
        <f>SUM(D11:F19)</f>
        <v>560000</v>
      </c>
      <c r="E20" s="358"/>
      <c r="F20" s="358"/>
      <c r="G20" s="358"/>
      <c r="H20" s="358"/>
      <c r="I20" s="358"/>
      <c r="J20" s="227" t="str">
        <f>""&amp;CHOOSE('Исходные данные'!$O$2,'Исходные данные'!$P$2,'Исходные данные'!$P$3,'Исходные данные'!$P$4,'Исходные данные'!$P$5)&amp;""</f>
        <v>UAH</v>
      </c>
      <c r="K20" s="84"/>
      <c r="L20" s="96"/>
      <c r="N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7" ht="34.25" customHeight="1" x14ac:dyDescent="0.45">
      <c r="A21" s="375"/>
      <c r="B21" s="375"/>
      <c r="C21" s="375"/>
      <c r="D21" s="375"/>
      <c r="E21" s="375"/>
      <c r="F21" s="375"/>
      <c r="G21" s="375"/>
      <c r="H21" s="375"/>
      <c r="I21" s="375"/>
      <c r="J21" s="375"/>
      <c r="K21" s="84"/>
      <c r="N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7" ht="34.25" customHeight="1" x14ac:dyDescent="0.45">
      <c r="A22" s="76" t="s">
        <v>65</v>
      </c>
      <c r="B22" s="145"/>
      <c r="C22" s="145"/>
      <c r="D22" s="145"/>
      <c r="E22" s="145"/>
      <c r="F22" s="145"/>
      <c r="G22" s="145"/>
      <c r="H22" s="145"/>
      <c r="I22" s="145"/>
      <c r="J22" s="145"/>
      <c r="K22" s="84"/>
      <c r="N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7" ht="62.4" customHeight="1" x14ac:dyDescent="0.35">
      <c r="A23" s="269" t="s">
        <v>66</v>
      </c>
      <c r="B23" s="269"/>
      <c r="C23" s="269"/>
      <c r="D23" s="214" t="str">
        <f>'Исходные данные'!D67</f>
        <v>Количество сотрудников, чел.</v>
      </c>
      <c r="E23" s="217" t="str">
        <f>"Фиксированный оклад в день, "&amp;CHOOSE('Исходные данные'!$O$2,'Исходные данные'!$P$2,'Исходные данные'!$P$3,'Исходные данные'!$P$4,'Исходные данные'!$P$5)&amp;"/день"</f>
        <v>Фиксированный оклад в день, UAH/день</v>
      </c>
      <c r="F23" s="338" t="str">
        <f>'Исходные данные'!H67</f>
        <v>Количество рабочих дней в месяце, дней</v>
      </c>
      <c r="G23" s="340"/>
      <c r="H23" s="269" t="s">
        <v>89</v>
      </c>
      <c r="I23" s="269"/>
      <c r="J23" s="214" t="s">
        <v>90</v>
      </c>
      <c r="L23" s="84"/>
      <c r="O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</row>
    <row r="24" spans="1:27" s="1" customFormat="1" ht="40" customHeight="1" x14ac:dyDescent="0.35">
      <c r="A24" s="348" t="str">
        <f>CHOOSE($N$1,'Исходные данные'!A69,'Исходные данные'!A83)</f>
        <v>Администратор</v>
      </c>
      <c r="B24" s="348"/>
      <c r="C24" s="348"/>
      <c r="D24" s="213">
        <f>CHOOSE($N$1,'Исходные данные'!D69,'Исходные данные'!D83)</f>
        <v>2</v>
      </c>
      <c r="E24" s="218">
        <f>CHOOSE($N$1,'Исходные данные'!F69,'Исходные данные'!F83)</f>
        <v>200</v>
      </c>
      <c r="F24" s="344">
        <f>CHOOSE($N$1,'Исходные данные'!H69,'Исходные данные'!H83)</f>
        <v>15</v>
      </c>
      <c r="G24" s="345"/>
      <c r="H24" s="346">
        <f>CHOOSE($N$1,'Исходные данные'!I69,'Исходные данные'!I83)</f>
        <v>0.04</v>
      </c>
      <c r="I24" s="346"/>
      <c r="J24" s="215" t="str">
        <f>CHOOSE($N$1,'Исходные данные'!K69,'Исходные данные'!K83)</f>
        <v>общая выручка</v>
      </c>
      <c r="L24" s="84"/>
      <c r="N24" s="148"/>
      <c r="O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</row>
    <row r="25" spans="1:27" s="1" customFormat="1" ht="40" customHeight="1" x14ac:dyDescent="0.35">
      <c r="A25" s="348" t="str">
        <f>CHOOSE($N$1,'Исходные данные'!A70,'Исходные данные'!A84)</f>
        <v>Парикмахер</v>
      </c>
      <c r="B25" s="348"/>
      <c r="C25" s="348"/>
      <c r="D25" s="218">
        <f>CHOOSE($N$1,'Исходные данные'!D70,'Исходные данные'!D84)</f>
        <v>8</v>
      </c>
      <c r="E25" s="218">
        <f>CHOOSE($N$1,'Исходные данные'!F70,'Исходные данные'!F84)</f>
        <v>0</v>
      </c>
      <c r="F25" s="344">
        <f>CHOOSE($N$1,'Исходные данные'!H70,'Исходные данные'!H84)</f>
        <v>15</v>
      </c>
      <c r="G25" s="345"/>
      <c r="H25" s="346">
        <f>CHOOSE($N$1,'Исходные данные'!I70,'Исходные данные'!I84)</f>
        <v>0.2</v>
      </c>
      <c r="I25" s="346"/>
      <c r="J25" s="220" t="str">
        <f>CHOOSE($N$1,'Исходные данные'!K70,'Исходные данные'!K84)</f>
        <v>общая выручка</v>
      </c>
      <c r="L25" s="84"/>
      <c r="N25" s="148"/>
      <c r="O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</row>
    <row r="26" spans="1:27" s="1" customFormat="1" ht="40" customHeight="1" x14ac:dyDescent="0.35">
      <c r="A26" s="348" t="str">
        <f>CHOOSE($N$1,'Исходные данные'!A71,'Исходные данные'!A85)</f>
        <v>Бухгалтер</v>
      </c>
      <c r="B26" s="348"/>
      <c r="C26" s="348"/>
      <c r="D26" s="218">
        <f>CHOOSE($N$1,'Исходные данные'!D71,'Исходные данные'!D85)</f>
        <v>1</v>
      </c>
      <c r="E26" s="218">
        <f>CHOOSE($N$1,'Исходные данные'!F71,'Исходные данные'!F85)</f>
        <v>250</v>
      </c>
      <c r="F26" s="344">
        <f>CHOOSE($N$1,'Исходные данные'!H71,'Исходные данные'!H85)</f>
        <v>20</v>
      </c>
      <c r="G26" s="345"/>
      <c r="H26" s="346">
        <f>CHOOSE($N$1,'Исходные данные'!I71,'Исходные данные'!I85)</f>
        <v>0</v>
      </c>
      <c r="I26" s="346"/>
      <c r="J26" s="220" t="str">
        <f>CHOOSE($N$1,'Исходные данные'!K71,'Исходные данные'!K85)</f>
        <v>общая выручка</v>
      </c>
      <c r="L26" s="84"/>
      <c r="N26" s="148"/>
      <c r="O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</row>
    <row r="27" spans="1:27" s="1" customFormat="1" ht="40" customHeight="1" x14ac:dyDescent="0.35">
      <c r="A27" s="348" t="str">
        <f>CHOOSE($N$1,'Исходные данные'!A72,'Исходные данные'!A86)</f>
        <v>Маникюр</v>
      </c>
      <c r="B27" s="348"/>
      <c r="C27" s="348"/>
      <c r="D27" s="218">
        <f>CHOOSE($N$1,'Исходные данные'!D72,'Исходные данные'!D86)</f>
        <v>4</v>
      </c>
      <c r="E27" s="218">
        <f>CHOOSE($N$1,'Исходные данные'!F72,'Исходные данные'!F86)</f>
        <v>0</v>
      </c>
      <c r="F27" s="344">
        <f>CHOOSE($N$1,'Исходные данные'!H72,'Исходные данные'!H86)</f>
        <v>15</v>
      </c>
      <c r="G27" s="345"/>
      <c r="H27" s="346">
        <f>CHOOSE($N$1,'Исходные данные'!I72,'Исходные данные'!I86)</f>
        <v>7.0000000000000007E-2</v>
      </c>
      <c r="I27" s="346"/>
      <c r="J27" s="220" t="str">
        <f>CHOOSE($N$1,'Исходные данные'!K72,'Исходные данные'!K86)</f>
        <v>общая выручка</v>
      </c>
      <c r="L27" s="84"/>
      <c r="N27" s="148"/>
      <c r="O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</row>
    <row r="28" spans="1:27" s="1" customFormat="1" ht="40" customHeight="1" x14ac:dyDescent="0.35">
      <c r="A28" s="348" t="str">
        <f>CHOOSE($N$1,'Исходные данные'!A73,'Исходные данные'!A87)</f>
        <v>Макияж</v>
      </c>
      <c r="B28" s="348"/>
      <c r="C28" s="348"/>
      <c r="D28" s="218">
        <f>CHOOSE($N$1,'Исходные данные'!D73,'Исходные данные'!D87)</f>
        <v>2</v>
      </c>
      <c r="E28" s="218">
        <f>CHOOSE($N$1,'Исходные данные'!F73,'Исходные данные'!F87)</f>
        <v>0</v>
      </c>
      <c r="F28" s="344">
        <f>CHOOSE($N$1,'Исходные данные'!H73,'Исходные данные'!H87)</f>
        <v>10</v>
      </c>
      <c r="G28" s="345"/>
      <c r="H28" s="346">
        <f>CHOOSE($N$1,'Исходные данные'!I73,'Исходные данные'!I87)</f>
        <v>0.02</v>
      </c>
      <c r="I28" s="346"/>
      <c r="J28" s="220" t="str">
        <f>CHOOSE($N$1,'Исходные данные'!K73,'Исходные данные'!K87)</f>
        <v>общая выручка</v>
      </c>
      <c r="L28" s="84"/>
      <c r="N28" s="148"/>
      <c r="O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</row>
    <row r="29" spans="1:27" s="1" customFormat="1" ht="40" customHeight="1" x14ac:dyDescent="0.35">
      <c r="A29" s="348" t="str">
        <f>CHOOSE($N$1,'Исходные данные'!A74,'Исходные данные'!A88)</f>
        <v>Косметология</v>
      </c>
      <c r="B29" s="348"/>
      <c r="C29" s="348"/>
      <c r="D29" s="218">
        <f>CHOOSE($N$1,'Исходные данные'!D74,'Исходные данные'!D88)</f>
        <v>2</v>
      </c>
      <c r="E29" s="218">
        <f>CHOOSE($N$1,'Исходные данные'!F74,'Исходные данные'!F88)</f>
        <v>0</v>
      </c>
      <c r="F29" s="344">
        <f>CHOOSE($N$1,'Исходные данные'!H74,'Исходные данные'!H88)</f>
        <v>15</v>
      </c>
      <c r="G29" s="345"/>
      <c r="H29" s="346">
        <f>CHOOSE($N$1,'Исходные данные'!I74,'Исходные данные'!I88)</f>
        <v>0.03</v>
      </c>
      <c r="I29" s="346"/>
      <c r="J29" s="220" t="str">
        <f>CHOOSE($N$1,'Исходные данные'!K74,'Исходные данные'!K88)</f>
        <v>общая выручка</v>
      </c>
      <c r="L29" s="84"/>
      <c r="N29" s="148"/>
      <c r="O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</row>
    <row r="30" spans="1:27" s="1" customFormat="1" ht="40" customHeight="1" x14ac:dyDescent="0.35">
      <c r="A30" s="348" t="str">
        <f>CHOOSE($N$1,'Исходные данные'!A75,'Исходные данные'!A89)</f>
        <v>Обслуживание помещения</v>
      </c>
      <c r="B30" s="348"/>
      <c r="C30" s="348"/>
      <c r="D30" s="218">
        <f>CHOOSE($N$1,'Исходные данные'!D75,'Исходные данные'!D89)</f>
        <v>1</v>
      </c>
      <c r="E30" s="218">
        <f>CHOOSE($N$1,'Исходные данные'!F75,'Исходные данные'!F89)</f>
        <v>200</v>
      </c>
      <c r="F30" s="344">
        <f>CHOOSE($N$1,'Исходные данные'!H75,'Исходные данные'!H89)</f>
        <v>22</v>
      </c>
      <c r="G30" s="345"/>
      <c r="H30" s="346">
        <f>CHOOSE($N$1,'Исходные данные'!I75,'Исходные данные'!I89)</f>
        <v>0</v>
      </c>
      <c r="I30" s="346"/>
      <c r="J30" s="220" t="str">
        <f>CHOOSE($N$1,'Исходные данные'!K75,'Исходные данные'!K89)</f>
        <v>общая выручка</v>
      </c>
      <c r="L30" s="84"/>
      <c r="N30" s="148"/>
      <c r="O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</row>
    <row r="31" spans="1:27" s="1" customFormat="1" ht="40" customHeight="1" x14ac:dyDescent="0.35">
      <c r="A31" s="348">
        <f>CHOOSE($N$1,'Исходные данные'!A76,'Исходные данные'!A90)</f>
        <v>0</v>
      </c>
      <c r="B31" s="348"/>
      <c r="C31" s="348"/>
      <c r="D31" s="218">
        <f>CHOOSE($N$1,'Исходные данные'!D76,'Исходные данные'!D90)</f>
        <v>0</v>
      </c>
      <c r="E31" s="218">
        <f>CHOOSE($N$1,'Исходные данные'!F76,'Исходные данные'!F90)</f>
        <v>0</v>
      </c>
      <c r="F31" s="344">
        <f>CHOOSE($N$1,'Исходные данные'!H76,'Исходные данные'!H90)</f>
        <v>0</v>
      </c>
      <c r="G31" s="345"/>
      <c r="H31" s="346">
        <f>CHOOSE($N$1,'Исходные данные'!I76,'Исходные данные'!I90)</f>
        <v>0</v>
      </c>
      <c r="I31" s="346"/>
      <c r="J31" s="220" t="str">
        <f>CHOOSE($N$1,'Исходные данные'!K76,'Исходные данные'!K90)</f>
        <v>общая выручка</v>
      </c>
      <c r="L31" s="84"/>
      <c r="N31" s="148"/>
      <c r="O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</row>
    <row r="32" spans="1:27" s="1" customFormat="1" ht="40" customHeight="1" x14ac:dyDescent="0.35">
      <c r="A32" s="348">
        <f>CHOOSE($N$1,'Исходные данные'!A77,'Исходные данные'!A91)</f>
        <v>0</v>
      </c>
      <c r="B32" s="348"/>
      <c r="C32" s="348"/>
      <c r="D32" s="218">
        <f>CHOOSE($N$1,'Исходные данные'!D77,'Исходные данные'!D91)</f>
        <v>0</v>
      </c>
      <c r="E32" s="218">
        <f>CHOOSE($N$1,'Исходные данные'!F77,'Исходные данные'!F91)</f>
        <v>0</v>
      </c>
      <c r="F32" s="344">
        <f>CHOOSE($N$1,'Исходные данные'!H77,'Исходные данные'!H91)</f>
        <v>0</v>
      </c>
      <c r="G32" s="345"/>
      <c r="H32" s="346">
        <f>CHOOSE($N$1,'Исходные данные'!I77,'Исходные данные'!I91)</f>
        <v>0</v>
      </c>
      <c r="I32" s="346"/>
      <c r="J32" s="220" t="str">
        <f>CHOOSE($N$1,'Исходные данные'!K77,'Исходные данные'!K91)</f>
        <v>общая выручка</v>
      </c>
      <c r="L32" s="84"/>
      <c r="N32" s="148"/>
      <c r="O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</row>
    <row r="33" spans="1:27" s="1" customFormat="1" ht="40" customHeight="1" x14ac:dyDescent="0.35">
      <c r="A33" s="348">
        <f>CHOOSE($N$1,'Исходные данные'!A78,'Исходные данные'!A92)</f>
        <v>0</v>
      </c>
      <c r="B33" s="348"/>
      <c r="C33" s="348"/>
      <c r="D33" s="218">
        <f>CHOOSE($N$1,'Исходные данные'!D78,'Исходные данные'!D92)</f>
        <v>0</v>
      </c>
      <c r="E33" s="218">
        <f>CHOOSE($N$1,'Исходные данные'!F78,'Исходные данные'!F92)</f>
        <v>0</v>
      </c>
      <c r="F33" s="344">
        <f>CHOOSE($N$1,'Исходные данные'!H78,'Исходные данные'!H92)</f>
        <v>0</v>
      </c>
      <c r="G33" s="345"/>
      <c r="H33" s="346">
        <f>CHOOSE($N$1,'Исходные данные'!I78,'Исходные данные'!I92)</f>
        <v>0</v>
      </c>
      <c r="I33" s="346"/>
      <c r="J33" s="220" t="str">
        <f>CHOOSE($N$1,'Исходные данные'!K78,'Исходные данные'!K92)</f>
        <v>общая выручка</v>
      </c>
      <c r="L33" s="84"/>
      <c r="N33" s="148"/>
      <c r="O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</row>
    <row r="34" spans="1:27" s="1" customFormat="1" ht="40" customHeight="1" x14ac:dyDescent="0.35">
      <c r="A34" s="348">
        <f>CHOOSE($N$1,0,'Исходные данные'!A93)</f>
        <v>0</v>
      </c>
      <c r="B34" s="348"/>
      <c r="C34" s="348"/>
      <c r="D34" s="218">
        <f>CHOOSE($N$1,0,'Исходные данные'!D93)</f>
        <v>0</v>
      </c>
      <c r="E34" s="218">
        <f>CHOOSE($N$1,0,'Исходные данные'!F93)</f>
        <v>0</v>
      </c>
      <c r="F34" s="344">
        <f>CHOOSE($N$1,0,'Исходные данные'!H93)</f>
        <v>0</v>
      </c>
      <c r="G34" s="345"/>
      <c r="H34" s="346">
        <f>CHOOSE($N$1,0,'Исходные данные'!I93)</f>
        <v>0</v>
      </c>
      <c r="I34" s="346"/>
      <c r="J34" s="220" t="str">
        <f>CHOOSE($N$1,0,'Исходные данные'!K93)</f>
        <v>общая выручка</v>
      </c>
      <c r="L34" s="84"/>
      <c r="N34" s="148"/>
      <c r="O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</row>
    <row r="35" spans="1:27" s="1" customFormat="1" ht="40" customHeight="1" x14ac:dyDescent="0.35">
      <c r="A35" s="348">
        <f>CHOOSE($N$1,0,'Исходные данные'!A94)</f>
        <v>0</v>
      </c>
      <c r="B35" s="348"/>
      <c r="C35" s="348"/>
      <c r="D35" s="218">
        <f>CHOOSE($N$1,0,'Исходные данные'!D94)</f>
        <v>0</v>
      </c>
      <c r="E35" s="218">
        <f>CHOOSE($N$1,0,'Исходные данные'!F94)</f>
        <v>0</v>
      </c>
      <c r="F35" s="344">
        <f>CHOOSE($N$1,0,'Исходные данные'!H94)</f>
        <v>0</v>
      </c>
      <c r="G35" s="345"/>
      <c r="H35" s="346">
        <f>CHOOSE($N$1,0,'Исходные данные'!I94)</f>
        <v>0</v>
      </c>
      <c r="I35" s="346"/>
      <c r="J35" s="220" t="str">
        <f>CHOOSE($N$1,0,'Исходные данные'!K94)</f>
        <v>общая выручка</v>
      </c>
      <c r="L35" s="84"/>
      <c r="N35" s="148"/>
      <c r="O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</row>
    <row r="36" spans="1:27" s="1" customFormat="1" ht="40" customHeight="1" x14ac:dyDescent="0.35">
      <c r="A36" s="348">
        <f>CHOOSE($N$1,0,'Исходные данные'!A95)</f>
        <v>0</v>
      </c>
      <c r="B36" s="348"/>
      <c r="C36" s="348"/>
      <c r="D36" s="218">
        <f>CHOOSE($N$1,0,'Исходные данные'!D95)</f>
        <v>0</v>
      </c>
      <c r="E36" s="218">
        <f>CHOOSE($N$1,0,'Исходные данные'!F95)</f>
        <v>0</v>
      </c>
      <c r="F36" s="344">
        <f>CHOOSE($N$1,0,'Исходные данные'!H95)</f>
        <v>0</v>
      </c>
      <c r="G36" s="345"/>
      <c r="H36" s="346">
        <f>CHOOSE($N$1,0,'Исходные данные'!I95)</f>
        <v>0</v>
      </c>
      <c r="I36" s="346"/>
      <c r="J36" s="220" t="str">
        <f>CHOOSE($N$1,0,'Исходные данные'!K95)</f>
        <v>общая выручка</v>
      </c>
      <c r="L36" s="84"/>
      <c r="N36" s="148"/>
      <c r="O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</row>
    <row r="37" spans="1:27" s="1" customFormat="1" ht="40" customHeight="1" x14ac:dyDescent="0.35">
      <c r="A37" s="348">
        <f>CHOOSE($N$1,0,'Исходные данные'!A96)</f>
        <v>0</v>
      </c>
      <c r="B37" s="348"/>
      <c r="C37" s="348"/>
      <c r="D37" s="218">
        <f>CHOOSE($N$1,0,'Исходные данные'!D96)</f>
        <v>0</v>
      </c>
      <c r="E37" s="218">
        <f>CHOOSE($N$1,0,'Исходные данные'!F96)</f>
        <v>0</v>
      </c>
      <c r="F37" s="344">
        <f>CHOOSE($N$1,0,'Исходные данные'!H96)</f>
        <v>0</v>
      </c>
      <c r="G37" s="345"/>
      <c r="H37" s="346">
        <f>CHOOSE($N$1,0,'Исходные данные'!I96)</f>
        <v>0</v>
      </c>
      <c r="I37" s="346"/>
      <c r="J37" s="220" t="str">
        <f>CHOOSE($N$1,0,'Исходные данные'!K96)</f>
        <v>общая выручка</v>
      </c>
      <c r="L37" s="84"/>
      <c r="N37" s="148"/>
      <c r="O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</row>
    <row r="38" spans="1:27" s="1" customFormat="1" ht="40" customHeight="1" x14ac:dyDescent="0.35">
      <c r="A38" s="348">
        <f>CHOOSE($N$1,0,'Исходные данные'!A97)</f>
        <v>0</v>
      </c>
      <c r="B38" s="348"/>
      <c r="C38" s="348"/>
      <c r="D38" s="218">
        <f>CHOOSE($N$1,0,'Исходные данные'!D97)</f>
        <v>0</v>
      </c>
      <c r="E38" s="218">
        <f>CHOOSE($N$1,0,'Исходные данные'!F97)</f>
        <v>0</v>
      </c>
      <c r="F38" s="344">
        <f>CHOOSE($N$1,0,'Исходные данные'!H97)</f>
        <v>0</v>
      </c>
      <c r="G38" s="345"/>
      <c r="H38" s="346">
        <f>CHOOSE($N$1,0,'Исходные данные'!I97)</f>
        <v>0</v>
      </c>
      <c r="I38" s="346"/>
      <c r="J38" s="220" t="str">
        <f>CHOOSE($N$1,0,'Исходные данные'!K97)</f>
        <v>общая выручка</v>
      </c>
      <c r="L38" s="84"/>
      <c r="N38" s="148"/>
      <c r="O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</row>
    <row r="39" spans="1:27" ht="34.25" customHeight="1" x14ac:dyDescent="0.45">
      <c r="A39" s="318"/>
      <c r="B39" s="318"/>
      <c r="C39" s="318"/>
      <c r="D39" s="318"/>
      <c r="E39" s="318"/>
      <c r="F39" s="318"/>
      <c r="G39" s="318"/>
      <c r="H39" s="318"/>
      <c r="I39" s="318"/>
      <c r="J39" s="318"/>
      <c r="K39" s="84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7" ht="34.25" customHeight="1" x14ac:dyDescent="0.35">
      <c r="A40" s="76" t="s">
        <v>1</v>
      </c>
      <c r="L40" s="1"/>
    </row>
    <row r="41" spans="1:27" ht="22.25" customHeight="1" x14ac:dyDescent="0.35">
      <c r="A41" s="76"/>
      <c r="D41" s="359" t="s">
        <v>74</v>
      </c>
      <c r="E41" s="359"/>
      <c r="G41" s="359" t="s">
        <v>84</v>
      </c>
      <c r="H41" s="359"/>
      <c r="I41" s="359"/>
      <c r="J41" s="165"/>
      <c r="L41" s="1"/>
    </row>
    <row r="42" spans="1:27" ht="42" customHeight="1" x14ac:dyDescent="0.35">
      <c r="A42" s="2"/>
      <c r="B42" s="246" t="s">
        <v>143</v>
      </c>
      <c r="C42" s="247"/>
      <c r="D42" s="237">
        <f>G42/'Детальный расчет'!$P$29</f>
        <v>0.17430000000000001</v>
      </c>
      <c r="E42" s="237"/>
      <c r="G42" s="239">
        <f>'Детальный расчет'!P44</f>
        <v>106887.29625000001</v>
      </c>
      <c r="H42" s="239"/>
      <c r="I42" s="239"/>
      <c r="J42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3" spans="1:27" ht="42" customHeight="1" x14ac:dyDescent="0.35">
      <c r="A43" s="2"/>
      <c r="B43" s="246" t="s">
        <v>45</v>
      </c>
      <c r="C43" s="247"/>
      <c r="D43" s="237">
        <f>G43/'Детальный расчет'!$P$29</f>
        <v>0.38511261949897069</v>
      </c>
      <c r="E43" s="237"/>
      <c r="G43" s="239">
        <f>'Детальный расчет'!P63</f>
        <v>236165.50000000003</v>
      </c>
      <c r="H43" s="239"/>
      <c r="I43" s="239"/>
      <c r="J43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4" spans="1:27" ht="42" customHeight="1" x14ac:dyDescent="0.35">
      <c r="A44" s="2"/>
      <c r="B44" s="246" t="s">
        <v>77</v>
      </c>
      <c r="C44" s="247"/>
      <c r="D44" s="237">
        <f>G44/'Детальный расчет'!$P$29</f>
        <v>0</v>
      </c>
      <c r="E44" s="237"/>
      <c r="G44" s="239">
        <f>'Детальный расчет'!P64</f>
        <v>0</v>
      </c>
      <c r="H44" s="239"/>
      <c r="I44" s="239"/>
      <c r="J44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5" spans="1:27" ht="42" customHeight="1" x14ac:dyDescent="0.35">
      <c r="A45" s="120"/>
      <c r="B45" s="373" t="s">
        <v>83</v>
      </c>
      <c r="C45" s="374"/>
      <c r="D45" s="237">
        <f>G45/'Детальный расчет'!$P$29</f>
        <v>0</v>
      </c>
      <c r="E45" s="237"/>
      <c r="F45" s="146"/>
      <c r="G45" s="239">
        <f>'Детальный расчет'!P65</f>
        <v>0</v>
      </c>
      <c r="H45" s="239"/>
      <c r="I45" s="239"/>
      <c r="J45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6" spans="1:27" ht="42" customHeight="1" x14ac:dyDescent="0.35">
      <c r="A46" s="120"/>
      <c r="B46" s="373" t="s">
        <v>96</v>
      </c>
      <c r="C46" s="374"/>
      <c r="D46" s="237">
        <f>G46/'Детальный расчет'!$P$29</f>
        <v>0</v>
      </c>
      <c r="E46" s="237"/>
      <c r="F46" s="146"/>
      <c r="G46" s="239">
        <f>'Детальный расчет'!P66</f>
        <v>0</v>
      </c>
      <c r="H46" s="239"/>
      <c r="I46" s="239"/>
      <c r="J46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7" spans="1:27" ht="42" customHeight="1" x14ac:dyDescent="0.35">
      <c r="A47" s="82"/>
      <c r="B47" s="311" t="str">
        <f>'Исходные данные'!B106</f>
        <v>Аренда</v>
      </c>
      <c r="C47" s="312"/>
      <c r="D47" s="237">
        <f>G47/'Детальный расчет'!$P$29</f>
        <v>4.8920687335657069E-2</v>
      </c>
      <c r="E47" s="237"/>
      <c r="F47" s="133"/>
      <c r="G47" s="239">
        <f>'Детальный расчет'!P67</f>
        <v>30000</v>
      </c>
      <c r="H47" s="239"/>
      <c r="I47" s="239"/>
      <c r="J47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K47" s="85"/>
      <c r="L47" s="82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</row>
    <row r="48" spans="1:27" ht="42" customHeight="1" x14ac:dyDescent="0.35">
      <c r="A48" s="82"/>
      <c r="B48" s="311" t="str">
        <f>'Исходные данные'!B107</f>
        <v>Коммунальные платежи</v>
      </c>
      <c r="C48" s="312"/>
      <c r="D48" s="237">
        <f>G48/'Детальный расчет'!$P$29</f>
        <v>8.1534478892761782E-3</v>
      </c>
      <c r="E48" s="237"/>
      <c r="F48" s="133"/>
      <c r="G48" s="239">
        <f>'Детальный расчет'!P68</f>
        <v>5000</v>
      </c>
      <c r="H48" s="239"/>
      <c r="I48" s="239"/>
      <c r="J48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K48" s="85"/>
      <c r="L48" s="82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</row>
    <row r="49" spans="1:26" ht="42" customHeight="1" x14ac:dyDescent="0.35">
      <c r="A49" s="2"/>
      <c r="B49" s="311" t="str">
        <f>'Исходные данные'!B108</f>
        <v>Хозяйственные нужды</v>
      </c>
      <c r="C49" s="312"/>
      <c r="D49" s="237">
        <f>G49/'Детальный расчет'!$P$29</f>
        <v>3.261379155710471E-3</v>
      </c>
      <c r="E49" s="237"/>
      <c r="G49" s="239">
        <f>'Детальный расчет'!P69</f>
        <v>2000</v>
      </c>
      <c r="H49" s="239"/>
      <c r="I49" s="239"/>
      <c r="J49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0" spans="1:26" ht="42" customHeight="1" x14ac:dyDescent="0.35">
      <c r="A50" s="2"/>
      <c r="B50" s="311" t="str">
        <f>'Исходные данные'!B109</f>
        <v>Расходные материалы</v>
      </c>
      <c r="C50" s="312"/>
      <c r="D50" s="237">
        <f>G50/'Детальный расчет'!$P$29</f>
        <v>8.1534478892761775E-2</v>
      </c>
      <c r="E50" s="237"/>
      <c r="G50" s="239">
        <f>'Детальный расчет'!P70</f>
        <v>50000</v>
      </c>
      <c r="H50" s="239"/>
      <c r="I50" s="239"/>
      <c r="J50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1" spans="1:26" ht="42" customHeight="1" x14ac:dyDescent="0.35">
      <c r="A51" s="2"/>
      <c r="B51" s="311" t="s">
        <v>140</v>
      </c>
      <c r="C51" s="312"/>
      <c r="D51" s="237">
        <f>G51/'Детальный расчет'!$P$29</f>
        <v>0</v>
      </c>
      <c r="E51" s="237"/>
      <c r="G51" s="239">
        <f>'Детальный расчет'!P71</f>
        <v>0</v>
      </c>
      <c r="H51" s="239"/>
      <c r="I51" s="239"/>
      <c r="J51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2" spans="1:26" ht="42" customHeight="1" x14ac:dyDescent="0.35">
      <c r="A52" s="2"/>
      <c r="B52" s="311" t="s">
        <v>135</v>
      </c>
      <c r="C52" s="312"/>
      <c r="D52" s="237">
        <f>G52/'Детальный расчет'!$P$29</f>
        <v>8.1534478892761772E-5</v>
      </c>
      <c r="E52" s="237"/>
      <c r="G52" s="239">
        <f>'Детальный расчет'!P72</f>
        <v>50</v>
      </c>
      <c r="H52" s="239"/>
      <c r="I52" s="239"/>
      <c r="J52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3" spans="1:26" ht="42" customHeight="1" x14ac:dyDescent="0.35">
      <c r="A53" s="2"/>
      <c r="B53" s="315" t="s">
        <v>67</v>
      </c>
      <c r="C53" s="315"/>
      <c r="D53" s="237">
        <f>G53/'Детальный расчет'!$P$29</f>
        <v>4.8920687335657061E-4</v>
      </c>
      <c r="E53" s="237"/>
      <c r="G53" s="239">
        <f>'Детальный расчет'!P73</f>
        <v>300</v>
      </c>
      <c r="H53" s="239"/>
      <c r="I53" s="239"/>
      <c r="J53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4" spans="1:26" ht="42" customHeight="1" x14ac:dyDescent="0.35">
      <c r="A54" s="2"/>
      <c r="B54" s="246" t="s">
        <v>71</v>
      </c>
      <c r="C54" s="247"/>
      <c r="D54" s="237">
        <f>G54/'Детальный расчет'!$P$29</f>
        <v>4.8920687335657061E-4</v>
      </c>
      <c r="E54" s="237"/>
      <c r="G54" s="239">
        <f>'Детальный расчет'!P74</f>
        <v>300</v>
      </c>
      <c r="H54" s="239"/>
      <c r="I54" s="239"/>
      <c r="J54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5" spans="1:26" ht="42" customHeight="1" x14ac:dyDescent="0.35">
      <c r="A55" s="2"/>
      <c r="B55" s="246" t="s">
        <v>68</v>
      </c>
      <c r="C55" s="247"/>
      <c r="D55" s="237">
        <f>G55/'Детальный расчет'!$P$29</f>
        <v>8.1534478892761775E-4</v>
      </c>
      <c r="E55" s="237"/>
      <c r="G55" s="239">
        <f>'Детальный расчет'!P75</f>
        <v>500</v>
      </c>
      <c r="H55" s="239"/>
      <c r="I55" s="239"/>
      <c r="J55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6" spans="1:26" ht="42" customHeight="1" x14ac:dyDescent="0.35">
      <c r="A56" s="2"/>
      <c r="B56" s="246" t="str">
        <f>'Исходные данные'!B115:C115</f>
        <v>Ведение бухгалтерского учета</v>
      </c>
      <c r="C56" s="247"/>
      <c r="D56" s="237">
        <f>G56/'Детальный расчет'!$P$29</f>
        <v>0</v>
      </c>
      <c r="E56" s="237"/>
      <c r="G56" s="239">
        <f>'Детальный расчет'!P76</f>
        <v>0</v>
      </c>
      <c r="H56" s="239"/>
      <c r="I56" s="239"/>
      <c r="J56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7" spans="1:26" ht="42" customHeight="1" x14ac:dyDescent="0.35">
      <c r="A57" s="2"/>
      <c r="B57" s="246" t="s">
        <v>78</v>
      </c>
      <c r="C57" s="247"/>
      <c r="D57" s="237">
        <f>G57/'Детальный расчет'!$P$29</f>
        <v>0</v>
      </c>
      <c r="E57" s="237"/>
      <c r="G57" s="239">
        <f>'Детальный расчет'!P77</f>
        <v>0</v>
      </c>
      <c r="H57" s="239"/>
      <c r="I57" s="239"/>
      <c r="J57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8" spans="1:26" ht="42" customHeight="1" x14ac:dyDescent="0.35">
      <c r="A58" s="2"/>
      <c r="B58" s="246" t="s">
        <v>94</v>
      </c>
      <c r="C58" s="247"/>
      <c r="D58" s="237">
        <f>G58/'Детальный расчет'!$P$29</f>
        <v>4.0000000000000001E-3</v>
      </c>
      <c r="E58" s="237"/>
      <c r="G58" s="239">
        <f>'Детальный расчет'!P78</f>
        <v>2452.9500000000003</v>
      </c>
      <c r="H58" s="239"/>
      <c r="I58" s="239"/>
      <c r="J58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9" spans="1:26" ht="42" customHeight="1" x14ac:dyDescent="0.35">
      <c r="A59" s="2"/>
      <c r="B59" s="246" t="s">
        <v>75</v>
      </c>
      <c r="C59" s="247"/>
      <c r="D59" s="237">
        <f>G59/'Детальный расчет'!$P$29</f>
        <v>2.4460343667828535E-2</v>
      </c>
      <c r="E59" s="237"/>
      <c r="F59" s="146"/>
      <c r="G59" s="239">
        <f>'Детальный расчет'!P79</f>
        <v>15000</v>
      </c>
      <c r="H59" s="239"/>
      <c r="I59" s="239"/>
      <c r="J59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60" spans="1:26" ht="42" customHeight="1" x14ac:dyDescent="0.35">
      <c r="A60" s="2"/>
      <c r="B60" s="246" t="s">
        <v>44</v>
      </c>
      <c r="C60" s="247"/>
      <c r="D60" s="237">
        <f>G60/'Детальный расчет'!$P$29</f>
        <v>1.6306895778552355E-3</v>
      </c>
      <c r="E60" s="237"/>
      <c r="G60" s="239">
        <f>'Детальный расчет'!P80</f>
        <v>1000</v>
      </c>
      <c r="H60" s="239"/>
      <c r="I60" s="239"/>
      <c r="J60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N60" s="96"/>
    </row>
    <row r="61" spans="1:26" ht="42" customHeight="1" x14ac:dyDescent="0.35">
      <c r="A61" s="2"/>
      <c r="B61" s="246" t="s">
        <v>2</v>
      </c>
      <c r="C61" s="247"/>
      <c r="D61" s="237">
        <f>G61/'Детальный расчет'!$P$29</f>
        <v>1.6306895778552355E-3</v>
      </c>
      <c r="E61" s="237"/>
      <c r="G61" s="239">
        <f>'Детальный расчет'!P81</f>
        <v>1000</v>
      </c>
      <c r="H61" s="239"/>
      <c r="I61" s="239"/>
      <c r="J61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62" spans="1:26" ht="34.25" customHeight="1" x14ac:dyDescent="0.35">
      <c r="A62" s="2"/>
      <c r="B62" s="365" t="s">
        <v>3</v>
      </c>
      <c r="C62" s="365"/>
      <c r="D62" s="366">
        <f>SUM(D42:E61)</f>
        <v>0.73487962861044875</v>
      </c>
      <c r="E62" s="366"/>
      <c r="G62" s="372">
        <f>SUM(G42:I61)</f>
        <v>450655.74625000003</v>
      </c>
      <c r="H62" s="372"/>
      <c r="I62" s="372"/>
      <c r="J62" s="22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63" spans="1:26" ht="16.25" customHeight="1" x14ac:dyDescent="0.35">
      <c r="A63" s="294"/>
      <c r="B63" s="294"/>
      <c r="C63" s="294"/>
      <c r="D63" s="294"/>
      <c r="E63" s="294"/>
      <c r="F63" s="294"/>
      <c r="G63" s="294"/>
      <c r="H63" s="294"/>
      <c r="I63" s="294"/>
      <c r="J63" s="294"/>
      <c r="K63" s="84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52.5" customHeight="1" x14ac:dyDescent="0.35">
      <c r="A64" s="211"/>
      <c r="B64" s="211"/>
      <c r="C64" s="211"/>
      <c r="D64" s="230"/>
      <c r="E64" s="230"/>
      <c r="F64" s="230"/>
      <c r="G64" s="222"/>
      <c r="H64" s="230"/>
      <c r="I64" s="354" t="s">
        <v>104</v>
      </c>
      <c r="J64" s="354"/>
      <c r="K64" s="84"/>
    </row>
    <row r="65" spans="1:11" ht="45" customHeight="1" x14ac:dyDescent="0.35">
      <c r="A65" s="360" t="s">
        <v>109</v>
      </c>
      <c r="B65" s="360"/>
      <c r="C65" s="362"/>
      <c r="D65" s="341">
        <f>'Детальный расчет'!P91</f>
        <v>162581.75374999995</v>
      </c>
      <c r="E65" s="341"/>
      <c r="F65" s="341"/>
      <c r="G65" s="341"/>
      <c r="H65" s="231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I65" s="371">
        <f>'Детальный расчет'!P91/'Детальный расчет'!P85</f>
        <v>0.26512037138955125</v>
      </c>
      <c r="J65" s="371"/>
      <c r="K65" s="159"/>
    </row>
    <row r="66" spans="1:11" ht="8" customHeight="1" x14ac:dyDescent="0.35">
      <c r="A66" s="2"/>
      <c r="B66" s="2"/>
      <c r="C66" s="2"/>
      <c r="D66" s="342"/>
      <c r="E66" s="342"/>
      <c r="F66" s="342"/>
      <c r="G66" s="342"/>
      <c r="H66" s="229"/>
      <c r="I66" s="370"/>
      <c r="J66" s="370"/>
      <c r="K66" s="159"/>
    </row>
    <row r="67" spans="1:11" ht="45" customHeight="1" x14ac:dyDescent="0.35">
      <c r="A67" s="360" t="s">
        <v>110</v>
      </c>
      <c r="B67" s="360"/>
      <c r="C67" s="362"/>
      <c r="D67" s="341">
        <f>'Детальный расчет'!AD91</f>
        <v>260226.19499999986</v>
      </c>
      <c r="E67" s="341"/>
      <c r="F67" s="341"/>
      <c r="G67" s="341"/>
      <c r="H67" s="231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I67" s="371">
        <f>'Детальный расчет'!AD91/'Детальный расчет'!AD85</f>
        <v>0.31040280908928231</v>
      </c>
      <c r="J67" s="371"/>
      <c r="K67" s="159"/>
    </row>
    <row r="68" spans="1:11" ht="8" customHeight="1" x14ac:dyDescent="0.35">
      <c r="A68" s="2"/>
      <c r="B68" s="2"/>
      <c r="C68" s="2"/>
      <c r="D68" s="342"/>
      <c r="E68" s="342"/>
      <c r="F68" s="342"/>
      <c r="G68" s="342"/>
      <c r="H68" s="229"/>
      <c r="I68" s="370"/>
      <c r="J68" s="370"/>
    </row>
    <row r="69" spans="1:11" ht="45" customHeight="1" x14ac:dyDescent="0.35">
      <c r="A69" s="360" t="s">
        <v>111</v>
      </c>
      <c r="B69" s="360"/>
      <c r="C69" s="362"/>
      <c r="D69" s="343">
        <f>'Детальный расчет'!AR91</f>
        <v>300193.54999999987</v>
      </c>
      <c r="E69" s="343"/>
      <c r="F69" s="343"/>
      <c r="G69" s="343"/>
      <c r="H69" s="231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I69" s="371">
        <f>'Детальный расчет'!AR91/'Детальный расчет'!AR85</f>
        <v>0.32226897477187316</v>
      </c>
      <c r="J69" s="371"/>
    </row>
    <row r="70" spans="1:11" ht="8" customHeight="1" x14ac:dyDescent="0.35">
      <c r="A70" s="2"/>
      <c r="B70" s="2"/>
      <c r="C70" s="2"/>
      <c r="D70" s="2"/>
      <c r="E70" s="2"/>
      <c r="F70" s="2"/>
      <c r="H70" s="7"/>
      <c r="I70" s="7"/>
      <c r="J70" s="7"/>
    </row>
    <row r="71" spans="1:11" ht="45" customHeight="1" x14ac:dyDescent="0.35">
      <c r="A71" s="363" t="s">
        <v>48</v>
      </c>
      <c r="B71" s="363"/>
      <c r="C71" s="364"/>
      <c r="D71" s="367">
        <f>'Детальный расчет'!B115</f>
        <v>1</v>
      </c>
      <c r="E71" s="368"/>
      <c r="F71" s="368"/>
      <c r="G71" s="368"/>
      <c r="H71" s="369"/>
      <c r="I71" s="3" t="s">
        <v>4</v>
      </c>
    </row>
    <row r="72" spans="1:11" ht="8" customHeight="1" x14ac:dyDescent="0.35">
      <c r="A72" s="2"/>
      <c r="B72" s="2"/>
      <c r="C72" s="2"/>
      <c r="D72" s="370"/>
      <c r="E72" s="370"/>
      <c r="F72" s="370"/>
      <c r="G72" s="370"/>
      <c r="H72" s="370"/>
      <c r="I72" s="7"/>
    </row>
    <row r="73" spans="1:11" ht="45" customHeight="1" x14ac:dyDescent="0.35">
      <c r="A73" s="360" t="s">
        <v>69</v>
      </c>
      <c r="B73" s="360"/>
      <c r="C73" s="361"/>
      <c r="D73" s="367">
        <f>'Детальный расчет'!B114</f>
        <v>6</v>
      </c>
      <c r="E73" s="368"/>
      <c r="F73" s="368"/>
      <c r="G73" s="368"/>
      <c r="H73" s="369"/>
      <c r="I73" s="3" t="s">
        <v>4</v>
      </c>
    </row>
    <row r="74" spans="1:11" ht="27" customHeight="1" x14ac:dyDescent="0.35">
      <c r="A74" s="184"/>
      <c r="B74" s="5"/>
      <c r="C74" s="5"/>
      <c r="D74" s="5"/>
      <c r="E74" s="5"/>
      <c r="F74" s="5"/>
      <c r="G74" s="6"/>
      <c r="H74" s="6"/>
      <c r="I74" s="6"/>
      <c r="J74" s="5"/>
    </row>
  </sheetData>
  <sheetProtection formatCells="0" formatColumns="0" formatRows="0" insertColumns="0" insertRows="0" insertHyperlinks="0" deleteColumns="0" deleteRows="0" sort="0" autoFilter="0" pivotTables="0"/>
  <mergeCells count="169">
    <mergeCell ref="G45:I45"/>
    <mergeCell ref="G46:I46"/>
    <mergeCell ref="G47:I47"/>
    <mergeCell ref="G48:I48"/>
    <mergeCell ref="G41:I41"/>
    <mergeCell ref="G43:I43"/>
    <mergeCell ref="G44:I44"/>
    <mergeCell ref="F30:G30"/>
    <mergeCell ref="D11:I11"/>
    <mergeCell ref="D12:I12"/>
    <mergeCell ref="D13:I13"/>
    <mergeCell ref="D14:I14"/>
    <mergeCell ref="D15:I15"/>
    <mergeCell ref="D16:I16"/>
    <mergeCell ref="D17:I17"/>
    <mergeCell ref="D18:I18"/>
    <mergeCell ref="D19:I19"/>
    <mergeCell ref="B13:C13"/>
    <mergeCell ref="B14:C14"/>
    <mergeCell ref="A34:C34"/>
    <mergeCell ref="H34:I34"/>
    <mergeCell ref="A35:C35"/>
    <mergeCell ref="H35:I35"/>
    <mergeCell ref="A36:C36"/>
    <mergeCell ref="H36:I36"/>
    <mergeCell ref="A37:C37"/>
    <mergeCell ref="H37:I37"/>
    <mergeCell ref="H29:I29"/>
    <mergeCell ref="H30:I30"/>
    <mergeCell ref="G62:I62"/>
    <mergeCell ref="B55:C55"/>
    <mergeCell ref="D55:E55"/>
    <mergeCell ref="B16:C16"/>
    <mergeCell ref="B50:C50"/>
    <mergeCell ref="D50:E50"/>
    <mergeCell ref="B53:C53"/>
    <mergeCell ref="D53:E53"/>
    <mergeCell ref="B54:C54"/>
    <mergeCell ref="D54:E54"/>
    <mergeCell ref="B47:C47"/>
    <mergeCell ref="D47:E47"/>
    <mergeCell ref="B48:C48"/>
    <mergeCell ref="A29:C29"/>
    <mergeCell ref="A30:C30"/>
    <mergeCell ref="A31:C31"/>
    <mergeCell ref="B49:C49"/>
    <mergeCell ref="D49:E49"/>
    <mergeCell ref="B44:C44"/>
    <mergeCell ref="D44:E44"/>
    <mergeCell ref="B45:C45"/>
    <mergeCell ref="D45:E45"/>
    <mergeCell ref="B46:C46"/>
    <mergeCell ref="D46:E46"/>
    <mergeCell ref="G59:I59"/>
    <mergeCell ref="A73:C73"/>
    <mergeCell ref="A69:C69"/>
    <mergeCell ref="A71:C71"/>
    <mergeCell ref="B60:C60"/>
    <mergeCell ref="D60:E60"/>
    <mergeCell ref="B61:C61"/>
    <mergeCell ref="D61:E61"/>
    <mergeCell ref="B62:C62"/>
    <mergeCell ref="D62:E62"/>
    <mergeCell ref="A63:J63"/>
    <mergeCell ref="A65:C65"/>
    <mergeCell ref="A67:C67"/>
    <mergeCell ref="D71:H71"/>
    <mergeCell ref="D72:H72"/>
    <mergeCell ref="D73:H73"/>
    <mergeCell ref="I64:J64"/>
    <mergeCell ref="I65:J65"/>
    <mergeCell ref="I66:J66"/>
    <mergeCell ref="I67:J67"/>
    <mergeCell ref="I68:J68"/>
    <mergeCell ref="I69:J69"/>
    <mergeCell ref="G60:I60"/>
    <mergeCell ref="G61:I61"/>
    <mergeCell ref="D41:E41"/>
    <mergeCell ref="B57:C57"/>
    <mergeCell ref="D57:E57"/>
    <mergeCell ref="B59:C59"/>
    <mergeCell ref="D59:E59"/>
    <mergeCell ref="B56:C56"/>
    <mergeCell ref="D56:E56"/>
    <mergeCell ref="B58:C58"/>
    <mergeCell ref="D58:E58"/>
    <mergeCell ref="D48:E48"/>
    <mergeCell ref="A39:J39"/>
    <mergeCell ref="A27:C27"/>
    <mergeCell ref="A28:C28"/>
    <mergeCell ref="H31:I31"/>
    <mergeCell ref="A32:C32"/>
    <mergeCell ref="H32:I32"/>
    <mergeCell ref="A33:C33"/>
    <mergeCell ref="H33:I33"/>
    <mergeCell ref="D20:I20"/>
    <mergeCell ref="F23:G23"/>
    <mergeCell ref="F24:G24"/>
    <mergeCell ref="F25:G25"/>
    <mergeCell ref="F26:G26"/>
    <mergeCell ref="F27:G27"/>
    <mergeCell ref="F28:G28"/>
    <mergeCell ref="F29:G29"/>
    <mergeCell ref="H27:I27"/>
    <mergeCell ref="H28:I28"/>
    <mergeCell ref="A23:C23"/>
    <mergeCell ref="A21:J21"/>
    <mergeCell ref="A38:C38"/>
    <mergeCell ref="H38:I38"/>
    <mergeCell ref="A1:J1"/>
    <mergeCell ref="A2:D2"/>
    <mergeCell ref="F2:H2"/>
    <mergeCell ref="A4:C4"/>
    <mergeCell ref="F4:H4"/>
    <mergeCell ref="I7:J7"/>
    <mergeCell ref="A8:B8"/>
    <mergeCell ref="A7:B7"/>
    <mergeCell ref="C7:E7"/>
    <mergeCell ref="C8:E8"/>
    <mergeCell ref="F7:H7"/>
    <mergeCell ref="F8:H8"/>
    <mergeCell ref="F31:G31"/>
    <mergeCell ref="F32:G32"/>
    <mergeCell ref="F33:G33"/>
    <mergeCell ref="F34:G34"/>
    <mergeCell ref="F35:G35"/>
    <mergeCell ref="F36:G36"/>
    <mergeCell ref="F37:G37"/>
    <mergeCell ref="F38:G38"/>
    <mergeCell ref="I8:J8"/>
    <mergeCell ref="H23:I23"/>
    <mergeCell ref="H24:I24"/>
    <mergeCell ref="H25:I25"/>
    <mergeCell ref="H26:I26"/>
    <mergeCell ref="A9:J9"/>
    <mergeCell ref="B11:C11"/>
    <mergeCell ref="B12:C12"/>
    <mergeCell ref="B15:C15"/>
    <mergeCell ref="A24:C24"/>
    <mergeCell ref="A25:C25"/>
    <mergeCell ref="A26:C26"/>
    <mergeCell ref="B19:C19"/>
    <mergeCell ref="B20:C20"/>
    <mergeCell ref="B17:C17"/>
    <mergeCell ref="B18:C18"/>
    <mergeCell ref="D65:G65"/>
    <mergeCell ref="D66:G66"/>
    <mergeCell ref="D67:G67"/>
    <mergeCell ref="D68:G68"/>
    <mergeCell ref="D69:G69"/>
    <mergeCell ref="B42:C42"/>
    <mergeCell ref="D42:E42"/>
    <mergeCell ref="G42:I42"/>
    <mergeCell ref="G50:I50"/>
    <mergeCell ref="G51:I51"/>
    <mergeCell ref="G52:I52"/>
    <mergeCell ref="G53:I53"/>
    <mergeCell ref="G54:I54"/>
    <mergeCell ref="G55:I55"/>
    <mergeCell ref="G56:I56"/>
    <mergeCell ref="G57:I57"/>
    <mergeCell ref="G58:I58"/>
    <mergeCell ref="B51:C51"/>
    <mergeCell ref="D51:E51"/>
    <mergeCell ref="B52:C52"/>
    <mergeCell ref="D52:E52"/>
    <mergeCell ref="G49:I49"/>
    <mergeCell ref="B43:C43"/>
    <mergeCell ref="D43:E4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6" orientation="portrait" r:id="rId1"/>
  <rowBreaks count="1" manualBreakCount="1">
    <brk id="39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9" r:id="rId4" name="Drop Down 1">
              <controlPr locked="0" defaultSize="0" autoLine="0" autoPict="0">
                <anchor moveWithCells="1">
                  <from>
                    <xdr:col>2</xdr:col>
                    <xdr:colOff>330200</xdr:colOff>
                    <xdr:row>3</xdr:row>
                    <xdr:rowOff>107950</xdr:rowOff>
                  </from>
                  <to>
                    <xdr:col>3</xdr:col>
                    <xdr:colOff>1263650</xdr:colOff>
                    <xdr:row>3</xdr:row>
                    <xdr:rowOff>425450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B133"/>
  <sheetViews>
    <sheetView zoomScale="80" zoomScaleNormal="80" zoomScaleSheetLayoutView="70" workbookViewId="0">
      <pane xSplit="2" ySplit="6" topLeftCell="C105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3" outlineLevelRow="1" outlineLevelCol="1" x14ac:dyDescent="0.3"/>
  <cols>
    <col min="1" max="1" width="51.1796875" style="13" bestFit="1" customWidth="1"/>
    <col min="2" max="2" width="12.54296875" style="13" customWidth="1"/>
    <col min="3" max="14" width="11" style="12" customWidth="1" outlineLevel="1"/>
    <col min="15" max="15" width="11" style="100" customWidth="1"/>
    <col min="16" max="16" width="13.81640625" style="100" customWidth="1"/>
    <col min="17" max="28" width="11" style="12" customWidth="1" outlineLevel="1"/>
    <col min="29" max="29" width="11" style="100" customWidth="1"/>
    <col min="30" max="30" width="14.26953125" style="100" customWidth="1"/>
    <col min="31" max="42" width="11" style="12" customWidth="1" outlineLevel="1"/>
    <col min="43" max="43" width="11" style="100" customWidth="1"/>
    <col min="44" max="44" width="14.26953125" style="100" customWidth="1"/>
    <col min="45" max="45" width="12.81640625" style="12" customWidth="1"/>
    <col min="46" max="46" width="10" style="12" bestFit="1" customWidth="1"/>
    <col min="47" max="285" width="9.1796875" style="12"/>
    <col min="286" max="286" width="53" style="12" customWidth="1"/>
    <col min="287" max="287" width="14.453125" style="12" customWidth="1"/>
    <col min="288" max="300" width="11" style="12" customWidth="1"/>
    <col min="301" max="301" width="12.81640625" style="12" customWidth="1"/>
    <col min="302" max="302" width="10" style="12" bestFit="1" customWidth="1"/>
    <col min="303" max="541" width="9.1796875" style="12"/>
    <col min="542" max="542" width="53" style="12" customWidth="1"/>
    <col min="543" max="543" width="14.453125" style="12" customWidth="1"/>
    <col min="544" max="556" width="11" style="12" customWidth="1"/>
    <col min="557" max="557" width="12.81640625" style="12" customWidth="1"/>
    <col min="558" max="558" width="10" style="12" bestFit="1" customWidth="1"/>
    <col min="559" max="797" width="9.1796875" style="12"/>
    <col min="798" max="798" width="53" style="12" customWidth="1"/>
    <col min="799" max="799" width="14.453125" style="12" customWidth="1"/>
    <col min="800" max="812" width="11" style="12" customWidth="1"/>
    <col min="813" max="813" width="12.81640625" style="12" customWidth="1"/>
    <col min="814" max="814" width="10" style="12" bestFit="1" customWidth="1"/>
    <col min="815" max="1053" width="9.1796875" style="12"/>
    <col min="1054" max="1054" width="53" style="12" customWidth="1"/>
    <col min="1055" max="1055" width="14.453125" style="12" customWidth="1"/>
    <col min="1056" max="1068" width="11" style="12" customWidth="1"/>
    <col min="1069" max="1069" width="12.81640625" style="12" customWidth="1"/>
    <col min="1070" max="1070" width="10" style="12" bestFit="1" customWidth="1"/>
    <col min="1071" max="1309" width="9.1796875" style="12"/>
    <col min="1310" max="1310" width="53" style="12" customWidth="1"/>
    <col min="1311" max="1311" width="14.453125" style="12" customWidth="1"/>
    <col min="1312" max="1324" width="11" style="12" customWidth="1"/>
    <col min="1325" max="1325" width="12.81640625" style="12" customWidth="1"/>
    <col min="1326" max="1326" width="10" style="12" bestFit="1" customWidth="1"/>
    <col min="1327" max="1565" width="9.1796875" style="12"/>
    <col min="1566" max="1566" width="53" style="12" customWidth="1"/>
    <col min="1567" max="1567" width="14.453125" style="12" customWidth="1"/>
    <col min="1568" max="1580" width="11" style="12" customWidth="1"/>
    <col min="1581" max="1581" width="12.81640625" style="12" customWidth="1"/>
    <col min="1582" max="1582" width="10" style="12" bestFit="1" customWidth="1"/>
    <col min="1583" max="1821" width="9.1796875" style="12"/>
    <col min="1822" max="1822" width="53" style="12" customWidth="1"/>
    <col min="1823" max="1823" width="14.453125" style="12" customWidth="1"/>
    <col min="1824" max="1836" width="11" style="12" customWidth="1"/>
    <col min="1837" max="1837" width="12.81640625" style="12" customWidth="1"/>
    <col min="1838" max="1838" width="10" style="12" bestFit="1" customWidth="1"/>
    <col min="1839" max="2077" width="9.1796875" style="12"/>
    <col min="2078" max="2078" width="53" style="12" customWidth="1"/>
    <col min="2079" max="2079" width="14.453125" style="12" customWidth="1"/>
    <col min="2080" max="2092" width="11" style="12" customWidth="1"/>
    <col min="2093" max="2093" width="12.81640625" style="12" customWidth="1"/>
    <col min="2094" max="2094" width="10" style="12" bestFit="1" customWidth="1"/>
    <col min="2095" max="2333" width="9.1796875" style="12"/>
    <col min="2334" max="2334" width="53" style="12" customWidth="1"/>
    <col min="2335" max="2335" width="14.453125" style="12" customWidth="1"/>
    <col min="2336" max="2348" width="11" style="12" customWidth="1"/>
    <col min="2349" max="2349" width="12.81640625" style="12" customWidth="1"/>
    <col min="2350" max="2350" width="10" style="12" bestFit="1" customWidth="1"/>
    <col min="2351" max="2589" width="9.1796875" style="12"/>
    <col min="2590" max="2590" width="53" style="12" customWidth="1"/>
    <col min="2591" max="2591" width="14.453125" style="12" customWidth="1"/>
    <col min="2592" max="2604" width="11" style="12" customWidth="1"/>
    <col min="2605" max="2605" width="12.81640625" style="12" customWidth="1"/>
    <col min="2606" max="2606" width="10" style="12" bestFit="1" customWidth="1"/>
    <col min="2607" max="2845" width="9.1796875" style="12"/>
    <col min="2846" max="2846" width="53" style="12" customWidth="1"/>
    <col min="2847" max="2847" width="14.453125" style="12" customWidth="1"/>
    <col min="2848" max="2860" width="11" style="12" customWidth="1"/>
    <col min="2861" max="2861" width="12.81640625" style="12" customWidth="1"/>
    <col min="2862" max="2862" width="10" style="12" bestFit="1" customWidth="1"/>
    <col min="2863" max="3101" width="9.1796875" style="12"/>
    <col min="3102" max="3102" width="53" style="12" customWidth="1"/>
    <col min="3103" max="3103" width="14.453125" style="12" customWidth="1"/>
    <col min="3104" max="3116" width="11" style="12" customWidth="1"/>
    <col min="3117" max="3117" width="12.81640625" style="12" customWidth="1"/>
    <col min="3118" max="3118" width="10" style="12" bestFit="1" customWidth="1"/>
    <col min="3119" max="3357" width="9.1796875" style="12"/>
    <col min="3358" max="3358" width="53" style="12" customWidth="1"/>
    <col min="3359" max="3359" width="14.453125" style="12" customWidth="1"/>
    <col min="3360" max="3372" width="11" style="12" customWidth="1"/>
    <col min="3373" max="3373" width="12.81640625" style="12" customWidth="1"/>
    <col min="3374" max="3374" width="10" style="12" bestFit="1" customWidth="1"/>
    <col min="3375" max="3613" width="9.1796875" style="12"/>
    <col min="3614" max="3614" width="53" style="12" customWidth="1"/>
    <col min="3615" max="3615" width="14.453125" style="12" customWidth="1"/>
    <col min="3616" max="3628" width="11" style="12" customWidth="1"/>
    <col min="3629" max="3629" width="12.81640625" style="12" customWidth="1"/>
    <col min="3630" max="3630" width="10" style="12" bestFit="1" customWidth="1"/>
    <col min="3631" max="3869" width="9.1796875" style="12"/>
    <col min="3870" max="3870" width="53" style="12" customWidth="1"/>
    <col min="3871" max="3871" width="14.453125" style="12" customWidth="1"/>
    <col min="3872" max="3884" width="11" style="12" customWidth="1"/>
    <col min="3885" max="3885" width="12.81640625" style="12" customWidth="1"/>
    <col min="3886" max="3886" width="10" style="12" bestFit="1" customWidth="1"/>
    <col min="3887" max="4125" width="9.1796875" style="12"/>
    <col min="4126" max="4126" width="53" style="12" customWidth="1"/>
    <col min="4127" max="4127" width="14.453125" style="12" customWidth="1"/>
    <col min="4128" max="4140" width="11" style="12" customWidth="1"/>
    <col min="4141" max="4141" width="12.81640625" style="12" customWidth="1"/>
    <col min="4142" max="4142" width="10" style="12" bestFit="1" customWidth="1"/>
    <col min="4143" max="4381" width="9.1796875" style="12"/>
    <col min="4382" max="4382" width="53" style="12" customWidth="1"/>
    <col min="4383" max="4383" width="14.453125" style="12" customWidth="1"/>
    <col min="4384" max="4396" width="11" style="12" customWidth="1"/>
    <col min="4397" max="4397" width="12.81640625" style="12" customWidth="1"/>
    <col min="4398" max="4398" width="10" style="12" bestFit="1" customWidth="1"/>
    <col min="4399" max="4637" width="9.1796875" style="12"/>
    <col min="4638" max="4638" width="53" style="12" customWidth="1"/>
    <col min="4639" max="4639" width="14.453125" style="12" customWidth="1"/>
    <col min="4640" max="4652" width="11" style="12" customWidth="1"/>
    <col min="4653" max="4653" width="12.81640625" style="12" customWidth="1"/>
    <col min="4654" max="4654" width="10" style="12" bestFit="1" customWidth="1"/>
    <col min="4655" max="4893" width="9.1796875" style="12"/>
    <col min="4894" max="4894" width="53" style="12" customWidth="1"/>
    <col min="4895" max="4895" width="14.453125" style="12" customWidth="1"/>
    <col min="4896" max="4908" width="11" style="12" customWidth="1"/>
    <col min="4909" max="4909" width="12.81640625" style="12" customWidth="1"/>
    <col min="4910" max="4910" width="10" style="12" bestFit="1" customWidth="1"/>
    <col min="4911" max="5149" width="9.1796875" style="12"/>
    <col min="5150" max="5150" width="53" style="12" customWidth="1"/>
    <col min="5151" max="5151" width="14.453125" style="12" customWidth="1"/>
    <col min="5152" max="5164" width="11" style="12" customWidth="1"/>
    <col min="5165" max="5165" width="12.81640625" style="12" customWidth="1"/>
    <col min="5166" max="5166" width="10" style="12" bestFit="1" customWidth="1"/>
    <col min="5167" max="5405" width="9.1796875" style="12"/>
    <col min="5406" max="5406" width="53" style="12" customWidth="1"/>
    <col min="5407" max="5407" width="14.453125" style="12" customWidth="1"/>
    <col min="5408" max="5420" width="11" style="12" customWidth="1"/>
    <col min="5421" max="5421" width="12.81640625" style="12" customWidth="1"/>
    <col min="5422" max="5422" width="10" style="12" bestFit="1" customWidth="1"/>
    <col min="5423" max="5661" width="9.1796875" style="12"/>
    <col min="5662" max="5662" width="53" style="12" customWidth="1"/>
    <col min="5663" max="5663" width="14.453125" style="12" customWidth="1"/>
    <col min="5664" max="5676" width="11" style="12" customWidth="1"/>
    <col min="5677" max="5677" width="12.81640625" style="12" customWidth="1"/>
    <col min="5678" max="5678" width="10" style="12" bestFit="1" customWidth="1"/>
    <col min="5679" max="5917" width="9.1796875" style="12"/>
    <col min="5918" max="5918" width="53" style="12" customWidth="1"/>
    <col min="5919" max="5919" width="14.453125" style="12" customWidth="1"/>
    <col min="5920" max="5932" width="11" style="12" customWidth="1"/>
    <col min="5933" max="5933" width="12.81640625" style="12" customWidth="1"/>
    <col min="5934" max="5934" width="10" style="12" bestFit="1" customWidth="1"/>
    <col min="5935" max="6173" width="9.1796875" style="12"/>
    <col min="6174" max="6174" width="53" style="12" customWidth="1"/>
    <col min="6175" max="6175" width="14.453125" style="12" customWidth="1"/>
    <col min="6176" max="6188" width="11" style="12" customWidth="1"/>
    <col min="6189" max="6189" width="12.81640625" style="12" customWidth="1"/>
    <col min="6190" max="6190" width="10" style="12" bestFit="1" customWidth="1"/>
    <col min="6191" max="6429" width="9.1796875" style="12"/>
    <col min="6430" max="6430" width="53" style="12" customWidth="1"/>
    <col min="6431" max="6431" width="14.453125" style="12" customWidth="1"/>
    <col min="6432" max="6444" width="11" style="12" customWidth="1"/>
    <col min="6445" max="6445" width="12.81640625" style="12" customWidth="1"/>
    <col min="6446" max="6446" width="10" style="12" bestFit="1" customWidth="1"/>
    <col min="6447" max="6685" width="9.1796875" style="12"/>
    <col min="6686" max="6686" width="53" style="12" customWidth="1"/>
    <col min="6687" max="6687" width="14.453125" style="12" customWidth="1"/>
    <col min="6688" max="6700" width="11" style="12" customWidth="1"/>
    <col min="6701" max="6701" width="12.81640625" style="12" customWidth="1"/>
    <col min="6702" max="6702" width="10" style="12" bestFit="1" customWidth="1"/>
    <col min="6703" max="6941" width="9.1796875" style="12"/>
    <col min="6942" max="6942" width="53" style="12" customWidth="1"/>
    <col min="6943" max="6943" width="14.453125" style="12" customWidth="1"/>
    <col min="6944" max="6956" width="11" style="12" customWidth="1"/>
    <col min="6957" max="6957" width="12.81640625" style="12" customWidth="1"/>
    <col min="6958" max="6958" width="10" style="12" bestFit="1" customWidth="1"/>
    <col min="6959" max="7197" width="9.1796875" style="12"/>
    <col min="7198" max="7198" width="53" style="12" customWidth="1"/>
    <col min="7199" max="7199" width="14.453125" style="12" customWidth="1"/>
    <col min="7200" max="7212" width="11" style="12" customWidth="1"/>
    <col min="7213" max="7213" width="12.81640625" style="12" customWidth="1"/>
    <col min="7214" max="7214" width="10" style="12" bestFit="1" customWidth="1"/>
    <col min="7215" max="7453" width="9.1796875" style="12"/>
    <col min="7454" max="7454" width="53" style="12" customWidth="1"/>
    <col min="7455" max="7455" width="14.453125" style="12" customWidth="1"/>
    <col min="7456" max="7468" width="11" style="12" customWidth="1"/>
    <col min="7469" max="7469" width="12.81640625" style="12" customWidth="1"/>
    <col min="7470" max="7470" width="10" style="12" bestFit="1" customWidth="1"/>
    <col min="7471" max="7709" width="9.1796875" style="12"/>
    <col min="7710" max="7710" width="53" style="12" customWidth="1"/>
    <col min="7711" max="7711" width="14.453125" style="12" customWidth="1"/>
    <col min="7712" max="7724" width="11" style="12" customWidth="1"/>
    <col min="7725" max="7725" width="12.81640625" style="12" customWidth="1"/>
    <col min="7726" max="7726" width="10" style="12" bestFit="1" customWidth="1"/>
    <col min="7727" max="7965" width="9.1796875" style="12"/>
    <col min="7966" max="7966" width="53" style="12" customWidth="1"/>
    <col min="7967" max="7967" width="14.453125" style="12" customWidth="1"/>
    <col min="7968" max="7980" width="11" style="12" customWidth="1"/>
    <col min="7981" max="7981" width="12.81640625" style="12" customWidth="1"/>
    <col min="7982" max="7982" width="10" style="12" bestFit="1" customWidth="1"/>
    <col min="7983" max="8221" width="9.1796875" style="12"/>
    <col min="8222" max="8222" width="53" style="12" customWidth="1"/>
    <col min="8223" max="8223" width="14.453125" style="12" customWidth="1"/>
    <col min="8224" max="8236" width="11" style="12" customWidth="1"/>
    <col min="8237" max="8237" width="12.81640625" style="12" customWidth="1"/>
    <col min="8238" max="8238" width="10" style="12" bestFit="1" customWidth="1"/>
    <col min="8239" max="8477" width="9.1796875" style="12"/>
    <col min="8478" max="8478" width="53" style="12" customWidth="1"/>
    <col min="8479" max="8479" width="14.453125" style="12" customWidth="1"/>
    <col min="8480" max="8492" width="11" style="12" customWidth="1"/>
    <col min="8493" max="8493" width="12.81640625" style="12" customWidth="1"/>
    <col min="8494" max="8494" width="10" style="12" bestFit="1" customWidth="1"/>
    <col min="8495" max="8733" width="9.1796875" style="12"/>
    <col min="8734" max="8734" width="53" style="12" customWidth="1"/>
    <col min="8735" max="8735" width="14.453125" style="12" customWidth="1"/>
    <col min="8736" max="8748" width="11" style="12" customWidth="1"/>
    <col min="8749" max="8749" width="12.81640625" style="12" customWidth="1"/>
    <col min="8750" max="8750" width="10" style="12" bestFit="1" customWidth="1"/>
    <col min="8751" max="8989" width="9.1796875" style="12"/>
    <col min="8990" max="8990" width="53" style="12" customWidth="1"/>
    <col min="8991" max="8991" width="14.453125" style="12" customWidth="1"/>
    <col min="8992" max="9004" width="11" style="12" customWidth="1"/>
    <col min="9005" max="9005" width="12.81640625" style="12" customWidth="1"/>
    <col min="9006" max="9006" width="10" style="12" bestFit="1" customWidth="1"/>
    <col min="9007" max="9245" width="9.1796875" style="12"/>
    <col min="9246" max="9246" width="53" style="12" customWidth="1"/>
    <col min="9247" max="9247" width="14.453125" style="12" customWidth="1"/>
    <col min="9248" max="9260" width="11" style="12" customWidth="1"/>
    <col min="9261" max="9261" width="12.81640625" style="12" customWidth="1"/>
    <col min="9262" max="9262" width="10" style="12" bestFit="1" customWidth="1"/>
    <col min="9263" max="9501" width="9.1796875" style="12"/>
    <col min="9502" max="9502" width="53" style="12" customWidth="1"/>
    <col min="9503" max="9503" width="14.453125" style="12" customWidth="1"/>
    <col min="9504" max="9516" width="11" style="12" customWidth="1"/>
    <col min="9517" max="9517" width="12.81640625" style="12" customWidth="1"/>
    <col min="9518" max="9518" width="10" style="12" bestFit="1" customWidth="1"/>
    <col min="9519" max="9757" width="9.1796875" style="12"/>
    <col min="9758" max="9758" width="53" style="12" customWidth="1"/>
    <col min="9759" max="9759" width="14.453125" style="12" customWidth="1"/>
    <col min="9760" max="9772" width="11" style="12" customWidth="1"/>
    <col min="9773" max="9773" width="12.81640625" style="12" customWidth="1"/>
    <col min="9774" max="9774" width="10" style="12" bestFit="1" customWidth="1"/>
    <col min="9775" max="10013" width="9.1796875" style="12"/>
    <col min="10014" max="10014" width="53" style="12" customWidth="1"/>
    <col min="10015" max="10015" width="14.453125" style="12" customWidth="1"/>
    <col min="10016" max="10028" width="11" style="12" customWidth="1"/>
    <col min="10029" max="10029" width="12.81640625" style="12" customWidth="1"/>
    <col min="10030" max="10030" width="10" style="12" bestFit="1" customWidth="1"/>
    <col min="10031" max="10269" width="9.1796875" style="12"/>
    <col min="10270" max="10270" width="53" style="12" customWidth="1"/>
    <col min="10271" max="10271" width="14.453125" style="12" customWidth="1"/>
    <col min="10272" max="10284" width="11" style="12" customWidth="1"/>
    <col min="10285" max="10285" width="12.81640625" style="12" customWidth="1"/>
    <col min="10286" max="10286" width="10" style="12" bestFit="1" customWidth="1"/>
    <col min="10287" max="10525" width="9.1796875" style="12"/>
    <col min="10526" max="10526" width="53" style="12" customWidth="1"/>
    <col min="10527" max="10527" width="14.453125" style="12" customWidth="1"/>
    <col min="10528" max="10540" width="11" style="12" customWidth="1"/>
    <col min="10541" max="10541" width="12.81640625" style="12" customWidth="1"/>
    <col min="10542" max="10542" width="10" style="12" bestFit="1" customWidth="1"/>
    <col min="10543" max="10781" width="9.1796875" style="12"/>
    <col min="10782" max="10782" width="53" style="12" customWidth="1"/>
    <col min="10783" max="10783" width="14.453125" style="12" customWidth="1"/>
    <col min="10784" max="10796" width="11" style="12" customWidth="1"/>
    <col min="10797" max="10797" width="12.81640625" style="12" customWidth="1"/>
    <col min="10798" max="10798" width="10" style="12" bestFit="1" customWidth="1"/>
    <col min="10799" max="11037" width="9.1796875" style="12"/>
    <col min="11038" max="11038" width="53" style="12" customWidth="1"/>
    <col min="11039" max="11039" width="14.453125" style="12" customWidth="1"/>
    <col min="11040" max="11052" width="11" style="12" customWidth="1"/>
    <col min="11053" max="11053" width="12.81640625" style="12" customWidth="1"/>
    <col min="11054" max="11054" width="10" style="12" bestFit="1" customWidth="1"/>
    <col min="11055" max="11293" width="9.1796875" style="12"/>
    <col min="11294" max="11294" width="53" style="12" customWidth="1"/>
    <col min="11295" max="11295" width="14.453125" style="12" customWidth="1"/>
    <col min="11296" max="11308" width="11" style="12" customWidth="1"/>
    <col min="11309" max="11309" width="12.81640625" style="12" customWidth="1"/>
    <col min="11310" max="11310" width="10" style="12" bestFit="1" customWidth="1"/>
    <col min="11311" max="11549" width="9.1796875" style="12"/>
    <col min="11550" max="11550" width="53" style="12" customWidth="1"/>
    <col min="11551" max="11551" width="14.453125" style="12" customWidth="1"/>
    <col min="11552" max="11564" width="11" style="12" customWidth="1"/>
    <col min="11565" max="11565" width="12.81640625" style="12" customWidth="1"/>
    <col min="11566" max="11566" width="10" style="12" bestFit="1" customWidth="1"/>
    <col min="11567" max="11805" width="9.1796875" style="12"/>
    <col min="11806" max="11806" width="53" style="12" customWidth="1"/>
    <col min="11807" max="11807" width="14.453125" style="12" customWidth="1"/>
    <col min="11808" max="11820" width="11" style="12" customWidth="1"/>
    <col min="11821" max="11821" width="12.81640625" style="12" customWidth="1"/>
    <col min="11822" max="11822" width="10" style="12" bestFit="1" customWidth="1"/>
    <col min="11823" max="12061" width="9.1796875" style="12"/>
    <col min="12062" max="12062" width="53" style="12" customWidth="1"/>
    <col min="12063" max="12063" width="14.453125" style="12" customWidth="1"/>
    <col min="12064" max="12076" width="11" style="12" customWidth="1"/>
    <col min="12077" max="12077" width="12.81640625" style="12" customWidth="1"/>
    <col min="12078" max="12078" width="10" style="12" bestFit="1" customWidth="1"/>
    <col min="12079" max="12317" width="9.1796875" style="12"/>
    <col min="12318" max="12318" width="53" style="12" customWidth="1"/>
    <col min="12319" max="12319" width="14.453125" style="12" customWidth="1"/>
    <col min="12320" max="12332" width="11" style="12" customWidth="1"/>
    <col min="12333" max="12333" width="12.81640625" style="12" customWidth="1"/>
    <col min="12334" max="12334" width="10" style="12" bestFit="1" customWidth="1"/>
    <col min="12335" max="12573" width="9.1796875" style="12"/>
    <col min="12574" max="12574" width="53" style="12" customWidth="1"/>
    <col min="12575" max="12575" width="14.453125" style="12" customWidth="1"/>
    <col min="12576" max="12588" width="11" style="12" customWidth="1"/>
    <col min="12589" max="12589" width="12.81640625" style="12" customWidth="1"/>
    <col min="12590" max="12590" width="10" style="12" bestFit="1" customWidth="1"/>
    <col min="12591" max="12829" width="9.1796875" style="12"/>
    <col min="12830" max="12830" width="53" style="12" customWidth="1"/>
    <col min="12831" max="12831" width="14.453125" style="12" customWidth="1"/>
    <col min="12832" max="12844" width="11" style="12" customWidth="1"/>
    <col min="12845" max="12845" width="12.81640625" style="12" customWidth="1"/>
    <col min="12846" max="12846" width="10" style="12" bestFit="1" customWidth="1"/>
    <col min="12847" max="13085" width="9.1796875" style="12"/>
    <col min="13086" max="13086" width="53" style="12" customWidth="1"/>
    <col min="13087" max="13087" width="14.453125" style="12" customWidth="1"/>
    <col min="13088" max="13100" width="11" style="12" customWidth="1"/>
    <col min="13101" max="13101" width="12.81640625" style="12" customWidth="1"/>
    <col min="13102" max="13102" width="10" style="12" bestFit="1" customWidth="1"/>
    <col min="13103" max="13341" width="9.1796875" style="12"/>
    <col min="13342" max="13342" width="53" style="12" customWidth="1"/>
    <col min="13343" max="13343" width="14.453125" style="12" customWidth="1"/>
    <col min="13344" max="13356" width="11" style="12" customWidth="1"/>
    <col min="13357" max="13357" width="12.81640625" style="12" customWidth="1"/>
    <col min="13358" max="13358" width="10" style="12" bestFit="1" customWidth="1"/>
    <col min="13359" max="13597" width="9.1796875" style="12"/>
    <col min="13598" max="13598" width="53" style="12" customWidth="1"/>
    <col min="13599" max="13599" width="14.453125" style="12" customWidth="1"/>
    <col min="13600" max="13612" width="11" style="12" customWidth="1"/>
    <col min="13613" max="13613" width="12.81640625" style="12" customWidth="1"/>
    <col min="13614" max="13614" width="10" style="12" bestFit="1" customWidth="1"/>
    <col min="13615" max="13853" width="9.1796875" style="12"/>
    <col min="13854" max="13854" width="53" style="12" customWidth="1"/>
    <col min="13855" max="13855" width="14.453125" style="12" customWidth="1"/>
    <col min="13856" max="13868" width="11" style="12" customWidth="1"/>
    <col min="13869" max="13869" width="12.81640625" style="12" customWidth="1"/>
    <col min="13870" max="13870" width="10" style="12" bestFit="1" customWidth="1"/>
    <col min="13871" max="14109" width="9.1796875" style="12"/>
    <col min="14110" max="14110" width="53" style="12" customWidth="1"/>
    <col min="14111" max="14111" width="14.453125" style="12" customWidth="1"/>
    <col min="14112" max="14124" width="11" style="12" customWidth="1"/>
    <col min="14125" max="14125" width="12.81640625" style="12" customWidth="1"/>
    <col min="14126" max="14126" width="10" style="12" bestFit="1" customWidth="1"/>
    <col min="14127" max="14365" width="9.1796875" style="12"/>
    <col min="14366" max="14366" width="53" style="12" customWidth="1"/>
    <col min="14367" max="14367" width="14.453125" style="12" customWidth="1"/>
    <col min="14368" max="14380" width="11" style="12" customWidth="1"/>
    <col min="14381" max="14381" width="12.81640625" style="12" customWidth="1"/>
    <col min="14382" max="14382" width="10" style="12" bestFit="1" customWidth="1"/>
    <col min="14383" max="14621" width="9.1796875" style="12"/>
    <col min="14622" max="14622" width="53" style="12" customWidth="1"/>
    <col min="14623" max="14623" width="14.453125" style="12" customWidth="1"/>
    <col min="14624" max="14636" width="11" style="12" customWidth="1"/>
    <col min="14637" max="14637" width="12.81640625" style="12" customWidth="1"/>
    <col min="14638" max="14638" width="10" style="12" bestFit="1" customWidth="1"/>
    <col min="14639" max="14877" width="9.1796875" style="12"/>
    <col min="14878" max="14878" width="53" style="12" customWidth="1"/>
    <col min="14879" max="14879" width="14.453125" style="12" customWidth="1"/>
    <col min="14880" max="14892" width="11" style="12" customWidth="1"/>
    <col min="14893" max="14893" width="12.81640625" style="12" customWidth="1"/>
    <col min="14894" max="14894" width="10" style="12" bestFit="1" customWidth="1"/>
    <col min="14895" max="15133" width="9.1796875" style="12"/>
    <col min="15134" max="15134" width="53" style="12" customWidth="1"/>
    <col min="15135" max="15135" width="14.453125" style="12" customWidth="1"/>
    <col min="15136" max="15148" width="11" style="12" customWidth="1"/>
    <col min="15149" max="15149" width="12.81640625" style="12" customWidth="1"/>
    <col min="15150" max="15150" width="10" style="12" bestFit="1" customWidth="1"/>
    <col min="15151" max="15389" width="9.1796875" style="12"/>
    <col min="15390" max="15390" width="53" style="12" customWidth="1"/>
    <col min="15391" max="15391" width="14.453125" style="12" customWidth="1"/>
    <col min="15392" max="15404" width="11" style="12" customWidth="1"/>
    <col min="15405" max="15405" width="12.81640625" style="12" customWidth="1"/>
    <col min="15406" max="15406" width="10" style="12" bestFit="1" customWidth="1"/>
    <col min="15407" max="15645" width="9.1796875" style="12"/>
    <col min="15646" max="15646" width="53" style="12" customWidth="1"/>
    <col min="15647" max="15647" width="14.453125" style="12" customWidth="1"/>
    <col min="15648" max="15660" width="11" style="12" customWidth="1"/>
    <col min="15661" max="15661" width="12.81640625" style="12" customWidth="1"/>
    <col min="15662" max="15662" width="10" style="12" bestFit="1" customWidth="1"/>
    <col min="15663" max="15901" width="9.1796875" style="12"/>
    <col min="15902" max="15902" width="53" style="12" customWidth="1"/>
    <col min="15903" max="15903" width="14.453125" style="12" customWidth="1"/>
    <col min="15904" max="15916" width="11" style="12" customWidth="1"/>
    <col min="15917" max="15917" width="12.81640625" style="12" customWidth="1"/>
    <col min="15918" max="15918" width="10" style="12" bestFit="1" customWidth="1"/>
    <col min="15919" max="16157" width="9.1796875" style="12"/>
    <col min="16158" max="16158" width="53" style="12" customWidth="1"/>
    <col min="16159" max="16159" width="14.453125" style="12" customWidth="1"/>
    <col min="16160" max="16172" width="11" style="12" customWidth="1"/>
    <col min="16173" max="16173" width="12.81640625" style="12" customWidth="1"/>
    <col min="16174" max="16174" width="10" style="12" bestFit="1" customWidth="1"/>
    <col min="16175" max="16384" width="9.1796875" style="12"/>
  </cols>
  <sheetData>
    <row r="1" spans="1:54" customFormat="1" ht="14.5" x14ac:dyDescent="0.35">
      <c r="A1" s="376" t="s">
        <v>5</v>
      </c>
      <c r="B1" s="376"/>
      <c r="C1" s="78"/>
      <c r="D1" s="78"/>
      <c r="E1" s="78"/>
      <c r="F1" s="78"/>
      <c r="G1" s="78"/>
      <c r="H1" s="78"/>
      <c r="I1" s="78"/>
      <c r="J1" s="78"/>
      <c r="O1" s="98"/>
      <c r="P1" s="98"/>
      <c r="AC1" s="98"/>
      <c r="AD1" s="98"/>
      <c r="AQ1" s="98"/>
      <c r="AR1" s="98"/>
      <c r="AU1" s="12"/>
    </row>
    <row r="2" spans="1:54" ht="12.75" customHeight="1" x14ac:dyDescent="0.3">
      <c r="A2" s="8"/>
      <c r="B2" s="9"/>
      <c r="C2" s="126" t="str">
        <f>A114</f>
        <v>Срок окупаемости проекта с учетом инвестиций, мес.:</v>
      </c>
      <c r="D2" s="127">
        <f>B114</f>
        <v>6</v>
      </c>
      <c r="E2" s="9"/>
      <c r="F2" s="9"/>
      <c r="G2" s="9"/>
      <c r="H2" s="9"/>
      <c r="I2" s="10"/>
      <c r="J2" s="11"/>
      <c r="K2" s="11"/>
      <c r="L2" s="11"/>
      <c r="M2" s="11"/>
      <c r="N2" s="11"/>
      <c r="O2" s="99"/>
      <c r="P2" s="99"/>
      <c r="Q2" s="9"/>
      <c r="R2" s="58"/>
      <c r="S2" s="9"/>
      <c r="T2" s="9"/>
      <c r="U2" s="9"/>
      <c r="V2" s="9"/>
      <c r="W2" s="10"/>
      <c r="X2" s="11"/>
      <c r="Y2" s="11"/>
      <c r="Z2" s="11"/>
      <c r="AA2" s="11"/>
      <c r="AB2" s="11"/>
      <c r="AC2" s="99"/>
      <c r="AD2" s="99"/>
      <c r="AE2" s="9"/>
      <c r="AF2" s="58"/>
      <c r="AG2" s="9"/>
      <c r="AH2" s="9"/>
      <c r="AI2" s="9"/>
      <c r="AJ2" s="9"/>
      <c r="AK2" s="10"/>
      <c r="AL2" s="11"/>
      <c r="AM2" s="11"/>
      <c r="AN2" s="11"/>
      <c r="AO2" s="11"/>
      <c r="AP2" s="11"/>
      <c r="AQ2" s="99"/>
      <c r="AR2" s="99"/>
      <c r="AS2" s="11"/>
    </row>
    <row r="3" spans="1:54" hidden="1" x14ac:dyDescent="0.3">
      <c r="C3" s="88">
        <f>'Исходные данные'!$Q$2</f>
        <v>10</v>
      </c>
      <c r="D3" s="88">
        <f>IF(C3=12,1,C3+1)</f>
        <v>11</v>
      </c>
      <c r="E3" s="88">
        <f t="shared" ref="E3:AB3" si="0">IF(D3=12,1,D3+1)</f>
        <v>12</v>
      </c>
      <c r="F3" s="88">
        <f t="shared" si="0"/>
        <v>1</v>
      </c>
      <c r="G3" s="88">
        <f t="shared" si="0"/>
        <v>2</v>
      </c>
      <c r="H3" s="88">
        <f t="shared" si="0"/>
        <v>3</v>
      </c>
      <c r="I3" s="88">
        <f t="shared" si="0"/>
        <v>4</v>
      </c>
      <c r="J3" s="88">
        <f t="shared" si="0"/>
        <v>5</v>
      </c>
      <c r="K3" s="88">
        <f t="shared" si="0"/>
        <v>6</v>
      </c>
      <c r="L3" s="88">
        <f t="shared" si="0"/>
        <v>7</v>
      </c>
      <c r="M3" s="88">
        <f t="shared" si="0"/>
        <v>8</v>
      </c>
      <c r="N3" s="88">
        <f t="shared" si="0"/>
        <v>9</v>
      </c>
      <c r="O3" s="101"/>
      <c r="P3" s="101"/>
      <c r="Q3" s="88">
        <f>IF(N3=12,1,N3+1)</f>
        <v>10</v>
      </c>
      <c r="R3" s="88">
        <f t="shared" si="0"/>
        <v>11</v>
      </c>
      <c r="S3" s="88">
        <f t="shared" si="0"/>
        <v>12</v>
      </c>
      <c r="T3" s="88">
        <f t="shared" si="0"/>
        <v>1</v>
      </c>
      <c r="U3" s="88">
        <f t="shared" si="0"/>
        <v>2</v>
      </c>
      <c r="V3" s="88">
        <f t="shared" si="0"/>
        <v>3</v>
      </c>
      <c r="W3" s="88">
        <f t="shared" si="0"/>
        <v>4</v>
      </c>
      <c r="X3" s="88">
        <f t="shared" si="0"/>
        <v>5</v>
      </c>
      <c r="Y3" s="88">
        <f t="shared" si="0"/>
        <v>6</v>
      </c>
      <c r="Z3" s="88">
        <f t="shared" si="0"/>
        <v>7</v>
      </c>
      <c r="AA3" s="88">
        <f t="shared" si="0"/>
        <v>8</v>
      </c>
      <c r="AB3" s="88">
        <f t="shared" si="0"/>
        <v>9</v>
      </c>
      <c r="AC3" s="101"/>
      <c r="AD3" s="101"/>
      <c r="AE3" s="88">
        <f>IF(AB3=12,1,AB3+1)</f>
        <v>10</v>
      </c>
      <c r="AF3" s="88">
        <f t="shared" ref="AF3:AP3" si="1">IF(AE3=12,1,AE3+1)</f>
        <v>11</v>
      </c>
      <c r="AG3" s="88">
        <f t="shared" si="1"/>
        <v>12</v>
      </c>
      <c r="AH3" s="88">
        <f t="shared" si="1"/>
        <v>1</v>
      </c>
      <c r="AI3" s="88">
        <f t="shared" si="1"/>
        <v>2</v>
      </c>
      <c r="AJ3" s="88">
        <f t="shared" si="1"/>
        <v>3</v>
      </c>
      <c r="AK3" s="88">
        <f t="shared" si="1"/>
        <v>4</v>
      </c>
      <c r="AL3" s="88">
        <f t="shared" si="1"/>
        <v>5</v>
      </c>
      <c r="AM3" s="88">
        <f t="shared" si="1"/>
        <v>6</v>
      </c>
      <c r="AN3" s="88">
        <f t="shared" si="1"/>
        <v>7</v>
      </c>
      <c r="AO3" s="88">
        <f t="shared" si="1"/>
        <v>8</v>
      </c>
      <c r="AP3" s="88">
        <f t="shared" si="1"/>
        <v>9</v>
      </c>
      <c r="AQ3" s="101"/>
      <c r="AR3" s="101"/>
    </row>
    <row r="4" spans="1:54" x14ac:dyDescent="0.3">
      <c r="B4" s="89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102"/>
      <c r="P4" s="102"/>
      <c r="Q4" s="90"/>
      <c r="R4" s="90"/>
      <c r="S4" s="90"/>
      <c r="T4" s="90"/>
      <c r="U4" s="90"/>
      <c r="V4" s="90"/>
      <c r="W4" s="90"/>
      <c r="X4" s="90"/>
      <c r="Y4" s="90"/>
      <c r="AC4" s="102"/>
      <c r="AD4" s="102"/>
      <c r="AE4" s="90"/>
      <c r="AF4" s="90"/>
      <c r="AG4" s="90"/>
      <c r="AH4" s="90"/>
      <c r="AI4" s="90"/>
      <c r="AJ4" s="90"/>
      <c r="AK4" s="90"/>
      <c r="AL4" s="90"/>
      <c r="AM4" s="90"/>
      <c r="AQ4" s="102"/>
      <c r="AR4" s="102"/>
      <c r="AU4" s="86"/>
    </row>
    <row r="5" spans="1:54" s="13" customFormat="1" ht="14.25" customHeight="1" thickBot="1" x14ac:dyDescent="0.25">
      <c r="B5" s="68"/>
      <c r="C5" s="379" t="s">
        <v>32</v>
      </c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1"/>
      <c r="Q5" s="382" t="s">
        <v>33</v>
      </c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4"/>
      <c r="AE5" s="385" t="s">
        <v>35</v>
      </c>
      <c r="AF5" s="385"/>
      <c r="AG5" s="385"/>
      <c r="AH5" s="385"/>
      <c r="AI5" s="385"/>
      <c r="AJ5" s="385"/>
      <c r="AK5" s="385"/>
      <c r="AL5" s="385"/>
      <c r="AM5" s="385"/>
      <c r="AN5" s="385"/>
      <c r="AO5" s="385"/>
      <c r="AP5" s="385"/>
      <c r="AQ5" s="385"/>
      <c r="AR5" s="385"/>
      <c r="AU5" s="86"/>
    </row>
    <row r="6" spans="1:54" s="13" customFormat="1" ht="11.5" thickTop="1" thickBot="1" x14ac:dyDescent="0.25">
      <c r="A6" s="386" t="s">
        <v>6</v>
      </c>
      <c r="B6" s="386"/>
      <c r="C6" s="92" t="str">
        <f>CHOOSE(C3,'Исходные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D6" s="92" t="str">
        <f>CHOOSE(D3,'Исходные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E6" s="92" t="str">
        <f>CHOOSE(E3,'Исходные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F6" s="92" t="str">
        <f>CHOOSE(F3,'Исходные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G6" s="92" t="str">
        <f>CHOOSE(G3,'Исходные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H6" s="92" t="str">
        <f>CHOOSE(H3,'Исходные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I6" s="92" t="str">
        <f>CHOOSE(I3,'Исходные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J6" s="92" t="str">
        <f>CHOOSE(J3,'Исходные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K6" s="92" t="str">
        <f>CHOOSE(K3,'Исходные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L6" s="92" t="str">
        <f>CHOOSE(L3,'Исходные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M6" s="92" t="str">
        <f>CHOOSE(M3,'Исходные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N6" s="92" t="str">
        <f>CHOOSE(N3,'Исходные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O6" s="103"/>
      <c r="P6" s="103"/>
      <c r="Q6" s="92" t="str">
        <f>CHOOSE(Q3,'Исходные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R6" s="92" t="str">
        <f>CHOOSE(R3,'Исходные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S6" s="92" t="str">
        <f>CHOOSE(S3,'Исходные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T6" s="92" t="str">
        <f>CHOOSE(T3,'Исходные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U6" s="92" t="str">
        <f>CHOOSE(U3,'Исходные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V6" s="92" t="str">
        <f>CHOOSE(V3,'Исходные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W6" s="92" t="str">
        <f>CHOOSE(W3,'Исходные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X6" s="92" t="str">
        <f>CHOOSE(X3,'Исходные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Y6" s="92" t="str">
        <f>CHOOSE(Y3,'Исходные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Z6" s="92" t="str">
        <f>CHOOSE(Z3,'Исходные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AA6" s="92" t="str">
        <f>CHOOSE(AA3,'Исходные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AB6" s="92" t="str">
        <f>CHOOSE(AB3,'Исходные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AC6" s="103"/>
      <c r="AD6" s="103"/>
      <c r="AE6" s="92" t="str">
        <f>CHOOSE(AE3,'Исходные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AF6" s="92" t="str">
        <f>CHOOSE(AF3,'Исходные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AG6" s="92" t="str">
        <f>CHOOSE(AG3,'Исходные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AH6" s="92" t="str">
        <f>CHOOSE(AH3,'Исходные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AI6" s="92" t="str">
        <f>CHOOSE(AI3,'Исходные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AJ6" s="92" t="str">
        <f>CHOOSE(AJ3,'Исходные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AK6" s="92" t="str">
        <f>CHOOSE(AK3,'Исходные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AL6" s="92" t="str">
        <f>CHOOSE(AL3,'Исходные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AM6" s="92" t="str">
        <f>CHOOSE(AM3,'Исходные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AN6" s="92" t="str">
        <f>CHOOSE(AN3,'Исходные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AO6" s="92" t="str">
        <f>CHOOSE(AO3,'Исходные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AP6" s="92" t="str">
        <f>CHOOSE(AP3,'Исходные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AQ6" s="103"/>
      <c r="AR6" s="103"/>
      <c r="AS6" s="16"/>
      <c r="AU6" s="86"/>
    </row>
    <row r="7" spans="1:54" s="62" customFormat="1" ht="11" outlineLevel="1" thickTop="1" x14ac:dyDescent="0.2">
      <c r="A7" s="87" t="s">
        <v>79</v>
      </c>
      <c r="B7" s="61"/>
      <c r="C7" s="86">
        <f>CHOOSE('Обобщенный расчет'!$N$1,'Исходные данные'!$C34,'Исходные данные'!$E34,'Исходные данные'!$I34)</f>
        <v>0.6</v>
      </c>
      <c r="D7" s="86">
        <f>CHOOSE('Обобщенный расчет'!$N$1,'Исходные данные'!$C35,'Исходные данные'!$E35,'Исходные данные'!$I35)</f>
        <v>0.7</v>
      </c>
      <c r="E7" s="86">
        <f>CHOOSE('Обобщенный расчет'!$N$1,'Исходные данные'!$C36,'Исходные данные'!$E36,'Исходные данные'!$I36)</f>
        <v>0.8</v>
      </c>
      <c r="F7" s="86">
        <f>CHOOSE('Обобщенный расчет'!$N$1,'Исходные данные'!$C37,'Исходные данные'!$E37,'Исходные данные'!$I37)</f>
        <v>0.9</v>
      </c>
      <c r="G7" s="86">
        <f>CHOOSE('Обобщенный расчет'!$N$1,'Исходные данные'!$C38,'Исходные данные'!$E38,'Исходные данные'!$I38)</f>
        <v>1</v>
      </c>
      <c r="H7" s="86">
        <f>CHOOSE('Обобщенный расчет'!$N$1,'Исходные данные'!$C39,'Исходные данные'!$E39,'Исходные данные'!$I39)</f>
        <v>1</v>
      </c>
      <c r="I7" s="86">
        <f>CHOOSE('Обобщенный расчет'!$N$1,'Исходные данные'!$C40,'Исходные данные'!$E40,'Исходные данные'!$I40)</f>
        <v>1.05</v>
      </c>
      <c r="J7" s="86">
        <f>CHOOSE('Обобщенный расчет'!$N$1,'Исходные данные'!$C41,'Исходные данные'!$E41,'Исходные данные'!$I41)</f>
        <v>1.1000000000000001</v>
      </c>
      <c r="K7" s="86">
        <f>CHOOSE('Обобщенный расчет'!$N$1,'Исходные данные'!$C42,'Исходные данные'!$E42,'Исходные данные'!$I42)</f>
        <v>1.1000000000000001</v>
      </c>
      <c r="L7" s="86">
        <f>CHOOSE('Обобщенный расчет'!$N$1,'Исходные данные'!$C43,'Исходные данные'!$E43,'Исходные данные'!$I43)</f>
        <v>1.1499999999999999</v>
      </c>
      <c r="M7" s="86">
        <f>CHOOSE('Обобщенный расчет'!$N$1,'Исходные данные'!$C44,'Исходные данные'!$E44,'Исходные данные'!$I44)</f>
        <v>1.2</v>
      </c>
      <c r="N7" s="86">
        <f>CHOOSE('Обобщенный расчет'!$N$1,'Исходные данные'!$C45,'Исходные данные'!$E45,'Исходные данные'!$I45)</f>
        <v>1.25</v>
      </c>
      <c r="O7" s="169"/>
      <c r="P7" s="169"/>
      <c r="Q7" s="86">
        <f>'Исходные данные'!$C$48</f>
        <v>1.35</v>
      </c>
      <c r="R7" s="86">
        <f>'Исходные данные'!$C$48</f>
        <v>1.35</v>
      </c>
      <c r="S7" s="86">
        <f>'Исходные данные'!$C$48</f>
        <v>1.35</v>
      </c>
      <c r="T7" s="86">
        <f>'Исходные данные'!$C$48</f>
        <v>1.35</v>
      </c>
      <c r="U7" s="86">
        <f>'Исходные данные'!$C$48</f>
        <v>1.35</v>
      </c>
      <c r="V7" s="86">
        <f>'Исходные данные'!$C$48</f>
        <v>1.35</v>
      </c>
      <c r="W7" s="86">
        <f>'Исходные данные'!$C$48</f>
        <v>1.35</v>
      </c>
      <c r="X7" s="86">
        <f>'Исходные данные'!$C$48</f>
        <v>1.35</v>
      </c>
      <c r="Y7" s="86">
        <f>'Исходные данные'!$C$48</f>
        <v>1.35</v>
      </c>
      <c r="Z7" s="86">
        <f>'Исходные данные'!$C$48</f>
        <v>1.35</v>
      </c>
      <c r="AA7" s="86">
        <f>'Исходные данные'!$C$48</f>
        <v>1.35</v>
      </c>
      <c r="AB7" s="86">
        <f>'Исходные данные'!$C$48</f>
        <v>1.35</v>
      </c>
      <c r="AC7" s="169"/>
      <c r="AD7" s="169"/>
      <c r="AE7" s="86">
        <f>'Исходные данные'!$C$49</f>
        <v>1.5</v>
      </c>
      <c r="AF7" s="86">
        <f>'Исходные данные'!$C$49</f>
        <v>1.5</v>
      </c>
      <c r="AG7" s="86">
        <f>'Исходные данные'!$C$49</f>
        <v>1.5</v>
      </c>
      <c r="AH7" s="86">
        <f>'Исходные данные'!$C$49</f>
        <v>1.5</v>
      </c>
      <c r="AI7" s="86">
        <f>'Исходные данные'!$C$49</f>
        <v>1.5</v>
      </c>
      <c r="AJ7" s="86">
        <f>'Исходные данные'!$C$49</f>
        <v>1.5</v>
      </c>
      <c r="AK7" s="86">
        <f>'Исходные данные'!$C$49</f>
        <v>1.5</v>
      </c>
      <c r="AL7" s="86">
        <f>'Исходные данные'!$C$49</f>
        <v>1.5</v>
      </c>
      <c r="AM7" s="86">
        <f>'Исходные данные'!$C$49</f>
        <v>1.5</v>
      </c>
      <c r="AN7" s="86">
        <f>'Исходные данные'!$C$49</f>
        <v>1.5</v>
      </c>
      <c r="AO7" s="86">
        <f>'Исходные данные'!$C$49</f>
        <v>1.5</v>
      </c>
      <c r="AP7" s="86">
        <f>'Исходные данные'!$C$49</f>
        <v>1.5</v>
      </c>
      <c r="AQ7" s="169"/>
      <c r="AR7" s="169"/>
      <c r="AS7" s="86"/>
      <c r="AU7" s="86"/>
    </row>
    <row r="8" spans="1:54" s="62" customFormat="1" ht="10.5" outlineLevel="1" x14ac:dyDescent="0.2">
      <c r="A8" s="87" t="s">
        <v>131</v>
      </c>
      <c r="B8" s="61"/>
      <c r="C8" s="86">
        <f>IF('Обобщенный расчет'!$N$1=1,CHOOSE(C3,'Исходные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расчет'!$N$1=2,CHOOSE(C3,'Исходные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D8" s="86">
        <f>IF('Обобщенный расчет'!$N$1=1,CHOOSE(D3,'Исходные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расчет'!$N$1=2,CHOOSE(D3,'Исходные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E8" s="86">
        <f>IF('Обобщенный расчет'!$N$1=1,CHOOSE(E3,'Исходные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расчет'!$N$1=2,CHOOSE(E3,'Исходные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F8" s="86">
        <f>IF('Обобщенный расчет'!$N$1=1,CHOOSE(F3,'Исходные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расчет'!$N$1=2,CHOOSE(F3,'Исходные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G8" s="86">
        <f>IF('Обобщенный расчет'!$N$1=1,CHOOSE(G3,'Исходные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расчет'!$N$1=2,CHOOSE(G3,'Исходные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H8" s="86">
        <f>IF('Обобщенный расчет'!$N$1=1,CHOOSE(H3,'Исходные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расчет'!$N$1=2,CHOOSE(H3,'Исходные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I8" s="86">
        <f>IF('Обобщенный расчет'!$N$1=1,CHOOSE(I3,'Исходные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расчет'!$N$1=2,CHOOSE(I3,'Исходные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J8" s="86">
        <f>IF('Обобщенный расчет'!$N$1=1,CHOOSE(J3,'Исходные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расчет'!$N$1=2,CHOOSE(J3,'Исходные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K8" s="86">
        <f>IF('Обобщенный расчет'!$N$1=1,CHOOSE(K3,'Исходные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расчет'!$N$1=2,CHOOSE(K3,'Исходные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L8" s="86">
        <f>IF('Обобщенный расчет'!$N$1=1,CHOOSE(L3,'Исходные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расчет'!$N$1=2,CHOOSE(L3,'Исходные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M8" s="86">
        <f>IF('Обобщенный расчет'!$N$1=1,CHOOSE(M3,'Исходные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расчет'!$N$1=2,CHOOSE(M3,'Исходные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N8" s="86">
        <f>IF('Обобщенный расчет'!$N$1=1,CHOOSE(N3,'Исходные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расчет'!$N$1=2,CHOOSE(N3,'Исходные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O8" s="169"/>
      <c r="P8" s="169"/>
      <c r="Q8" s="86">
        <f>IF('Обобщенный расчет'!$N$1=1,CHOOSE(Q3,'Исходные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расчет'!$N$1=2,CHOOSE(Q3,'Исходные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R8" s="86">
        <f>IF('Обобщенный расчет'!$N$1=1,CHOOSE(R3,'Исходные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расчет'!$N$1=2,CHOOSE(R3,'Исходные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S8" s="86">
        <f>IF('Обобщенный расчет'!$N$1=1,CHOOSE(S3,'Исходные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расчет'!$N$1=2,CHOOSE(S3,'Исходные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T8" s="86">
        <f>IF('Обобщенный расчет'!$N$1=1,CHOOSE(T3,'Исходные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расчет'!$N$1=2,CHOOSE(T3,'Исходные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U8" s="86">
        <f>IF('Обобщенный расчет'!$N$1=1,CHOOSE(U3,'Исходные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расчет'!$N$1=2,CHOOSE(U3,'Исходные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V8" s="86">
        <f>IF('Обобщенный расчет'!$N$1=1,CHOOSE(V3,'Исходные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расчет'!$N$1=2,CHOOSE(V3,'Исходные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W8" s="86">
        <f>IF('Обобщенный расчет'!$N$1=1,CHOOSE(W3,'Исходные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расчет'!$N$1=2,CHOOSE(W3,'Исходные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X8" s="86">
        <f>IF('Обобщенный расчет'!$N$1=1,CHOOSE(X3,'Исходные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расчет'!$N$1=2,CHOOSE(X3,'Исходные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Y8" s="86">
        <f>IF('Обобщенный расчет'!$N$1=1,CHOOSE(Y3,'Исходные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расчет'!$N$1=2,CHOOSE(Y3,'Исходные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Z8" s="86">
        <f>IF('Обобщенный расчет'!$N$1=1,CHOOSE(Z3,'Исходные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расчет'!$N$1=2,CHOOSE(Z3,'Исходные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A8" s="86">
        <f>IF('Обобщенный расчет'!$N$1=1,CHOOSE(AA3,'Исходные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расчет'!$N$1=2,CHOOSE(AA3,'Исходные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B8" s="86">
        <f>IF('Обобщенный расчет'!$N$1=1,CHOOSE(AB3,'Исходные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расчет'!$N$1=2,CHOOSE(AB3,'Исходные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C8" s="169"/>
      <c r="AD8" s="169"/>
      <c r="AE8" s="86">
        <f>IF('Обобщенный расчет'!$N$1=1,CHOOSE(AE3,'Исходные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расчет'!$N$1=2,CHOOSE(AE3,'Исходные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F8" s="86">
        <f>IF('Обобщенный расчет'!$N$1=1,CHOOSE(AF3,'Исходные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расчет'!$N$1=2,CHOOSE(AF3,'Исходные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G8" s="86">
        <f>IF('Обобщенный расчет'!$N$1=1,CHOOSE(AG3,'Исходные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расчет'!$N$1=2,CHOOSE(AG3,'Исходные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H8" s="86">
        <f>IF('Обобщенный расчет'!$N$1=1,CHOOSE(AH3,'Исходные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расчет'!$N$1=2,CHOOSE(AH3,'Исходные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I8" s="86">
        <f>IF('Обобщенный расчет'!$N$1=1,CHOOSE(AI3,'Исходные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расчет'!$N$1=2,CHOOSE(AI3,'Исходные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J8" s="86">
        <f>IF('Обобщенный расчет'!$N$1=1,CHOOSE(AJ3,'Исходные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расчет'!$N$1=2,CHOOSE(AJ3,'Исходные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K8" s="86">
        <f>IF('Обобщенный расчет'!$N$1=1,CHOOSE(AK3,'Исходные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расчет'!$N$1=2,CHOOSE(AK3,'Исходные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L8" s="86">
        <f>IF('Обобщенный расчет'!$N$1=1,CHOOSE(AL3,'Исходные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расчет'!$N$1=2,CHOOSE(AL3,'Исходные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M8" s="86">
        <f>IF('Обобщенный расчет'!$N$1=1,CHOOSE(AM3,'Исходные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расчет'!$N$1=2,CHOOSE(AM3,'Исходные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N8" s="86">
        <f>IF('Обобщенный расчет'!$N$1=1,CHOOSE(AN3,'Исходные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расчет'!$N$1=2,CHOOSE(AN3,'Исходные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O8" s="86">
        <f>IF('Обобщенный расчет'!$N$1=1,CHOOSE(AO3,'Исходные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расчет'!$N$1=2,CHOOSE(AO3,'Исходные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P8" s="86">
        <f>IF('Обобщенный расчет'!$N$1=1,CHOOSE(AP3,'Исходные данные'!$H$34,'Исходные данные'!$H$35,'Исходные данные'!$H$36,'Исходные данные'!$H$37,'Исходные данные'!$H$38,'Исходные данные'!$H$39,'Исходные данные'!$H$40,'Исходные данные'!$H$41,'Исходные данные'!$H$42,'Исходные данные'!$H$43,'Исходные данные'!$H$44,'Исходные данные'!$H$45),0)+IF('Обобщенный расчет'!$N$1=2,CHOOSE(AP3,'Исходные данные'!$J$34,'Исходные данные'!$J$35,'Исходные данные'!$J$36,'Исходные данные'!$J$37,'Исходные данные'!$J$38,'Исходные данные'!$J$39,'Исходные данные'!$J$40,'Исходные данные'!$J$41,'Исходные данные'!$J$42,'Исходные данные'!$J$43,'Исходные данные'!$J$44,'Исходные данные'!$J$45),0)</f>
        <v>1</v>
      </c>
      <c r="AQ8" s="169"/>
      <c r="AR8" s="169"/>
      <c r="AS8" s="86"/>
      <c r="AU8" s="86"/>
    </row>
    <row r="9" spans="1:54" s="62" customFormat="1" ht="10.5" outlineLevel="1" x14ac:dyDescent="0.2">
      <c r="A9" s="87" t="s">
        <v>81</v>
      </c>
      <c r="B9" s="61"/>
      <c r="C9" s="86">
        <v>1</v>
      </c>
      <c r="D9" s="86">
        <v>1</v>
      </c>
      <c r="E9" s="86">
        <v>1</v>
      </c>
      <c r="F9" s="86">
        <v>1</v>
      </c>
      <c r="G9" s="86">
        <v>1</v>
      </c>
      <c r="H9" s="86">
        <v>1</v>
      </c>
      <c r="I9" s="86">
        <v>1</v>
      </c>
      <c r="J9" s="86">
        <v>1</v>
      </c>
      <c r="K9" s="86">
        <v>1</v>
      </c>
      <c r="L9" s="86">
        <v>1</v>
      </c>
      <c r="M9" s="86">
        <v>1</v>
      </c>
      <c r="N9" s="86">
        <v>1</v>
      </c>
      <c r="O9" s="169"/>
      <c r="P9" s="169"/>
      <c r="Q9" s="86">
        <f>'Исходные данные'!$D$48</f>
        <v>1.1000000000000001</v>
      </c>
      <c r="R9" s="86">
        <f>'Исходные данные'!$D$48</f>
        <v>1.1000000000000001</v>
      </c>
      <c r="S9" s="86">
        <f>'Исходные данные'!$D$48</f>
        <v>1.1000000000000001</v>
      </c>
      <c r="T9" s="86">
        <f>'Исходные данные'!$D$48</f>
        <v>1.1000000000000001</v>
      </c>
      <c r="U9" s="86">
        <f>'Исходные данные'!$D$48</f>
        <v>1.1000000000000001</v>
      </c>
      <c r="V9" s="86">
        <f>'Исходные данные'!$D$48</f>
        <v>1.1000000000000001</v>
      </c>
      <c r="W9" s="86">
        <f>'Исходные данные'!$D$48</f>
        <v>1.1000000000000001</v>
      </c>
      <c r="X9" s="86">
        <f>'Исходные данные'!$D$48</f>
        <v>1.1000000000000001</v>
      </c>
      <c r="Y9" s="86">
        <f>'Исходные данные'!$D$48</f>
        <v>1.1000000000000001</v>
      </c>
      <c r="Z9" s="86">
        <f>'Исходные данные'!$D$48</f>
        <v>1.1000000000000001</v>
      </c>
      <c r="AA9" s="86">
        <f>'Исходные данные'!$D$48</f>
        <v>1.1000000000000001</v>
      </c>
      <c r="AB9" s="86">
        <f>'Исходные данные'!$D$48</f>
        <v>1.1000000000000001</v>
      </c>
      <c r="AC9" s="169"/>
      <c r="AD9" s="169"/>
      <c r="AE9" s="86">
        <f>'Исходные данные'!$D$49</f>
        <v>1.2</v>
      </c>
      <c r="AF9" s="86">
        <f>'Исходные данные'!$D$49</f>
        <v>1.2</v>
      </c>
      <c r="AG9" s="86">
        <f>'Исходные данные'!$D$49</f>
        <v>1.2</v>
      </c>
      <c r="AH9" s="86">
        <f>'Исходные данные'!$D$49</f>
        <v>1.2</v>
      </c>
      <c r="AI9" s="86">
        <f>'Исходные данные'!$D$49</f>
        <v>1.2</v>
      </c>
      <c r="AJ9" s="86">
        <f>'Исходные данные'!$D$49</f>
        <v>1.2</v>
      </c>
      <c r="AK9" s="86">
        <f>'Исходные данные'!$D$49</f>
        <v>1.2</v>
      </c>
      <c r="AL9" s="86">
        <f>'Исходные данные'!$D$49</f>
        <v>1.2</v>
      </c>
      <c r="AM9" s="86">
        <f>'Исходные данные'!$D$49</f>
        <v>1.2</v>
      </c>
      <c r="AN9" s="86">
        <f>'Исходные данные'!$D$49</f>
        <v>1.2</v>
      </c>
      <c r="AO9" s="86">
        <f>'Исходные данные'!$D$49</f>
        <v>1.2</v>
      </c>
      <c r="AP9" s="86">
        <f>'Исходные данные'!$D$49</f>
        <v>1.2</v>
      </c>
      <c r="AQ9" s="169"/>
      <c r="AR9" s="169"/>
      <c r="AS9" s="86"/>
      <c r="AU9" s="86"/>
    </row>
    <row r="10" spans="1:54" s="170" customFormat="1" ht="12.5" outlineLevel="1" x14ac:dyDescent="0.25">
      <c r="A10" s="62" t="s">
        <v>80</v>
      </c>
      <c r="B10" s="62"/>
      <c r="C10" s="86">
        <v>1</v>
      </c>
      <c r="D10" s="86">
        <v>1</v>
      </c>
      <c r="E10" s="86">
        <v>1</v>
      </c>
      <c r="F10" s="86">
        <v>1</v>
      </c>
      <c r="G10" s="86">
        <v>1</v>
      </c>
      <c r="H10" s="86">
        <v>1</v>
      </c>
      <c r="I10" s="86">
        <v>1</v>
      </c>
      <c r="J10" s="86">
        <v>1</v>
      </c>
      <c r="K10" s="86">
        <v>1</v>
      </c>
      <c r="L10" s="86">
        <v>1</v>
      </c>
      <c r="M10" s="86">
        <v>1</v>
      </c>
      <c r="N10" s="86">
        <v>1</v>
      </c>
      <c r="O10" s="169"/>
      <c r="P10" s="169"/>
      <c r="Q10" s="86">
        <f>'Исходные данные'!$F$48</f>
        <v>1.1000000000000001</v>
      </c>
      <c r="R10" s="86">
        <f>'Исходные данные'!$F$48</f>
        <v>1.1000000000000001</v>
      </c>
      <c r="S10" s="86">
        <f>'Исходные данные'!$F$48</f>
        <v>1.1000000000000001</v>
      </c>
      <c r="T10" s="86">
        <f>'Исходные данные'!$F$48</f>
        <v>1.1000000000000001</v>
      </c>
      <c r="U10" s="86">
        <f>'Исходные данные'!$F$48</f>
        <v>1.1000000000000001</v>
      </c>
      <c r="V10" s="86">
        <f>'Исходные данные'!$F$48</f>
        <v>1.1000000000000001</v>
      </c>
      <c r="W10" s="86">
        <f>'Исходные данные'!$F$48</f>
        <v>1.1000000000000001</v>
      </c>
      <c r="X10" s="86">
        <f>'Исходные данные'!$F$48</f>
        <v>1.1000000000000001</v>
      </c>
      <c r="Y10" s="86">
        <f>'Исходные данные'!$F$48</f>
        <v>1.1000000000000001</v>
      </c>
      <c r="Z10" s="86">
        <f>'Исходные данные'!$F$48</f>
        <v>1.1000000000000001</v>
      </c>
      <c r="AA10" s="86">
        <f>'Исходные данные'!$F$48</f>
        <v>1.1000000000000001</v>
      </c>
      <c r="AB10" s="86">
        <f>'Исходные данные'!$F$48</f>
        <v>1.1000000000000001</v>
      </c>
      <c r="AC10" s="169"/>
      <c r="AD10" s="169"/>
      <c r="AE10" s="86">
        <f>'Исходные данные'!$F$49</f>
        <v>1.1499999999999999</v>
      </c>
      <c r="AF10" s="86">
        <f>'Исходные данные'!$F$49</f>
        <v>1.1499999999999999</v>
      </c>
      <c r="AG10" s="86">
        <f>'Исходные данные'!$F$49</f>
        <v>1.1499999999999999</v>
      </c>
      <c r="AH10" s="86">
        <f>'Исходные данные'!$F$49</f>
        <v>1.1499999999999999</v>
      </c>
      <c r="AI10" s="86">
        <f>'Исходные данные'!$F$49</f>
        <v>1.1499999999999999</v>
      </c>
      <c r="AJ10" s="86">
        <f>'Исходные данные'!$F$49</f>
        <v>1.1499999999999999</v>
      </c>
      <c r="AK10" s="86">
        <f>'Исходные данные'!$F$49</f>
        <v>1.1499999999999999</v>
      </c>
      <c r="AL10" s="86">
        <f>'Исходные данные'!$F$49</f>
        <v>1.1499999999999999</v>
      </c>
      <c r="AM10" s="86">
        <f>'Исходные данные'!$F$49</f>
        <v>1.1499999999999999</v>
      </c>
      <c r="AN10" s="86">
        <f>'Исходные данные'!$F$49</f>
        <v>1.1499999999999999</v>
      </c>
      <c r="AO10" s="86">
        <f>'Исходные данные'!$F$49</f>
        <v>1.1499999999999999</v>
      </c>
      <c r="AP10" s="86">
        <f>'Исходные данные'!$F$49</f>
        <v>1.1499999999999999</v>
      </c>
      <c r="AQ10" s="169"/>
      <c r="AR10" s="169"/>
      <c r="AU10" s="86"/>
    </row>
    <row r="11" spans="1:54" s="208" customFormat="1" ht="10.5" outlineLevel="1" x14ac:dyDescent="0.2">
      <c r="A11" s="204" t="s">
        <v>116</v>
      </c>
      <c r="B11" s="205"/>
      <c r="C11" s="206">
        <v>1</v>
      </c>
      <c r="D11" s="206">
        <v>1</v>
      </c>
      <c r="E11" s="206">
        <v>1</v>
      </c>
      <c r="F11" s="206">
        <v>1</v>
      </c>
      <c r="G11" s="206">
        <v>1</v>
      </c>
      <c r="H11" s="206">
        <v>1</v>
      </c>
      <c r="I11" s="206">
        <v>1</v>
      </c>
      <c r="J11" s="206">
        <v>1</v>
      </c>
      <c r="K11" s="206">
        <v>1</v>
      </c>
      <c r="L11" s="206">
        <v>1</v>
      </c>
      <c r="M11" s="206">
        <v>1</v>
      </c>
      <c r="N11" s="206">
        <v>1</v>
      </c>
      <c r="O11" s="207"/>
      <c r="P11" s="207"/>
      <c r="Q11" s="206">
        <f>'Исходные данные'!$G$48</f>
        <v>1.05</v>
      </c>
      <c r="R11" s="206">
        <f>'Исходные данные'!$G$48</f>
        <v>1.05</v>
      </c>
      <c r="S11" s="206">
        <f>'Исходные данные'!$G$48</f>
        <v>1.05</v>
      </c>
      <c r="T11" s="206">
        <f>'Исходные данные'!$G$48</f>
        <v>1.05</v>
      </c>
      <c r="U11" s="206">
        <f>'Исходные данные'!$G$48</f>
        <v>1.05</v>
      </c>
      <c r="V11" s="206">
        <f>'Исходные данные'!$G$48</f>
        <v>1.05</v>
      </c>
      <c r="W11" s="206">
        <f>'Исходные данные'!$G$48</f>
        <v>1.05</v>
      </c>
      <c r="X11" s="206">
        <f>'Исходные данные'!$G$48</f>
        <v>1.05</v>
      </c>
      <c r="Y11" s="206">
        <f>'Исходные данные'!$G$48</f>
        <v>1.05</v>
      </c>
      <c r="Z11" s="206">
        <f>'Исходные данные'!$G$48</f>
        <v>1.05</v>
      </c>
      <c r="AA11" s="206">
        <f>'Исходные данные'!$G$48</f>
        <v>1.05</v>
      </c>
      <c r="AB11" s="206">
        <f>'Исходные данные'!$G$48</f>
        <v>1.05</v>
      </c>
      <c r="AC11" s="207"/>
      <c r="AD11" s="207"/>
      <c r="AE11" s="206">
        <f>'Исходные данные'!$G$49</f>
        <v>1.05</v>
      </c>
      <c r="AF11" s="206">
        <f>'Исходные данные'!$G$49</f>
        <v>1.05</v>
      </c>
      <c r="AG11" s="206">
        <f>'Исходные данные'!$G$49</f>
        <v>1.05</v>
      </c>
      <c r="AH11" s="206">
        <f>'Исходные данные'!$G$49</f>
        <v>1.05</v>
      </c>
      <c r="AI11" s="206">
        <f>'Исходные данные'!$G$49</f>
        <v>1.05</v>
      </c>
      <c r="AJ11" s="206">
        <f>'Исходные данные'!$G$49</f>
        <v>1.05</v>
      </c>
      <c r="AK11" s="206">
        <f>'Исходные данные'!$G$49</f>
        <v>1.05</v>
      </c>
      <c r="AL11" s="206">
        <f>'Исходные данные'!$G$49</f>
        <v>1.05</v>
      </c>
      <c r="AM11" s="206">
        <f>'Исходные данные'!$G$49</f>
        <v>1.05</v>
      </c>
      <c r="AN11" s="206">
        <f>'Исходные данные'!$G$49</f>
        <v>1.05</v>
      </c>
      <c r="AO11" s="206">
        <f>'Исходные данные'!$G$49</f>
        <v>1.05</v>
      </c>
      <c r="AP11" s="206">
        <f>'Исходные данные'!$G$49</f>
        <v>1.05</v>
      </c>
      <c r="AQ11" s="207"/>
      <c r="AR11" s="207"/>
      <c r="AS11" s="206"/>
      <c r="AV11" s="206"/>
      <c r="AX11" s="209"/>
      <c r="AY11" s="209"/>
      <c r="AZ11" s="209"/>
      <c r="BA11" s="209"/>
      <c r="BB11" s="209"/>
    </row>
    <row r="12" spans="1:54" s="210" customFormat="1" ht="12.5" outlineLevel="1" x14ac:dyDescent="0.25">
      <c r="A12" s="208" t="s">
        <v>117</v>
      </c>
      <c r="B12" s="208"/>
      <c r="C12" s="206">
        <v>1</v>
      </c>
      <c r="D12" s="206">
        <v>1</v>
      </c>
      <c r="E12" s="206">
        <v>1</v>
      </c>
      <c r="F12" s="206">
        <v>1</v>
      </c>
      <c r="G12" s="206">
        <v>1</v>
      </c>
      <c r="H12" s="206">
        <v>1</v>
      </c>
      <c r="I12" s="206">
        <v>1</v>
      </c>
      <c r="J12" s="206">
        <v>1</v>
      </c>
      <c r="K12" s="206">
        <v>1</v>
      </c>
      <c r="L12" s="206">
        <v>1</v>
      </c>
      <c r="M12" s="206">
        <v>1</v>
      </c>
      <c r="N12" s="206">
        <v>1</v>
      </c>
      <c r="O12" s="207"/>
      <c r="P12" s="207"/>
      <c r="Q12" s="206">
        <f>'Исходные данные'!$H$48</f>
        <v>1</v>
      </c>
      <c r="R12" s="206">
        <f>'Исходные данные'!$H$48</f>
        <v>1</v>
      </c>
      <c r="S12" s="206">
        <f>'Исходные данные'!$H$48</f>
        <v>1</v>
      </c>
      <c r="T12" s="206">
        <f>'Исходные данные'!$H$48</f>
        <v>1</v>
      </c>
      <c r="U12" s="206">
        <f>'Исходные данные'!$H$48</f>
        <v>1</v>
      </c>
      <c r="V12" s="206">
        <f>'Исходные данные'!$H$48</f>
        <v>1</v>
      </c>
      <c r="W12" s="206">
        <f>'Исходные данные'!$H$48</f>
        <v>1</v>
      </c>
      <c r="X12" s="206">
        <f>'Исходные данные'!$H$48</f>
        <v>1</v>
      </c>
      <c r="Y12" s="206">
        <f>'Исходные данные'!$H$48</f>
        <v>1</v>
      </c>
      <c r="Z12" s="206">
        <f>'Исходные данные'!$H$48</f>
        <v>1</v>
      </c>
      <c r="AA12" s="206">
        <f>'Исходные данные'!$H$48</f>
        <v>1</v>
      </c>
      <c r="AB12" s="206">
        <f>'Исходные данные'!$H$48</f>
        <v>1</v>
      </c>
      <c r="AC12" s="207"/>
      <c r="AD12" s="207"/>
      <c r="AE12" s="206">
        <f>'Исходные данные'!$H$49</f>
        <v>1</v>
      </c>
      <c r="AF12" s="206">
        <f>'Исходные данные'!$H$49</f>
        <v>1</v>
      </c>
      <c r="AG12" s="206">
        <f>'Исходные данные'!$H$49</f>
        <v>1</v>
      </c>
      <c r="AH12" s="206">
        <f>'Исходные данные'!$H$49</f>
        <v>1</v>
      </c>
      <c r="AI12" s="206">
        <f>'Исходные данные'!$H$49</f>
        <v>1</v>
      </c>
      <c r="AJ12" s="206">
        <f>'Исходные данные'!$H$49</f>
        <v>1</v>
      </c>
      <c r="AK12" s="206">
        <f>'Исходные данные'!$H$49</f>
        <v>1</v>
      </c>
      <c r="AL12" s="206">
        <f>'Исходные данные'!$H$49</f>
        <v>1</v>
      </c>
      <c r="AM12" s="206">
        <f>'Исходные данные'!$H$49</f>
        <v>1</v>
      </c>
      <c r="AN12" s="206">
        <f>'Исходные данные'!$H$49</f>
        <v>1</v>
      </c>
      <c r="AO12" s="206">
        <f>'Исходные данные'!$H$49</f>
        <v>1</v>
      </c>
      <c r="AP12" s="206">
        <f>'Исходные данные'!$H$49</f>
        <v>1</v>
      </c>
      <c r="AQ12" s="207"/>
      <c r="AR12" s="207"/>
      <c r="AV12" s="206"/>
      <c r="AX12" s="209"/>
      <c r="AY12" s="209"/>
      <c r="AZ12" s="209"/>
      <c r="BA12" s="209"/>
      <c r="BB12" s="209"/>
    </row>
    <row r="13" spans="1:54" s="208" customFormat="1" ht="10.5" outlineLevel="1" x14ac:dyDescent="0.2">
      <c r="A13" s="204" t="s">
        <v>118</v>
      </c>
      <c r="B13" s="205"/>
      <c r="C13" s="206">
        <v>1</v>
      </c>
      <c r="D13" s="206">
        <v>1</v>
      </c>
      <c r="E13" s="206">
        <v>1</v>
      </c>
      <c r="F13" s="206">
        <v>1</v>
      </c>
      <c r="G13" s="206">
        <v>1</v>
      </c>
      <c r="H13" s="206">
        <v>1</v>
      </c>
      <c r="I13" s="206">
        <v>1</v>
      </c>
      <c r="J13" s="206">
        <v>1</v>
      </c>
      <c r="K13" s="206">
        <v>1</v>
      </c>
      <c r="L13" s="206">
        <v>1</v>
      </c>
      <c r="M13" s="206">
        <v>1</v>
      </c>
      <c r="N13" s="206">
        <v>1</v>
      </c>
      <c r="O13" s="207"/>
      <c r="P13" s="207"/>
      <c r="Q13" s="206">
        <f>'Исходные данные'!$I$48</f>
        <v>1.1000000000000001</v>
      </c>
      <c r="R13" s="206">
        <f>'Исходные данные'!$I$48</f>
        <v>1.1000000000000001</v>
      </c>
      <c r="S13" s="206">
        <f>'Исходные данные'!$I$48</f>
        <v>1.1000000000000001</v>
      </c>
      <c r="T13" s="206">
        <f>'Исходные данные'!$I$48</f>
        <v>1.1000000000000001</v>
      </c>
      <c r="U13" s="206">
        <f>'Исходные данные'!$I$48</f>
        <v>1.1000000000000001</v>
      </c>
      <c r="V13" s="206">
        <f>'Исходные данные'!$I$48</f>
        <v>1.1000000000000001</v>
      </c>
      <c r="W13" s="206">
        <f>'Исходные данные'!$I$48</f>
        <v>1.1000000000000001</v>
      </c>
      <c r="X13" s="206">
        <f>'Исходные данные'!$I$48</f>
        <v>1.1000000000000001</v>
      </c>
      <c r="Y13" s="206">
        <f>'Исходные данные'!$I$48</f>
        <v>1.1000000000000001</v>
      </c>
      <c r="Z13" s="206">
        <f>'Исходные данные'!$I$48</f>
        <v>1.1000000000000001</v>
      </c>
      <c r="AA13" s="206">
        <f>'Исходные данные'!$I$48</f>
        <v>1.1000000000000001</v>
      </c>
      <c r="AB13" s="206">
        <f>'Исходные данные'!$I$48</f>
        <v>1.1000000000000001</v>
      </c>
      <c r="AC13" s="207"/>
      <c r="AD13" s="207"/>
      <c r="AE13" s="206">
        <f>'Исходные данные'!$I$49</f>
        <v>1.1000000000000001</v>
      </c>
      <c r="AF13" s="206">
        <f>'Исходные данные'!$I$49</f>
        <v>1.1000000000000001</v>
      </c>
      <c r="AG13" s="206">
        <f>'Исходные данные'!$I$49</f>
        <v>1.1000000000000001</v>
      </c>
      <c r="AH13" s="206">
        <f>'Исходные данные'!$I$49</f>
        <v>1.1000000000000001</v>
      </c>
      <c r="AI13" s="206">
        <f>'Исходные данные'!$I$49</f>
        <v>1.1000000000000001</v>
      </c>
      <c r="AJ13" s="206">
        <f>'Исходные данные'!$I$49</f>
        <v>1.1000000000000001</v>
      </c>
      <c r="AK13" s="206">
        <f>'Исходные данные'!$I$49</f>
        <v>1.1000000000000001</v>
      </c>
      <c r="AL13" s="206">
        <f>'Исходные данные'!$I$49</f>
        <v>1.1000000000000001</v>
      </c>
      <c r="AM13" s="206">
        <f>'Исходные данные'!$I$49</f>
        <v>1.1000000000000001</v>
      </c>
      <c r="AN13" s="206">
        <f>'Исходные данные'!$I$49</f>
        <v>1.1000000000000001</v>
      </c>
      <c r="AO13" s="206">
        <f>'Исходные данные'!$I$49</f>
        <v>1.1000000000000001</v>
      </c>
      <c r="AP13" s="206">
        <f>'Исходные данные'!$I$49</f>
        <v>1.1000000000000001</v>
      </c>
      <c r="AQ13" s="207"/>
      <c r="AR13" s="207"/>
      <c r="AS13" s="206"/>
      <c r="AX13" s="209"/>
      <c r="AY13" s="209"/>
      <c r="AZ13" s="209"/>
      <c r="BA13" s="209"/>
      <c r="BB13" s="209"/>
    </row>
    <row r="14" spans="1:54" s="13" customFormat="1" ht="10.5" outlineLevel="1" x14ac:dyDescent="0.25">
      <c r="A14" s="13" t="s">
        <v>82</v>
      </c>
      <c r="O14" s="104"/>
      <c r="P14" s="104"/>
      <c r="AC14" s="104"/>
      <c r="AD14" s="104"/>
      <c r="AQ14" s="104"/>
      <c r="AR14" s="104"/>
      <c r="AU14" s="86"/>
    </row>
    <row r="15" spans="1:54" s="13" customFormat="1" ht="13.5" customHeight="1" thickBot="1" x14ac:dyDescent="0.25">
      <c r="A15" s="68"/>
      <c r="B15" s="68"/>
      <c r="C15" s="382" t="s">
        <v>32</v>
      </c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384"/>
      <c r="Q15" s="382" t="s">
        <v>33</v>
      </c>
      <c r="R15" s="383"/>
      <c r="S15" s="383"/>
      <c r="T15" s="383"/>
      <c r="U15" s="383"/>
      <c r="V15" s="383"/>
      <c r="W15" s="383"/>
      <c r="X15" s="383"/>
      <c r="Y15" s="383"/>
      <c r="Z15" s="383"/>
      <c r="AA15" s="383"/>
      <c r="AB15" s="383"/>
      <c r="AC15" s="383"/>
      <c r="AD15" s="384"/>
      <c r="AE15" s="385" t="s">
        <v>35</v>
      </c>
      <c r="AF15" s="385"/>
      <c r="AG15" s="385"/>
      <c r="AH15" s="385"/>
      <c r="AI15" s="385"/>
      <c r="AJ15" s="385"/>
      <c r="AK15" s="385"/>
      <c r="AL15" s="385"/>
      <c r="AM15" s="385"/>
      <c r="AN15" s="385"/>
      <c r="AO15" s="385"/>
      <c r="AP15" s="385"/>
      <c r="AQ15" s="385"/>
      <c r="AR15" s="385"/>
      <c r="AS15" s="377" t="s">
        <v>42</v>
      </c>
      <c r="AU15" s="86"/>
    </row>
    <row r="16" spans="1:54" s="19" customFormat="1" ht="22" thickTop="1" thickBot="1" x14ac:dyDescent="0.25">
      <c r="A16" s="17" t="s">
        <v>7</v>
      </c>
      <c r="B16" s="18"/>
      <c r="C16" s="91" t="str">
        <f t="shared" ref="C16:N16" si="2">C$6</f>
        <v>октябрь</v>
      </c>
      <c r="D16" s="91" t="str">
        <f t="shared" si="2"/>
        <v>ноябрь</v>
      </c>
      <c r="E16" s="91" t="str">
        <f t="shared" si="2"/>
        <v>декабрь</v>
      </c>
      <c r="F16" s="91" t="str">
        <f t="shared" si="2"/>
        <v>январь</v>
      </c>
      <c r="G16" s="91" t="str">
        <f t="shared" si="2"/>
        <v>февраль</v>
      </c>
      <c r="H16" s="91" t="str">
        <f t="shared" si="2"/>
        <v>март</v>
      </c>
      <c r="I16" s="91" t="str">
        <f t="shared" si="2"/>
        <v>апрель</v>
      </c>
      <c r="J16" s="91" t="str">
        <f t="shared" si="2"/>
        <v>май</v>
      </c>
      <c r="K16" s="91" t="str">
        <f t="shared" si="2"/>
        <v>июнь</v>
      </c>
      <c r="L16" s="91" t="str">
        <f t="shared" si="2"/>
        <v>июль</v>
      </c>
      <c r="M16" s="91" t="str">
        <f t="shared" si="2"/>
        <v>август</v>
      </c>
      <c r="N16" s="91" t="str">
        <f t="shared" si="2"/>
        <v>сентябрь</v>
      </c>
      <c r="O16" s="105" t="s">
        <v>36</v>
      </c>
      <c r="P16" s="105" t="s">
        <v>37</v>
      </c>
      <c r="Q16" s="91" t="str">
        <f t="shared" ref="Q16:AB16" si="3">Q$6</f>
        <v>октябрь</v>
      </c>
      <c r="R16" s="91" t="str">
        <f t="shared" si="3"/>
        <v>ноябрь</v>
      </c>
      <c r="S16" s="91" t="str">
        <f t="shared" si="3"/>
        <v>декабрь</v>
      </c>
      <c r="T16" s="91" t="str">
        <f t="shared" si="3"/>
        <v>январь</v>
      </c>
      <c r="U16" s="91" t="str">
        <f t="shared" si="3"/>
        <v>февраль</v>
      </c>
      <c r="V16" s="91" t="str">
        <f t="shared" si="3"/>
        <v>март</v>
      </c>
      <c r="W16" s="91" t="str">
        <f t="shared" si="3"/>
        <v>апрель</v>
      </c>
      <c r="X16" s="91" t="str">
        <f t="shared" si="3"/>
        <v>май</v>
      </c>
      <c r="Y16" s="91" t="str">
        <f t="shared" si="3"/>
        <v>июнь</v>
      </c>
      <c r="Z16" s="91" t="str">
        <f t="shared" si="3"/>
        <v>июль</v>
      </c>
      <c r="AA16" s="91" t="str">
        <f t="shared" si="3"/>
        <v>август</v>
      </c>
      <c r="AB16" s="91" t="str">
        <f t="shared" si="3"/>
        <v>сентябрь</v>
      </c>
      <c r="AC16" s="105" t="s">
        <v>39</v>
      </c>
      <c r="AD16" s="105" t="s">
        <v>38</v>
      </c>
      <c r="AE16" s="91" t="str">
        <f t="shared" ref="AE16:AP16" si="4">AE$6</f>
        <v>октябрь</v>
      </c>
      <c r="AF16" s="91" t="str">
        <f t="shared" si="4"/>
        <v>ноябрь</v>
      </c>
      <c r="AG16" s="91" t="str">
        <f t="shared" si="4"/>
        <v>декабрь</v>
      </c>
      <c r="AH16" s="91" t="str">
        <f t="shared" si="4"/>
        <v>январь</v>
      </c>
      <c r="AI16" s="91" t="str">
        <f t="shared" si="4"/>
        <v>февраль</v>
      </c>
      <c r="AJ16" s="91" t="str">
        <f t="shared" si="4"/>
        <v>март</v>
      </c>
      <c r="AK16" s="91" t="str">
        <f t="shared" si="4"/>
        <v>апрель</v>
      </c>
      <c r="AL16" s="91" t="str">
        <f t="shared" si="4"/>
        <v>май</v>
      </c>
      <c r="AM16" s="91" t="str">
        <f t="shared" si="4"/>
        <v>июнь</v>
      </c>
      <c r="AN16" s="91" t="str">
        <f t="shared" si="4"/>
        <v>июль</v>
      </c>
      <c r="AO16" s="91" t="str">
        <f t="shared" si="4"/>
        <v>август</v>
      </c>
      <c r="AP16" s="91" t="str">
        <f t="shared" si="4"/>
        <v>сентябрь</v>
      </c>
      <c r="AQ16" s="105" t="s">
        <v>40</v>
      </c>
      <c r="AR16" s="105" t="s">
        <v>41</v>
      </c>
      <c r="AS16" s="378"/>
      <c r="AU16" s="86"/>
    </row>
    <row r="17" spans="1:48" s="34" customFormat="1" ht="11" thickTop="1" x14ac:dyDescent="0.2">
      <c r="A17" s="180" t="str">
        <f>'Исходные данные'!A17</f>
        <v>Микрокапсульное наращивание волос</v>
      </c>
      <c r="B17" s="20" t="str">
        <f>CHOOSE('Исходные данные'!$O$2,'Исходные данные'!$P$2,'Исходные данные'!$P$3,'Исходные данные'!$P$4,'Исходные данные'!$P$5)</f>
        <v>UAH</v>
      </c>
      <c r="C17" s="32">
        <f>C$7*C$8*'Обобщенный расчет'!$A$8*'Обобщенный расчет'!$C$8*30*CHOOSE('Обобщенный расчет'!$N$1,'Исходные данные'!$C$17,'Исходные данные'!$G$17)</f>
        <v>70794</v>
      </c>
      <c r="D17" s="32">
        <f>D$7*D$8*'Обобщенный расчет'!$A$8*'Обобщенный расчет'!$C$8*30*CHOOSE('Обобщенный расчет'!$N$1,'Исходные данные'!$C$17,'Исходные данные'!$G$17)</f>
        <v>82592.999999999985</v>
      </c>
      <c r="E17" s="32">
        <f>E$7*E$8*'Обобщенный расчет'!$A$8*'Обобщенный расчет'!$C$8*30*CHOOSE('Обобщенный расчет'!$N$1,'Исходные данные'!$C$17,'Исходные данные'!$G$17)</f>
        <v>94392</v>
      </c>
      <c r="F17" s="32">
        <f>F$7*F$8*'Обобщенный расчет'!$A$8*'Обобщенный расчет'!$C$8*30*CHOOSE('Обобщенный расчет'!$N$1,'Исходные данные'!$C$17,'Исходные данные'!$G$17)</f>
        <v>106191</v>
      </c>
      <c r="G17" s="32">
        <f>G$7*G$8*'Обобщенный расчет'!$A$8*'Обобщенный расчет'!$C$8*30*CHOOSE('Обобщенный расчет'!$N$1,'Исходные данные'!$C$17,'Исходные данные'!$G$17)</f>
        <v>117990</v>
      </c>
      <c r="H17" s="32">
        <f>H$7*H$8*'Обобщенный расчет'!$A$8*'Обобщенный расчет'!$C$8*30*CHOOSE('Обобщенный расчет'!$N$1,'Исходные данные'!$C$17,'Исходные данные'!$G$17)</f>
        <v>117990</v>
      </c>
      <c r="I17" s="32">
        <f>I$7*I$8*'Обобщенный расчет'!$A$8*'Обобщенный расчет'!$C$8*30*CHOOSE('Обобщенный расчет'!$N$1,'Исходные данные'!$C$17,'Исходные данные'!$G$17)</f>
        <v>123889.5</v>
      </c>
      <c r="J17" s="32">
        <f>J$7*J$8*'Обобщенный расчет'!$A$8*'Обобщенный расчет'!$C$8*30*CHOOSE('Обобщенный расчет'!$N$1,'Исходные данные'!$C$17,'Исходные данные'!$G$17)</f>
        <v>129789.00000000003</v>
      </c>
      <c r="K17" s="32">
        <f>K$7*K$8*'Обобщенный расчет'!$A$8*'Обобщенный расчет'!$C$8*30*CHOOSE('Обобщенный расчет'!$N$1,'Исходные данные'!$C$17,'Исходные данные'!$G$17)</f>
        <v>129789.00000000003</v>
      </c>
      <c r="L17" s="32">
        <f>L$7*L$8*'Обобщенный расчет'!$A$8*'Обобщенный расчет'!$C$8*30*CHOOSE('Обобщенный расчет'!$N$1,'Исходные данные'!$C$17,'Исходные данные'!$G$17)</f>
        <v>135688.49999999997</v>
      </c>
      <c r="M17" s="32">
        <f>M$7*M$8*'Обобщенный расчет'!$A$8*'Обобщенный расчет'!$C$8*30*CHOOSE('Обобщенный расчет'!$N$1,'Исходные данные'!$C$17,'Исходные данные'!$G$17)</f>
        <v>141588</v>
      </c>
      <c r="N17" s="32">
        <f>N$7*N$8*'Обобщенный расчет'!$A$8*'Обобщенный расчет'!$C$8*30*CHOOSE('Обобщенный расчет'!$N$1,'Исходные данные'!$C$17,'Исходные данные'!$G$17)</f>
        <v>147487.5</v>
      </c>
      <c r="O17" s="106">
        <f t="shared" ref="O17:O22" si="5">SUM(C17:N17)</f>
        <v>1398181.5</v>
      </c>
      <c r="P17" s="106">
        <f t="shared" ref="P17:P28" si="6">O17/12</f>
        <v>116515.125</v>
      </c>
      <c r="Q17" s="32">
        <f>Q$7*Q$8*'Обобщенный расчет'!$A$8*'Обобщенный расчет'!$C$8*30*CHOOSE('Обобщенный расчет'!$N$1,'Исходные данные'!$C$17,'Исходные данные'!$G$17)</f>
        <v>159286.50000000003</v>
      </c>
      <c r="R17" s="32">
        <f>R$7*R$8*'Обобщенный расчет'!$A$8*'Обобщенный расчет'!$C$8*30*CHOOSE('Обобщенный расчет'!$N$1,'Исходные данные'!$C$17,'Исходные данные'!$G$17)</f>
        <v>159286.50000000003</v>
      </c>
      <c r="S17" s="32">
        <f>S$7*S$8*'Обобщенный расчет'!$A$8*'Обобщенный расчет'!$C$8*30*CHOOSE('Обобщенный расчет'!$N$1,'Исходные данные'!$C$17,'Исходные данные'!$G$17)</f>
        <v>159286.50000000003</v>
      </c>
      <c r="T17" s="32">
        <f>T$7*T$8*'Обобщенный расчет'!$A$8*'Обобщенный расчет'!$C$8*30*CHOOSE('Обобщенный расчет'!$N$1,'Исходные данные'!$C$17,'Исходные данные'!$G$17)</f>
        <v>159286.50000000003</v>
      </c>
      <c r="U17" s="32">
        <f>U$7*U$8*'Обобщенный расчет'!$A$8*'Обобщенный расчет'!$C$8*30*CHOOSE('Обобщенный расчет'!$N$1,'Исходные данные'!$C$17,'Исходные данные'!$G$17)</f>
        <v>159286.50000000003</v>
      </c>
      <c r="V17" s="32">
        <f>V$7*V$8*'Обобщенный расчет'!$A$8*'Обобщенный расчет'!$C$8*30*CHOOSE('Обобщенный расчет'!$N$1,'Исходные данные'!$C$17,'Исходные данные'!$G$17)</f>
        <v>159286.50000000003</v>
      </c>
      <c r="W17" s="32">
        <f>W$7*W$8*'Обобщенный расчет'!$A$8*'Обобщенный расчет'!$C$8*30*CHOOSE('Обобщенный расчет'!$N$1,'Исходные данные'!$C$17,'Исходные данные'!$G$17)</f>
        <v>159286.50000000003</v>
      </c>
      <c r="X17" s="32">
        <f>X$7*X$8*'Обобщенный расчет'!$A$8*'Обобщенный расчет'!$C$8*30*CHOOSE('Обобщенный расчет'!$N$1,'Исходные данные'!$C$17,'Исходные данные'!$G$17)</f>
        <v>159286.50000000003</v>
      </c>
      <c r="Y17" s="32">
        <f>Y$7*Y$8*'Обобщенный расчет'!$A$8*'Обобщенный расчет'!$C$8*30*CHOOSE('Обобщенный расчет'!$N$1,'Исходные данные'!$C$17,'Исходные данные'!$G$17)</f>
        <v>159286.50000000003</v>
      </c>
      <c r="Z17" s="32">
        <f>Z$7*Z$8*'Обобщенный расчет'!$A$8*'Обобщенный расчет'!$C$8*30*CHOOSE('Обобщенный расчет'!$N$1,'Исходные данные'!$C$17,'Исходные данные'!$G$17)</f>
        <v>159286.50000000003</v>
      </c>
      <c r="AA17" s="32">
        <f>AA$7*AA$8*'Обобщенный расчет'!$A$8*'Обобщенный расчет'!$C$8*30*CHOOSE('Обобщенный расчет'!$N$1,'Исходные данные'!$C$17,'Исходные данные'!$G$17)</f>
        <v>159286.50000000003</v>
      </c>
      <c r="AB17" s="32">
        <f>AB$7*AB$8*'Обобщенный расчет'!$A$8*'Обобщенный расчет'!$C$8*30*CHOOSE('Обобщенный расчет'!$N$1,'Исходные данные'!$C$17,'Исходные данные'!$G$17)</f>
        <v>159286.50000000003</v>
      </c>
      <c r="AC17" s="106">
        <f t="shared" ref="AC17:AC22" si="7">SUM(Q17:AB17)</f>
        <v>1911438.0000000002</v>
      </c>
      <c r="AD17" s="106">
        <f t="shared" ref="AD17:AD28" si="8">AC17/12</f>
        <v>159286.50000000003</v>
      </c>
      <c r="AE17" s="32">
        <f>AE$7*AE$8*'Обобщенный расчет'!$A$8*'Обобщенный расчет'!$C$8*30*CHOOSE('Обобщенный расчет'!$N$1,'Исходные данные'!$C$17,'Исходные данные'!$G$17)</f>
        <v>176985</v>
      </c>
      <c r="AF17" s="32">
        <f>AF$7*AF$8*'Обобщенный расчет'!$A$8*'Обобщенный расчет'!$C$8*30*CHOOSE('Обобщенный расчет'!$N$1,'Исходные данные'!$C$17,'Исходные данные'!$G$17)</f>
        <v>176985</v>
      </c>
      <c r="AG17" s="32">
        <f>AG$7*AG$8*'Обобщенный расчет'!$A$8*'Обобщенный расчет'!$C$8*30*CHOOSE('Обобщенный расчет'!$N$1,'Исходные данные'!$C$17,'Исходные данные'!$G$17)</f>
        <v>176985</v>
      </c>
      <c r="AH17" s="32">
        <f>AH$7*AH$8*'Обобщенный расчет'!$A$8*'Обобщенный расчет'!$C$8*30*CHOOSE('Обобщенный расчет'!$N$1,'Исходные данные'!$C$17,'Исходные данные'!$G$17)</f>
        <v>176985</v>
      </c>
      <c r="AI17" s="32">
        <f>AI$7*AI$8*'Обобщенный расчет'!$A$8*'Обобщенный расчет'!$C$8*30*CHOOSE('Обобщенный расчет'!$N$1,'Исходные данные'!$C$17,'Исходные данные'!$G$17)</f>
        <v>176985</v>
      </c>
      <c r="AJ17" s="32">
        <f>AJ$7*AJ$8*'Обобщенный расчет'!$A$8*'Обобщенный расчет'!$C$8*30*CHOOSE('Обобщенный расчет'!$N$1,'Исходные данные'!$C$17,'Исходные данные'!$G$17)</f>
        <v>176985</v>
      </c>
      <c r="AK17" s="32">
        <f>AK$7*AK$8*'Обобщенный расчет'!$A$8*'Обобщенный расчет'!$C$8*30*CHOOSE('Обобщенный расчет'!$N$1,'Исходные данные'!$C$17,'Исходные данные'!$G$17)</f>
        <v>176985</v>
      </c>
      <c r="AL17" s="32">
        <f>AL$7*AL$8*'Обобщенный расчет'!$A$8*'Обобщенный расчет'!$C$8*30*CHOOSE('Обобщенный расчет'!$N$1,'Исходные данные'!$C$17,'Исходные данные'!$G$17)</f>
        <v>176985</v>
      </c>
      <c r="AM17" s="32">
        <f>AM$7*AM$8*'Обобщенный расчет'!$A$8*'Обобщенный расчет'!$C$8*30*CHOOSE('Обобщенный расчет'!$N$1,'Исходные данные'!$C$17,'Исходные данные'!$G$17)</f>
        <v>176985</v>
      </c>
      <c r="AN17" s="32">
        <f>AN$7*AN$8*'Обобщенный расчет'!$A$8*'Обобщенный расчет'!$C$8*30*CHOOSE('Обобщенный расчет'!$N$1,'Исходные данные'!$C$17,'Исходные данные'!$G$17)</f>
        <v>176985</v>
      </c>
      <c r="AO17" s="32">
        <f>AO$7*AO$8*'Обобщенный расчет'!$A$8*'Обобщенный расчет'!$C$8*30*CHOOSE('Обобщенный расчет'!$N$1,'Исходные данные'!$C$17,'Исходные данные'!$G$17)</f>
        <v>176985</v>
      </c>
      <c r="AP17" s="32">
        <f>AP$7*AP$8*'Обобщенный расчет'!$A$8*'Обобщенный расчет'!$C$8*30*CHOOSE('Обобщенный расчет'!$N$1,'Исходные данные'!$C$17,'Исходные данные'!$G$17)</f>
        <v>176985</v>
      </c>
      <c r="AQ17" s="106">
        <f t="shared" ref="AQ17:AQ22" si="9">SUM(AE17:AP17)</f>
        <v>2123820</v>
      </c>
      <c r="AR17" s="106">
        <f t="shared" ref="AR17:AR28" si="10">AQ17/12</f>
        <v>176985</v>
      </c>
      <c r="AS17" s="113">
        <f t="shared" ref="AS17:AS22" si="11">O17+AC17+AQ17</f>
        <v>5433439.5</v>
      </c>
      <c r="AT17" s="33"/>
      <c r="AU17" s="86"/>
    </row>
    <row r="18" spans="1:48" s="37" customFormat="1" ht="10.5" x14ac:dyDescent="0.2">
      <c r="A18" s="181" t="str">
        <f>'Исходные данные'!A18</f>
        <v>Реконструкция волос HAHONICO, JOICO</v>
      </c>
      <c r="B18" s="23" t="str">
        <f>CHOOSE('Исходные данные'!$O$2,'Исходные данные'!$P$2,'Исходные данные'!$P$3,'Исходные данные'!$P$4,'Исходные данные'!$P$5)</f>
        <v>UAH</v>
      </c>
      <c r="C18" s="35">
        <f>C$7*C$8*'Обобщенный расчет'!$A$8*'Обобщенный расчет'!$C$8*30*CHOOSE('Обобщенный расчет'!$N$1,'Исходные данные'!$C$18,'Исходные данные'!$G$18)</f>
        <v>7452</v>
      </c>
      <c r="D18" s="35">
        <f>D$7*D$8*'Обобщенный расчет'!$A$8*'Обобщенный расчет'!$C$8*30*CHOOSE('Обобщенный расчет'!$N$1,'Исходные данные'!$C$18,'Исходные данные'!$G$18)</f>
        <v>8693.9999999999982</v>
      </c>
      <c r="E18" s="35">
        <f>E$7*E$8*'Обобщенный расчет'!$A$8*'Обобщенный расчет'!$C$8*30*CHOOSE('Обобщенный расчет'!$N$1,'Исходные данные'!$C$18,'Исходные данные'!$G$18)</f>
        <v>9936</v>
      </c>
      <c r="F18" s="35">
        <f>F$7*F$8*'Обобщенный расчет'!$A$8*'Обобщенный расчет'!$C$8*30*CHOOSE('Обобщенный расчет'!$N$1,'Исходные данные'!$C$18,'Исходные данные'!$G$18)</f>
        <v>11178</v>
      </c>
      <c r="G18" s="35">
        <f>G$7*G$8*'Обобщенный расчет'!$A$8*'Обобщенный расчет'!$C$8*30*CHOOSE('Обобщенный расчет'!$N$1,'Исходные данные'!$C$18,'Исходные данные'!$G$18)</f>
        <v>12420</v>
      </c>
      <c r="H18" s="35">
        <f>H$7*H$8*'Обобщенный расчет'!$A$8*'Обобщенный расчет'!$C$8*30*CHOOSE('Обобщенный расчет'!$N$1,'Исходные данные'!$C$18,'Исходные данные'!$G$18)</f>
        <v>12420</v>
      </c>
      <c r="I18" s="35">
        <f>I$7*I$8*'Обобщенный расчет'!$A$8*'Обобщенный расчет'!$C$8*30*CHOOSE('Обобщенный расчет'!$N$1,'Исходные данные'!$C$18,'Исходные данные'!$G$18)</f>
        <v>13041</v>
      </c>
      <c r="J18" s="35">
        <f>J$7*J$8*'Обобщенный расчет'!$A$8*'Обобщенный расчет'!$C$8*30*CHOOSE('Обобщенный расчет'!$N$1,'Исходные данные'!$C$18,'Исходные данные'!$G$18)</f>
        <v>13662.000000000002</v>
      </c>
      <c r="K18" s="35">
        <f>K$7*K$8*'Обобщенный расчет'!$A$8*'Обобщенный расчет'!$C$8*30*CHOOSE('Обобщенный расчет'!$N$1,'Исходные данные'!$C$18,'Исходные данные'!$G$18)</f>
        <v>13662.000000000002</v>
      </c>
      <c r="L18" s="35">
        <f>L$7*L$8*'Обобщенный расчет'!$A$8*'Обобщенный расчет'!$C$8*30*CHOOSE('Обобщенный расчет'!$N$1,'Исходные данные'!$C$18,'Исходные данные'!$G$18)</f>
        <v>14282.999999999998</v>
      </c>
      <c r="M18" s="35">
        <f>M$7*M$8*'Обобщенный расчет'!$A$8*'Обобщенный расчет'!$C$8*30*CHOOSE('Обобщенный расчет'!$N$1,'Исходные данные'!$C$18,'Исходные данные'!$G$18)</f>
        <v>14904</v>
      </c>
      <c r="N18" s="35">
        <f>N$7*N$8*'Обобщенный расчет'!$A$8*'Обобщенный расчет'!$C$8*30*CHOOSE('Обобщенный расчет'!$N$1,'Исходные данные'!$C$18,'Исходные данные'!$G$18)</f>
        <v>15525</v>
      </c>
      <c r="O18" s="51">
        <f t="shared" si="5"/>
        <v>147177</v>
      </c>
      <c r="P18" s="51">
        <f t="shared" si="6"/>
        <v>12264.75</v>
      </c>
      <c r="Q18" s="35">
        <f>Q$7*Q$8*'Обобщенный расчет'!$A$8*'Обобщенный расчет'!$C$8*30*CHOOSE('Обобщенный расчет'!$N$1,'Исходные данные'!$C$18,'Исходные данные'!$G$18)</f>
        <v>16767.000000000004</v>
      </c>
      <c r="R18" s="35">
        <f>R$7*R$8*'Обобщенный расчет'!$A$8*'Обобщенный расчет'!$C$8*30*CHOOSE('Обобщенный расчет'!$N$1,'Исходные данные'!$C$18,'Исходные данные'!$G$18)</f>
        <v>16767.000000000004</v>
      </c>
      <c r="S18" s="35">
        <f>S$7*S$8*'Обобщенный расчет'!$A$8*'Обобщенный расчет'!$C$8*30*CHOOSE('Обобщенный расчет'!$N$1,'Исходные данные'!$C$18,'Исходные данные'!$G$18)</f>
        <v>16767.000000000004</v>
      </c>
      <c r="T18" s="35">
        <f>T$7*T$8*'Обобщенный расчет'!$A$8*'Обобщенный расчет'!$C$8*30*CHOOSE('Обобщенный расчет'!$N$1,'Исходные данные'!$C$18,'Исходные данные'!$G$18)</f>
        <v>16767.000000000004</v>
      </c>
      <c r="U18" s="35">
        <f>U$7*U$8*'Обобщенный расчет'!$A$8*'Обобщенный расчет'!$C$8*30*CHOOSE('Обобщенный расчет'!$N$1,'Исходные данные'!$C$18,'Исходные данные'!$G$18)</f>
        <v>16767.000000000004</v>
      </c>
      <c r="V18" s="35">
        <f>V$7*V$8*'Обобщенный расчет'!$A$8*'Обобщенный расчет'!$C$8*30*CHOOSE('Обобщенный расчет'!$N$1,'Исходные данные'!$C$18,'Исходные данные'!$G$18)</f>
        <v>16767.000000000004</v>
      </c>
      <c r="W18" s="35">
        <f>W$7*W$8*'Обобщенный расчет'!$A$8*'Обобщенный расчет'!$C$8*30*CHOOSE('Обобщенный расчет'!$N$1,'Исходные данные'!$C$18,'Исходные данные'!$G$18)</f>
        <v>16767.000000000004</v>
      </c>
      <c r="X18" s="35">
        <f>X$7*X$8*'Обобщенный расчет'!$A$8*'Обобщенный расчет'!$C$8*30*CHOOSE('Обобщенный расчет'!$N$1,'Исходные данные'!$C$18,'Исходные данные'!$G$18)</f>
        <v>16767.000000000004</v>
      </c>
      <c r="Y18" s="35">
        <f>Y$7*Y$8*'Обобщенный расчет'!$A$8*'Обобщенный расчет'!$C$8*30*CHOOSE('Обобщенный расчет'!$N$1,'Исходные данные'!$C$18,'Исходные данные'!$G$18)</f>
        <v>16767.000000000004</v>
      </c>
      <c r="Z18" s="35">
        <f>Z$7*Z$8*'Обобщенный расчет'!$A$8*'Обобщенный расчет'!$C$8*30*CHOOSE('Обобщенный расчет'!$N$1,'Исходные данные'!$C$18,'Исходные данные'!$G$18)</f>
        <v>16767.000000000004</v>
      </c>
      <c r="AA18" s="35">
        <f>AA$7*AA$8*'Обобщенный расчет'!$A$8*'Обобщенный расчет'!$C$8*30*CHOOSE('Обобщенный расчет'!$N$1,'Исходные данные'!$C$18,'Исходные данные'!$G$18)</f>
        <v>16767.000000000004</v>
      </c>
      <c r="AB18" s="35">
        <f>AB$7*AB$8*'Обобщенный расчет'!$A$8*'Обобщенный расчет'!$C$8*30*CHOOSE('Обобщенный расчет'!$N$1,'Исходные данные'!$C$18,'Исходные данные'!$G$18)</f>
        <v>16767.000000000004</v>
      </c>
      <c r="AC18" s="51">
        <f t="shared" si="7"/>
        <v>201204.00000000003</v>
      </c>
      <c r="AD18" s="51">
        <f t="shared" si="8"/>
        <v>16767.000000000004</v>
      </c>
      <c r="AE18" s="35">
        <f>AE$7*AE$8*'Обобщенный расчет'!$A$8*'Обобщенный расчет'!$C$8*30*CHOOSE('Обобщенный расчет'!$N$1,'Исходные данные'!$C$18,'Исходные данные'!$G$18)</f>
        <v>18630</v>
      </c>
      <c r="AF18" s="35">
        <f>AF$7*AF$8*'Обобщенный расчет'!$A$8*'Обобщенный расчет'!$C$8*30*CHOOSE('Обобщенный расчет'!$N$1,'Исходные данные'!$C$18,'Исходные данные'!$G$18)</f>
        <v>18630</v>
      </c>
      <c r="AG18" s="35">
        <f>AG$7*AG$8*'Обобщенный расчет'!$A$8*'Обобщенный расчет'!$C$8*30*CHOOSE('Обобщенный расчет'!$N$1,'Исходные данные'!$C$18,'Исходные данные'!$G$18)</f>
        <v>18630</v>
      </c>
      <c r="AH18" s="35">
        <f>AH$7*AH$8*'Обобщенный расчет'!$A$8*'Обобщенный расчет'!$C$8*30*CHOOSE('Обобщенный расчет'!$N$1,'Исходные данные'!$C$18,'Исходные данные'!$G$18)</f>
        <v>18630</v>
      </c>
      <c r="AI18" s="35">
        <f>AI$7*AI$8*'Обобщенный расчет'!$A$8*'Обобщенный расчет'!$C$8*30*CHOOSE('Обобщенный расчет'!$N$1,'Исходные данные'!$C$18,'Исходные данные'!$G$18)</f>
        <v>18630</v>
      </c>
      <c r="AJ18" s="35">
        <f>AJ$7*AJ$8*'Обобщенный расчет'!$A$8*'Обобщенный расчет'!$C$8*30*CHOOSE('Обобщенный расчет'!$N$1,'Исходные данные'!$C$18,'Исходные данные'!$G$18)</f>
        <v>18630</v>
      </c>
      <c r="AK18" s="35">
        <f>AK$7*AK$8*'Обобщенный расчет'!$A$8*'Обобщенный расчет'!$C$8*30*CHOOSE('Обобщенный расчет'!$N$1,'Исходные данные'!$C$18,'Исходные данные'!$G$18)</f>
        <v>18630</v>
      </c>
      <c r="AL18" s="35">
        <f>AL$7*AL$8*'Обобщенный расчет'!$A$8*'Обобщенный расчет'!$C$8*30*CHOOSE('Обобщенный расчет'!$N$1,'Исходные данные'!$C$18,'Исходные данные'!$G$18)</f>
        <v>18630</v>
      </c>
      <c r="AM18" s="35">
        <f>AM$7*AM$8*'Обобщенный расчет'!$A$8*'Обобщенный расчет'!$C$8*30*CHOOSE('Обобщенный расчет'!$N$1,'Исходные данные'!$C$18,'Исходные данные'!$G$18)</f>
        <v>18630</v>
      </c>
      <c r="AN18" s="35">
        <f>AN$7*AN$8*'Обобщенный расчет'!$A$8*'Обобщенный расчет'!$C$8*30*CHOOSE('Обобщенный расчет'!$N$1,'Исходные данные'!$C$18,'Исходные данные'!$G$18)</f>
        <v>18630</v>
      </c>
      <c r="AO18" s="35">
        <f>AO$7*AO$8*'Обобщенный расчет'!$A$8*'Обобщенный расчет'!$C$8*30*CHOOSE('Обобщенный расчет'!$N$1,'Исходные данные'!$C$18,'Исходные данные'!$G$18)</f>
        <v>18630</v>
      </c>
      <c r="AP18" s="35">
        <f>AP$7*AP$8*'Обобщенный расчет'!$A$8*'Обобщенный расчет'!$C$8*30*CHOOSE('Обобщенный расчет'!$N$1,'Исходные данные'!$C$18,'Исходные данные'!$G$18)</f>
        <v>18630</v>
      </c>
      <c r="AQ18" s="51">
        <f t="shared" si="9"/>
        <v>223560</v>
      </c>
      <c r="AR18" s="51">
        <f t="shared" si="10"/>
        <v>18630</v>
      </c>
      <c r="AS18" s="113">
        <f t="shared" si="11"/>
        <v>571941</v>
      </c>
      <c r="AT18" s="36"/>
      <c r="AU18" s="86"/>
      <c r="AV18" s="34"/>
    </row>
    <row r="19" spans="1:48" s="34" customFormat="1" ht="10.5" x14ac:dyDescent="0.2">
      <c r="A19" s="180" t="str">
        <f>'Исходные данные'!A19</f>
        <v>Абсолютное счастье для волос LEBEL</v>
      </c>
      <c r="B19" s="20" t="str">
        <f>CHOOSE('Исходные данные'!$O$2,'Исходные данные'!$P$2,'Исходные данные'!$P$3,'Исходные данные'!$P$4,'Исходные данные'!$P$5)</f>
        <v>UAH</v>
      </c>
      <c r="C19" s="32">
        <f>C$7*C$8*'Обобщенный расчет'!$A$8*'Обобщенный расчет'!$C$8*30*CHOOSE('Обобщенный расчет'!$N$1,'Исходные данные'!$C$19,'Исходные данные'!$G$19)</f>
        <v>22356</v>
      </c>
      <c r="D19" s="32">
        <f>D$7*D$8*'Обобщенный расчет'!$A$8*'Обобщенный расчет'!$C$8*30*CHOOSE('Обобщенный расчет'!$N$1,'Исходные данные'!$C$19,'Исходные данные'!$G$19)</f>
        <v>26081.999999999996</v>
      </c>
      <c r="E19" s="32">
        <f>E$7*E$8*'Обобщенный расчет'!$A$8*'Обобщенный расчет'!$C$8*30*CHOOSE('Обобщенный расчет'!$N$1,'Исходные данные'!$C$19,'Исходные данные'!$G$19)</f>
        <v>29808</v>
      </c>
      <c r="F19" s="32">
        <f>F$7*F$8*'Обобщенный расчет'!$A$8*'Обобщенный расчет'!$C$8*30*CHOOSE('Обобщенный расчет'!$N$1,'Исходные данные'!$C$19,'Исходные данные'!$G$19)</f>
        <v>33534</v>
      </c>
      <c r="G19" s="32">
        <f>G$7*G$8*'Обобщенный расчет'!$A$8*'Обобщенный расчет'!$C$8*30*CHOOSE('Обобщенный расчет'!$N$1,'Исходные данные'!$C$19,'Исходные данные'!$G$19)</f>
        <v>37260</v>
      </c>
      <c r="H19" s="32">
        <f>H$7*H$8*'Обобщенный расчет'!$A$8*'Обобщенный расчет'!$C$8*30*CHOOSE('Обобщенный расчет'!$N$1,'Исходные данные'!$C$19,'Исходные данные'!$G$19)</f>
        <v>37260</v>
      </c>
      <c r="I19" s="32">
        <f>I$7*I$8*'Обобщенный расчет'!$A$8*'Обобщенный расчет'!$C$8*30*CHOOSE('Обобщенный расчет'!$N$1,'Исходные данные'!$C$19,'Исходные данные'!$G$19)</f>
        <v>39123</v>
      </c>
      <c r="J19" s="32">
        <f>J$7*J$8*'Обобщенный расчет'!$A$8*'Обобщенный расчет'!$C$8*30*CHOOSE('Обобщенный расчет'!$N$1,'Исходные данные'!$C$19,'Исходные данные'!$G$19)</f>
        <v>40986.000000000007</v>
      </c>
      <c r="K19" s="32">
        <f>K$7*K$8*'Обобщенный расчет'!$A$8*'Обобщенный расчет'!$C$8*30*CHOOSE('Обобщенный расчет'!$N$1,'Исходные данные'!$C$19,'Исходные данные'!$G$19)</f>
        <v>40986.000000000007</v>
      </c>
      <c r="L19" s="32">
        <f>L$7*L$8*'Обобщенный расчет'!$A$8*'Обобщенный расчет'!$C$8*30*CHOOSE('Обобщенный расчет'!$N$1,'Исходные данные'!$C$19,'Исходные данные'!$G$19)</f>
        <v>42848.999999999993</v>
      </c>
      <c r="M19" s="32">
        <f>M$7*M$8*'Обобщенный расчет'!$A$8*'Обобщенный расчет'!$C$8*30*CHOOSE('Обобщенный расчет'!$N$1,'Исходные данные'!$C$19,'Исходные данные'!$G$19)</f>
        <v>44712</v>
      </c>
      <c r="N19" s="32">
        <f>N$7*N$8*'Обобщенный расчет'!$A$8*'Обобщенный расчет'!$C$8*30*CHOOSE('Обобщенный расчет'!$N$1,'Исходные данные'!$C$19,'Исходные данные'!$G$19)</f>
        <v>46575</v>
      </c>
      <c r="O19" s="106">
        <f t="shared" si="5"/>
        <v>441531</v>
      </c>
      <c r="P19" s="106">
        <f t="shared" si="6"/>
        <v>36794.25</v>
      </c>
      <c r="Q19" s="32">
        <f>Q$7*Q$8*'Обобщенный расчет'!$A$8*'Обобщенный расчет'!$C$8*30*CHOOSE('Обобщенный расчет'!$N$1,'Исходные данные'!$C$19,'Исходные данные'!$G$19)</f>
        <v>50301.000000000007</v>
      </c>
      <c r="R19" s="32">
        <f>R$7*R$8*'Обобщенный расчет'!$A$8*'Обобщенный расчет'!$C$8*30*CHOOSE('Обобщенный расчет'!$N$1,'Исходные данные'!$C$19,'Исходные данные'!$G$19)</f>
        <v>50301.000000000007</v>
      </c>
      <c r="S19" s="32">
        <f>S$7*S$8*'Обобщенный расчет'!$A$8*'Обобщенный расчет'!$C$8*30*CHOOSE('Обобщенный расчет'!$N$1,'Исходные данные'!$C$19,'Исходные данные'!$G$19)</f>
        <v>50301.000000000007</v>
      </c>
      <c r="T19" s="32">
        <f>T$7*T$8*'Обобщенный расчет'!$A$8*'Обобщенный расчет'!$C$8*30*CHOOSE('Обобщенный расчет'!$N$1,'Исходные данные'!$C$19,'Исходные данные'!$G$19)</f>
        <v>50301.000000000007</v>
      </c>
      <c r="U19" s="32">
        <f>U$7*U$8*'Обобщенный расчет'!$A$8*'Обобщенный расчет'!$C$8*30*CHOOSE('Обобщенный расчет'!$N$1,'Исходные данные'!$C$19,'Исходные данные'!$G$19)</f>
        <v>50301.000000000007</v>
      </c>
      <c r="V19" s="32">
        <f>V$7*V$8*'Обобщенный расчет'!$A$8*'Обобщенный расчет'!$C$8*30*CHOOSE('Обобщенный расчет'!$N$1,'Исходные данные'!$C$19,'Исходные данные'!$G$19)</f>
        <v>50301.000000000007</v>
      </c>
      <c r="W19" s="32">
        <f>W$7*W$8*'Обобщенный расчет'!$A$8*'Обобщенный расчет'!$C$8*30*CHOOSE('Обобщенный расчет'!$N$1,'Исходные данные'!$C$19,'Исходные данные'!$G$19)</f>
        <v>50301.000000000007</v>
      </c>
      <c r="X19" s="32">
        <f>X$7*X$8*'Обобщенный расчет'!$A$8*'Обобщенный расчет'!$C$8*30*CHOOSE('Обобщенный расчет'!$N$1,'Исходные данные'!$C$19,'Исходные данные'!$G$19)</f>
        <v>50301.000000000007</v>
      </c>
      <c r="Y19" s="32">
        <f>Y$7*Y$8*'Обобщенный расчет'!$A$8*'Обобщенный расчет'!$C$8*30*CHOOSE('Обобщенный расчет'!$N$1,'Исходные данные'!$C$19,'Исходные данные'!$G$19)</f>
        <v>50301.000000000007</v>
      </c>
      <c r="Z19" s="32">
        <f>Z$7*Z$8*'Обобщенный расчет'!$A$8*'Обобщенный расчет'!$C$8*30*CHOOSE('Обобщенный расчет'!$N$1,'Исходные данные'!$C$19,'Исходные данные'!$G$19)</f>
        <v>50301.000000000007</v>
      </c>
      <c r="AA19" s="32">
        <f>AA$7*AA$8*'Обобщенный расчет'!$A$8*'Обобщенный расчет'!$C$8*30*CHOOSE('Обобщенный расчет'!$N$1,'Исходные данные'!$C$19,'Исходные данные'!$G$19)</f>
        <v>50301.000000000007</v>
      </c>
      <c r="AB19" s="32">
        <f>AB$7*AB$8*'Обобщенный расчет'!$A$8*'Обобщенный расчет'!$C$8*30*CHOOSE('Обобщенный расчет'!$N$1,'Исходные данные'!$C$19,'Исходные данные'!$G$19)</f>
        <v>50301.000000000007</v>
      </c>
      <c r="AC19" s="106">
        <f t="shared" si="7"/>
        <v>603612.00000000012</v>
      </c>
      <c r="AD19" s="106">
        <f t="shared" si="8"/>
        <v>50301.000000000007</v>
      </c>
      <c r="AE19" s="32">
        <f>AE$7*AE$8*'Обобщенный расчет'!$A$8*'Обобщенный расчет'!$C$8*30*CHOOSE('Обобщенный расчет'!$N$1,'Исходные данные'!$C$19,'Исходные данные'!$G$19)</f>
        <v>55890</v>
      </c>
      <c r="AF19" s="32">
        <f>AF$7*AF$8*'Обобщенный расчет'!$A$8*'Обобщенный расчет'!$C$8*30*CHOOSE('Обобщенный расчет'!$N$1,'Исходные данные'!$C$19,'Исходные данные'!$G$19)</f>
        <v>55890</v>
      </c>
      <c r="AG19" s="32">
        <f>AG$7*AG$8*'Обобщенный расчет'!$A$8*'Обобщенный расчет'!$C$8*30*CHOOSE('Обобщенный расчет'!$N$1,'Исходные данные'!$C$19,'Исходные данные'!$G$19)</f>
        <v>55890</v>
      </c>
      <c r="AH19" s="32">
        <f>AH$7*AH$8*'Обобщенный расчет'!$A$8*'Обобщенный расчет'!$C$8*30*CHOOSE('Обобщенный расчет'!$N$1,'Исходные данные'!$C$19,'Исходные данные'!$G$19)</f>
        <v>55890</v>
      </c>
      <c r="AI19" s="32">
        <f>AI$7*AI$8*'Обобщенный расчет'!$A$8*'Обобщенный расчет'!$C$8*30*CHOOSE('Обобщенный расчет'!$N$1,'Исходные данные'!$C$19,'Исходные данные'!$G$19)</f>
        <v>55890</v>
      </c>
      <c r="AJ19" s="32">
        <f>AJ$7*AJ$8*'Обобщенный расчет'!$A$8*'Обобщенный расчет'!$C$8*30*CHOOSE('Обобщенный расчет'!$N$1,'Исходные данные'!$C$19,'Исходные данные'!$G$19)</f>
        <v>55890</v>
      </c>
      <c r="AK19" s="32">
        <f>AK$7*AK$8*'Обобщенный расчет'!$A$8*'Обобщенный расчет'!$C$8*30*CHOOSE('Обобщенный расчет'!$N$1,'Исходные данные'!$C$19,'Исходные данные'!$G$19)</f>
        <v>55890</v>
      </c>
      <c r="AL19" s="32">
        <f>AL$7*AL$8*'Обобщенный расчет'!$A$8*'Обобщенный расчет'!$C$8*30*CHOOSE('Обобщенный расчет'!$N$1,'Исходные данные'!$C$19,'Исходные данные'!$G$19)</f>
        <v>55890</v>
      </c>
      <c r="AM19" s="32">
        <f>AM$7*AM$8*'Обобщенный расчет'!$A$8*'Обобщенный расчет'!$C$8*30*CHOOSE('Обобщенный расчет'!$N$1,'Исходные данные'!$C$19,'Исходные данные'!$G$19)</f>
        <v>55890</v>
      </c>
      <c r="AN19" s="32">
        <f>AN$7*AN$8*'Обобщенный расчет'!$A$8*'Обобщенный расчет'!$C$8*30*CHOOSE('Обобщенный расчет'!$N$1,'Исходные данные'!$C$19,'Исходные данные'!$G$19)</f>
        <v>55890</v>
      </c>
      <c r="AO19" s="32">
        <f>AO$7*AO$8*'Обобщенный расчет'!$A$8*'Обобщенный расчет'!$C$8*30*CHOOSE('Обобщенный расчет'!$N$1,'Исходные данные'!$C$19,'Исходные данные'!$G$19)</f>
        <v>55890</v>
      </c>
      <c r="AP19" s="32">
        <f>AP$7*AP$8*'Обобщенный расчет'!$A$8*'Обобщенный расчет'!$C$8*30*CHOOSE('Обобщенный расчет'!$N$1,'Исходные данные'!$C$19,'Исходные данные'!$G$19)</f>
        <v>55890</v>
      </c>
      <c r="AQ19" s="106">
        <f t="shared" si="9"/>
        <v>670680</v>
      </c>
      <c r="AR19" s="106">
        <f t="shared" si="10"/>
        <v>55890</v>
      </c>
      <c r="AS19" s="113">
        <f t="shared" si="11"/>
        <v>1715823</v>
      </c>
      <c r="AT19" s="33"/>
      <c r="AU19" s="86"/>
    </row>
    <row r="20" spans="1:48" s="37" customFormat="1" ht="10.5" x14ac:dyDescent="0.2">
      <c r="A20" s="181" t="str">
        <f>'Исходные данные'!A20</f>
        <v>Биозавивка волос MOSSA</v>
      </c>
      <c r="B20" s="23" t="str">
        <f>CHOOSE('Исходные данные'!$O$2,'Исходные данные'!$P$2,'Исходные данные'!$P$3,'Исходные данные'!$P$4,'Исходные данные'!$P$5)</f>
        <v>UAH</v>
      </c>
      <c r="C20" s="35">
        <f>C$7*C$8*'Обобщенный расчет'!$A$8*'Обобщенный расчет'!$C$8*30*CHOOSE('Обобщенный расчет'!$N$1,'Исходные данные'!$C$20,'Исходные данные'!$G$20)</f>
        <v>7452</v>
      </c>
      <c r="D20" s="35">
        <f>D$7*D$8*'Обобщенный расчет'!$A$8*'Обобщенный расчет'!$C$8*30*CHOOSE('Обобщенный расчет'!$N$1,'Исходные данные'!$C$20,'Исходные данные'!$G$20)</f>
        <v>8693.9999999999982</v>
      </c>
      <c r="E20" s="35">
        <f>E$7*E$8*'Обобщенный расчет'!$A$8*'Обобщенный расчет'!$C$8*30*CHOOSE('Обобщенный расчет'!$N$1,'Исходные данные'!$C$20,'Исходные данные'!$G$20)</f>
        <v>9936</v>
      </c>
      <c r="F20" s="35">
        <f>F$7*F$8*'Обобщенный расчет'!$A$8*'Обобщенный расчет'!$C$8*30*CHOOSE('Обобщенный расчет'!$N$1,'Исходные данные'!$C$20,'Исходные данные'!$G$20)</f>
        <v>11178</v>
      </c>
      <c r="G20" s="35">
        <f>G$7*G$8*'Обобщенный расчет'!$A$8*'Обобщенный расчет'!$C$8*30*CHOOSE('Обобщенный расчет'!$N$1,'Исходные данные'!$C$20,'Исходные данные'!$G$20)</f>
        <v>12420</v>
      </c>
      <c r="H20" s="35">
        <f>H$7*H$8*'Обобщенный расчет'!$A$8*'Обобщенный расчет'!$C$8*30*CHOOSE('Обобщенный расчет'!$N$1,'Исходные данные'!$C$20,'Исходные данные'!$G$20)</f>
        <v>12420</v>
      </c>
      <c r="I20" s="35">
        <f>I$7*I$8*'Обобщенный расчет'!$A$8*'Обобщенный расчет'!$C$8*30*CHOOSE('Обобщенный расчет'!$N$1,'Исходные данные'!$C$20,'Исходные данные'!$G$20)</f>
        <v>13041</v>
      </c>
      <c r="J20" s="35">
        <f>J$7*J$8*'Обобщенный расчет'!$A$8*'Обобщенный расчет'!$C$8*30*CHOOSE('Обобщенный расчет'!$N$1,'Исходные данные'!$C$20,'Исходные данные'!$G$20)</f>
        <v>13662.000000000002</v>
      </c>
      <c r="K20" s="35">
        <f>K$7*K$8*'Обобщенный расчет'!$A$8*'Обобщенный расчет'!$C$8*30*CHOOSE('Обобщенный расчет'!$N$1,'Исходные данные'!$C$20,'Исходные данные'!$G$20)</f>
        <v>13662.000000000002</v>
      </c>
      <c r="L20" s="35">
        <f>L$7*L$8*'Обобщенный расчет'!$A$8*'Обобщенный расчет'!$C$8*30*CHOOSE('Обобщенный расчет'!$N$1,'Исходные данные'!$C$20,'Исходные данные'!$G$20)</f>
        <v>14282.999999999998</v>
      </c>
      <c r="M20" s="35">
        <f>M$7*M$8*'Обобщенный расчет'!$A$8*'Обобщенный расчет'!$C$8*30*CHOOSE('Обобщенный расчет'!$N$1,'Исходные данные'!$C$20,'Исходные данные'!$G$20)</f>
        <v>14904</v>
      </c>
      <c r="N20" s="35">
        <f>N$7*N$8*'Обобщенный расчет'!$A$8*'Обобщенный расчет'!$C$8*30*CHOOSE('Обобщенный расчет'!$N$1,'Исходные данные'!$C$20,'Исходные данные'!$G$20)</f>
        <v>15525</v>
      </c>
      <c r="O20" s="51">
        <f t="shared" si="5"/>
        <v>147177</v>
      </c>
      <c r="P20" s="51">
        <f t="shared" si="6"/>
        <v>12264.75</v>
      </c>
      <c r="Q20" s="35">
        <f>Q$7*Q$8*'Обобщенный расчет'!$A$8*'Обобщенный расчет'!$C$8*30*CHOOSE('Обобщенный расчет'!$N$1,'Исходные данные'!$C$20,'Исходные данные'!$G$20)</f>
        <v>16767.000000000004</v>
      </c>
      <c r="R20" s="35">
        <f>R$7*R$8*'Обобщенный расчет'!$A$8*'Обобщенный расчет'!$C$8*30*CHOOSE('Обобщенный расчет'!$N$1,'Исходные данные'!$C$20,'Исходные данные'!$G$20)</f>
        <v>16767.000000000004</v>
      </c>
      <c r="S20" s="35">
        <f>S$7*S$8*'Обобщенный расчет'!$A$8*'Обобщенный расчет'!$C$8*30*CHOOSE('Обобщенный расчет'!$N$1,'Исходные данные'!$C$20,'Исходные данные'!$G$20)</f>
        <v>16767.000000000004</v>
      </c>
      <c r="T20" s="35">
        <f>T$7*T$8*'Обобщенный расчет'!$A$8*'Обобщенный расчет'!$C$8*30*CHOOSE('Обобщенный расчет'!$N$1,'Исходные данные'!$C$20,'Исходные данные'!$G$20)</f>
        <v>16767.000000000004</v>
      </c>
      <c r="U20" s="35">
        <f>U$7*U$8*'Обобщенный расчет'!$A$8*'Обобщенный расчет'!$C$8*30*CHOOSE('Обобщенный расчет'!$N$1,'Исходные данные'!$C$20,'Исходные данные'!$G$20)</f>
        <v>16767.000000000004</v>
      </c>
      <c r="V20" s="35">
        <f>V$7*V$8*'Обобщенный расчет'!$A$8*'Обобщенный расчет'!$C$8*30*CHOOSE('Обобщенный расчет'!$N$1,'Исходные данные'!$C$20,'Исходные данные'!$G$20)</f>
        <v>16767.000000000004</v>
      </c>
      <c r="W20" s="35">
        <f>W$7*W$8*'Обобщенный расчет'!$A$8*'Обобщенный расчет'!$C$8*30*CHOOSE('Обобщенный расчет'!$N$1,'Исходные данные'!$C$20,'Исходные данные'!$G$20)</f>
        <v>16767.000000000004</v>
      </c>
      <c r="X20" s="35">
        <f>X$7*X$8*'Обобщенный расчет'!$A$8*'Обобщенный расчет'!$C$8*30*CHOOSE('Обобщенный расчет'!$N$1,'Исходные данные'!$C$20,'Исходные данные'!$G$20)</f>
        <v>16767.000000000004</v>
      </c>
      <c r="Y20" s="35">
        <f>Y$7*Y$8*'Обобщенный расчет'!$A$8*'Обобщенный расчет'!$C$8*30*CHOOSE('Обобщенный расчет'!$N$1,'Исходные данные'!$C$20,'Исходные данные'!$G$20)</f>
        <v>16767.000000000004</v>
      </c>
      <c r="Z20" s="35">
        <f>Z$7*Z$8*'Обобщенный расчет'!$A$8*'Обобщенный расчет'!$C$8*30*CHOOSE('Обобщенный расчет'!$N$1,'Исходные данные'!$C$20,'Исходные данные'!$G$20)</f>
        <v>16767.000000000004</v>
      </c>
      <c r="AA20" s="35">
        <f>AA$7*AA$8*'Обобщенный расчет'!$A$8*'Обобщенный расчет'!$C$8*30*CHOOSE('Обобщенный расчет'!$N$1,'Исходные данные'!$C$20,'Исходные данные'!$G$20)</f>
        <v>16767.000000000004</v>
      </c>
      <c r="AB20" s="35">
        <f>AB$7*AB$8*'Обобщенный расчет'!$A$8*'Обобщенный расчет'!$C$8*30*CHOOSE('Обобщенный расчет'!$N$1,'Исходные данные'!$C$20,'Исходные данные'!$G$20)</f>
        <v>16767.000000000004</v>
      </c>
      <c r="AC20" s="51">
        <f t="shared" si="7"/>
        <v>201204.00000000003</v>
      </c>
      <c r="AD20" s="51">
        <f t="shared" si="8"/>
        <v>16767.000000000004</v>
      </c>
      <c r="AE20" s="35">
        <f>AE$7*AE$8*'Обобщенный расчет'!$A$8*'Обобщенный расчет'!$C$8*30*CHOOSE('Обобщенный расчет'!$N$1,'Исходные данные'!$C$20,'Исходные данные'!$G$20)</f>
        <v>18630</v>
      </c>
      <c r="AF20" s="35">
        <f>AF$7*AF$8*'Обобщенный расчет'!$A$8*'Обобщенный расчет'!$C$8*30*CHOOSE('Обобщенный расчет'!$N$1,'Исходные данные'!$C$20,'Исходные данные'!$G$20)</f>
        <v>18630</v>
      </c>
      <c r="AG20" s="35">
        <f>AG$7*AG$8*'Обобщенный расчет'!$A$8*'Обобщенный расчет'!$C$8*30*CHOOSE('Обобщенный расчет'!$N$1,'Исходные данные'!$C$20,'Исходные данные'!$G$20)</f>
        <v>18630</v>
      </c>
      <c r="AH20" s="35">
        <f>AH$7*AH$8*'Обобщенный расчет'!$A$8*'Обобщенный расчет'!$C$8*30*CHOOSE('Обобщенный расчет'!$N$1,'Исходные данные'!$C$20,'Исходные данные'!$G$20)</f>
        <v>18630</v>
      </c>
      <c r="AI20" s="35">
        <f>AI$7*AI$8*'Обобщенный расчет'!$A$8*'Обобщенный расчет'!$C$8*30*CHOOSE('Обобщенный расчет'!$N$1,'Исходные данные'!$C$20,'Исходные данные'!$G$20)</f>
        <v>18630</v>
      </c>
      <c r="AJ20" s="35">
        <f>AJ$7*AJ$8*'Обобщенный расчет'!$A$8*'Обобщенный расчет'!$C$8*30*CHOOSE('Обобщенный расчет'!$N$1,'Исходные данные'!$C$20,'Исходные данные'!$G$20)</f>
        <v>18630</v>
      </c>
      <c r="AK20" s="35">
        <f>AK$7*AK$8*'Обобщенный расчет'!$A$8*'Обобщенный расчет'!$C$8*30*CHOOSE('Обобщенный расчет'!$N$1,'Исходные данные'!$C$20,'Исходные данные'!$G$20)</f>
        <v>18630</v>
      </c>
      <c r="AL20" s="35">
        <f>AL$7*AL$8*'Обобщенный расчет'!$A$8*'Обобщенный расчет'!$C$8*30*CHOOSE('Обобщенный расчет'!$N$1,'Исходные данные'!$C$20,'Исходные данные'!$G$20)</f>
        <v>18630</v>
      </c>
      <c r="AM20" s="35">
        <f>AM$7*AM$8*'Обобщенный расчет'!$A$8*'Обобщенный расчет'!$C$8*30*CHOOSE('Обобщенный расчет'!$N$1,'Исходные данные'!$C$20,'Исходные данные'!$G$20)</f>
        <v>18630</v>
      </c>
      <c r="AN20" s="35">
        <f>AN$7*AN$8*'Обобщенный расчет'!$A$8*'Обобщенный расчет'!$C$8*30*CHOOSE('Обобщенный расчет'!$N$1,'Исходные данные'!$C$20,'Исходные данные'!$G$20)</f>
        <v>18630</v>
      </c>
      <c r="AO20" s="35">
        <f>AO$7*AO$8*'Обобщенный расчет'!$A$8*'Обобщенный расчет'!$C$8*30*CHOOSE('Обобщенный расчет'!$N$1,'Исходные данные'!$C$20,'Исходные данные'!$G$20)</f>
        <v>18630</v>
      </c>
      <c r="AP20" s="35">
        <f>AP$7*AP$8*'Обобщенный расчет'!$A$8*'Обобщенный расчет'!$C$8*30*CHOOSE('Обобщенный расчет'!$N$1,'Исходные данные'!$C$20,'Исходные данные'!$G$20)</f>
        <v>18630</v>
      </c>
      <c r="AQ20" s="51">
        <f t="shared" si="9"/>
        <v>223560</v>
      </c>
      <c r="AR20" s="51">
        <f t="shared" si="10"/>
        <v>18630</v>
      </c>
      <c r="AS20" s="113">
        <f t="shared" si="11"/>
        <v>571941</v>
      </c>
      <c r="AT20" s="36"/>
      <c r="AU20" s="86"/>
      <c r="AV20" s="34"/>
    </row>
    <row r="21" spans="1:48" s="34" customFormat="1" ht="10.5" x14ac:dyDescent="0.2">
      <c r="A21" s="180" t="str">
        <f>'Исходные данные'!A21</f>
        <v>Окрашивание волос BES, LEBEL</v>
      </c>
      <c r="B21" s="20" t="str">
        <f>CHOOSE('Исходные данные'!$O$2,'Исходные данные'!$P$2,'Исходные данные'!$P$3,'Исходные данные'!$P$4,'Исходные данные'!$P$5)</f>
        <v>UAH</v>
      </c>
      <c r="C21" s="32">
        <f>C$7*C$8*'Обобщенный расчет'!$A$8*'Обобщенный расчет'!$C$8*30*CHOOSE('Обобщенный расчет'!$N$1,'Исходные данные'!$C$21,'Исходные данные'!$G$21)</f>
        <v>78246</v>
      </c>
      <c r="D21" s="32">
        <f>D$7*D$8*'Обобщенный расчет'!$A$8*'Обобщенный расчет'!$C$8*30*CHOOSE('Обобщенный расчет'!$N$1,'Исходные данные'!$C$21,'Исходные данные'!$G$21)</f>
        <v>91286.999999999985</v>
      </c>
      <c r="E21" s="32">
        <f>E$7*E$8*'Обобщенный расчет'!$A$8*'Обобщенный расчет'!$C$8*30*CHOOSE('Обобщенный расчет'!$N$1,'Исходные данные'!$C$21,'Исходные данные'!$G$21)</f>
        <v>104328</v>
      </c>
      <c r="F21" s="32">
        <f>F$7*F$8*'Обобщенный расчет'!$A$8*'Обобщенный расчет'!$C$8*30*CHOOSE('Обобщенный расчет'!$N$1,'Исходные данные'!$C$21,'Исходные данные'!$G$21)</f>
        <v>117369</v>
      </c>
      <c r="G21" s="32">
        <f>G$7*G$8*'Обобщенный расчет'!$A$8*'Обобщенный расчет'!$C$8*30*CHOOSE('Обобщенный расчет'!$N$1,'Исходные данные'!$C$21,'Исходные данные'!$G$21)</f>
        <v>130410</v>
      </c>
      <c r="H21" s="32">
        <f>H$7*H$8*'Обобщенный расчет'!$A$8*'Обобщенный расчет'!$C$8*30*CHOOSE('Обобщенный расчет'!$N$1,'Исходные данные'!$C$21,'Исходные данные'!$G$21)</f>
        <v>130410</v>
      </c>
      <c r="I21" s="32">
        <f>I$7*I$8*'Обобщенный расчет'!$A$8*'Обобщенный расчет'!$C$8*30*CHOOSE('Обобщенный расчет'!$N$1,'Исходные данные'!$C$21,'Исходные данные'!$G$21)</f>
        <v>136930.5</v>
      </c>
      <c r="J21" s="32">
        <f>J$7*J$8*'Обобщенный расчет'!$A$8*'Обобщенный расчет'!$C$8*30*CHOOSE('Обобщенный расчет'!$N$1,'Исходные данные'!$C$21,'Исходные данные'!$G$21)</f>
        <v>143451.00000000003</v>
      </c>
      <c r="K21" s="32">
        <f>K$7*K$8*'Обобщенный расчет'!$A$8*'Обобщенный расчет'!$C$8*30*CHOOSE('Обобщенный расчет'!$N$1,'Исходные данные'!$C$21,'Исходные данные'!$G$21)</f>
        <v>143451.00000000003</v>
      </c>
      <c r="L21" s="32">
        <f>L$7*L$8*'Обобщенный расчет'!$A$8*'Обобщенный расчет'!$C$8*30*CHOOSE('Обобщенный расчет'!$N$1,'Исходные данные'!$C$21,'Исходные данные'!$G$21)</f>
        <v>149971.49999999997</v>
      </c>
      <c r="M21" s="32">
        <f>M$7*M$8*'Обобщенный расчет'!$A$8*'Обобщенный расчет'!$C$8*30*CHOOSE('Обобщенный расчет'!$N$1,'Исходные данные'!$C$21,'Исходные данные'!$G$21)</f>
        <v>156492</v>
      </c>
      <c r="N21" s="32">
        <f>N$7*N$8*'Обобщенный расчет'!$A$8*'Обобщенный расчет'!$C$8*30*CHOOSE('Обобщенный расчет'!$N$1,'Исходные данные'!$C$21,'Исходные данные'!$G$21)</f>
        <v>163012.5</v>
      </c>
      <c r="O21" s="106">
        <f t="shared" si="5"/>
        <v>1545358.5</v>
      </c>
      <c r="P21" s="106">
        <f t="shared" si="6"/>
        <v>128779.875</v>
      </c>
      <c r="Q21" s="32">
        <f>Q$7*Q$8*'Обобщенный расчет'!$A$8*'Обобщенный расчет'!$C$8*30*CHOOSE('Обобщенный расчет'!$N$1,'Исходные данные'!$C$21,'Исходные данные'!$G$21)</f>
        <v>176053.50000000003</v>
      </c>
      <c r="R21" s="32">
        <f>R$7*R$8*'Обобщенный расчет'!$A$8*'Обобщенный расчет'!$C$8*30*CHOOSE('Обобщенный расчет'!$N$1,'Исходные данные'!$C$21,'Исходные данные'!$G$21)</f>
        <v>176053.50000000003</v>
      </c>
      <c r="S21" s="32">
        <f>S$7*S$8*'Обобщенный расчет'!$A$8*'Обобщенный расчет'!$C$8*30*CHOOSE('Обобщенный расчет'!$N$1,'Исходные данные'!$C$21,'Исходные данные'!$G$21)</f>
        <v>176053.50000000003</v>
      </c>
      <c r="T21" s="32">
        <f>T$7*T$8*'Обобщенный расчет'!$A$8*'Обобщенный расчет'!$C$8*30*CHOOSE('Обобщенный расчет'!$N$1,'Исходные данные'!$C$21,'Исходные данные'!$G$21)</f>
        <v>176053.50000000003</v>
      </c>
      <c r="U21" s="32">
        <f>U$7*U$8*'Обобщенный расчет'!$A$8*'Обобщенный расчет'!$C$8*30*CHOOSE('Обобщенный расчет'!$N$1,'Исходные данные'!$C$21,'Исходные данные'!$G$21)</f>
        <v>176053.50000000003</v>
      </c>
      <c r="V21" s="32">
        <f>V$7*V$8*'Обобщенный расчет'!$A$8*'Обобщенный расчет'!$C$8*30*CHOOSE('Обобщенный расчет'!$N$1,'Исходные данные'!$C$21,'Исходные данные'!$G$21)</f>
        <v>176053.50000000003</v>
      </c>
      <c r="W21" s="32">
        <f>W$7*W$8*'Обобщенный расчет'!$A$8*'Обобщенный расчет'!$C$8*30*CHOOSE('Обобщенный расчет'!$N$1,'Исходные данные'!$C$21,'Исходные данные'!$G$21)</f>
        <v>176053.50000000003</v>
      </c>
      <c r="X21" s="32">
        <f>X$7*X$8*'Обобщенный расчет'!$A$8*'Обобщенный расчет'!$C$8*30*CHOOSE('Обобщенный расчет'!$N$1,'Исходные данные'!$C$21,'Исходные данные'!$G$21)</f>
        <v>176053.50000000003</v>
      </c>
      <c r="Y21" s="32">
        <f>Y$7*Y$8*'Обобщенный расчет'!$A$8*'Обобщенный расчет'!$C$8*30*CHOOSE('Обобщенный расчет'!$N$1,'Исходные данные'!$C$21,'Исходные данные'!$G$21)</f>
        <v>176053.50000000003</v>
      </c>
      <c r="Z21" s="32">
        <f>Z$7*Z$8*'Обобщенный расчет'!$A$8*'Обобщенный расчет'!$C$8*30*CHOOSE('Обобщенный расчет'!$N$1,'Исходные данные'!$C$21,'Исходные данные'!$G$21)</f>
        <v>176053.50000000003</v>
      </c>
      <c r="AA21" s="32">
        <f>AA$7*AA$8*'Обобщенный расчет'!$A$8*'Обобщенный расчет'!$C$8*30*CHOOSE('Обобщенный расчет'!$N$1,'Исходные данные'!$C$21,'Исходные данные'!$G$21)</f>
        <v>176053.50000000003</v>
      </c>
      <c r="AB21" s="32">
        <f>AB$7*AB$8*'Обобщенный расчет'!$A$8*'Обобщенный расчет'!$C$8*30*CHOOSE('Обобщенный расчет'!$N$1,'Исходные данные'!$C$21,'Исходные данные'!$G$21)</f>
        <v>176053.50000000003</v>
      </c>
      <c r="AC21" s="106">
        <f t="shared" si="7"/>
        <v>2112642.0000000005</v>
      </c>
      <c r="AD21" s="106">
        <f t="shared" si="8"/>
        <v>176053.50000000003</v>
      </c>
      <c r="AE21" s="32">
        <f>AE$7*AE$8*'Обобщенный расчет'!$A$8*'Обобщенный расчет'!$C$8*30*CHOOSE('Обобщенный расчет'!$N$1,'Исходные данные'!$C$21,'Исходные данные'!$G$21)</f>
        <v>195615</v>
      </c>
      <c r="AF21" s="32">
        <f>AF$7*AF$8*'Обобщенный расчет'!$A$8*'Обобщенный расчет'!$C$8*30*CHOOSE('Обобщенный расчет'!$N$1,'Исходные данные'!$C$21,'Исходные данные'!$G$21)</f>
        <v>195615</v>
      </c>
      <c r="AG21" s="32">
        <f>AG$7*AG$8*'Обобщенный расчет'!$A$8*'Обобщенный расчет'!$C$8*30*CHOOSE('Обобщенный расчет'!$N$1,'Исходные данные'!$C$21,'Исходные данные'!$G$21)</f>
        <v>195615</v>
      </c>
      <c r="AH21" s="32">
        <f>AH$7*AH$8*'Обобщенный расчет'!$A$8*'Обобщенный расчет'!$C$8*30*CHOOSE('Обобщенный расчет'!$N$1,'Исходные данные'!$C$21,'Исходные данные'!$G$21)</f>
        <v>195615</v>
      </c>
      <c r="AI21" s="32">
        <f>AI$7*AI$8*'Обобщенный расчет'!$A$8*'Обобщенный расчет'!$C$8*30*CHOOSE('Обобщенный расчет'!$N$1,'Исходные данные'!$C$21,'Исходные данные'!$G$21)</f>
        <v>195615</v>
      </c>
      <c r="AJ21" s="32">
        <f>AJ$7*AJ$8*'Обобщенный расчет'!$A$8*'Обобщенный расчет'!$C$8*30*CHOOSE('Обобщенный расчет'!$N$1,'Исходные данные'!$C$21,'Исходные данные'!$G$21)</f>
        <v>195615</v>
      </c>
      <c r="AK21" s="32">
        <f>AK$7*AK$8*'Обобщенный расчет'!$A$8*'Обобщенный расчет'!$C$8*30*CHOOSE('Обобщенный расчет'!$N$1,'Исходные данные'!$C$21,'Исходные данные'!$G$21)</f>
        <v>195615</v>
      </c>
      <c r="AL21" s="32">
        <f>AL$7*AL$8*'Обобщенный расчет'!$A$8*'Обобщенный расчет'!$C$8*30*CHOOSE('Обобщенный расчет'!$N$1,'Исходные данные'!$C$21,'Исходные данные'!$G$21)</f>
        <v>195615</v>
      </c>
      <c r="AM21" s="32">
        <f>AM$7*AM$8*'Обобщенный расчет'!$A$8*'Обобщенный расчет'!$C$8*30*CHOOSE('Обобщенный расчет'!$N$1,'Исходные данные'!$C$21,'Исходные данные'!$G$21)</f>
        <v>195615</v>
      </c>
      <c r="AN21" s="32">
        <f>AN$7*AN$8*'Обобщенный расчет'!$A$8*'Обобщенный расчет'!$C$8*30*CHOOSE('Обобщенный расчет'!$N$1,'Исходные данные'!$C$21,'Исходные данные'!$G$21)</f>
        <v>195615</v>
      </c>
      <c r="AO21" s="32">
        <f>AO$7*AO$8*'Обобщенный расчет'!$A$8*'Обобщенный расчет'!$C$8*30*CHOOSE('Обобщенный расчет'!$N$1,'Исходные данные'!$C$21,'Исходные данные'!$G$21)</f>
        <v>195615</v>
      </c>
      <c r="AP21" s="32">
        <f>AP$7*AP$8*'Обобщенный расчет'!$A$8*'Обобщенный расчет'!$C$8*30*CHOOSE('Обобщенный расчет'!$N$1,'Исходные данные'!$C$21,'Исходные данные'!$G$21)</f>
        <v>195615</v>
      </c>
      <c r="AQ21" s="106">
        <f t="shared" si="9"/>
        <v>2347380</v>
      </c>
      <c r="AR21" s="106">
        <f t="shared" si="10"/>
        <v>195615</v>
      </c>
      <c r="AS21" s="113">
        <f t="shared" si="11"/>
        <v>6005380.5</v>
      </c>
      <c r="AT21" s="33"/>
      <c r="AU21" s="86"/>
    </row>
    <row r="22" spans="1:48" s="37" customFormat="1" ht="10.5" x14ac:dyDescent="0.2">
      <c r="A22" s="181" t="str">
        <f>'Исходные данные'!A22</f>
        <v>Укладки</v>
      </c>
      <c r="B22" s="23" t="str">
        <f>CHOOSE('Исходные данные'!$O$2,'Исходные данные'!$P$2,'Исходные данные'!$P$3,'Исходные данные'!$P$4,'Исходные данные'!$P$5)</f>
        <v>UAH</v>
      </c>
      <c r="C22" s="35">
        <f>C$7*C$8*'Обобщенный расчет'!$A$8*'Обобщенный расчет'!$C$8*30*CHOOSE('Обобщенный расчет'!$N$1,'Исходные данные'!$C$22,'Исходные данные'!$G$22)</f>
        <v>14904</v>
      </c>
      <c r="D22" s="35">
        <f>D$7*D$8*'Обобщенный расчет'!$A$8*'Обобщенный расчет'!$C$8*30*CHOOSE('Обобщенный расчет'!$N$1,'Исходные данные'!$C$22,'Исходные данные'!$G$22)</f>
        <v>17387.999999999996</v>
      </c>
      <c r="E22" s="35">
        <f>E$7*E$8*'Обобщенный расчет'!$A$8*'Обобщенный расчет'!$C$8*30*CHOOSE('Обобщенный расчет'!$N$1,'Исходные данные'!$C$22,'Исходные данные'!$G$22)</f>
        <v>19872</v>
      </c>
      <c r="F22" s="35">
        <f>F$7*F$8*'Обобщенный расчет'!$A$8*'Обобщенный расчет'!$C$8*30*CHOOSE('Обобщенный расчет'!$N$1,'Исходные данные'!$C$22,'Исходные данные'!$G$22)</f>
        <v>22356</v>
      </c>
      <c r="G22" s="35">
        <f>G$7*G$8*'Обобщенный расчет'!$A$8*'Обобщенный расчет'!$C$8*30*CHOOSE('Обобщенный расчет'!$N$1,'Исходные данные'!$C$22,'Исходные данные'!$G$22)</f>
        <v>24840</v>
      </c>
      <c r="H22" s="35">
        <f>H$7*H$8*'Обобщенный расчет'!$A$8*'Обобщенный расчет'!$C$8*30*CHOOSE('Обобщенный расчет'!$N$1,'Исходные данные'!$C$22,'Исходные данные'!$G$22)</f>
        <v>24840</v>
      </c>
      <c r="I22" s="35">
        <f>I$7*I$8*'Обобщенный расчет'!$A$8*'Обобщенный расчет'!$C$8*30*CHOOSE('Обобщенный расчет'!$N$1,'Исходные данные'!$C$22,'Исходные данные'!$G$22)</f>
        <v>26082</v>
      </c>
      <c r="J22" s="35">
        <f>J$7*J$8*'Обобщенный расчет'!$A$8*'Обобщенный расчет'!$C$8*30*CHOOSE('Обобщенный расчет'!$N$1,'Исходные данные'!$C$22,'Исходные данные'!$G$22)</f>
        <v>27324.000000000004</v>
      </c>
      <c r="K22" s="35">
        <f>K$7*K$8*'Обобщенный расчет'!$A$8*'Обобщенный расчет'!$C$8*30*CHOOSE('Обобщенный расчет'!$N$1,'Исходные данные'!$C$22,'Исходные данные'!$G$22)</f>
        <v>27324.000000000004</v>
      </c>
      <c r="L22" s="35">
        <f>L$7*L$8*'Обобщенный расчет'!$A$8*'Обобщенный расчет'!$C$8*30*CHOOSE('Обобщенный расчет'!$N$1,'Исходные данные'!$C$22,'Исходные данные'!$G$22)</f>
        <v>28565.999999999996</v>
      </c>
      <c r="M22" s="35">
        <f>M$7*M$8*'Обобщенный расчет'!$A$8*'Обобщенный расчет'!$C$8*30*CHOOSE('Обобщенный расчет'!$N$1,'Исходные данные'!$C$22,'Исходные данные'!$G$22)</f>
        <v>29808</v>
      </c>
      <c r="N22" s="35">
        <f>N$7*N$8*'Обобщенный расчет'!$A$8*'Обобщенный расчет'!$C$8*30*CHOOSE('Обобщенный расчет'!$N$1,'Исходные данные'!$C$22,'Исходные данные'!$G$22)</f>
        <v>31050</v>
      </c>
      <c r="O22" s="51">
        <f t="shared" si="5"/>
        <v>294354</v>
      </c>
      <c r="P22" s="51">
        <f t="shared" si="6"/>
        <v>24529.5</v>
      </c>
      <c r="Q22" s="35">
        <f>Q$7*Q$8*'Обобщенный расчет'!$A$8*'Обобщенный расчет'!$C$8*30*CHOOSE('Обобщенный расчет'!$N$1,'Исходные данные'!$C$22,'Исходные данные'!$G$22)</f>
        <v>33534.000000000007</v>
      </c>
      <c r="R22" s="35">
        <f>R$7*R$8*'Обобщенный расчет'!$A$8*'Обобщенный расчет'!$C$8*30*CHOOSE('Обобщенный расчет'!$N$1,'Исходные данные'!$C$22,'Исходные данные'!$G$22)</f>
        <v>33534.000000000007</v>
      </c>
      <c r="S22" s="35">
        <f>S$7*S$8*'Обобщенный расчет'!$A$8*'Обобщенный расчет'!$C$8*30*CHOOSE('Обобщенный расчет'!$N$1,'Исходные данные'!$C$22,'Исходные данные'!$G$22)</f>
        <v>33534.000000000007</v>
      </c>
      <c r="T22" s="35">
        <f>T$7*T$8*'Обобщенный расчет'!$A$8*'Обобщенный расчет'!$C$8*30*CHOOSE('Обобщенный расчет'!$N$1,'Исходные данные'!$C$22,'Исходные данные'!$G$22)</f>
        <v>33534.000000000007</v>
      </c>
      <c r="U22" s="35">
        <f>U$7*U$8*'Обобщенный расчет'!$A$8*'Обобщенный расчет'!$C$8*30*CHOOSE('Обобщенный расчет'!$N$1,'Исходные данные'!$C$22,'Исходные данные'!$G$22)</f>
        <v>33534.000000000007</v>
      </c>
      <c r="V22" s="35">
        <f>V$7*V$8*'Обобщенный расчет'!$A$8*'Обобщенный расчет'!$C$8*30*CHOOSE('Обобщенный расчет'!$N$1,'Исходные данные'!$C$22,'Исходные данные'!$G$22)</f>
        <v>33534.000000000007</v>
      </c>
      <c r="W22" s="35">
        <f>W$7*W$8*'Обобщенный расчет'!$A$8*'Обобщенный расчет'!$C$8*30*CHOOSE('Обобщенный расчет'!$N$1,'Исходные данные'!$C$22,'Исходные данные'!$G$22)</f>
        <v>33534.000000000007</v>
      </c>
      <c r="X22" s="35">
        <f>X$7*X$8*'Обобщенный расчет'!$A$8*'Обобщенный расчет'!$C$8*30*CHOOSE('Обобщенный расчет'!$N$1,'Исходные данные'!$C$22,'Исходные данные'!$G$22)</f>
        <v>33534.000000000007</v>
      </c>
      <c r="Y22" s="35">
        <f>Y$7*Y$8*'Обобщенный расчет'!$A$8*'Обобщенный расчет'!$C$8*30*CHOOSE('Обобщенный расчет'!$N$1,'Исходные данные'!$C$22,'Исходные данные'!$G$22)</f>
        <v>33534.000000000007</v>
      </c>
      <c r="Z22" s="35">
        <f>Z$7*Z$8*'Обобщенный расчет'!$A$8*'Обобщенный расчет'!$C$8*30*CHOOSE('Обобщенный расчет'!$N$1,'Исходные данные'!$C$22,'Исходные данные'!$G$22)</f>
        <v>33534.000000000007</v>
      </c>
      <c r="AA22" s="35">
        <f>AA$7*AA$8*'Обобщенный расчет'!$A$8*'Обобщенный расчет'!$C$8*30*CHOOSE('Обобщенный расчет'!$N$1,'Исходные данные'!$C$22,'Исходные данные'!$G$22)</f>
        <v>33534.000000000007</v>
      </c>
      <c r="AB22" s="35">
        <f>AB$7*AB$8*'Обобщенный расчет'!$A$8*'Обобщенный расчет'!$C$8*30*CHOOSE('Обобщенный расчет'!$N$1,'Исходные данные'!$C$22,'Исходные данные'!$G$22)</f>
        <v>33534.000000000007</v>
      </c>
      <c r="AC22" s="51">
        <f t="shared" si="7"/>
        <v>402408.00000000006</v>
      </c>
      <c r="AD22" s="51">
        <f t="shared" si="8"/>
        <v>33534.000000000007</v>
      </c>
      <c r="AE22" s="35">
        <f>AE$7*AE$8*'Обобщенный расчет'!$A$8*'Обобщенный расчет'!$C$8*30*CHOOSE('Обобщенный расчет'!$N$1,'Исходные данные'!$C$22,'Исходные данные'!$G$22)</f>
        <v>37260</v>
      </c>
      <c r="AF22" s="35">
        <f>AF$7*AF$8*'Обобщенный расчет'!$A$8*'Обобщенный расчет'!$C$8*30*CHOOSE('Обобщенный расчет'!$N$1,'Исходные данные'!$C$22,'Исходные данные'!$G$22)</f>
        <v>37260</v>
      </c>
      <c r="AG22" s="35">
        <f>AG$7*AG$8*'Обобщенный расчет'!$A$8*'Обобщенный расчет'!$C$8*30*CHOOSE('Обобщенный расчет'!$N$1,'Исходные данные'!$C$22,'Исходные данные'!$G$22)</f>
        <v>37260</v>
      </c>
      <c r="AH22" s="35">
        <f>AH$7*AH$8*'Обобщенный расчет'!$A$8*'Обобщенный расчет'!$C$8*30*CHOOSE('Обобщенный расчет'!$N$1,'Исходные данные'!$C$22,'Исходные данные'!$G$22)</f>
        <v>37260</v>
      </c>
      <c r="AI22" s="35">
        <f>AI$7*AI$8*'Обобщенный расчет'!$A$8*'Обобщенный расчет'!$C$8*30*CHOOSE('Обобщенный расчет'!$N$1,'Исходные данные'!$C$22,'Исходные данные'!$G$22)</f>
        <v>37260</v>
      </c>
      <c r="AJ22" s="35">
        <f>AJ$7*AJ$8*'Обобщенный расчет'!$A$8*'Обобщенный расчет'!$C$8*30*CHOOSE('Обобщенный расчет'!$N$1,'Исходные данные'!$C$22,'Исходные данные'!$G$22)</f>
        <v>37260</v>
      </c>
      <c r="AK22" s="35">
        <f>AK$7*AK$8*'Обобщенный расчет'!$A$8*'Обобщенный расчет'!$C$8*30*CHOOSE('Обобщенный расчет'!$N$1,'Исходные данные'!$C$22,'Исходные данные'!$G$22)</f>
        <v>37260</v>
      </c>
      <c r="AL22" s="35">
        <f>AL$7*AL$8*'Обобщенный расчет'!$A$8*'Обобщенный расчет'!$C$8*30*CHOOSE('Обобщенный расчет'!$N$1,'Исходные данные'!$C$22,'Исходные данные'!$G$22)</f>
        <v>37260</v>
      </c>
      <c r="AM22" s="35">
        <f>AM$7*AM$8*'Обобщенный расчет'!$A$8*'Обобщенный расчет'!$C$8*30*CHOOSE('Обобщенный расчет'!$N$1,'Исходные данные'!$C$22,'Исходные данные'!$G$22)</f>
        <v>37260</v>
      </c>
      <c r="AN22" s="35">
        <f>AN$7*AN$8*'Обобщенный расчет'!$A$8*'Обобщенный расчет'!$C$8*30*CHOOSE('Обобщенный расчет'!$N$1,'Исходные данные'!$C$22,'Исходные данные'!$G$22)</f>
        <v>37260</v>
      </c>
      <c r="AO22" s="35">
        <f>AO$7*AO$8*'Обобщенный расчет'!$A$8*'Обобщенный расчет'!$C$8*30*CHOOSE('Обобщенный расчет'!$N$1,'Исходные данные'!$C$22,'Исходные данные'!$G$22)</f>
        <v>37260</v>
      </c>
      <c r="AP22" s="35">
        <f>AP$7*AP$8*'Обобщенный расчет'!$A$8*'Обобщенный расчет'!$C$8*30*CHOOSE('Обобщенный расчет'!$N$1,'Исходные данные'!$C$22,'Исходные данные'!$G$22)</f>
        <v>37260</v>
      </c>
      <c r="AQ22" s="51">
        <f t="shared" si="9"/>
        <v>447120</v>
      </c>
      <c r="AR22" s="51">
        <f t="shared" si="10"/>
        <v>37260</v>
      </c>
      <c r="AS22" s="113">
        <f t="shared" si="11"/>
        <v>1143882</v>
      </c>
      <c r="AT22" s="36"/>
      <c r="AU22" s="86"/>
      <c r="AV22" s="34"/>
    </row>
    <row r="23" spans="1:48" s="34" customFormat="1" ht="10.5" x14ac:dyDescent="0.2">
      <c r="A23" s="180" t="str">
        <f>'Исходные данные'!A23</f>
        <v>Стрижки</v>
      </c>
      <c r="B23" s="20" t="str">
        <f>CHOOSE('Исходные данные'!$O$2,'Исходные данные'!$P$2,'Исходные данные'!$P$3,'Исходные данные'!$P$4,'Исходные данные'!$P$5)</f>
        <v>UAH</v>
      </c>
      <c r="C23" s="32">
        <f>C$7*C$8*'Обобщенный расчет'!$A$8*'Обобщенный расчет'!$C$8*30*CHOOSE('Обобщенный расчет'!$N$1,'Исходные данные'!$C$23,'Исходные данные'!$G$23)</f>
        <v>29808</v>
      </c>
      <c r="D23" s="32">
        <f>D$7*D$8*'Обобщенный расчет'!$A$8*'Обобщенный расчет'!$C$8*30*CHOOSE('Обобщенный расчет'!$N$1,'Исходные данные'!$C$23,'Исходные данные'!$G$23)</f>
        <v>34775.999999999993</v>
      </c>
      <c r="E23" s="32">
        <f>E$7*E$8*'Обобщенный расчет'!$A$8*'Обобщенный расчет'!$C$8*30*CHOOSE('Обобщенный расчет'!$N$1,'Исходные данные'!$C$23,'Исходные данные'!$G$23)</f>
        <v>39744</v>
      </c>
      <c r="F23" s="32">
        <f>F$7*F$8*'Обобщенный расчет'!$A$8*'Обобщенный расчет'!$C$8*30*CHOOSE('Обобщенный расчет'!$N$1,'Исходные данные'!$C$23,'Исходные данные'!$G$23)</f>
        <v>44712</v>
      </c>
      <c r="G23" s="32">
        <f>G$7*G$8*'Обобщенный расчет'!$A$8*'Обобщенный расчет'!$C$8*30*CHOOSE('Обобщенный расчет'!$N$1,'Исходные данные'!$C$23,'Исходные данные'!$G$23)</f>
        <v>49680</v>
      </c>
      <c r="H23" s="32">
        <f>H$7*H$8*'Обобщенный расчет'!$A$8*'Обобщенный расчет'!$C$8*30*CHOOSE('Обобщенный расчет'!$N$1,'Исходные данные'!$C$23,'Исходные данные'!$G$23)</f>
        <v>49680</v>
      </c>
      <c r="I23" s="32">
        <f>I$7*I$8*'Обобщенный расчет'!$A$8*'Обобщенный расчет'!$C$8*30*CHOOSE('Обобщенный расчет'!$N$1,'Исходные данные'!$C$23,'Исходные данные'!$G$23)</f>
        <v>52164</v>
      </c>
      <c r="J23" s="32">
        <f>J$7*J$8*'Обобщенный расчет'!$A$8*'Обобщенный расчет'!$C$8*30*CHOOSE('Обобщенный расчет'!$N$1,'Исходные данные'!$C$23,'Исходные данные'!$G$23)</f>
        <v>54648.000000000007</v>
      </c>
      <c r="K23" s="32">
        <f>K$7*K$8*'Обобщенный расчет'!$A$8*'Обобщенный расчет'!$C$8*30*CHOOSE('Обобщенный расчет'!$N$1,'Исходные данные'!$C$23,'Исходные данные'!$G$23)</f>
        <v>54648.000000000007</v>
      </c>
      <c r="L23" s="32">
        <f>L$7*L$8*'Обобщенный расчет'!$A$8*'Обобщенный расчет'!$C$8*30*CHOOSE('Обобщенный расчет'!$N$1,'Исходные данные'!$C$23,'Исходные данные'!$G$23)</f>
        <v>57131.999999999993</v>
      </c>
      <c r="M23" s="32">
        <f>M$7*M$8*'Обобщенный расчет'!$A$8*'Обобщенный расчет'!$C$8*30*CHOOSE('Обобщенный расчет'!$N$1,'Исходные данные'!$C$23,'Исходные данные'!$G$23)</f>
        <v>59616</v>
      </c>
      <c r="N23" s="32">
        <f>N$7*N$8*'Обобщенный расчет'!$A$8*'Обобщенный расчет'!$C$8*30*CHOOSE('Обобщенный расчет'!$N$1,'Исходные данные'!$C$23,'Исходные данные'!$G$23)</f>
        <v>62100</v>
      </c>
      <c r="O23" s="106">
        <f t="shared" ref="O23:O28" si="12">SUM(C23:N23)</f>
        <v>588708</v>
      </c>
      <c r="P23" s="106">
        <f t="shared" si="6"/>
        <v>49059</v>
      </c>
      <c r="Q23" s="32">
        <f>Q$7*Q$8*'Обобщенный расчет'!$A$8*'Обобщенный расчет'!$C$8*30*CHOOSE('Обобщенный расчет'!$N$1,'Исходные данные'!$C$23,'Исходные данные'!$G$23)</f>
        <v>67068.000000000015</v>
      </c>
      <c r="R23" s="32">
        <f>R$7*R$8*'Обобщенный расчет'!$A$8*'Обобщенный расчет'!$C$8*30*CHOOSE('Обобщенный расчет'!$N$1,'Исходные данные'!$C$23,'Исходные данные'!$G$23)</f>
        <v>67068.000000000015</v>
      </c>
      <c r="S23" s="32">
        <f>S$7*S$8*'Обобщенный расчет'!$A$8*'Обобщенный расчет'!$C$8*30*CHOOSE('Обобщенный расчет'!$N$1,'Исходные данные'!$C$23,'Исходные данные'!$G$23)</f>
        <v>67068.000000000015</v>
      </c>
      <c r="T23" s="32">
        <f>T$7*T$8*'Обобщенный расчет'!$A$8*'Обобщенный расчет'!$C$8*30*CHOOSE('Обобщенный расчет'!$N$1,'Исходные данные'!$C$23,'Исходные данные'!$G$23)</f>
        <v>67068.000000000015</v>
      </c>
      <c r="U23" s="32">
        <f>U$7*U$8*'Обобщенный расчет'!$A$8*'Обобщенный расчет'!$C$8*30*CHOOSE('Обобщенный расчет'!$N$1,'Исходные данные'!$C$23,'Исходные данные'!$G$23)</f>
        <v>67068.000000000015</v>
      </c>
      <c r="V23" s="32">
        <f>V$7*V$8*'Обобщенный расчет'!$A$8*'Обобщенный расчет'!$C$8*30*CHOOSE('Обобщенный расчет'!$N$1,'Исходные данные'!$C$23,'Исходные данные'!$G$23)</f>
        <v>67068.000000000015</v>
      </c>
      <c r="W23" s="32">
        <f>W$7*W$8*'Обобщенный расчет'!$A$8*'Обобщенный расчет'!$C$8*30*CHOOSE('Обобщенный расчет'!$N$1,'Исходные данные'!$C$23,'Исходные данные'!$G$23)</f>
        <v>67068.000000000015</v>
      </c>
      <c r="X23" s="32">
        <f>X$7*X$8*'Обобщенный расчет'!$A$8*'Обобщенный расчет'!$C$8*30*CHOOSE('Обобщенный расчет'!$N$1,'Исходные данные'!$C$23,'Исходные данные'!$G$23)</f>
        <v>67068.000000000015</v>
      </c>
      <c r="Y23" s="32">
        <f>Y$7*Y$8*'Обобщенный расчет'!$A$8*'Обобщенный расчет'!$C$8*30*CHOOSE('Обобщенный расчет'!$N$1,'Исходные данные'!$C$23,'Исходные данные'!$G$23)</f>
        <v>67068.000000000015</v>
      </c>
      <c r="Z23" s="32">
        <f>Z$7*Z$8*'Обобщенный расчет'!$A$8*'Обобщенный расчет'!$C$8*30*CHOOSE('Обобщенный расчет'!$N$1,'Исходные данные'!$C$23,'Исходные данные'!$G$23)</f>
        <v>67068.000000000015</v>
      </c>
      <c r="AA23" s="32">
        <f>AA$7*AA$8*'Обобщенный расчет'!$A$8*'Обобщенный расчет'!$C$8*30*CHOOSE('Обобщенный расчет'!$N$1,'Исходные данные'!$C$23,'Исходные данные'!$G$23)</f>
        <v>67068.000000000015</v>
      </c>
      <c r="AB23" s="32">
        <f>AB$7*AB$8*'Обобщенный расчет'!$A$8*'Обобщенный расчет'!$C$8*30*CHOOSE('Обобщенный расчет'!$N$1,'Исходные данные'!$C$23,'Исходные данные'!$G$23)</f>
        <v>67068.000000000015</v>
      </c>
      <c r="AC23" s="106">
        <f t="shared" ref="AC23:AC28" si="13">SUM(Q23:AB23)</f>
        <v>804816.00000000012</v>
      </c>
      <c r="AD23" s="106">
        <f t="shared" si="8"/>
        <v>67068.000000000015</v>
      </c>
      <c r="AE23" s="32">
        <f>AE$7*AE$8*'Обобщенный расчет'!$A$8*'Обобщенный расчет'!$C$8*30*CHOOSE('Обобщенный расчет'!$N$1,'Исходные данные'!$C$23,'Исходные данные'!$G$23)</f>
        <v>74520</v>
      </c>
      <c r="AF23" s="32">
        <f>AF$7*AF$8*'Обобщенный расчет'!$A$8*'Обобщенный расчет'!$C$8*30*CHOOSE('Обобщенный расчет'!$N$1,'Исходные данные'!$C$23,'Исходные данные'!$G$23)</f>
        <v>74520</v>
      </c>
      <c r="AG23" s="32">
        <f>AG$7*AG$8*'Обобщенный расчет'!$A$8*'Обобщенный расчет'!$C$8*30*CHOOSE('Обобщенный расчет'!$N$1,'Исходные данные'!$C$23,'Исходные данные'!$G$23)</f>
        <v>74520</v>
      </c>
      <c r="AH23" s="32">
        <f>AH$7*AH$8*'Обобщенный расчет'!$A$8*'Обобщенный расчет'!$C$8*30*CHOOSE('Обобщенный расчет'!$N$1,'Исходные данные'!$C$23,'Исходные данные'!$G$23)</f>
        <v>74520</v>
      </c>
      <c r="AI23" s="32">
        <f>AI$7*AI$8*'Обобщенный расчет'!$A$8*'Обобщенный расчет'!$C$8*30*CHOOSE('Обобщенный расчет'!$N$1,'Исходные данные'!$C$23,'Исходные данные'!$G$23)</f>
        <v>74520</v>
      </c>
      <c r="AJ23" s="32">
        <f>AJ$7*AJ$8*'Обобщенный расчет'!$A$8*'Обобщенный расчет'!$C$8*30*CHOOSE('Обобщенный расчет'!$N$1,'Исходные данные'!$C$23,'Исходные данные'!$G$23)</f>
        <v>74520</v>
      </c>
      <c r="AK23" s="32">
        <f>AK$7*AK$8*'Обобщенный расчет'!$A$8*'Обобщенный расчет'!$C$8*30*CHOOSE('Обобщенный расчет'!$N$1,'Исходные данные'!$C$23,'Исходные данные'!$G$23)</f>
        <v>74520</v>
      </c>
      <c r="AL23" s="32">
        <f>AL$7*AL$8*'Обобщенный расчет'!$A$8*'Обобщенный расчет'!$C$8*30*CHOOSE('Обобщенный расчет'!$N$1,'Исходные данные'!$C$23,'Исходные данные'!$G$23)</f>
        <v>74520</v>
      </c>
      <c r="AM23" s="32">
        <f>AM$7*AM$8*'Обобщенный расчет'!$A$8*'Обобщенный расчет'!$C$8*30*CHOOSE('Обобщенный расчет'!$N$1,'Исходные данные'!$C$23,'Исходные данные'!$G$23)</f>
        <v>74520</v>
      </c>
      <c r="AN23" s="32">
        <f>AN$7*AN$8*'Обобщенный расчет'!$A$8*'Обобщенный расчет'!$C$8*30*CHOOSE('Обобщенный расчет'!$N$1,'Исходные данные'!$C$23,'Исходные данные'!$G$23)</f>
        <v>74520</v>
      </c>
      <c r="AO23" s="32">
        <f>AO$7*AO$8*'Обобщенный расчет'!$A$8*'Обобщенный расчет'!$C$8*30*CHOOSE('Обобщенный расчет'!$N$1,'Исходные данные'!$C$23,'Исходные данные'!$G$23)</f>
        <v>74520</v>
      </c>
      <c r="AP23" s="32">
        <f>AP$7*AP$8*'Обобщенный расчет'!$A$8*'Обобщенный расчет'!$C$8*30*CHOOSE('Обобщенный расчет'!$N$1,'Исходные данные'!$C$23,'Исходные данные'!$G$23)</f>
        <v>74520</v>
      </c>
      <c r="AQ23" s="106">
        <f t="shared" ref="AQ23:AQ28" si="14">SUM(AE23:AP23)</f>
        <v>894240</v>
      </c>
      <c r="AR23" s="106">
        <f t="shared" si="10"/>
        <v>74520</v>
      </c>
      <c r="AS23" s="113">
        <f t="shared" ref="AS23:AS28" si="15">O23+AC23+AQ23</f>
        <v>2287764</v>
      </c>
      <c r="AT23" s="33"/>
      <c r="AU23" s="86"/>
    </row>
    <row r="24" spans="1:48" s="37" customFormat="1" ht="10.5" x14ac:dyDescent="0.2">
      <c r="A24" s="181" t="str">
        <f>'Исходные данные'!A24</f>
        <v>Кератиновое выпрямление Pure Brazilian</v>
      </c>
      <c r="B24" s="23" t="str">
        <f>CHOOSE('Исходные данные'!$O$2,'Исходные данные'!$P$2,'Исходные данные'!$P$3,'Исходные данные'!$P$4,'Исходные данные'!$P$5)</f>
        <v>UAH</v>
      </c>
      <c r="C24" s="35">
        <f>C$7*C$8*'Обобщенный расчет'!$A$8*'Обобщенный расчет'!$C$8*30*CHOOSE('Обобщенный расчет'!$N$1,'Исходные данные'!$C$24,'Исходные данные'!$G$24)</f>
        <v>11178</v>
      </c>
      <c r="D24" s="35">
        <f>D$7*D$8*'Обобщенный расчет'!$A$8*'Обобщенный расчет'!$C$8*30*CHOOSE('Обобщенный расчет'!$N$1,'Исходные данные'!$C$24,'Исходные данные'!$G$24)</f>
        <v>13040.999999999998</v>
      </c>
      <c r="E24" s="35">
        <f>E$7*E$8*'Обобщенный расчет'!$A$8*'Обобщенный расчет'!$C$8*30*CHOOSE('Обобщенный расчет'!$N$1,'Исходные данные'!$C$24,'Исходные данные'!$G$24)</f>
        <v>14904</v>
      </c>
      <c r="F24" s="35">
        <f>F$7*F$8*'Обобщенный расчет'!$A$8*'Обобщенный расчет'!$C$8*30*CHOOSE('Обобщенный расчет'!$N$1,'Исходные данные'!$C$24,'Исходные данные'!$G$24)</f>
        <v>16767</v>
      </c>
      <c r="G24" s="35">
        <f>G$7*G$8*'Обобщенный расчет'!$A$8*'Обобщенный расчет'!$C$8*30*CHOOSE('Обобщенный расчет'!$N$1,'Исходные данные'!$C$24,'Исходные данные'!$G$24)</f>
        <v>18630</v>
      </c>
      <c r="H24" s="35">
        <f>H$7*H$8*'Обобщенный расчет'!$A$8*'Обобщенный расчет'!$C$8*30*CHOOSE('Обобщенный расчет'!$N$1,'Исходные данные'!$C$24,'Исходные данные'!$G$24)</f>
        <v>18630</v>
      </c>
      <c r="I24" s="35">
        <f>I$7*I$8*'Обобщенный расчет'!$A$8*'Обобщенный расчет'!$C$8*30*CHOOSE('Обобщенный расчет'!$N$1,'Исходные данные'!$C$24,'Исходные данные'!$G$24)</f>
        <v>19561.5</v>
      </c>
      <c r="J24" s="35">
        <f>J$7*J$8*'Обобщенный расчет'!$A$8*'Обобщенный расчет'!$C$8*30*CHOOSE('Обобщенный расчет'!$N$1,'Исходные данные'!$C$24,'Исходные данные'!$G$24)</f>
        <v>20493.000000000004</v>
      </c>
      <c r="K24" s="35">
        <f>K$7*K$8*'Обобщенный расчет'!$A$8*'Обобщенный расчет'!$C$8*30*CHOOSE('Обобщенный расчет'!$N$1,'Исходные данные'!$C$24,'Исходные данные'!$G$24)</f>
        <v>20493.000000000004</v>
      </c>
      <c r="L24" s="35">
        <f>L$7*L$8*'Обобщенный расчет'!$A$8*'Обобщенный расчет'!$C$8*30*CHOOSE('Обобщенный расчет'!$N$1,'Исходные данные'!$C$24,'Исходные данные'!$G$24)</f>
        <v>21424.499999999996</v>
      </c>
      <c r="M24" s="35">
        <f>M$7*M$8*'Обобщенный расчет'!$A$8*'Обобщенный расчет'!$C$8*30*CHOOSE('Обобщенный расчет'!$N$1,'Исходные данные'!$C$24,'Исходные данные'!$G$24)</f>
        <v>22356</v>
      </c>
      <c r="N24" s="35">
        <f>N$7*N$8*'Обобщенный расчет'!$A$8*'Обобщенный расчет'!$C$8*30*CHOOSE('Обобщенный расчет'!$N$1,'Исходные данные'!$C$24,'Исходные данные'!$G$24)</f>
        <v>23287.5</v>
      </c>
      <c r="O24" s="51">
        <f t="shared" si="12"/>
        <v>220765.5</v>
      </c>
      <c r="P24" s="51">
        <f t="shared" si="6"/>
        <v>18397.125</v>
      </c>
      <c r="Q24" s="35">
        <f>Q$7*Q$8*'Обобщенный расчет'!$A$8*'Обобщенный расчет'!$C$8*30*CHOOSE('Обобщенный расчет'!$N$1,'Исходные данные'!$C$24,'Исходные данные'!$G$24)</f>
        <v>25150.500000000004</v>
      </c>
      <c r="R24" s="35">
        <f>R$7*R$8*'Обобщенный расчет'!$A$8*'Обобщенный расчет'!$C$8*30*CHOOSE('Обобщенный расчет'!$N$1,'Исходные данные'!$C$24,'Исходные данные'!$G$24)</f>
        <v>25150.500000000004</v>
      </c>
      <c r="S24" s="35">
        <f>S$7*S$8*'Обобщенный расчет'!$A$8*'Обобщенный расчет'!$C$8*30*CHOOSE('Обобщенный расчет'!$N$1,'Исходные данные'!$C$24,'Исходные данные'!$G$24)</f>
        <v>25150.500000000004</v>
      </c>
      <c r="T24" s="35">
        <f>T$7*T$8*'Обобщенный расчет'!$A$8*'Обобщенный расчет'!$C$8*30*CHOOSE('Обобщенный расчет'!$N$1,'Исходные данные'!$C$24,'Исходные данные'!$G$24)</f>
        <v>25150.500000000004</v>
      </c>
      <c r="U24" s="35">
        <f>U$7*U$8*'Обобщенный расчет'!$A$8*'Обобщенный расчет'!$C$8*30*CHOOSE('Обобщенный расчет'!$N$1,'Исходные данные'!$C$24,'Исходные данные'!$G$24)</f>
        <v>25150.500000000004</v>
      </c>
      <c r="V24" s="35">
        <f>V$7*V$8*'Обобщенный расчет'!$A$8*'Обобщенный расчет'!$C$8*30*CHOOSE('Обобщенный расчет'!$N$1,'Исходные данные'!$C$24,'Исходные данные'!$G$24)</f>
        <v>25150.500000000004</v>
      </c>
      <c r="W24" s="35">
        <f>W$7*W$8*'Обобщенный расчет'!$A$8*'Обобщенный расчет'!$C$8*30*CHOOSE('Обобщенный расчет'!$N$1,'Исходные данные'!$C$24,'Исходные данные'!$G$24)</f>
        <v>25150.500000000004</v>
      </c>
      <c r="X24" s="35">
        <f>X$7*X$8*'Обобщенный расчет'!$A$8*'Обобщенный расчет'!$C$8*30*CHOOSE('Обобщенный расчет'!$N$1,'Исходные данные'!$C$24,'Исходные данные'!$G$24)</f>
        <v>25150.500000000004</v>
      </c>
      <c r="Y24" s="35">
        <f>Y$7*Y$8*'Обобщенный расчет'!$A$8*'Обобщенный расчет'!$C$8*30*CHOOSE('Обобщенный расчет'!$N$1,'Исходные данные'!$C$24,'Исходные данные'!$G$24)</f>
        <v>25150.500000000004</v>
      </c>
      <c r="Z24" s="35">
        <f>Z$7*Z$8*'Обобщенный расчет'!$A$8*'Обобщенный расчет'!$C$8*30*CHOOSE('Обобщенный расчет'!$N$1,'Исходные данные'!$C$24,'Исходные данные'!$G$24)</f>
        <v>25150.500000000004</v>
      </c>
      <c r="AA24" s="35">
        <f>AA$7*AA$8*'Обобщенный расчет'!$A$8*'Обобщенный расчет'!$C$8*30*CHOOSE('Обобщенный расчет'!$N$1,'Исходные данные'!$C$24,'Исходные данные'!$G$24)</f>
        <v>25150.500000000004</v>
      </c>
      <c r="AB24" s="35">
        <f>AB$7*AB$8*'Обобщенный расчет'!$A$8*'Обобщенный расчет'!$C$8*30*CHOOSE('Обобщенный расчет'!$N$1,'Исходные данные'!$C$24,'Исходные данные'!$G$24)</f>
        <v>25150.500000000004</v>
      </c>
      <c r="AC24" s="51">
        <f t="shared" si="13"/>
        <v>301806.00000000006</v>
      </c>
      <c r="AD24" s="51">
        <f t="shared" si="8"/>
        <v>25150.500000000004</v>
      </c>
      <c r="AE24" s="35">
        <f>AE$7*AE$8*'Обобщенный расчет'!$A$8*'Обобщенный расчет'!$C$8*30*CHOOSE('Обобщенный расчет'!$N$1,'Исходные данные'!$C$24,'Исходные данные'!$G$24)</f>
        <v>27945</v>
      </c>
      <c r="AF24" s="35">
        <f>AF$7*AF$8*'Обобщенный расчет'!$A$8*'Обобщенный расчет'!$C$8*30*CHOOSE('Обобщенный расчет'!$N$1,'Исходные данные'!$C$24,'Исходные данные'!$G$24)</f>
        <v>27945</v>
      </c>
      <c r="AG24" s="35">
        <f>AG$7*AG$8*'Обобщенный расчет'!$A$8*'Обобщенный расчет'!$C$8*30*CHOOSE('Обобщенный расчет'!$N$1,'Исходные данные'!$C$24,'Исходные данные'!$G$24)</f>
        <v>27945</v>
      </c>
      <c r="AH24" s="35">
        <f>AH$7*AH$8*'Обобщенный расчет'!$A$8*'Обобщенный расчет'!$C$8*30*CHOOSE('Обобщенный расчет'!$N$1,'Исходные данные'!$C$24,'Исходные данные'!$G$24)</f>
        <v>27945</v>
      </c>
      <c r="AI24" s="35">
        <f>AI$7*AI$8*'Обобщенный расчет'!$A$8*'Обобщенный расчет'!$C$8*30*CHOOSE('Обобщенный расчет'!$N$1,'Исходные данные'!$C$24,'Исходные данные'!$G$24)</f>
        <v>27945</v>
      </c>
      <c r="AJ24" s="35">
        <f>AJ$7*AJ$8*'Обобщенный расчет'!$A$8*'Обобщенный расчет'!$C$8*30*CHOOSE('Обобщенный расчет'!$N$1,'Исходные данные'!$C$24,'Исходные данные'!$G$24)</f>
        <v>27945</v>
      </c>
      <c r="AK24" s="35">
        <f>AK$7*AK$8*'Обобщенный расчет'!$A$8*'Обобщенный расчет'!$C$8*30*CHOOSE('Обобщенный расчет'!$N$1,'Исходные данные'!$C$24,'Исходные данные'!$G$24)</f>
        <v>27945</v>
      </c>
      <c r="AL24" s="35">
        <f>AL$7*AL$8*'Обобщенный расчет'!$A$8*'Обобщенный расчет'!$C$8*30*CHOOSE('Обобщенный расчет'!$N$1,'Исходные данные'!$C$24,'Исходные данные'!$G$24)</f>
        <v>27945</v>
      </c>
      <c r="AM24" s="35">
        <f>AM$7*AM$8*'Обобщенный расчет'!$A$8*'Обобщенный расчет'!$C$8*30*CHOOSE('Обобщенный расчет'!$N$1,'Исходные данные'!$C$24,'Исходные данные'!$G$24)</f>
        <v>27945</v>
      </c>
      <c r="AN24" s="35">
        <f>AN$7*AN$8*'Обобщенный расчет'!$A$8*'Обобщенный расчет'!$C$8*30*CHOOSE('Обобщенный расчет'!$N$1,'Исходные данные'!$C$24,'Исходные данные'!$G$24)</f>
        <v>27945</v>
      </c>
      <c r="AO24" s="35">
        <f>AO$7*AO$8*'Обобщенный расчет'!$A$8*'Обобщенный расчет'!$C$8*30*CHOOSE('Обобщенный расчет'!$N$1,'Исходные данные'!$C$24,'Исходные данные'!$G$24)</f>
        <v>27945</v>
      </c>
      <c r="AP24" s="35">
        <f>AP$7*AP$8*'Обобщенный расчет'!$A$8*'Обобщенный расчет'!$C$8*30*CHOOSE('Обобщенный расчет'!$N$1,'Исходные данные'!$C$24,'Исходные данные'!$G$24)</f>
        <v>27945</v>
      </c>
      <c r="AQ24" s="51">
        <f t="shared" si="14"/>
        <v>335340</v>
      </c>
      <c r="AR24" s="51">
        <f t="shared" si="10"/>
        <v>27945</v>
      </c>
      <c r="AS24" s="113">
        <f t="shared" si="15"/>
        <v>857911.5</v>
      </c>
      <c r="AT24" s="36"/>
      <c r="AU24" s="86"/>
      <c r="AV24" s="34"/>
    </row>
    <row r="25" spans="1:48" s="34" customFormat="1" ht="10.5" x14ac:dyDescent="0.2">
      <c r="A25" s="180" t="str">
        <f>'Исходные данные'!A25</f>
        <v>Маникюр - Педикюр</v>
      </c>
      <c r="B25" s="20" t="str">
        <f>CHOOSE('Исходные данные'!$O$2,'Исходные данные'!$P$2,'Исходные данные'!$P$3,'Исходные данные'!$P$4,'Исходные данные'!$P$5)</f>
        <v>UAH</v>
      </c>
      <c r="C25" s="32">
        <f>C$7*C$8*'Обобщенный расчет'!$A$8*'Обобщенный расчет'!$C$8*30*CHOOSE('Обобщенный расчет'!$N$1,'Исходные данные'!$C$25,'Исходные данные'!$G$25)</f>
        <v>40986</v>
      </c>
      <c r="D25" s="32">
        <f>D$7*D$8*'Обобщенный расчет'!$A$8*'Обобщенный расчет'!$C$8*30*CHOOSE('Обобщенный расчет'!$N$1,'Исходные данные'!$C$25,'Исходные данные'!$G$25)</f>
        <v>47816.999999999993</v>
      </c>
      <c r="E25" s="32">
        <f>E$7*E$8*'Обобщенный расчет'!$A$8*'Обобщенный расчет'!$C$8*30*CHOOSE('Обобщенный расчет'!$N$1,'Исходные данные'!$C$25,'Исходные данные'!$G$25)</f>
        <v>54648</v>
      </c>
      <c r="F25" s="32">
        <f>F$7*F$8*'Обобщенный расчет'!$A$8*'Обобщенный расчет'!$C$8*30*CHOOSE('Обобщенный расчет'!$N$1,'Исходные данные'!$C$25,'Исходные данные'!$G$25)</f>
        <v>61479</v>
      </c>
      <c r="G25" s="32">
        <f>G$7*G$8*'Обобщенный расчет'!$A$8*'Обобщенный расчет'!$C$8*30*CHOOSE('Обобщенный расчет'!$N$1,'Исходные данные'!$C$25,'Исходные данные'!$G$25)</f>
        <v>68310</v>
      </c>
      <c r="H25" s="32">
        <f>H$7*H$8*'Обобщенный расчет'!$A$8*'Обобщенный расчет'!$C$8*30*CHOOSE('Обобщенный расчет'!$N$1,'Исходные данные'!$C$25,'Исходные данные'!$G$25)</f>
        <v>68310</v>
      </c>
      <c r="I25" s="32">
        <f>I$7*I$8*'Обобщенный расчет'!$A$8*'Обобщенный расчет'!$C$8*30*CHOOSE('Обобщенный расчет'!$N$1,'Исходные данные'!$C$25,'Исходные данные'!$G$25)</f>
        <v>71725.5</v>
      </c>
      <c r="J25" s="32">
        <f>J$7*J$8*'Обобщенный расчет'!$A$8*'Обобщенный расчет'!$C$8*30*CHOOSE('Обобщенный расчет'!$N$1,'Исходные данные'!$C$25,'Исходные данные'!$G$25)</f>
        <v>75141.000000000015</v>
      </c>
      <c r="K25" s="32">
        <f>K$7*K$8*'Обобщенный расчет'!$A$8*'Обобщенный расчет'!$C$8*30*CHOOSE('Обобщенный расчет'!$N$1,'Исходные данные'!$C$25,'Исходные данные'!$G$25)</f>
        <v>75141.000000000015</v>
      </c>
      <c r="L25" s="32">
        <f>L$7*L$8*'Обобщенный расчет'!$A$8*'Обобщенный расчет'!$C$8*30*CHOOSE('Обобщенный расчет'!$N$1,'Исходные данные'!$C$25,'Исходные данные'!$G$25)</f>
        <v>78556.499999999985</v>
      </c>
      <c r="M25" s="32">
        <f>M$7*M$8*'Обобщенный расчет'!$A$8*'Обобщенный расчет'!$C$8*30*CHOOSE('Обобщенный расчет'!$N$1,'Исходные данные'!$C$25,'Исходные данные'!$G$25)</f>
        <v>81972</v>
      </c>
      <c r="N25" s="32">
        <f>N$7*N$8*'Обобщенный расчет'!$A$8*'Обобщенный расчет'!$C$8*30*CHOOSE('Обобщенный расчет'!$N$1,'Исходные данные'!$C$25,'Исходные данные'!$G$25)</f>
        <v>85387.5</v>
      </c>
      <c r="O25" s="106">
        <f t="shared" si="12"/>
        <v>809473.5</v>
      </c>
      <c r="P25" s="106">
        <f t="shared" si="6"/>
        <v>67456.125</v>
      </c>
      <c r="Q25" s="32">
        <f>Q$7*Q$8*'Обобщенный расчет'!$A$8*'Обобщенный расчет'!$C$8*30*CHOOSE('Обобщенный расчет'!$N$1,'Исходные данные'!$C$25,'Исходные данные'!$G$25)</f>
        <v>92218.500000000015</v>
      </c>
      <c r="R25" s="32">
        <f>R$7*R$8*'Обобщенный расчет'!$A$8*'Обобщенный расчет'!$C$8*30*CHOOSE('Обобщенный расчет'!$N$1,'Исходные данные'!$C$25,'Исходные данные'!$G$25)</f>
        <v>92218.500000000015</v>
      </c>
      <c r="S25" s="32">
        <f>S$7*S$8*'Обобщенный расчет'!$A$8*'Обобщенный расчет'!$C$8*30*CHOOSE('Обобщенный расчет'!$N$1,'Исходные данные'!$C$25,'Исходные данные'!$G$25)</f>
        <v>92218.500000000015</v>
      </c>
      <c r="T25" s="32">
        <f>T$7*T$8*'Обобщенный расчет'!$A$8*'Обобщенный расчет'!$C$8*30*CHOOSE('Обобщенный расчет'!$N$1,'Исходные данные'!$C$25,'Исходные данные'!$G$25)</f>
        <v>92218.500000000015</v>
      </c>
      <c r="U25" s="32">
        <f>U$7*U$8*'Обобщенный расчет'!$A$8*'Обобщенный расчет'!$C$8*30*CHOOSE('Обобщенный расчет'!$N$1,'Исходные данные'!$C$25,'Исходные данные'!$G$25)</f>
        <v>92218.500000000015</v>
      </c>
      <c r="V25" s="32">
        <f>V$7*V$8*'Обобщенный расчет'!$A$8*'Обобщенный расчет'!$C$8*30*CHOOSE('Обобщенный расчет'!$N$1,'Исходные данные'!$C$25,'Исходные данные'!$G$25)</f>
        <v>92218.500000000015</v>
      </c>
      <c r="W25" s="32">
        <f>W$7*W$8*'Обобщенный расчет'!$A$8*'Обобщенный расчет'!$C$8*30*CHOOSE('Обобщенный расчет'!$N$1,'Исходные данные'!$C$25,'Исходные данные'!$G$25)</f>
        <v>92218.500000000015</v>
      </c>
      <c r="X25" s="32">
        <f>X$7*X$8*'Обобщенный расчет'!$A$8*'Обобщенный расчет'!$C$8*30*CHOOSE('Обобщенный расчет'!$N$1,'Исходные данные'!$C$25,'Исходные данные'!$G$25)</f>
        <v>92218.500000000015</v>
      </c>
      <c r="Y25" s="32">
        <f>Y$7*Y$8*'Обобщенный расчет'!$A$8*'Обобщенный расчет'!$C$8*30*CHOOSE('Обобщенный расчет'!$N$1,'Исходные данные'!$C$25,'Исходные данные'!$G$25)</f>
        <v>92218.500000000015</v>
      </c>
      <c r="Z25" s="32">
        <f>Z$7*Z$8*'Обобщенный расчет'!$A$8*'Обобщенный расчет'!$C$8*30*CHOOSE('Обобщенный расчет'!$N$1,'Исходные данные'!$C$25,'Исходные данные'!$G$25)</f>
        <v>92218.500000000015</v>
      </c>
      <c r="AA25" s="32">
        <f>AA$7*AA$8*'Обобщенный расчет'!$A$8*'Обобщенный расчет'!$C$8*30*CHOOSE('Обобщенный расчет'!$N$1,'Исходные данные'!$C$25,'Исходные данные'!$G$25)</f>
        <v>92218.500000000015</v>
      </c>
      <c r="AB25" s="32">
        <f>AB$7*AB$8*'Обобщенный расчет'!$A$8*'Обобщенный расчет'!$C$8*30*CHOOSE('Обобщенный расчет'!$N$1,'Исходные данные'!$C$25,'Исходные данные'!$G$25)</f>
        <v>92218.500000000015</v>
      </c>
      <c r="AC25" s="106">
        <f t="shared" si="13"/>
        <v>1106622.0000000002</v>
      </c>
      <c r="AD25" s="106">
        <f t="shared" si="8"/>
        <v>92218.500000000015</v>
      </c>
      <c r="AE25" s="32">
        <f>AE$7*AE$8*'Обобщенный расчет'!$A$8*'Обобщенный расчет'!$C$8*30*CHOOSE('Обобщенный расчет'!$N$1,'Исходные данные'!$C$25,'Исходные данные'!$G$25)</f>
        <v>102465</v>
      </c>
      <c r="AF25" s="32">
        <f>AF$7*AF$8*'Обобщенный расчет'!$A$8*'Обобщенный расчет'!$C$8*30*CHOOSE('Обобщенный расчет'!$N$1,'Исходные данные'!$C$25,'Исходные данные'!$G$25)</f>
        <v>102465</v>
      </c>
      <c r="AG25" s="32">
        <f>AG$7*AG$8*'Обобщенный расчет'!$A$8*'Обобщенный расчет'!$C$8*30*CHOOSE('Обобщенный расчет'!$N$1,'Исходные данные'!$C$25,'Исходные данные'!$G$25)</f>
        <v>102465</v>
      </c>
      <c r="AH25" s="32">
        <f>AH$7*AH$8*'Обобщенный расчет'!$A$8*'Обобщенный расчет'!$C$8*30*CHOOSE('Обобщенный расчет'!$N$1,'Исходные данные'!$C$25,'Исходные данные'!$G$25)</f>
        <v>102465</v>
      </c>
      <c r="AI25" s="32">
        <f>AI$7*AI$8*'Обобщенный расчет'!$A$8*'Обобщенный расчет'!$C$8*30*CHOOSE('Обобщенный расчет'!$N$1,'Исходные данные'!$C$25,'Исходные данные'!$G$25)</f>
        <v>102465</v>
      </c>
      <c r="AJ25" s="32">
        <f>AJ$7*AJ$8*'Обобщенный расчет'!$A$8*'Обобщенный расчет'!$C$8*30*CHOOSE('Обобщенный расчет'!$N$1,'Исходные данные'!$C$25,'Исходные данные'!$G$25)</f>
        <v>102465</v>
      </c>
      <c r="AK25" s="32">
        <f>AK$7*AK$8*'Обобщенный расчет'!$A$8*'Обобщенный расчет'!$C$8*30*CHOOSE('Обобщенный расчет'!$N$1,'Исходные данные'!$C$25,'Исходные данные'!$G$25)</f>
        <v>102465</v>
      </c>
      <c r="AL25" s="32">
        <f>AL$7*AL$8*'Обобщенный расчет'!$A$8*'Обобщенный расчет'!$C$8*30*CHOOSE('Обобщенный расчет'!$N$1,'Исходные данные'!$C$25,'Исходные данные'!$G$25)</f>
        <v>102465</v>
      </c>
      <c r="AM25" s="32">
        <f>AM$7*AM$8*'Обобщенный расчет'!$A$8*'Обобщенный расчет'!$C$8*30*CHOOSE('Обобщенный расчет'!$N$1,'Исходные данные'!$C$25,'Исходные данные'!$G$25)</f>
        <v>102465</v>
      </c>
      <c r="AN25" s="32">
        <f>AN$7*AN$8*'Обобщенный расчет'!$A$8*'Обобщенный расчет'!$C$8*30*CHOOSE('Обобщенный расчет'!$N$1,'Исходные данные'!$C$25,'Исходные данные'!$G$25)</f>
        <v>102465</v>
      </c>
      <c r="AO25" s="32">
        <f>AO$7*AO$8*'Обобщенный расчет'!$A$8*'Обобщенный расчет'!$C$8*30*CHOOSE('Обобщенный расчет'!$N$1,'Исходные данные'!$C$25,'Исходные данные'!$G$25)</f>
        <v>102465</v>
      </c>
      <c r="AP25" s="32">
        <f>AP$7*AP$8*'Обобщенный расчет'!$A$8*'Обобщенный расчет'!$C$8*30*CHOOSE('Обобщенный расчет'!$N$1,'Исходные данные'!$C$25,'Исходные данные'!$G$25)</f>
        <v>102465</v>
      </c>
      <c r="AQ25" s="106">
        <f t="shared" si="14"/>
        <v>1229580</v>
      </c>
      <c r="AR25" s="106">
        <f t="shared" si="10"/>
        <v>102465</v>
      </c>
      <c r="AS25" s="113">
        <f t="shared" si="15"/>
        <v>3145675.5</v>
      </c>
      <c r="AT25" s="33"/>
      <c r="AU25" s="86"/>
    </row>
    <row r="26" spans="1:48" s="37" customFormat="1" ht="10.5" x14ac:dyDescent="0.2">
      <c r="A26" s="181" t="str">
        <f>'Исходные данные'!A26</f>
        <v>Макияж - Брови - Ресници</v>
      </c>
      <c r="B26" s="23" t="str">
        <f>CHOOSE('Исходные данные'!$O$2,'Исходные данные'!$P$2,'Исходные данные'!$P$3,'Исходные данные'!$P$4,'Исходные данные'!$P$5)</f>
        <v>UAH</v>
      </c>
      <c r="C26" s="35">
        <f>C$7*C$8*'Обобщенный расчет'!$A$8*'Обобщенный расчет'!$C$8*30*CHOOSE('Обобщенный расчет'!$N$1,'Исходные данные'!$C$26,'Исходные данные'!$G$26)</f>
        <v>11178</v>
      </c>
      <c r="D26" s="35">
        <f>D$7*D$8*'Обобщенный расчет'!$A$8*'Обобщенный расчет'!$C$8*30*CHOOSE('Обобщенный расчет'!$N$1,'Исходные данные'!$C$26,'Исходные данные'!$G$26)</f>
        <v>13040.999999999998</v>
      </c>
      <c r="E26" s="35">
        <f>E$7*E$8*'Обобщенный расчет'!$A$8*'Обобщенный расчет'!$C$8*30*CHOOSE('Обобщенный расчет'!$N$1,'Исходные данные'!$C$26,'Исходные данные'!$G$26)</f>
        <v>14904</v>
      </c>
      <c r="F26" s="35">
        <f>F$7*F$8*'Обобщенный расчет'!$A$8*'Обобщенный расчет'!$C$8*30*CHOOSE('Обобщенный расчет'!$N$1,'Исходные данные'!$C$26,'Исходные данные'!$G$26)</f>
        <v>16767</v>
      </c>
      <c r="G26" s="35">
        <f>G$7*G$8*'Обобщенный расчет'!$A$8*'Обобщенный расчет'!$C$8*30*CHOOSE('Обобщенный расчет'!$N$1,'Исходные данные'!$C$26,'Исходные данные'!$G$26)</f>
        <v>18630</v>
      </c>
      <c r="H26" s="35">
        <f>H$7*H$8*'Обобщенный расчет'!$A$8*'Обобщенный расчет'!$C$8*30*CHOOSE('Обобщенный расчет'!$N$1,'Исходные данные'!$C$26,'Исходные данные'!$G$26)</f>
        <v>18630</v>
      </c>
      <c r="I26" s="35">
        <f>I$7*I$8*'Обобщенный расчет'!$A$8*'Обобщенный расчет'!$C$8*30*CHOOSE('Обобщенный расчет'!$N$1,'Исходные данные'!$C$26,'Исходные данные'!$G$26)</f>
        <v>19561.5</v>
      </c>
      <c r="J26" s="35">
        <f>J$7*J$8*'Обобщенный расчет'!$A$8*'Обобщенный расчет'!$C$8*30*CHOOSE('Обобщенный расчет'!$N$1,'Исходные данные'!$C$26,'Исходные данные'!$G$26)</f>
        <v>20493.000000000004</v>
      </c>
      <c r="K26" s="35">
        <f>K$7*K$8*'Обобщенный расчет'!$A$8*'Обобщенный расчет'!$C$8*30*CHOOSE('Обобщенный расчет'!$N$1,'Исходные данные'!$C$26,'Исходные данные'!$G$26)</f>
        <v>20493.000000000004</v>
      </c>
      <c r="L26" s="35">
        <f>L$7*L$8*'Обобщенный расчет'!$A$8*'Обобщенный расчет'!$C$8*30*CHOOSE('Обобщенный расчет'!$N$1,'Исходные данные'!$C$26,'Исходные данные'!$G$26)</f>
        <v>21424.499999999996</v>
      </c>
      <c r="M26" s="35">
        <f>M$7*M$8*'Обобщенный расчет'!$A$8*'Обобщенный расчет'!$C$8*30*CHOOSE('Обобщенный расчет'!$N$1,'Исходные данные'!$C$26,'Исходные данные'!$G$26)</f>
        <v>22356</v>
      </c>
      <c r="N26" s="35">
        <f>N$7*N$8*'Обобщенный расчет'!$A$8*'Обобщенный расчет'!$C$8*30*CHOOSE('Обобщенный расчет'!$N$1,'Исходные данные'!$C$26,'Исходные данные'!$G$26)</f>
        <v>23287.5</v>
      </c>
      <c r="O26" s="51">
        <f t="shared" si="12"/>
        <v>220765.5</v>
      </c>
      <c r="P26" s="51">
        <f t="shared" si="6"/>
        <v>18397.125</v>
      </c>
      <c r="Q26" s="35">
        <f>Q$7*Q$8*'Обобщенный расчет'!$A$8*'Обобщенный расчет'!$C$8*30*CHOOSE('Обобщенный расчет'!$N$1,'Исходные данные'!$C$26,'Исходные данные'!$G$26)</f>
        <v>25150.500000000004</v>
      </c>
      <c r="R26" s="35">
        <f>R$7*R$8*'Обобщенный расчет'!$A$8*'Обобщенный расчет'!$C$8*30*CHOOSE('Обобщенный расчет'!$N$1,'Исходные данные'!$C$26,'Исходные данные'!$G$26)</f>
        <v>25150.500000000004</v>
      </c>
      <c r="S26" s="35">
        <f>S$7*S$8*'Обобщенный расчет'!$A$8*'Обобщенный расчет'!$C$8*30*CHOOSE('Обобщенный расчет'!$N$1,'Исходные данные'!$C$26,'Исходные данные'!$G$26)</f>
        <v>25150.500000000004</v>
      </c>
      <c r="T26" s="35">
        <f>T$7*T$8*'Обобщенный расчет'!$A$8*'Обобщенный расчет'!$C$8*30*CHOOSE('Обобщенный расчет'!$N$1,'Исходные данные'!$C$26,'Исходные данные'!$G$26)</f>
        <v>25150.500000000004</v>
      </c>
      <c r="U26" s="35">
        <f>U$7*U$8*'Обобщенный расчет'!$A$8*'Обобщенный расчет'!$C$8*30*CHOOSE('Обобщенный расчет'!$N$1,'Исходные данные'!$C$26,'Исходные данные'!$G$26)</f>
        <v>25150.500000000004</v>
      </c>
      <c r="V26" s="35">
        <f>V$7*V$8*'Обобщенный расчет'!$A$8*'Обобщенный расчет'!$C$8*30*CHOOSE('Обобщенный расчет'!$N$1,'Исходные данные'!$C$26,'Исходные данные'!$G$26)</f>
        <v>25150.500000000004</v>
      </c>
      <c r="W26" s="35">
        <f>W$7*W$8*'Обобщенный расчет'!$A$8*'Обобщенный расчет'!$C$8*30*CHOOSE('Обобщенный расчет'!$N$1,'Исходные данные'!$C$26,'Исходные данные'!$G$26)</f>
        <v>25150.500000000004</v>
      </c>
      <c r="X26" s="35">
        <f>X$7*X$8*'Обобщенный расчет'!$A$8*'Обобщенный расчет'!$C$8*30*CHOOSE('Обобщенный расчет'!$N$1,'Исходные данные'!$C$26,'Исходные данные'!$G$26)</f>
        <v>25150.500000000004</v>
      </c>
      <c r="Y26" s="35">
        <f>Y$7*Y$8*'Обобщенный расчет'!$A$8*'Обобщенный расчет'!$C$8*30*CHOOSE('Обобщенный расчет'!$N$1,'Исходные данные'!$C$26,'Исходные данные'!$G$26)</f>
        <v>25150.500000000004</v>
      </c>
      <c r="Z26" s="35">
        <f>Z$7*Z$8*'Обобщенный расчет'!$A$8*'Обобщенный расчет'!$C$8*30*CHOOSE('Обобщенный расчет'!$N$1,'Исходные данные'!$C$26,'Исходные данные'!$G$26)</f>
        <v>25150.500000000004</v>
      </c>
      <c r="AA26" s="35">
        <f>AA$7*AA$8*'Обобщенный расчет'!$A$8*'Обобщенный расчет'!$C$8*30*CHOOSE('Обобщенный расчет'!$N$1,'Исходные данные'!$C$26,'Исходные данные'!$G$26)</f>
        <v>25150.500000000004</v>
      </c>
      <c r="AB26" s="35">
        <f>AB$7*AB$8*'Обобщенный расчет'!$A$8*'Обобщенный расчет'!$C$8*30*CHOOSE('Обобщенный расчет'!$N$1,'Исходные данные'!$C$26,'Исходные данные'!$G$26)</f>
        <v>25150.500000000004</v>
      </c>
      <c r="AC26" s="51">
        <f t="shared" si="13"/>
        <v>301806.00000000006</v>
      </c>
      <c r="AD26" s="51">
        <f t="shared" si="8"/>
        <v>25150.500000000004</v>
      </c>
      <c r="AE26" s="35">
        <f>AE$7*AE$8*'Обобщенный расчет'!$A$8*'Обобщенный расчет'!$C$8*30*CHOOSE('Обобщенный расчет'!$N$1,'Исходные данные'!$C$26,'Исходные данные'!$G$26)</f>
        <v>27945</v>
      </c>
      <c r="AF26" s="35">
        <f>AF$7*AF$8*'Обобщенный расчет'!$A$8*'Обобщенный расчет'!$C$8*30*CHOOSE('Обобщенный расчет'!$N$1,'Исходные данные'!$C$26,'Исходные данные'!$G$26)</f>
        <v>27945</v>
      </c>
      <c r="AG26" s="35">
        <f>AG$7*AG$8*'Обобщенный расчет'!$A$8*'Обобщенный расчет'!$C$8*30*CHOOSE('Обобщенный расчет'!$N$1,'Исходные данные'!$C$26,'Исходные данные'!$G$26)</f>
        <v>27945</v>
      </c>
      <c r="AH26" s="35">
        <f>AH$7*AH$8*'Обобщенный расчет'!$A$8*'Обобщенный расчет'!$C$8*30*CHOOSE('Обобщенный расчет'!$N$1,'Исходные данные'!$C$26,'Исходные данные'!$G$26)</f>
        <v>27945</v>
      </c>
      <c r="AI26" s="35">
        <f>AI$7*AI$8*'Обобщенный расчет'!$A$8*'Обобщенный расчет'!$C$8*30*CHOOSE('Обобщенный расчет'!$N$1,'Исходные данные'!$C$26,'Исходные данные'!$G$26)</f>
        <v>27945</v>
      </c>
      <c r="AJ26" s="35">
        <f>AJ$7*AJ$8*'Обобщенный расчет'!$A$8*'Обобщенный расчет'!$C$8*30*CHOOSE('Обобщенный расчет'!$N$1,'Исходные данные'!$C$26,'Исходные данные'!$G$26)</f>
        <v>27945</v>
      </c>
      <c r="AK26" s="35">
        <f>AK$7*AK$8*'Обобщенный расчет'!$A$8*'Обобщенный расчет'!$C$8*30*CHOOSE('Обобщенный расчет'!$N$1,'Исходные данные'!$C$26,'Исходные данные'!$G$26)</f>
        <v>27945</v>
      </c>
      <c r="AL26" s="35">
        <f>AL$7*AL$8*'Обобщенный расчет'!$A$8*'Обобщенный расчет'!$C$8*30*CHOOSE('Обобщенный расчет'!$N$1,'Исходные данные'!$C$26,'Исходные данные'!$G$26)</f>
        <v>27945</v>
      </c>
      <c r="AM26" s="35">
        <f>AM$7*AM$8*'Обобщенный расчет'!$A$8*'Обобщенный расчет'!$C$8*30*CHOOSE('Обобщенный расчет'!$N$1,'Исходные данные'!$C$26,'Исходные данные'!$G$26)</f>
        <v>27945</v>
      </c>
      <c r="AN26" s="35">
        <f>AN$7*AN$8*'Обобщенный расчет'!$A$8*'Обобщенный расчет'!$C$8*30*CHOOSE('Обобщенный расчет'!$N$1,'Исходные данные'!$C$26,'Исходные данные'!$G$26)</f>
        <v>27945</v>
      </c>
      <c r="AO26" s="35">
        <f>AO$7*AO$8*'Обобщенный расчет'!$A$8*'Обобщенный расчет'!$C$8*30*CHOOSE('Обобщенный расчет'!$N$1,'Исходные данные'!$C$26,'Исходные данные'!$G$26)</f>
        <v>27945</v>
      </c>
      <c r="AP26" s="35">
        <f>AP$7*AP$8*'Обобщенный расчет'!$A$8*'Обобщенный расчет'!$C$8*30*CHOOSE('Обобщенный расчет'!$N$1,'Исходные данные'!$C$26,'Исходные данные'!$G$26)</f>
        <v>27945</v>
      </c>
      <c r="AQ26" s="51">
        <f t="shared" si="14"/>
        <v>335340</v>
      </c>
      <c r="AR26" s="51">
        <f t="shared" si="10"/>
        <v>27945</v>
      </c>
      <c r="AS26" s="113">
        <f t="shared" si="15"/>
        <v>857911.5</v>
      </c>
      <c r="AT26" s="36"/>
      <c r="AU26" s="86"/>
      <c r="AV26" s="34"/>
    </row>
    <row r="27" spans="1:48" s="34" customFormat="1" ht="10.5" x14ac:dyDescent="0.2">
      <c r="A27" s="180" t="str">
        <f>'Исходные данные'!A27</f>
        <v>Массаж - Косметология</v>
      </c>
      <c r="B27" s="20" t="str">
        <f>CHOOSE('Исходные данные'!$O$2,'Исходные данные'!$P$2,'Исходные данные'!$P$3,'Исходные данные'!$P$4,'Исходные данные'!$P$5)</f>
        <v>UAH</v>
      </c>
      <c r="C27" s="32">
        <f>C$7*C$8*'Обобщенный расчет'!$A$8*'Обобщенный расчет'!$C$8*30*CHOOSE('Обобщенный расчет'!$N$1,'Исходные данные'!$C$27,'Исходные данные'!$G$27)</f>
        <v>26082.000000000004</v>
      </c>
      <c r="D27" s="32">
        <f>D$7*D$8*'Обобщенный расчет'!$A$8*'Обобщенный расчет'!$C$8*30*CHOOSE('Обобщенный расчет'!$N$1,'Исходные данные'!$C$27,'Исходные данные'!$G$27)</f>
        <v>30429</v>
      </c>
      <c r="E27" s="32">
        <f>E$7*E$8*'Обобщенный расчет'!$A$8*'Обобщенный расчет'!$C$8*30*CHOOSE('Обобщенный расчет'!$N$1,'Исходные данные'!$C$27,'Исходные данные'!$G$27)</f>
        <v>34776</v>
      </c>
      <c r="F27" s="32">
        <f>F$7*F$8*'Обобщенный расчет'!$A$8*'Обобщенный расчет'!$C$8*30*CHOOSE('Обобщенный расчет'!$N$1,'Исходные данные'!$C$27,'Исходные данные'!$G$27)</f>
        <v>39123.000000000007</v>
      </c>
      <c r="G27" s="32">
        <f>G$7*G$8*'Обобщенный расчет'!$A$8*'Обобщенный расчет'!$C$8*30*CHOOSE('Обобщенный расчет'!$N$1,'Исходные данные'!$C$27,'Исходные данные'!$G$27)</f>
        <v>43470.000000000007</v>
      </c>
      <c r="H27" s="32">
        <f>H$7*H$8*'Обобщенный расчет'!$A$8*'Обобщенный расчет'!$C$8*30*CHOOSE('Обобщенный расчет'!$N$1,'Исходные данные'!$C$27,'Исходные данные'!$G$27)</f>
        <v>43470.000000000007</v>
      </c>
      <c r="I27" s="32">
        <f>I$7*I$8*'Обобщенный расчет'!$A$8*'Обобщенный расчет'!$C$8*30*CHOOSE('Обобщенный расчет'!$N$1,'Исходные данные'!$C$27,'Исходные данные'!$G$27)</f>
        <v>45643.500000000007</v>
      </c>
      <c r="J27" s="32">
        <f>J$7*J$8*'Обобщенный расчет'!$A$8*'Обобщенный расчет'!$C$8*30*CHOOSE('Обобщенный расчет'!$N$1,'Исходные данные'!$C$27,'Исходные данные'!$G$27)</f>
        <v>47817.000000000015</v>
      </c>
      <c r="K27" s="32">
        <f>K$7*K$8*'Обобщенный расчет'!$A$8*'Обобщенный расчет'!$C$8*30*CHOOSE('Обобщенный расчет'!$N$1,'Исходные данные'!$C$27,'Исходные данные'!$G$27)</f>
        <v>47817.000000000015</v>
      </c>
      <c r="L27" s="32">
        <f>L$7*L$8*'Обобщенный расчет'!$A$8*'Обобщенный расчет'!$C$8*30*CHOOSE('Обобщенный расчет'!$N$1,'Исходные данные'!$C$27,'Исходные данные'!$G$27)</f>
        <v>49990.5</v>
      </c>
      <c r="M27" s="32">
        <f>M$7*M$8*'Обобщенный расчет'!$A$8*'Обобщенный расчет'!$C$8*30*CHOOSE('Обобщенный расчет'!$N$1,'Исходные данные'!$C$27,'Исходные данные'!$G$27)</f>
        <v>52164.000000000007</v>
      </c>
      <c r="N27" s="32">
        <f>N$7*N$8*'Обобщенный расчет'!$A$8*'Обобщенный расчет'!$C$8*30*CHOOSE('Обобщенный расчет'!$N$1,'Исходные данные'!$C$27,'Исходные данные'!$G$27)</f>
        <v>54337.500000000007</v>
      </c>
      <c r="O27" s="106">
        <f t="shared" si="12"/>
        <v>515119.5</v>
      </c>
      <c r="P27" s="106">
        <f t="shared" si="6"/>
        <v>42926.625</v>
      </c>
      <c r="Q27" s="32">
        <f>Q$7*Q$8*'Обобщенный расчет'!$A$8*'Обобщенный расчет'!$C$8*30*CHOOSE('Обобщенный расчет'!$N$1,'Исходные данные'!$C$27,'Исходные данные'!$G$27)</f>
        <v>58684.500000000015</v>
      </c>
      <c r="R27" s="32">
        <f>R$7*R$8*'Обобщенный расчет'!$A$8*'Обобщенный расчет'!$C$8*30*CHOOSE('Обобщенный расчет'!$N$1,'Исходные данные'!$C$27,'Исходные данные'!$G$27)</f>
        <v>58684.500000000015</v>
      </c>
      <c r="S27" s="32">
        <f>S$7*S$8*'Обобщенный расчет'!$A$8*'Обобщенный расчет'!$C$8*30*CHOOSE('Обобщенный расчет'!$N$1,'Исходные данные'!$C$27,'Исходные данные'!$G$27)</f>
        <v>58684.500000000015</v>
      </c>
      <c r="T27" s="32">
        <f>T$7*T$8*'Обобщенный расчет'!$A$8*'Обобщенный расчет'!$C$8*30*CHOOSE('Обобщенный расчет'!$N$1,'Исходные данные'!$C$27,'Исходные данные'!$G$27)</f>
        <v>58684.500000000015</v>
      </c>
      <c r="U27" s="32">
        <f>U$7*U$8*'Обобщенный расчет'!$A$8*'Обобщенный расчет'!$C$8*30*CHOOSE('Обобщенный расчет'!$N$1,'Исходные данные'!$C$27,'Исходные данные'!$G$27)</f>
        <v>58684.500000000015</v>
      </c>
      <c r="V27" s="32">
        <f>V$7*V$8*'Обобщенный расчет'!$A$8*'Обобщенный расчет'!$C$8*30*CHOOSE('Обобщенный расчет'!$N$1,'Исходные данные'!$C$27,'Исходные данные'!$G$27)</f>
        <v>58684.500000000015</v>
      </c>
      <c r="W27" s="32">
        <f>W$7*W$8*'Обобщенный расчет'!$A$8*'Обобщенный расчет'!$C$8*30*CHOOSE('Обобщенный расчет'!$N$1,'Исходные данные'!$C$27,'Исходные данные'!$G$27)</f>
        <v>58684.500000000015</v>
      </c>
      <c r="X27" s="32">
        <f>X$7*X$8*'Обобщенный расчет'!$A$8*'Обобщенный расчет'!$C$8*30*CHOOSE('Обобщенный расчет'!$N$1,'Исходные данные'!$C$27,'Исходные данные'!$G$27)</f>
        <v>58684.500000000015</v>
      </c>
      <c r="Y27" s="32">
        <f>Y$7*Y$8*'Обобщенный расчет'!$A$8*'Обобщенный расчет'!$C$8*30*CHOOSE('Обобщенный расчет'!$N$1,'Исходные данные'!$C$27,'Исходные данные'!$G$27)</f>
        <v>58684.500000000015</v>
      </c>
      <c r="Z27" s="32">
        <f>Z$7*Z$8*'Обобщенный расчет'!$A$8*'Обобщенный расчет'!$C$8*30*CHOOSE('Обобщенный расчет'!$N$1,'Исходные данные'!$C$27,'Исходные данные'!$G$27)</f>
        <v>58684.500000000015</v>
      </c>
      <c r="AA27" s="32">
        <f>AA$7*AA$8*'Обобщенный расчет'!$A$8*'Обобщенный расчет'!$C$8*30*CHOOSE('Обобщенный расчет'!$N$1,'Исходные данные'!$C$27,'Исходные данные'!$G$27)</f>
        <v>58684.500000000015</v>
      </c>
      <c r="AB27" s="32">
        <f>AB$7*AB$8*'Обобщенный расчет'!$A$8*'Обобщенный расчет'!$C$8*30*CHOOSE('Обобщенный расчет'!$N$1,'Исходные данные'!$C$27,'Исходные данные'!$G$27)</f>
        <v>58684.500000000015</v>
      </c>
      <c r="AC27" s="106">
        <f t="shared" si="13"/>
        <v>704214.00000000012</v>
      </c>
      <c r="AD27" s="106">
        <f t="shared" si="8"/>
        <v>58684.500000000007</v>
      </c>
      <c r="AE27" s="32">
        <f>AE$7*AE$8*'Обобщенный расчет'!$A$8*'Обобщенный расчет'!$C$8*30*CHOOSE('Обобщенный расчет'!$N$1,'Исходные данные'!$C$27,'Исходные данные'!$G$27)</f>
        <v>65205.000000000007</v>
      </c>
      <c r="AF27" s="32">
        <f>AF$7*AF$8*'Обобщенный расчет'!$A$8*'Обобщенный расчет'!$C$8*30*CHOOSE('Обобщенный расчет'!$N$1,'Исходные данные'!$C$27,'Исходные данные'!$G$27)</f>
        <v>65205.000000000007</v>
      </c>
      <c r="AG27" s="32">
        <f>AG$7*AG$8*'Обобщенный расчет'!$A$8*'Обобщенный расчет'!$C$8*30*CHOOSE('Обобщенный расчет'!$N$1,'Исходные данные'!$C$27,'Исходные данные'!$G$27)</f>
        <v>65205.000000000007</v>
      </c>
      <c r="AH27" s="32">
        <f>AH$7*AH$8*'Обобщенный расчет'!$A$8*'Обобщенный расчет'!$C$8*30*CHOOSE('Обобщенный расчет'!$N$1,'Исходные данные'!$C$27,'Исходные данные'!$G$27)</f>
        <v>65205.000000000007</v>
      </c>
      <c r="AI27" s="32">
        <f>AI$7*AI$8*'Обобщенный расчет'!$A$8*'Обобщенный расчет'!$C$8*30*CHOOSE('Обобщенный расчет'!$N$1,'Исходные данные'!$C$27,'Исходные данные'!$G$27)</f>
        <v>65205.000000000007</v>
      </c>
      <c r="AJ27" s="32">
        <f>AJ$7*AJ$8*'Обобщенный расчет'!$A$8*'Обобщенный расчет'!$C$8*30*CHOOSE('Обобщенный расчет'!$N$1,'Исходные данные'!$C$27,'Исходные данные'!$G$27)</f>
        <v>65205.000000000007</v>
      </c>
      <c r="AK27" s="32">
        <f>AK$7*AK$8*'Обобщенный расчет'!$A$8*'Обобщенный расчет'!$C$8*30*CHOOSE('Обобщенный расчет'!$N$1,'Исходные данные'!$C$27,'Исходные данные'!$G$27)</f>
        <v>65205.000000000007</v>
      </c>
      <c r="AL27" s="32">
        <f>AL$7*AL$8*'Обобщенный расчет'!$A$8*'Обобщенный расчет'!$C$8*30*CHOOSE('Обобщенный расчет'!$N$1,'Исходные данные'!$C$27,'Исходные данные'!$G$27)</f>
        <v>65205.000000000007</v>
      </c>
      <c r="AM27" s="32">
        <f>AM$7*AM$8*'Обобщенный расчет'!$A$8*'Обобщенный расчет'!$C$8*30*CHOOSE('Обобщенный расчет'!$N$1,'Исходные данные'!$C$27,'Исходные данные'!$G$27)</f>
        <v>65205.000000000007</v>
      </c>
      <c r="AN27" s="32">
        <f>AN$7*AN$8*'Обобщенный расчет'!$A$8*'Обобщенный расчет'!$C$8*30*CHOOSE('Обобщенный расчет'!$N$1,'Исходные данные'!$C$27,'Исходные данные'!$G$27)</f>
        <v>65205.000000000007</v>
      </c>
      <c r="AO27" s="32">
        <f>AO$7*AO$8*'Обобщенный расчет'!$A$8*'Обобщенный расчет'!$C$8*30*CHOOSE('Обобщенный расчет'!$N$1,'Исходные данные'!$C$27,'Исходные данные'!$G$27)</f>
        <v>65205.000000000007</v>
      </c>
      <c r="AP27" s="32">
        <f>AP$7*AP$8*'Обобщенный расчет'!$A$8*'Обобщенный расчет'!$C$8*30*CHOOSE('Обобщенный расчет'!$N$1,'Исходные данные'!$C$27,'Исходные данные'!$G$27)</f>
        <v>65205.000000000007</v>
      </c>
      <c r="AQ27" s="106">
        <f t="shared" si="14"/>
        <v>782460.00000000012</v>
      </c>
      <c r="AR27" s="106">
        <f t="shared" si="10"/>
        <v>65205.000000000007</v>
      </c>
      <c r="AS27" s="113">
        <f t="shared" si="15"/>
        <v>2001793.5</v>
      </c>
      <c r="AT27" s="33"/>
      <c r="AU27" s="86"/>
    </row>
    <row r="28" spans="1:48" s="37" customFormat="1" ht="10.5" x14ac:dyDescent="0.2">
      <c r="A28" s="181" t="str">
        <f>'Исходные данные'!A28</f>
        <v>Товарные группы</v>
      </c>
      <c r="B28" s="23" t="str">
        <f>CHOOSE('Исходные данные'!$O$2,'Исходные данные'!$P$2,'Исходные данные'!$P$3,'Исходные данные'!$P$4,'Исходные данные'!$P$5)</f>
        <v>UAH</v>
      </c>
      <c r="C28" s="35">
        <f>C$7*C$8*'Обобщенный расчет'!$A$8*'Обобщенный расчет'!$C$8*30*CHOOSE('Обобщенный расчет'!$N$1,'Исходные данные'!$C$28,'Исходные данные'!$G$28)</f>
        <v>52164.000000000007</v>
      </c>
      <c r="D28" s="35">
        <f>D$7*D$8*'Обобщенный расчет'!$A$8*'Обобщенный расчет'!$C$8*30*CHOOSE('Обобщенный расчет'!$N$1,'Исходные данные'!$C$28,'Исходные данные'!$G$28)</f>
        <v>60858</v>
      </c>
      <c r="E28" s="35">
        <f>E$7*E$8*'Обобщенный расчет'!$A$8*'Обобщенный расчет'!$C$8*30*CHOOSE('Обобщенный расчет'!$N$1,'Исходные данные'!$C$28,'Исходные данные'!$G$28)</f>
        <v>69552</v>
      </c>
      <c r="F28" s="35">
        <f>F$7*F$8*'Обобщенный расчет'!$A$8*'Обобщенный расчет'!$C$8*30*CHOOSE('Обобщенный расчет'!$N$1,'Исходные данные'!$C$28,'Исходные данные'!$G$28)</f>
        <v>78246.000000000015</v>
      </c>
      <c r="G28" s="35">
        <f>G$7*G$8*'Обобщенный расчет'!$A$8*'Обобщенный расчет'!$C$8*30*CHOOSE('Обобщенный расчет'!$N$1,'Исходные данные'!$C$28,'Исходные данные'!$G$28)</f>
        <v>86940.000000000015</v>
      </c>
      <c r="H28" s="35">
        <f>H$7*H$8*'Обобщенный расчет'!$A$8*'Обобщенный расчет'!$C$8*30*CHOOSE('Обобщенный расчет'!$N$1,'Исходные данные'!$C$28,'Исходные данные'!$G$28)</f>
        <v>86940.000000000015</v>
      </c>
      <c r="I28" s="35">
        <f>I$7*I$8*'Обобщенный расчет'!$A$8*'Обобщенный расчет'!$C$8*30*CHOOSE('Обобщенный расчет'!$N$1,'Исходные данные'!$C$28,'Исходные данные'!$G$28)</f>
        <v>91287.000000000015</v>
      </c>
      <c r="J28" s="35">
        <f>J$7*J$8*'Обобщенный расчет'!$A$8*'Обобщенный расчет'!$C$8*30*CHOOSE('Обобщенный расчет'!$N$1,'Исходные данные'!$C$28,'Исходные данные'!$G$28)</f>
        <v>95634.000000000029</v>
      </c>
      <c r="K28" s="35">
        <f>K$7*K$8*'Обобщенный расчет'!$A$8*'Обобщенный расчет'!$C$8*30*CHOOSE('Обобщенный расчет'!$N$1,'Исходные данные'!$C$28,'Исходные данные'!$G$28)</f>
        <v>95634.000000000029</v>
      </c>
      <c r="L28" s="35">
        <f>L$7*L$8*'Обобщенный расчет'!$A$8*'Обобщенный расчет'!$C$8*30*CHOOSE('Обобщенный расчет'!$N$1,'Исходные данные'!$C$28,'Исходные данные'!$G$28)</f>
        <v>99981</v>
      </c>
      <c r="M28" s="35">
        <f>M$7*M$8*'Обобщенный расчет'!$A$8*'Обобщенный расчет'!$C$8*30*CHOOSE('Обобщенный расчет'!$N$1,'Исходные данные'!$C$28,'Исходные данные'!$G$28)</f>
        <v>104328.00000000001</v>
      </c>
      <c r="N28" s="35">
        <f>N$7*N$8*'Обобщенный расчет'!$A$8*'Обобщенный расчет'!$C$8*30*CHOOSE('Обобщенный расчет'!$N$1,'Исходные данные'!$C$28,'Исходные данные'!$G$28)</f>
        <v>108675.00000000001</v>
      </c>
      <c r="O28" s="51">
        <f t="shared" si="12"/>
        <v>1030239</v>
      </c>
      <c r="P28" s="51">
        <f t="shared" si="6"/>
        <v>85853.25</v>
      </c>
      <c r="Q28" s="35">
        <f>Q$7*Q$8*'Обобщенный расчет'!$A$8*'Обобщенный расчет'!$C$8*30*CHOOSE('Обобщенный расчет'!$N$1,'Исходные данные'!$C$28,'Исходные данные'!$G$28)</f>
        <v>117369.00000000003</v>
      </c>
      <c r="R28" s="35">
        <f>R$7*R$8*'Обобщенный расчет'!$A$8*'Обобщенный расчет'!$C$8*30*CHOOSE('Обобщенный расчет'!$N$1,'Исходные данные'!$C$28,'Исходные данные'!$G$28)</f>
        <v>117369.00000000003</v>
      </c>
      <c r="S28" s="35">
        <f>S$7*S$8*'Обобщенный расчет'!$A$8*'Обобщенный расчет'!$C$8*30*CHOOSE('Обобщенный расчет'!$N$1,'Исходные данные'!$C$28,'Исходные данные'!$G$28)</f>
        <v>117369.00000000003</v>
      </c>
      <c r="T28" s="35">
        <f>T$7*T$8*'Обобщенный расчет'!$A$8*'Обобщенный расчет'!$C$8*30*CHOOSE('Обобщенный расчет'!$N$1,'Исходные данные'!$C$28,'Исходные данные'!$G$28)</f>
        <v>117369.00000000003</v>
      </c>
      <c r="U28" s="35">
        <f>U$7*U$8*'Обобщенный расчет'!$A$8*'Обобщенный расчет'!$C$8*30*CHOOSE('Обобщенный расчет'!$N$1,'Исходные данные'!$C$28,'Исходные данные'!$G$28)</f>
        <v>117369.00000000003</v>
      </c>
      <c r="V28" s="35">
        <f>V$7*V$8*'Обобщенный расчет'!$A$8*'Обобщенный расчет'!$C$8*30*CHOOSE('Обобщенный расчет'!$N$1,'Исходные данные'!$C$28,'Исходные данные'!$G$28)</f>
        <v>117369.00000000003</v>
      </c>
      <c r="W28" s="35">
        <f>W$7*W$8*'Обобщенный расчет'!$A$8*'Обобщенный расчет'!$C$8*30*CHOOSE('Обобщенный расчет'!$N$1,'Исходные данные'!$C$28,'Исходные данные'!$G$28)</f>
        <v>117369.00000000003</v>
      </c>
      <c r="X28" s="35">
        <f>X$7*X$8*'Обобщенный расчет'!$A$8*'Обобщенный расчет'!$C$8*30*CHOOSE('Обобщенный расчет'!$N$1,'Исходные данные'!$C$28,'Исходные данные'!$G$28)</f>
        <v>117369.00000000003</v>
      </c>
      <c r="Y28" s="35">
        <f>Y$7*Y$8*'Обобщенный расчет'!$A$8*'Обобщенный расчет'!$C$8*30*CHOOSE('Обобщенный расчет'!$N$1,'Исходные данные'!$C$28,'Исходные данные'!$G$28)</f>
        <v>117369.00000000003</v>
      </c>
      <c r="Z28" s="35">
        <f>Z$7*Z$8*'Обобщенный расчет'!$A$8*'Обобщенный расчет'!$C$8*30*CHOOSE('Обобщенный расчет'!$N$1,'Исходные данные'!$C$28,'Исходные данные'!$G$28)</f>
        <v>117369.00000000003</v>
      </c>
      <c r="AA28" s="35">
        <f>AA$7*AA$8*'Обобщенный расчет'!$A$8*'Обобщенный расчет'!$C$8*30*CHOOSE('Обобщенный расчет'!$N$1,'Исходные данные'!$C$28,'Исходные данные'!$G$28)</f>
        <v>117369.00000000003</v>
      </c>
      <c r="AB28" s="35">
        <f>AB$7*AB$8*'Обобщенный расчет'!$A$8*'Обобщенный расчет'!$C$8*30*CHOOSE('Обобщенный расчет'!$N$1,'Исходные данные'!$C$28,'Исходные данные'!$G$28)</f>
        <v>117369.00000000003</v>
      </c>
      <c r="AC28" s="51">
        <f t="shared" si="13"/>
        <v>1408428.0000000002</v>
      </c>
      <c r="AD28" s="51">
        <f t="shared" si="8"/>
        <v>117369.00000000001</v>
      </c>
      <c r="AE28" s="35">
        <f>AE$7*AE$8*'Обобщенный расчет'!$A$8*'Обобщенный расчет'!$C$8*30*CHOOSE('Обобщенный расчет'!$N$1,'Исходные данные'!$C$28,'Исходные данные'!$G$28)</f>
        <v>130410.00000000001</v>
      </c>
      <c r="AF28" s="35">
        <f>AF$7*AF$8*'Обобщенный расчет'!$A$8*'Обобщенный расчет'!$C$8*30*CHOOSE('Обобщенный расчет'!$N$1,'Исходные данные'!$C$28,'Исходные данные'!$G$28)</f>
        <v>130410.00000000001</v>
      </c>
      <c r="AG28" s="35">
        <f>AG$7*AG$8*'Обобщенный расчет'!$A$8*'Обобщенный расчет'!$C$8*30*CHOOSE('Обобщенный расчет'!$N$1,'Исходные данные'!$C$28,'Исходные данные'!$G$28)</f>
        <v>130410.00000000001</v>
      </c>
      <c r="AH28" s="35">
        <f>AH$7*AH$8*'Обобщенный расчет'!$A$8*'Обобщенный расчет'!$C$8*30*CHOOSE('Обобщенный расчет'!$N$1,'Исходные данные'!$C$28,'Исходные данные'!$G$28)</f>
        <v>130410.00000000001</v>
      </c>
      <c r="AI28" s="35">
        <f>AI$7*AI$8*'Обобщенный расчет'!$A$8*'Обобщенный расчет'!$C$8*30*CHOOSE('Обобщенный расчет'!$N$1,'Исходные данные'!$C$28,'Исходные данные'!$G$28)</f>
        <v>130410.00000000001</v>
      </c>
      <c r="AJ28" s="35">
        <f>AJ$7*AJ$8*'Обобщенный расчет'!$A$8*'Обобщенный расчет'!$C$8*30*CHOOSE('Обобщенный расчет'!$N$1,'Исходные данные'!$C$28,'Исходные данные'!$G$28)</f>
        <v>130410.00000000001</v>
      </c>
      <c r="AK28" s="35">
        <f>AK$7*AK$8*'Обобщенный расчет'!$A$8*'Обобщенный расчет'!$C$8*30*CHOOSE('Обобщенный расчет'!$N$1,'Исходные данные'!$C$28,'Исходные данные'!$G$28)</f>
        <v>130410.00000000001</v>
      </c>
      <c r="AL28" s="35">
        <f>AL$7*AL$8*'Обобщенный расчет'!$A$8*'Обобщенный расчет'!$C$8*30*CHOOSE('Обобщенный расчет'!$N$1,'Исходные данные'!$C$28,'Исходные данные'!$G$28)</f>
        <v>130410.00000000001</v>
      </c>
      <c r="AM28" s="35">
        <f>AM$7*AM$8*'Обобщенный расчет'!$A$8*'Обобщенный расчет'!$C$8*30*CHOOSE('Обобщенный расчет'!$N$1,'Исходные данные'!$C$28,'Исходные данные'!$G$28)</f>
        <v>130410.00000000001</v>
      </c>
      <c r="AN28" s="35">
        <f>AN$7*AN$8*'Обобщенный расчет'!$A$8*'Обобщенный расчет'!$C$8*30*CHOOSE('Обобщенный расчет'!$N$1,'Исходные данные'!$C$28,'Исходные данные'!$G$28)</f>
        <v>130410.00000000001</v>
      </c>
      <c r="AO28" s="35">
        <f>AO$7*AO$8*'Обобщенный расчет'!$A$8*'Обобщенный расчет'!$C$8*30*CHOOSE('Обобщенный расчет'!$N$1,'Исходные данные'!$C$28,'Исходные данные'!$G$28)</f>
        <v>130410.00000000001</v>
      </c>
      <c r="AP28" s="35">
        <f>AP$7*AP$8*'Обобщенный расчет'!$A$8*'Обобщенный расчет'!$C$8*30*CHOOSE('Обобщенный расчет'!$N$1,'Исходные данные'!$C$28,'Исходные данные'!$G$28)</f>
        <v>130410.00000000001</v>
      </c>
      <c r="AQ28" s="51">
        <f t="shared" si="14"/>
        <v>1564920.0000000002</v>
      </c>
      <c r="AR28" s="51">
        <f t="shared" si="10"/>
        <v>130410.00000000001</v>
      </c>
      <c r="AS28" s="113">
        <f t="shared" si="15"/>
        <v>4003587</v>
      </c>
      <c r="AT28" s="36"/>
      <c r="AU28" s="86"/>
      <c r="AV28" s="34"/>
    </row>
    <row r="29" spans="1:48" s="26" customFormat="1" ht="10.5" x14ac:dyDescent="0.2">
      <c r="A29" s="27" t="s">
        <v>3</v>
      </c>
      <c r="B29" s="28" t="str">
        <f>CHOOSE('Исходные данные'!$O$2,'Исходные данные'!$P$2,'Исходные данные'!$P$3,'Исходные данные'!$P$4,'Исходные данные'!$P$5)</f>
        <v>UAH</v>
      </c>
      <c r="C29" s="95">
        <f>SUM(C17:C28)</f>
        <v>372600</v>
      </c>
      <c r="D29" s="95">
        <f t="shared" ref="D29:AS29" si="16">SUM(D17:D28)</f>
        <v>434699.99999999994</v>
      </c>
      <c r="E29" s="95">
        <f t="shared" si="16"/>
        <v>496800</v>
      </c>
      <c r="F29" s="95">
        <f t="shared" si="16"/>
        <v>558900</v>
      </c>
      <c r="G29" s="95">
        <f t="shared" si="16"/>
        <v>621000</v>
      </c>
      <c r="H29" s="95">
        <f t="shared" si="16"/>
        <v>621000</v>
      </c>
      <c r="I29" s="95">
        <f t="shared" si="16"/>
        <v>652050</v>
      </c>
      <c r="J29" s="95">
        <f t="shared" si="16"/>
        <v>683100.00000000012</v>
      </c>
      <c r="K29" s="95">
        <f t="shared" si="16"/>
        <v>683100.00000000012</v>
      </c>
      <c r="L29" s="95">
        <f t="shared" si="16"/>
        <v>714149.99999999988</v>
      </c>
      <c r="M29" s="95">
        <f t="shared" si="16"/>
        <v>745200</v>
      </c>
      <c r="N29" s="95">
        <f t="shared" si="16"/>
        <v>776250</v>
      </c>
      <c r="O29" s="95">
        <f t="shared" si="16"/>
        <v>7358850</v>
      </c>
      <c r="P29" s="95">
        <f t="shared" si="16"/>
        <v>613237.5</v>
      </c>
      <c r="Q29" s="95">
        <f t="shared" si="16"/>
        <v>838350.00000000012</v>
      </c>
      <c r="R29" s="95">
        <f t="shared" si="16"/>
        <v>838350.00000000012</v>
      </c>
      <c r="S29" s="95">
        <f t="shared" si="16"/>
        <v>838350.00000000012</v>
      </c>
      <c r="T29" s="95">
        <f t="shared" si="16"/>
        <v>838350.00000000012</v>
      </c>
      <c r="U29" s="95">
        <f t="shared" si="16"/>
        <v>838350.00000000012</v>
      </c>
      <c r="V29" s="95">
        <f t="shared" si="16"/>
        <v>838350.00000000012</v>
      </c>
      <c r="W29" s="95">
        <f t="shared" si="16"/>
        <v>838350.00000000012</v>
      </c>
      <c r="X29" s="95">
        <f t="shared" si="16"/>
        <v>838350.00000000012</v>
      </c>
      <c r="Y29" s="95">
        <f t="shared" si="16"/>
        <v>838350.00000000012</v>
      </c>
      <c r="Z29" s="95">
        <f t="shared" si="16"/>
        <v>838350.00000000012</v>
      </c>
      <c r="AA29" s="95">
        <f t="shared" si="16"/>
        <v>838350.00000000012</v>
      </c>
      <c r="AB29" s="95">
        <f t="shared" si="16"/>
        <v>838350.00000000012</v>
      </c>
      <c r="AC29" s="95">
        <f t="shared" si="16"/>
        <v>10060200.000000002</v>
      </c>
      <c r="AD29" s="95">
        <f t="shared" si="16"/>
        <v>838350.00000000012</v>
      </c>
      <c r="AE29" s="95">
        <f t="shared" si="16"/>
        <v>931500</v>
      </c>
      <c r="AF29" s="95">
        <f t="shared" si="16"/>
        <v>931500</v>
      </c>
      <c r="AG29" s="95">
        <f t="shared" si="16"/>
        <v>931500</v>
      </c>
      <c r="AH29" s="95">
        <f t="shared" si="16"/>
        <v>931500</v>
      </c>
      <c r="AI29" s="95">
        <f t="shared" si="16"/>
        <v>931500</v>
      </c>
      <c r="AJ29" s="95">
        <f t="shared" si="16"/>
        <v>931500</v>
      </c>
      <c r="AK29" s="95">
        <f t="shared" si="16"/>
        <v>931500</v>
      </c>
      <c r="AL29" s="95">
        <f t="shared" si="16"/>
        <v>931500</v>
      </c>
      <c r="AM29" s="95">
        <f t="shared" si="16"/>
        <v>931500</v>
      </c>
      <c r="AN29" s="95">
        <f t="shared" si="16"/>
        <v>931500</v>
      </c>
      <c r="AO29" s="95">
        <f t="shared" si="16"/>
        <v>931500</v>
      </c>
      <c r="AP29" s="95">
        <f t="shared" si="16"/>
        <v>931500</v>
      </c>
      <c r="AQ29" s="95">
        <f t="shared" si="16"/>
        <v>11178000</v>
      </c>
      <c r="AR29" s="95">
        <f t="shared" si="16"/>
        <v>931500</v>
      </c>
      <c r="AS29" s="95">
        <f t="shared" si="16"/>
        <v>28597050</v>
      </c>
      <c r="AT29" s="25"/>
      <c r="AV29" s="34"/>
    </row>
    <row r="30" spans="1:48" s="19" customFormat="1" ht="11" thickBot="1" x14ac:dyDescent="0.3">
      <c r="A30" s="29"/>
      <c r="B30" s="30"/>
      <c r="C30" s="31"/>
      <c r="D30" s="29"/>
      <c r="E30" s="29"/>
      <c r="F30" s="29"/>
      <c r="G30" s="29"/>
      <c r="H30" s="29"/>
      <c r="I30" s="29"/>
      <c r="J30" s="29"/>
      <c r="O30" s="54"/>
      <c r="P30" s="54"/>
      <c r="Q30" s="31"/>
      <c r="R30" s="29"/>
      <c r="S30" s="29"/>
      <c r="T30" s="29"/>
      <c r="U30" s="29"/>
      <c r="V30" s="29"/>
      <c r="W30" s="29"/>
      <c r="X30" s="29"/>
      <c r="AC30" s="54"/>
      <c r="AD30" s="54"/>
      <c r="AE30" s="31"/>
      <c r="AF30" s="29"/>
      <c r="AG30" s="29"/>
      <c r="AH30" s="29"/>
      <c r="AI30" s="29"/>
      <c r="AJ30" s="29"/>
      <c r="AK30" s="29"/>
      <c r="AL30" s="29"/>
      <c r="AQ30" s="54"/>
      <c r="AR30" s="54"/>
    </row>
    <row r="31" spans="1:48" s="19" customFormat="1" ht="22" thickTop="1" thickBot="1" x14ac:dyDescent="0.25">
      <c r="A31" s="17" t="s">
        <v>122</v>
      </c>
      <c r="B31" s="18"/>
      <c r="C31" s="91" t="str">
        <f t="shared" ref="C31:N31" si="17">C$6</f>
        <v>октябрь</v>
      </c>
      <c r="D31" s="91" t="str">
        <f t="shared" si="17"/>
        <v>ноябрь</v>
      </c>
      <c r="E31" s="91" t="str">
        <f t="shared" si="17"/>
        <v>декабрь</v>
      </c>
      <c r="F31" s="91" t="str">
        <f t="shared" si="17"/>
        <v>январь</v>
      </c>
      <c r="G31" s="91" t="str">
        <f t="shared" si="17"/>
        <v>февраль</v>
      </c>
      <c r="H31" s="91" t="str">
        <f t="shared" si="17"/>
        <v>март</v>
      </c>
      <c r="I31" s="91" t="str">
        <f t="shared" si="17"/>
        <v>апрель</v>
      </c>
      <c r="J31" s="91" t="str">
        <f t="shared" si="17"/>
        <v>май</v>
      </c>
      <c r="K31" s="91" t="str">
        <f t="shared" si="17"/>
        <v>июнь</v>
      </c>
      <c r="L31" s="91" t="str">
        <f t="shared" si="17"/>
        <v>июль</v>
      </c>
      <c r="M31" s="91" t="str">
        <f t="shared" si="17"/>
        <v>август</v>
      </c>
      <c r="N31" s="91" t="str">
        <f t="shared" si="17"/>
        <v>сентябрь</v>
      </c>
      <c r="O31" s="199" t="s">
        <v>36</v>
      </c>
      <c r="P31" s="199" t="s">
        <v>37</v>
      </c>
      <c r="Q31" s="91" t="str">
        <f t="shared" ref="Q31:AB31" si="18">Q$6</f>
        <v>октябрь</v>
      </c>
      <c r="R31" s="91" t="str">
        <f t="shared" si="18"/>
        <v>ноябрь</v>
      </c>
      <c r="S31" s="91" t="str">
        <f t="shared" si="18"/>
        <v>декабрь</v>
      </c>
      <c r="T31" s="91" t="str">
        <f t="shared" si="18"/>
        <v>январь</v>
      </c>
      <c r="U31" s="91" t="str">
        <f t="shared" si="18"/>
        <v>февраль</v>
      </c>
      <c r="V31" s="91" t="str">
        <f t="shared" si="18"/>
        <v>март</v>
      </c>
      <c r="W31" s="91" t="str">
        <f t="shared" si="18"/>
        <v>апрель</v>
      </c>
      <c r="X31" s="91" t="str">
        <f t="shared" si="18"/>
        <v>май</v>
      </c>
      <c r="Y31" s="91" t="str">
        <f t="shared" si="18"/>
        <v>июнь</v>
      </c>
      <c r="Z31" s="91" t="str">
        <f t="shared" si="18"/>
        <v>июль</v>
      </c>
      <c r="AA31" s="91" t="str">
        <f t="shared" si="18"/>
        <v>август</v>
      </c>
      <c r="AB31" s="91" t="str">
        <f t="shared" si="18"/>
        <v>сентябрь</v>
      </c>
      <c r="AC31" s="199" t="s">
        <v>39</v>
      </c>
      <c r="AD31" s="199" t="s">
        <v>38</v>
      </c>
      <c r="AE31" s="91" t="str">
        <f t="shared" ref="AE31:AP31" si="19">AE$6</f>
        <v>октябрь</v>
      </c>
      <c r="AF31" s="91" t="str">
        <f t="shared" si="19"/>
        <v>ноябрь</v>
      </c>
      <c r="AG31" s="91" t="str">
        <f t="shared" si="19"/>
        <v>декабрь</v>
      </c>
      <c r="AH31" s="91" t="str">
        <f t="shared" si="19"/>
        <v>январь</v>
      </c>
      <c r="AI31" s="91" t="str">
        <f t="shared" si="19"/>
        <v>февраль</v>
      </c>
      <c r="AJ31" s="91" t="str">
        <f t="shared" si="19"/>
        <v>март</v>
      </c>
      <c r="AK31" s="91" t="str">
        <f t="shared" si="19"/>
        <v>апрель</v>
      </c>
      <c r="AL31" s="91" t="str">
        <f t="shared" si="19"/>
        <v>май</v>
      </c>
      <c r="AM31" s="91" t="str">
        <f t="shared" si="19"/>
        <v>июнь</v>
      </c>
      <c r="AN31" s="91" t="str">
        <f t="shared" si="19"/>
        <v>июль</v>
      </c>
      <c r="AO31" s="91" t="str">
        <f t="shared" si="19"/>
        <v>август</v>
      </c>
      <c r="AP31" s="91" t="str">
        <f t="shared" si="19"/>
        <v>сентябрь</v>
      </c>
      <c r="AQ31" s="199" t="s">
        <v>40</v>
      </c>
      <c r="AR31" s="199" t="s">
        <v>41</v>
      </c>
      <c r="AU31" s="86"/>
    </row>
    <row r="32" spans="1:48" s="34" customFormat="1" ht="11" thickTop="1" x14ac:dyDescent="0.2">
      <c r="A32" s="180" t="str">
        <f>A17</f>
        <v>Микрокапсульное наращивание волос</v>
      </c>
      <c r="B32" s="20" t="str">
        <f>CHOOSE('Исходные данные'!$O$2,'Исходные данные'!$P$2,'Исходные данные'!$P$3,'Исходные данные'!$P$4,'Исходные данные'!$P$5)</f>
        <v>UAH</v>
      </c>
      <c r="C32" s="32">
        <f>C17*CHOOSE('Обобщенный расчет'!$N$1,'Исходные данные'!$F$17,'Исходные данные'!$K$17)</f>
        <v>9203.2200000000012</v>
      </c>
      <c r="D32" s="32">
        <f>D17*CHOOSE('Обобщенный расчет'!$N$1,'Исходные данные'!$F$17,'Исходные данные'!$K$17)</f>
        <v>10737.089999999998</v>
      </c>
      <c r="E32" s="32">
        <f>E17*CHOOSE('Обобщенный расчет'!$N$1,'Исходные данные'!$F$17,'Исходные данные'!$K$17)</f>
        <v>12270.960000000001</v>
      </c>
      <c r="F32" s="32">
        <f>F17*CHOOSE('Обобщенный расчет'!$N$1,'Исходные данные'!$F$17,'Исходные данные'!$K$17)</f>
        <v>13804.83</v>
      </c>
      <c r="G32" s="32">
        <f>G17*CHOOSE('Обобщенный расчет'!$N$1,'Исходные данные'!$F$17,'Исходные данные'!$K$17)</f>
        <v>15338.7</v>
      </c>
      <c r="H32" s="32">
        <f>H17*CHOOSE('Обобщенный расчет'!$N$1,'Исходные данные'!$F$17,'Исходные данные'!$K$17)</f>
        <v>15338.7</v>
      </c>
      <c r="I32" s="32">
        <f>I17*CHOOSE('Обобщенный расчет'!$N$1,'Исходные данные'!$F$17,'Исходные данные'!$K$17)</f>
        <v>16105.635</v>
      </c>
      <c r="J32" s="32">
        <f>J17*CHOOSE('Обобщенный расчет'!$N$1,'Исходные данные'!$F$17,'Исходные данные'!$K$17)</f>
        <v>16872.570000000003</v>
      </c>
      <c r="K32" s="32">
        <f>K17*CHOOSE('Обобщенный расчет'!$N$1,'Исходные данные'!$F$17,'Исходные данные'!$K$17)</f>
        <v>16872.570000000003</v>
      </c>
      <c r="L32" s="32">
        <f>L17*CHOOSE('Обобщенный расчет'!$N$1,'Исходные данные'!$F$17,'Исходные данные'!$K$17)</f>
        <v>17639.504999999997</v>
      </c>
      <c r="M32" s="32">
        <f>M17*CHOOSE('Обобщенный расчет'!$N$1,'Исходные данные'!$F$17,'Исходные данные'!$K$17)</f>
        <v>18406.440000000002</v>
      </c>
      <c r="N32" s="32">
        <f>N17*CHOOSE('Обобщенный расчет'!$N$1,'Исходные данные'!$F$17,'Исходные данные'!$K$17)</f>
        <v>19173.375</v>
      </c>
      <c r="O32" s="106">
        <f t="shared" ref="O32:O43" si="20">SUM(C32:N32)</f>
        <v>181763.595</v>
      </c>
      <c r="P32" s="106">
        <f t="shared" ref="P32:P43" si="21">O32/12</f>
        <v>15146.966249999999</v>
      </c>
      <c r="Q32" s="32">
        <f>Q17*CHOOSE('Обобщенный расчет'!$N$1,'Исходные данные'!$F$17,'Исходные данные'!$K$17)</f>
        <v>20707.245000000006</v>
      </c>
      <c r="R32" s="32">
        <f>R17*CHOOSE('Обобщенный расчет'!$N$1,'Исходные данные'!$F$17,'Исходные данные'!$K$17)</f>
        <v>20707.245000000006</v>
      </c>
      <c r="S32" s="32">
        <f>S17*CHOOSE('Обобщенный расчет'!$N$1,'Исходные данные'!$F$17,'Исходные данные'!$K$17)</f>
        <v>20707.245000000006</v>
      </c>
      <c r="T32" s="32">
        <f>T17*CHOOSE('Обобщенный расчет'!$N$1,'Исходные данные'!$F$17,'Исходные данные'!$K$17)</f>
        <v>20707.245000000006</v>
      </c>
      <c r="U32" s="32">
        <f>U17*CHOOSE('Обобщенный расчет'!$N$1,'Исходные данные'!$F$17,'Исходные данные'!$K$17)</f>
        <v>20707.245000000006</v>
      </c>
      <c r="V32" s="32">
        <f>V17*CHOOSE('Обобщенный расчет'!$N$1,'Исходные данные'!$F$17,'Исходные данные'!$K$17)</f>
        <v>20707.245000000006</v>
      </c>
      <c r="W32" s="32">
        <f>W17*CHOOSE('Обобщенный расчет'!$N$1,'Исходные данные'!$F$17,'Исходные данные'!$K$17)</f>
        <v>20707.245000000006</v>
      </c>
      <c r="X32" s="32">
        <f>X17*CHOOSE('Обобщенный расчет'!$N$1,'Исходные данные'!$F$17,'Исходные данные'!$K$17)</f>
        <v>20707.245000000006</v>
      </c>
      <c r="Y32" s="32">
        <f>Y17*CHOOSE('Обобщенный расчет'!$N$1,'Исходные данные'!$F$17,'Исходные данные'!$K$17)</f>
        <v>20707.245000000006</v>
      </c>
      <c r="Z32" s="32">
        <f>Z17*CHOOSE('Обобщенный расчет'!$N$1,'Исходные данные'!$F$17,'Исходные данные'!$K$17)</f>
        <v>20707.245000000006</v>
      </c>
      <c r="AA32" s="32">
        <f>AA17*CHOOSE('Обобщенный расчет'!$N$1,'Исходные данные'!$F$17,'Исходные данные'!$K$17)</f>
        <v>20707.245000000006</v>
      </c>
      <c r="AB32" s="32">
        <f>AB17*CHOOSE('Обобщенный расчет'!$N$1,'Исходные данные'!$F$17,'Исходные данные'!$K$17)</f>
        <v>20707.245000000006</v>
      </c>
      <c r="AC32" s="106">
        <f t="shared" ref="AC32:AC43" si="22">SUM(Q32:AB32)</f>
        <v>248486.94000000003</v>
      </c>
      <c r="AD32" s="106">
        <f t="shared" ref="AD32:AD43" si="23">AC32/12</f>
        <v>20707.245000000003</v>
      </c>
      <c r="AE32" s="32">
        <f>AE17*CHOOSE('Обобщенный расчет'!$N$1,'Исходные данные'!$F$17,'Исходные данные'!$K$17)</f>
        <v>23008.05</v>
      </c>
      <c r="AF32" s="32">
        <f>AF17*CHOOSE('Обобщенный расчет'!$N$1,'Исходные данные'!$F$17,'Исходные данные'!$K$17)</f>
        <v>23008.05</v>
      </c>
      <c r="AG32" s="32">
        <f>AG17*CHOOSE('Обобщенный расчет'!$N$1,'Исходные данные'!$F$17,'Исходные данные'!$K$17)</f>
        <v>23008.05</v>
      </c>
      <c r="AH32" s="32">
        <f>AH17*CHOOSE('Обобщенный расчет'!$N$1,'Исходные данные'!$F$17,'Исходные данные'!$K$17)</f>
        <v>23008.05</v>
      </c>
      <c r="AI32" s="32">
        <f>AI17*CHOOSE('Обобщенный расчет'!$N$1,'Исходные данные'!$F$17,'Исходные данные'!$K$17)</f>
        <v>23008.05</v>
      </c>
      <c r="AJ32" s="32">
        <f>AJ17*CHOOSE('Обобщенный расчет'!$N$1,'Исходные данные'!$F$17,'Исходные данные'!$K$17)</f>
        <v>23008.05</v>
      </c>
      <c r="AK32" s="32">
        <f>AK17*CHOOSE('Обобщенный расчет'!$N$1,'Исходные данные'!$F$17,'Исходные данные'!$K$17)</f>
        <v>23008.05</v>
      </c>
      <c r="AL32" s="32">
        <f>AL17*CHOOSE('Обобщенный расчет'!$N$1,'Исходные данные'!$F$17,'Исходные данные'!$K$17)</f>
        <v>23008.05</v>
      </c>
      <c r="AM32" s="32">
        <f>AM17*CHOOSE('Обобщенный расчет'!$N$1,'Исходные данные'!$F$17,'Исходные данные'!$K$17)</f>
        <v>23008.05</v>
      </c>
      <c r="AN32" s="32">
        <f>AN17*CHOOSE('Обобщенный расчет'!$N$1,'Исходные данные'!$F$17,'Исходные данные'!$K$17)</f>
        <v>23008.05</v>
      </c>
      <c r="AO32" s="32">
        <f>AO17*CHOOSE('Обобщенный расчет'!$N$1,'Исходные данные'!$F$17,'Исходные данные'!$K$17)</f>
        <v>23008.05</v>
      </c>
      <c r="AP32" s="32">
        <f>AP17*CHOOSE('Обобщенный расчет'!$N$1,'Исходные данные'!$F$17,'Исходные данные'!$K$17)</f>
        <v>23008.05</v>
      </c>
      <c r="AQ32" s="106">
        <f t="shared" ref="AQ32:AQ43" si="24">SUM(AE32:AP32)</f>
        <v>276096.59999999992</v>
      </c>
      <c r="AR32" s="106">
        <f t="shared" ref="AR32:AR43" si="25">AQ32/12</f>
        <v>23008.049999999992</v>
      </c>
      <c r="AS32" s="113">
        <f t="shared" ref="AS32:AS43" si="26">O32+AC32+AQ32</f>
        <v>706347.13500000001</v>
      </c>
      <c r="AT32" s="33"/>
      <c r="AU32" s="86"/>
    </row>
    <row r="33" spans="1:48" s="37" customFormat="1" ht="10.5" x14ac:dyDescent="0.2">
      <c r="A33" s="181" t="str">
        <f t="shared" ref="A33:A43" si="27">A18</f>
        <v>Реконструкция волос HAHONICO, JOICO</v>
      </c>
      <c r="B33" s="23" t="str">
        <f>CHOOSE('Исходные данные'!$O$2,'Исходные данные'!$P$2,'Исходные данные'!$P$3,'Исходные данные'!$P$4,'Исходные данные'!$P$5)</f>
        <v>UAH</v>
      </c>
      <c r="C33" s="35">
        <f>C18*CHOOSE('Обобщенный расчет'!$N$1,'Исходные данные'!$F$18,'Исходные данные'!$K$18)</f>
        <v>1713.96</v>
      </c>
      <c r="D33" s="35">
        <f>D18*CHOOSE('Обобщенный расчет'!$N$1,'Исходные данные'!$F$18,'Исходные данные'!$K$18)</f>
        <v>1999.6199999999997</v>
      </c>
      <c r="E33" s="35">
        <f>E18*CHOOSE('Обобщенный расчет'!$N$1,'Исходные данные'!$F$18,'Исходные данные'!$K$18)</f>
        <v>2285.2800000000002</v>
      </c>
      <c r="F33" s="35">
        <f>F18*CHOOSE('Обобщенный расчет'!$N$1,'Исходные данные'!$F$18,'Исходные данные'!$K$18)</f>
        <v>2570.94</v>
      </c>
      <c r="G33" s="35">
        <f>G18*CHOOSE('Обобщенный расчет'!$N$1,'Исходные данные'!$F$18,'Исходные данные'!$K$18)</f>
        <v>2856.6</v>
      </c>
      <c r="H33" s="35">
        <f>H18*CHOOSE('Обобщенный расчет'!$N$1,'Исходные данные'!$F$18,'Исходные данные'!$K$18)</f>
        <v>2856.6</v>
      </c>
      <c r="I33" s="35">
        <f>I18*CHOOSE('Обобщенный расчет'!$N$1,'Исходные данные'!$F$18,'Исходные данные'!$K$18)</f>
        <v>2999.4300000000003</v>
      </c>
      <c r="J33" s="35">
        <f>J18*CHOOSE('Обобщенный расчет'!$N$1,'Исходные данные'!$F$18,'Исходные данные'!$K$18)</f>
        <v>3142.2600000000007</v>
      </c>
      <c r="K33" s="35">
        <f>K18*CHOOSE('Обобщенный расчет'!$N$1,'Исходные данные'!$F$18,'Исходные данные'!$K$18)</f>
        <v>3142.2600000000007</v>
      </c>
      <c r="L33" s="35">
        <f>L18*CHOOSE('Обобщенный расчет'!$N$1,'Исходные данные'!$F$18,'Исходные данные'!$K$18)</f>
        <v>3285.0899999999997</v>
      </c>
      <c r="M33" s="35">
        <f>M18*CHOOSE('Обобщенный расчет'!$N$1,'Исходные данные'!$F$18,'Исходные данные'!$K$18)</f>
        <v>3427.92</v>
      </c>
      <c r="N33" s="35">
        <f>N18*CHOOSE('Обобщенный расчет'!$N$1,'Исходные данные'!$F$18,'Исходные данные'!$K$18)</f>
        <v>3570.75</v>
      </c>
      <c r="O33" s="51">
        <f t="shared" si="20"/>
        <v>33850.710000000006</v>
      </c>
      <c r="P33" s="51">
        <f t="shared" si="21"/>
        <v>2820.8925000000004</v>
      </c>
      <c r="Q33" s="35">
        <f>Q18*CHOOSE('Обобщенный расчет'!$N$1,'Исходные данные'!$F$18,'Исходные данные'!$K$18)</f>
        <v>3856.4100000000012</v>
      </c>
      <c r="R33" s="35">
        <f>R18*CHOOSE('Обобщенный расчет'!$N$1,'Исходные данные'!$F$18,'Исходные данные'!$K$18)</f>
        <v>3856.4100000000012</v>
      </c>
      <c r="S33" s="35">
        <f>S18*CHOOSE('Обобщенный расчет'!$N$1,'Исходные данные'!$F$18,'Исходные данные'!$K$18)</f>
        <v>3856.4100000000012</v>
      </c>
      <c r="T33" s="35">
        <f>T18*CHOOSE('Обобщенный расчет'!$N$1,'Исходные данные'!$F$18,'Исходные данные'!$K$18)</f>
        <v>3856.4100000000012</v>
      </c>
      <c r="U33" s="35">
        <f>U18*CHOOSE('Обобщенный расчет'!$N$1,'Исходные данные'!$F$18,'Исходные данные'!$K$18)</f>
        <v>3856.4100000000012</v>
      </c>
      <c r="V33" s="35">
        <f>V18*CHOOSE('Обобщенный расчет'!$N$1,'Исходные данные'!$F$18,'Исходные данные'!$K$18)</f>
        <v>3856.4100000000012</v>
      </c>
      <c r="W33" s="35">
        <f>W18*CHOOSE('Обобщенный расчет'!$N$1,'Исходные данные'!$F$18,'Исходные данные'!$K$18)</f>
        <v>3856.4100000000012</v>
      </c>
      <c r="X33" s="35">
        <f>X18*CHOOSE('Обобщенный расчет'!$N$1,'Исходные данные'!$F$18,'Исходные данные'!$K$18)</f>
        <v>3856.4100000000012</v>
      </c>
      <c r="Y33" s="35">
        <f>Y18*CHOOSE('Обобщенный расчет'!$N$1,'Исходные данные'!$F$18,'Исходные данные'!$K$18)</f>
        <v>3856.4100000000012</v>
      </c>
      <c r="Z33" s="35">
        <f>Z18*CHOOSE('Обобщенный расчет'!$N$1,'Исходные данные'!$F$18,'Исходные данные'!$K$18)</f>
        <v>3856.4100000000012</v>
      </c>
      <c r="AA33" s="35">
        <f>AA18*CHOOSE('Обобщенный расчет'!$N$1,'Исходные данные'!$F$18,'Исходные данные'!$K$18)</f>
        <v>3856.4100000000012</v>
      </c>
      <c r="AB33" s="35">
        <f>AB18*CHOOSE('Обобщенный расчет'!$N$1,'Исходные данные'!$F$18,'Исходные данные'!$K$18)</f>
        <v>3856.4100000000012</v>
      </c>
      <c r="AC33" s="51">
        <f t="shared" si="22"/>
        <v>46276.92000000002</v>
      </c>
      <c r="AD33" s="51">
        <f t="shared" si="23"/>
        <v>3856.4100000000017</v>
      </c>
      <c r="AE33" s="35">
        <f>AE18*CHOOSE('Обобщенный расчет'!$N$1,'Исходные данные'!$F$18,'Исходные данные'!$K$18)</f>
        <v>4284.9000000000005</v>
      </c>
      <c r="AF33" s="35">
        <f>AF18*CHOOSE('Обобщенный расчет'!$N$1,'Исходные данные'!$F$18,'Исходные данные'!$K$18)</f>
        <v>4284.9000000000005</v>
      </c>
      <c r="AG33" s="35">
        <f>AG18*CHOOSE('Обобщенный расчет'!$N$1,'Исходные данные'!$F$18,'Исходные данные'!$K$18)</f>
        <v>4284.9000000000005</v>
      </c>
      <c r="AH33" s="35">
        <f>AH18*CHOOSE('Обобщенный расчет'!$N$1,'Исходные данные'!$F$18,'Исходные данные'!$K$18)</f>
        <v>4284.9000000000005</v>
      </c>
      <c r="AI33" s="35">
        <f>AI18*CHOOSE('Обобщенный расчет'!$N$1,'Исходные данные'!$F$18,'Исходные данные'!$K$18)</f>
        <v>4284.9000000000005</v>
      </c>
      <c r="AJ33" s="35">
        <f>AJ18*CHOOSE('Обобщенный расчет'!$N$1,'Исходные данные'!$F$18,'Исходные данные'!$K$18)</f>
        <v>4284.9000000000005</v>
      </c>
      <c r="AK33" s="35">
        <f>AK18*CHOOSE('Обобщенный расчет'!$N$1,'Исходные данные'!$F$18,'Исходные данные'!$K$18)</f>
        <v>4284.9000000000005</v>
      </c>
      <c r="AL33" s="35">
        <f>AL18*CHOOSE('Обобщенный расчет'!$N$1,'Исходные данные'!$F$18,'Исходные данные'!$K$18)</f>
        <v>4284.9000000000005</v>
      </c>
      <c r="AM33" s="35">
        <f>AM18*CHOOSE('Обобщенный расчет'!$N$1,'Исходные данные'!$F$18,'Исходные данные'!$K$18)</f>
        <v>4284.9000000000005</v>
      </c>
      <c r="AN33" s="35">
        <f>AN18*CHOOSE('Обобщенный расчет'!$N$1,'Исходные данные'!$F$18,'Исходные данные'!$K$18)</f>
        <v>4284.9000000000005</v>
      </c>
      <c r="AO33" s="35">
        <f>AO18*CHOOSE('Обобщенный расчет'!$N$1,'Исходные данные'!$F$18,'Исходные данные'!$K$18)</f>
        <v>4284.9000000000005</v>
      </c>
      <c r="AP33" s="35">
        <f>AP18*CHOOSE('Обобщенный расчет'!$N$1,'Исходные данные'!$F$18,'Исходные данные'!$K$18)</f>
        <v>4284.9000000000005</v>
      </c>
      <c r="AQ33" s="51">
        <f t="shared" si="24"/>
        <v>51418.80000000001</v>
      </c>
      <c r="AR33" s="51">
        <f t="shared" si="25"/>
        <v>4284.9000000000005</v>
      </c>
      <c r="AS33" s="113">
        <f t="shared" si="26"/>
        <v>131546.43000000005</v>
      </c>
      <c r="AT33" s="36"/>
      <c r="AU33" s="86"/>
      <c r="AV33" s="34"/>
    </row>
    <row r="34" spans="1:48" s="34" customFormat="1" ht="10.5" x14ac:dyDescent="0.2">
      <c r="A34" s="180" t="str">
        <f t="shared" si="27"/>
        <v>Абсолютное счастье для волос LEBEL</v>
      </c>
      <c r="B34" s="20" t="str">
        <f>CHOOSE('Исходные данные'!$O$2,'Исходные данные'!$P$2,'Исходные данные'!$P$3,'Исходные данные'!$P$4,'Исходные данные'!$P$5)</f>
        <v>UAH</v>
      </c>
      <c r="C34" s="32">
        <f>C19*CHOOSE('Обобщенный расчет'!$N$1,'Исходные данные'!$F$19,'Исходные данные'!$K$19)</f>
        <v>8942.4</v>
      </c>
      <c r="D34" s="32">
        <f>D19*CHOOSE('Обобщенный расчет'!$N$1,'Исходные данные'!$F$19,'Исходные данные'!$K$19)</f>
        <v>10432.799999999999</v>
      </c>
      <c r="E34" s="32">
        <f>E19*CHOOSE('Обобщенный расчет'!$N$1,'Исходные данные'!$F$19,'Исходные данные'!$K$19)</f>
        <v>11923.2</v>
      </c>
      <c r="F34" s="32">
        <f>F19*CHOOSE('Обобщенный расчет'!$N$1,'Исходные данные'!$F$19,'Исходные данные'!$K$19)</f>
        <v>13413.6</v>
      </c>
      <c r="G34" s="32">
        <f>G19*CHOOSE('Обобщенный расчет'!$N$1,'Исходные данные'!$F$19,'Исходные данные'!$K$19)</f>
        <v>14904</v>
      </c>
      <c r="H34" s="32">
        <f>H19*CHOOSE('Обобщенный расчет'!$N$1,'Исходные данные'!$F$19,'Исходные данные'!$K$19)</f>
        <v>14904</v>
      </c>
      <c r="I34" s="32">
        <f>I19*CHOOSE('Обобщенный расчет'!$N$1,'Исходные данные'!$F$19,'Исходные данные'!$K$19)</f>
        <v>15649.2</v>
      </c>
      <c r="J34" s="32">
        <f>J19*CHOOSE('Обобщенный расчет'!$N$1,'Исходные данные'!$F$19,'Исходные данные'!$K$19)</f>
        <v>16394.400000000005</v>
      </c>
      <c r="K34" s="32">
        <f>K19*CHOOSE('Обобщенный расчет'!$N$1,'Исходные данные'!$F$19,'Исходные данные'!$K$19)</f>
        <v>16394.400000000005</v>
      </c>
      <c r="L34" s="32">
        <f>L19*CHOOSE('Обобщенный расчет'!$N$1,'Исходные данные'!$F$19,'Исходные данные'!$K$19)</f>
        <v>17139.599999999999</v>
      </c>
      <c r="M34" s="32">
        <f>M19*CHOOSE('Обобщенный расчет'!$N$1,'Исходные данные'!$F$19,'Исходные данные'!$K$19)</f>
        <v>17884.8</v>
      </c>
      <c r="N34" s="32">
        <f>N19*CHOOSE('Обобщенный расчет'!$N$1,'Исходные данные'!$F$19,'Исходные данные'!$K$19)</f>
        <v>18630</v>
      </c>
      <c r="O34" s="106">
        <f t="shared" si="20"/>
        <v>176612.4</v>
      </c>
      <c r="P34" s="106">
        <f t="shared" si="21"/>
        <v>14717.699999999999</v>
      </c>
      <c r="Q34" s="32">
        <f>Q19*CHOOSE('Обобщенный расчет'!$N$1,'Исходные данные'!$F$19,'Исходные данные'!$K$19)</f>
        <v>20120.400000000005</v>
      </c>
      <c r="R34" s="32">
        <f>R19*CHOOSE('Обобщенный расчет'!$N$1,'Исходные данные'!$F$19,'Исходные данные'!$K$19)</f>
        <v>20120.400000000005</v>
      </c>
      <c r="S34" s="32">
        <f>S19*CHOOSE('Обобщенный расчет'!$N$1,'Исходные данные'!$F$19,'Исходные данные'!$K$19)</f>
        <v>20120.400000000005</v>
      </c>
      <c r="T34" s="32">
        <f>T19*CHOOSE('Обобщенный расчет'!$N$1,'Исходные данные'!$F$19,'Исходные данные'!$K$19)</f>
        <v>20120.400000000005</v>
      </c>
      <c r="U34" s="32">
        <f>U19*CHOOSE('Обобщенный расчет'!$N$1,'Исходные данные'!$F$19,'Исходные данные'!$K$19)</f>
        <v>20120.400000000005</v>
      </c>
      <c r="V34" s="32">
        <f>V19*CHOOSE('Обобщенный расчет'!$N$1,'Исходные данные'!$F$19,'Исходные данные'!$K$19)</f>
        <v>20120.400000000005</v>
      </c>
      <c r="W34" s="32">
        <f>W19*CHOOSE('Обобщенный расчет'!$N$1,'Исходные данные'!$F$19,'Исходные данные'!$K$19)</f>
        <v>20120.400000000005</v>
      </c>
      <c r="X34" s="32">
        <f>X19*CHOOSE('Обобщенный расчет'!$N$1,'Исходные данные'!$F$19,'Исходные данные'!$K$19)</f>
        <v>20120.400000000005</v>
      </c>
      <c r="Y34" s="32">
        <f>Y19*CHOOSE('Обобщенный расчет'!$N$1,'Исходные данные'!$F$19,'Исходные данные'!$K$19)</f>
        <v>20120.400000000005</v>
      </c>
      <c r="Z34" s="32">
        <f>Z19*CHOOSE('Обобщенный расчет'!$N$1,'Исходные данные'!$F$19,'Исходные данные'!$K$19)</f>
        <v>20120.400000000005</v>
      </c>
      <c r="AA34" s="32">
        <f>AA19*CHOOSE('Обобщенный расчет'!$N$1,'Исходные данные'!$F$19,'Исходные данные'!$K$19)</f>
        <v>20120.400000000005</v>
      </c>
      <c r="AB34" s="32">
        <f>AB19*CHOOSE('Обобщенный расчет'!$N$1,'Исходные данные'!$F$19,'Исходные данные'!$K$19)</f>
        <v>20120.400000000005</v>
      </c>
      <c r="AC34" s="106">
        <f t="shared" si="22"/>
        <v>241444.80000000002</v>
      </c>
      <c r="AD34" s="106">
        <f t="shared" si="23"/>
        <v>20120.400000000001</v>
      </c>
      <c r="AE34" s="32">
        <f>AE19*CHOOSE('Обобщенный расчет'!$N$1,'Исходные данные'!$F$19,'Исходные данные'!$K$19)</f>
        <v>22356</v>
      </c>
      <c r="AF34" s="32">
        <f>AF19*CHOOSE('Обобщенный расчет'!$N$1,'Исходные данные'!$F$19,'Исходные данные'!$K$19)</f>
        <v>22356</v>
      </c>
      <c r="AG34" s="32">
        <f>AG19*CHOOSE('Обобщенный расчет'!$N$1,'Исходные данные'!$F$19,'Исходные данные'!$K$19)</f>
        <v>22356</v>
      </c>
      <c r="AH34" s="32">
        <f>AH19*CHOOSE('Обобщенный расчет'!$N$1,'Исходные данные'!$F$19,'Исходные данные'!$K$19)</f>
        <v>22356</v>
      </c>
      <c r="AI34" s="32">
        <f>AI19*CHOOSE('Обобщенный расчет'!$N$1,'Исходные данные'!$F$19,'Исходные данные'!$K$19)</f>
        <v>22356</v>
      </c>
      <c r="AJ34" s="32">
        <f>AJ19*CHOOSE('Обобщенный расчет'!$N$1,'Исходные данные'!$F$19,'Исходные данные'!$K$19)</f>
        <v>22356</v>
      </c>
      <c r="AK34" s="32">
        <f>AK19*CHOOSE('Обобщенный расчет'!$N$1,'Исходные данные'!$F$19,'Исходные данные'!$K$19)</f>
        <v>22356</v>
      </c>
      <c r="AL34" s="32">
        <f>AL19*CHOOSE('Обобщенный расчет'!$N$1,'Исходные данные'!$F$19,'Исходные данные'!$K$19)</f>
        <v>22356</v>
      </c>
      <c r="AM34" s="32">
        <f>AM19*CHOOSE('Обобщенный расчет'!$N$1,'Исходные данные'!$F$19,'Исходные данные'!$K$19)</f>
        <v>22356</v>
      </c>
      <c r="AN34" s="32">
        <f>AN19*CHOOSE('Обобщенный расчет'!$N$1,'Исходные данные'!$F$19,'Исходные данные'!$K$19)</f>
        <v>22356</v>
      </c>
      <c r="AO34" s="32">
        <f>AO19*CHOOSE('Обобщенный расчет'!$N$1,'Исходные данные'!$F$19,'Исходные данные'!$K$19)</f>
        <v>22356</v>
      </c>
      <c r="AP34" s="32">
        <f>AP19*CHOOSE('Обобщенный расчет'!$N$1,'Исходные данные'!$F$19,'Исходные данные'!$K$19)</f>
        <v>22356</v>
      </c>
      <c r="AQ34" s="106">
        <f t="shared" si="24"/>
        <v>268272</v>
      </c>
      <c r="AR34" s="106">
        <f t="shared" si="25"/>
        <v>22356</v>
      </c>
      <c r="AS34" s="113">
        <f t="shared" si="26"/>
        <v>686329.2</v>
      </c>
      <c r="AT34" s="33"/>
      <c r="AU34" s="86"/>
    </row>
    <row r="35" spans="1:48" s="37" customFormat="1" ht="10.5" x14ac:dyDescent="0.2">
      <c r="A35" s="181" t="str">
        <f t="shared" si="27"/>
        <v>Биозавивка волос MOSSA</v>
      </c>
      <c r="B35" s="23" t="str">
        <f>CHOOSE('Исходные данные'!$O$2,'Исходные данные'!$P$2,'Исходные данные'!$P$3,'Исходные данные'!$P$4,'Исходные данные'!$P$5)</f>
        <v>UAH</v>
      </c>
      <c r="C35" s="35">
        <f>C20*CHOOSE('Обобщенный расчет'!$N$1,'Исходные данные'!$F$20,'Исходные данные'!$K$20)</f>
        <v>1117.8</v>
      </c>
      <c r="D35" s="35">
        <f>D20*CHOOSE('Обобщенный расчет'!$N$1,'Исходные данные'!$F$20,'Исходные данные'!$K$20)</f>
        <v>1304.0999999999997</v>
      </c>
      <c r="E35" s="35">
        <f>E20*CHOOSE('Обобщенный расчет'!$N$1,'Исходные данные'!$F$20,'Исходные данные'!$K$20)</f>
        <v>1490.3999999999999</v>
      </c>
      <c r="F35" s="35">
        <f>F20*CHOOSE('Обобщенный расчет'!$N$1,'Исходные данные'!$F$20,'Исходные данные'!$K$20)</f>
        <v>1676.7</v>
      </c>
      <c r="G35" s="35">
        <f>G20*CHOOSE('Обобщенный расчет'!$N$1,'Исходные данные'!$F$20,'Исходные данные'!$K$20)</f>
        <v>1863</v>
      </c>
      <c r="H35" s="35">
        <f>H20*CHOOSE('Обобщенный расчет'!$N$1,'Исходные данные'!$F$20,'Исходные данные'!$K$20)</f>
        <v>1863</v>
      </c>
      <c r="I35" s="35">
        <f>I20*CHOOSE('Обобщенный расчет'!$N$1,'Исходные данные'!$F$20,'Исходные данные'!$K$20)</f>
        <v>1956.1499999999999</v>
      </c>
      <c r="J35" s="35">
        <f>J20*CHOOSE('Обобщенный расчет'!$N$1,'Исходные данные'!$F$20,'Исходные данные'!$K$20)</f>
        <v>2049.3000000000002</v>
      </c>
      <c r="K35" s="35">
        <f>K20*CHOOSE('Обобщенный расчет'!$N$1,'Исходные данные'!$F$20,'Исходные данные'!$K$20)</f>
        <v>2049.3000000000002</v>
      </c>
      <c r="L35" s="35">
        <f>L20*CHOOSE('Обобщенный расчет'!$N$1,'Исходные данные'!$F$20,'Исходные данные'!$K$20)</f>
        <v>2142.4499999999998</v>
      </c>
      <c r="M35" s="35">
        <f>M20*CHOOSE('Обобщенный расчет'!$N$1,'Исходные данные'!$F$20,'Исходные данные'!$K$20)</f>
        <v>2235.6</v>
      </c>
      <c r="N35" s="35">
        <f>N20*CHOOSE('Обобщенный расчет'!$N$1,'Исходные данные'!$F$20,'Исходные данные'!$K$20)</f>
        <v>2328.75</v>
      </c>
      <c r="O35" s="51">
        <f t="shared" si="20"/>
        <v>22076.55</v>
      </c>
      <c r="P35" s="51">
        <f t="shared" si="21"/>
        <v>1839.7124999999999</v>
      </c>
      <c r="Q35" s="35">
        <f>Q20*CHOOSE('Обобщенный расчет'!$N$1,'Исходные данные'!$F$20,'Исходные данные'!$K$20)</f>
        <v>2515.0500000000006</v>
      </c>
      <c r="R35" s="35">
        <f>R20*CHOOSE('Обобщенный расчет'!$N$1,'Исходные данные'!$F$20,'Исходные данные'!$K$20)</f>
        <v>2515.0500000000006</v>
      </c>
      <c r="S35" s="35">
        <f>S20*CHOOSE('Обобщенный расчет'!$N$1,'Исходные данные'!$F$20,'Исходные данные'!$K$20)</f>
        <v>2515.0500000000006</v>
      </c>
      <c r="T35" s="35">
        <f>T20*CHOOSE('Обобщенный расчет'!$N$1,'Исходные данные'!$F$20,'Исходные данные'!$K$20)</f>
        <v>2515.0500000000006</v>
      </c>
      <c r="U35" s="35">
        <f>U20*CHOOSE('Обобщенный расчет'!$N$1,'Исходные данные'!$F$20,'Исходные данные'!$K$20)</f>
        <v>2515.0500000000006</v>
      </c>
      <c r="V35" s="35">
        <f>V20*CHOOSE('Обобщенный расчет'!$N$1,'Исходные данные'!$F$20,'Исходные данные'!$K$20)</f>
        <v>2515.0500000000006</v>
      </c>
      <c r="W35" s="35">
        <f>W20*CHOOSE('Обобщенный расчет'!$N$1,'Исходные данные'!$F$20,'Исходные данные'!$K$20)</f>
        <v>2515.0500000000006</v>
      </c>
      <c r="X35" s="35">
        <f>X20*CHOOSE('Обобщенный расчет'!$N$1,'Исходные данные'!$F$20,'Исходные данные'!$K$20)</f>
        <v>2515.0500000000006</v>
      </c>
      <c r="Y35" s="35">
        <f>Y20*CHOOSE('Обобщенный расчет'!$N$1,'Исходные данные'!$F$20,'Исходные данные'!$K$20)</f>
        <v>2515.0500000000006</v>
      </c>
      <c r="Z35" s="35">
        <f>Z20*CHOOSE('Обобщенный расчет'!$N$1,'Исходные данные'!$F$20,'Исходные данные'!$K$20)</f>
        <v>2515.0500000000006</v>
      </c>
      <c r="AA35" s="35">
        <f>AA20*CHOOSE('Обобщенный расчет'!$N$1,'Исходные данные'!$F$20,'Исходные данные'!$K$20)</f>
        <v>2515.0500000000006</v>
      </c>
      <c r="AB35" s="35">
        <f>AB20*CHOOSE('Обобщенный расчет'!$N$1,'Исходные данные'!$F$20,'Исходные данные'!$K$20)</f>
        <v>2515.0500000000006</v>
      </c>
      <c r="AC35" s="51">
        <f t="shared" si="22"/>
        <v>30180.600000000002</v>
      </c>
      <c r="AD35" s="51">
        <f t="shared" si="23"/>
        <v>2515.0500000000002</v>
      </c>
      <c r="AE35" s="35">
        <f>AE20*CHOOSE('Обобщенный расчет'!$N$1,'Исходные данные'!$F$20,'Исходные данные'!$K$20)</f>
        <v>2794.5</v>
      </c>
      <c r="AF35" s="35">
        <f>AF20*CHOOSE('Обобщенный расчет'!$N$1,'Исходные данные'!$F$20,'Исходные данные'!$K$20)</f>
        <v>2794.5</v>
      </c>
      <c r="AG35" s="35">
        <f>AG20*CHOOSE('Обобщенный расчет'!$N$1,'Исходные данные'!$F$20,'Исходные данные'!$K$20)</f>
        <v>2794.5</v>
      </c>
      <c r="AH35" s="35">
        <f>AH20*CHOOSE('Обобщенный расчет'!$N$1,'Исходные данные'!$F$20,'Исходные данные'!$K$20)</f>
        <v>2794.5</v>
      </c>
      <c r="AI35" s="35">
        <f>AI20*CHOOSE('Обобщенный расчет'!$N$1,'Исходные данные'!$F$20,'Исходные данные'!$K$20)</f>
        <v>2794.5</v>
      </c>
      <c r="AJ35" s="35">
        <f>AJ20*CHOOSE('Обобщенный расчет'!$N$1,'Исходные данные'!$F$20,'Исходные данные'!$K$20)</f>
        <v>2794.5</v>
      </c>
      <c r="AK35" s="35">
        <f>AK20*CHOOSE('Обобщенный расчет'!$N$1,'Исходные данные'!$F$20,'Исходные данные'!$K$20)</f>
        <v>2794.5</v>
      </c>
      <c r="AL35" s="35">
        <f>AL20*CHOOSE('Обобщенный расчет'!$N$1,'Исходные данные'!$F$20,'Исходные данные'!$K$20)</f>
        <v>2794.5</v>
      </c>
      <c r="AM35" s="35">
        <f>AM20*CHOOSE('Обобщенный расчет'!$N$1,'Исходные данные'!$F$20,'Исходные данные'!$K$20)</f>
        <v>2794.5</v>
      </c>
      <c r="AN35" s="35">
        <f>AN20*CHOOSE('Обобщенный расчет'!$N$1,'Исходные данные'!$F$20,'Исходные данные'!$K$20)</f>
        <v>2794.5</v>
      </c>
      <c r="AO35" s="35">
        <f>AO20*CHOOSE('Обобщенный расчет'!$N$1,'Исходные данные'!$F$20,'Исходные данные'!$K$20)</f>
        <v>2794.5</v>
      </c>
      <c r="AP35" s="35">
        <f>AP20*CHOOSE('Обобщенный расчет'!$N$1,'Исходные данные'!$F$20,'Исходные данные'!$K$20)</f>
        <v>2794.5</v>
      </c>
      <c r="AQ35" s="51">
        <f t="shared" si="24"/>
        <v>33534</v>
      </c>
      <c r="AR35" s="51">
        <f t="shared" si="25"/>
        <v>2794.5</v>
      </c>
      <c r="AS35" s="113">
        <f t="shared" si="26"/>
        <v>85791.15</v>
      </c>
      <c r="AT35" s="36"/>
      <c r="AU35" s="86"/>
      <c r="AV35" s="34"/>
    </row>
    <row r="36" spans="1:48" s="34" customFormat="1" ht="10.5" x14ac:dyDescent="0.2">
      <c r="A36" s="180" t="str">
        <f t="shared" si="27"/>
        <v>Окрашивание волос BES, LEBEL</v>
      </c>
      <c r="B36" s="20" t="str">
        <f>CHOOSE('Исходные данные'!$O$2,'Исходные данные'!$P$2,'Исходные данные'!$P$3,'Исходные данные'!$P$4,'Исходные данные'!$P$5)</f>
        <v>UAH</v>
      </c>
      <c r="C36" s="32">
        <f>C21*CHOOSE('Обобщенный расчет'!$N$1,'Исходные данные'!$F$21,'Исходные данные'!$K$21)</f>
        <v>13301.820000000002</v>
      </c>
      <c r="D36" s="32">
        <f>D21*CHOOSE('Обобщенный расчет'!$N$1,'Исходные данные'!$F$21,'Исходные данные'!$K$21)</f>
        <v>15518.789999999999</v>
      </c>
      <c r="E36" s="32">
        <f>E21*CHOOSE('Обобщенный расчет'!$N$1,'Исходные данные'!$F$21,'Исходные данные'!$K$21)</f>
        <v>17735.760000000002</v>
      </c>
      <c r="F36" s="32">
        <f>F21*CHOOSE('Обобщенный расчет'!$N$1,'Исходные данные'!$F$21,'Исходные данные'!$K$21)</f>
        <v>19952.730000000003</v>
      </c>
      <c r="G36" s="32">
        <f>G21*CHOOSE('Обобщенный расчет'!$N$1,'Исходные данные'!$F$21,'Исходные данные'!$K$21)</f>
        <v>22169.7</v>
      </c>
      <c r="H36" s="32">
        <f>H21*CHOOSE('Обобщенный расчет'!$N$1,'Исходные данные'!$F$21,'Исходные данные'!$K$21)</f>
        <v>22169.7</v>
      </c>
      <c r="I36" s="32">
        <f>I21*CHOOSE('Обобщенный расчет'!$N$1,'Исходные данные'!$F$21,'Исходные данные'!$K$21)</f>
        <v>23278.185000000001</v>
      </c>
      <c r="J36" s="32">
        <f>J21*CHOOSE('Обобщенный расчет'!$N$1,'Исходные данные'!$F$21,'Исходные данные'!$K$21)</f>
        <v>24386.670000000006</v>
      </c>
      <c r="K36" s="32">
        <f>K21*CHOOSE('Обобщенный расчет'!$N$1,'Исходные данные'!$F$21,'Исходные данные'!$K$21)</f>
        <v>24386.670000000006</v>
      </c>
      <c r="L36" s="32">
        <f>L21*CHOOSE('Обобщенный расчет'!$N$1,'Исходные данные'!$F$21,'Исходные данные'!$K$21)</f>
        <v>25495.154999999995</v>
      </c>
      <c r="M36" s="32">
        <f>M21*CHOOSE('Обобщенный расчет'!$N$1,'Исходные данные'!$F$21,'Исходные данные'!$K$21)</f>
        <v>26603.640000000003</v>
      </c>
      <c r="N36" s="32">
        <f>N21*CHOOSE('Обобщенный расчет'!$N$1,'Исходные данные'!$F$21,'Исходные данные'!$K$21)</f>
        <v>27712.125000000004</v>
      </c>
      <c r="O36" s="106">
        <f t="shared" si="20"/>
        <v>262710.94500000007</v>
      </c>
      <c r="P36" s="106">
        <f t="shared" si="21"/>
        <v>21892.578750000004</v>
      </c>
      <c r="Q36" s="32">
        <f>Q21*CHOOSE('Обобщенный расчет'!$N$1,'Исходные данные'!$F$21,'Исходные данные'!$K$21)</f>
        <v>29929.095000000008</v>
      </c>
      <c r="R36" s="32">
        <f>R21*CHOOSE('Обобщенный расчет'!$N$1,'Исходные данные'!$F$21,'Исходные данные'!$K$21)</f>
        <v>29929.095000000008</v>
      </c>
      <c r="S36" s="32">
        <f>S21*CHOOSE('Обобщенный расчет'!$N$1,'Исходные данные'!$F$21,'Исходные данные'!$K$21)</f>
        <v>29929.095000000008</v>
      </c>
      <c r="T36" s="32">
        <f>T21*CHOOSE('Обобщенный расчет'!$N$1,'Исходные данные'!$F$21,'Исходные данные'!$K$21)</f>
        <v>29929.095000000008</v>
      </c>
      <c r="U36" s="32">
        <f>U21*CHOOSE('Обобщенный расчет'!$N$1,'Исходные данные'!$F$21,'Исходные данные'!$K$21)</f>
        <v>29929.095000000008</v>
      </c>
      <c r="V36" s="32">
        <f>V21*CHOOSE('Обобщенный расчет'!$N$1,'Исходные данные'!$F$21,'Исходные данные'!$K$21)</f>
        <v>29929.095000000008</v>
      </c>
      <c r="W36" s="32">
        <f>W21*CHOOSE('Обобщенный расчет'!$N$1,'Исходные данные'!$F$21,'Исходные данные'!$K$21)</f>
        <v>29929.095000000008</v>
      </c>
      <c r="X36" s="32">
        <f>X21*CHOOSE('Обобщенный расчет'!$N$1,'Исходные данные'!$F$21,'Исходные данные'!$K$21)</f>
        <v>29929.095000000008</v>
      </c>
      <c r="Y36" s="32">
        <f>Y21*CHOOSE('Обобщенный расчет'!$N$1,'Исходные данные'!$F$21,'Исходные данные'!$K$21)</f>
        <v>29929.095000000008</v>
      </c>
      <c r="Z36" s="32">
        <f>Z21*CHOOSE('Обобщенный расчет'!$N$1,'Исходные данные'!$F$21,'Исходные данные'!$K$21)</f>
        <v>29929.095000000008</v>
      </c>
      <c r="AA36" s="32">
        <f>AA21*CHOOSE('Обобщенный расчет'!$N$1,'Исходные данные'!$F$21,'Исходные данные'!$K$21)</f>
        <v>29929.095000000008</v>
      </c>
      <c r="AB36" s="32">
        <f>AB21*CHOOSE('Обобщенный расчет'!$N$1,'Исходные данные'!$F$21,'Исходные данные'!$K$21)</f>
        <v>29929.095000000008</v>
      </c>
      <c r="AC36" s="106">
        <f t="shared" si="22"/>
        <v>359149.14000000013</v>
      </c>
      <c r="AD36" s="106">
        <f t="shared" si="23"/>
        <v>29929.095000000012</v>
      </c>
      <c r="AE36" s="32">
        <f>AE21*CHOOSE('Обобщенный расчет'!$N$1,'Исходные данные'!$F$21,'Исходные данные'!$K$21)</f>
        <v>33254.550000000003</v>
      </c>
      <c r="AF36" s="32">
        <f>AF21*CHOOSE('Обобщенный расчет'!$N$1,'Исходные данные'!$F$21,'Исходные данные'!$K$21)</f>
        <v>33254.550000000003</v>
      </c>
      <c r="AG36" s="32">
        <f>AG21*CHOOSE('Обобщенный расчет'!$N$1,'Исходные данные'!$F$21,'Исходные данные'!$K$21)</f>
        <v>33254.550000000003</v>
      </c>
      <c r="AH36" s="32">
        <f>AH21*CHOOSE('Обобщенный расчет'!$N$1,'Исходные данные'!$F$21,'Исходные данные'!$K$21)</f>
        <v>33254.550000000003</v>
      </c>
      <c r="AI36" s="32">
        <f>AI21*CHOOSE('Обобщенный расчет'!$N$1,'Исходные данные'!$F$21,'Исходные данные'!$K$21)</f>
        <v>33254.550000000003</v>
      </c>
      <c r="AJ36" s="32">
        <f>AJ21*CHOOSE('Обобщенный расчет'!$N$1,'Исходные данные'!$F$21,'Исходные данные'!$K$21)</f>
        <v>33254.550000000003</v>
      </c>
      <c r="AK36" s="32">
        <f>AK21*CHOOSE('Обобщенный расчет'!$N$1,'Исходные данные'!$F$21,'Исходные данные'!$K$21)</f>
        <v>33254.550000000003</v>
      </c>
      <c r="AL36" s="32">
        <f>AL21*CHOOSE('Обобщенный расчет'!$N$1,'Исходные данные'!$F$21,'Исходные данные'!$K$21)</f>
        <v>33254.550000000003</v>
      </c>
      <c r="AM36" s="32">
        <f>AM21*CHOOSE('Обобщенный расчет'!$N$1,'Исходные данные'!$F$21,'Исходные данные'!$K$21)</f>
        <v>33254.550000000003</v>
      </c>
      <c r="AN36" s="32">
        <f>AN21*CHOOSE('Обобщенный расчет'!$N$1,'Исходные данные'!$F$21,'Исходные данные'!$K$21)</f>
        <v>33254.550000000003</v>
      </c>
      <c r="AO36" s="32">
        <f>AO21*CHOOSE('Обобщенный расчет'!$N$1,'Исходные данные'!$F$21,'Исходные данные'!$K$21)</f>
        <v>33254.550000000003</v>
      </c>
      <c r="AP36" s="32">
        <f>AP21*CHOOSE('Обобщенный расчет'!$N$1,'Исходные данные'!$F$21,'Исходные данные'!$K$21)</f>
        <v>33254.550000000003</v>
      </c>
      <c r="AQ36" s="106">
        <f t="shared" si="24"/>
        <v>399054.59999999992</v>
      </c>
      <c r="AR36" s="106">
        <f t="shared" si="25"/>
        <v>33254.549999999996</v>
      </c>
      <c r="AS36" s="113">
        <f t="shared" si="26"/>
        <v>1020914.6850000001</v>
      </c>
      <c r="AT36" s="33"/>
      <c r="AU36" s="86"/>
    </row>
    <row r="37" spans="1:48" s="37" customFormat="1" ht="10.5" x14ac:dyDescent="0.2">
      <c r="A37" s="181" t="str">
        <f t="shared" si="27"/>
        <v>Укладки</v>
      </c>
      <c r="B37" s="23" t="str">
        <f>CHOOSE('Исходные данные'!$O$2,'Исходные данные'!$P$2,'Исходные данные'!$P$3,'Исходные данные'!$P$4,'Исходные данные'!$P$5)</f>
        <v>UAH</v>
      </c>
      <c r="C37" s="35">
        <f>C22*CHOOSE('Обобщенный расчет'!$N$1,'Исходные данные'!$F$22,'Исходные данные'!$K$22)</f>
        <v>447.12</v>
      </c>
      <c r="D37" s="35">
        <f>D22*CHOOSE('Обобщенный расчет'!$N$1,'Исходные данные'!$F$22,'Исходные данные'!$K$22)</f>
        <v>521.63999999999987</v>
      </c>
      <c r="E37" s="35">
        <f>E22*CHOOSE('Обобщенный расчет'!$N$1,'Исходные данные'!$F$22,'Исходные данные'!$K$22)</f>
        <v>596.16</v>
      </c>
      <c r="F37" s="35">
        <f>F22*CHOOSE('Обобщенный расчет'!$N$1,'Исходные данные'!$F$22,'Исходные данные'!$K$22)</f>
        <v>670.68</v>
      </c>
      <c r="G37" s="35">
        <f>G22*CHOOSE('Обобщенный расчет'!$N$1,'Исходные данные'!$F$22,'Исходные данные'!$K$22)</f>
        <v>745.19999999999993</v>
      </c>
      <c r="H37" s="35">
        <f>H22*CHOOSE('Обобщенный расчет'!$N$1,'Исходные данные'!$F$22,'Исходные данные'!$K$22)</f>
        <v>745.19999999999993</v>
      </c>
      <c r="I37" s="35">
        <f>I22*CHOOSE('Обобщенный расчет'!$N$1,'Исходные данные'!$F$22,'Исходные данные'!$K$22)</f>
        <v>782.45999999999992</v>
      </c>
      <c r="J37" s="35">
        <f>J22*CHOOSE('Обобщенный расчет'!$N$1,'Исходные данные'!$F$22,'Исходные данные'!$K$22)</f>
        <v>819.72</v>
      </c>
      <c r="K37" s="35">
        <f>K22*CHOOSE('Обобщенный расчет'!$N$1,'Исходные данные'!$F$22,'Исходные данные'!$K$22)</f>
        <v>819.72</v>
      </c>
      <c r="L37" s="35">
        <f>L22*CHOOSE('Обобщенный расчет'!$N$1,'Исходные данные'!$F$22,'Исходные данные'!$K$22)</f>
        <v>856.9799999999999</v>
      </c>
      <c r="M37" s="35">
        <f>M22*CHOOSE('Обобщенный расчет'!$N$1,'Исходные данные'!$F$22,'Исходные данные'!$K$22)</f>
        <v>894.24</v>
      </c>
      <c r="N37" s="35">
        <f>N22*CHOOSE('Обобщенный расчет'!$N$1,'Исходные данные'!$F$22,'Исходные данные'!$K$22)</f>
        <v>931.5</v>
      </c>
      <c r="O37" s="51">
        <f t="shared" si="20"/>
        <v>8830.619999999999</v>
      </c>
      <c r="P37" s="51">
        <f t="shared" si="21"/>
        <v>735.88499999999988</v>
      </c>
      <c r="Q37" s="35">
        <f>Q22*CHOOSE('Обобщенный расчет'!$N$1,'Исходные данные'!$F$22,'Исходные данные'!$K$22)</f>
        <v>1006.0200000000002</v>
      </c>
      <c r="R37" s="35">
        <f>R22*CHOOSE('Обобщенный расчет'!$N$1,'Исходные данные'!$F$22,'Исходные данные'!$K$22)</f>
        <v>1006.0200000000002</v>
      </c>
      <c r="S37" s="35">
        <f>S22*CHOOSE('Обобщенный расчет'!$N$1,'Исходные данные'!$F$22,'Исходные данные'!$K$22)</f>
        <v>1006.0200000000002</v>
      </c>
      <c r="T37" s="35">
        <f>T22*CHOOSE('Обобщенный расчет'!$N$1,'Исходные данные'!$F$22,'Исходные данные'!$K$22)</f>
        <v>1006.0200000000002</v>
      </c>
      <c r="U37" s="35">
        <f>U22*CHOOSE('Обобщенный расчет'!$N$1,'Исходные данные'!$F$22,'Исходные данные'!$K$22)</f>
        <v>1006.0200000000002</v>
      </c>
      <c r="V37" s="35">
        <f>V22*CHOOSE('Обобщенный расчет'!$N$1,'Исходные данные'!$F$22,'Исходные данные'!$K$22)</f>
        <v>1006.0200000000002</v>
      </c>
      <c r="W37" s="35">
        <f>W22*CHOOSE('Обобщенный расчет'!$N$1,'Исходные данные'!$F$22,'Исходные данные'!$K$22)</f>
        <v>1006.0200000000002</v>
      </c>
      <c r="X37" s="35">
        <f>X22*CHOOSE('Обобщенный расчет'!$N$1,'Исходные данные'!$F$22,'Исходные данные'!$K$22)</f>
        <v>1006.0200000000002</v>
      </c>
      <c r="Y37" s="35">
        <f>Y22*CHOOSE('Обобщенный расчет'!$N$1,'Исходные данные'!$F$22,'Исходные данные'!$K$22)</f>
        <v>1006.0200000000002</v>
      </c>
      <c r="Z37" s="35">
        <f>Z22*CHOOSE('Обобщенный расчет'!$N$1,'Исходные данные'!$F$22,'Исходные данные'!$K$22)</f>
        <v>1006.0200000000002</v>
      </c>
      <c r="AA37" s="35">
        <f>AA22*CHOOSE('Обобщенный расчет'!$N$1,'Исходные данные'!$F$22,'Исходные данные'!$K$22)</f>
        <v>1006.0200000000002</v>
      </c>
      <c r="AB37" s="35">
        <f>AB22*CHOOSE('Обобщенный расчет'!$N$1,'Исходные данные'!$F$22,'Исходные данные'!$K$22)</f>
        <v>1006.0200000000002</v>
      </c>
      <c r="AC37" s="51">
        <f t="shared" si="22"/>
        <v>12072.240000000003</v>
      </c>
      <c r="AD37" s="51">
        <f t="shared" si="23"/>
        <v>1006.0200000000003</v>
      </c>
      <c r="AE37" s="35">
        <f>AE22*CHOOSE('Обобщенный расчет'!$N$1,'Исходные данные'!$F$22,'Исходные данные'!$K$22)</f>
        <v>1117.8</v>
      </c>
      <c r="AF37" s="35">
        <f>AF22*CHOOSE('Обобщенный расчет'!$N$1,'Исходные данные'!$F$22,'Исходные данные'!$K$22)</f>
        <v>1117.8</v>
      </c>
      <c r="AG37" s="35">
        <f>AG22*CHOOSE('Обобщенный расчет'!$N$1,'Исходные данные'!$F$22,'Исходные данные'!$K$22)</f>
        <v>1117.8</v>
      </c>
      <c r="AH37" s="35">
        <f>AH22*CHOOSE('Обобщенный расчет'!$N$1,'Исходные данные'!$F$22,'Исходные данные'!$K$22)</f>
        <v>1117.8</v>
      </c>
      <c r="AI37" s="35">
        <f>AI22*CHOOSE('Обобщенный расчет'!$N$1,'Исходные данные'!$F$22,'Исходные данные'!$K$22)</f>
        <v>1117.8</v>
      </c>
      <c r="AJ37" s="35">
        <f>AJ22*CHOOSE('Обобщенный расчет'!$N$1,'Исходные данные'!$F$22,'Исходные данные'!$K$22)</f>
        <v>1117.8</v>
      </c>
      <c r="AK37" s="35">
        <f>AK22*CHOOSE('Обобщенный расчет'!$N$1,'Исходные данные'!$F$22,'Исходные данные'!$K$22)</f>
        <v>1117.8</v>
      </c>
      <c r="AL37" s="35">
        <f>AL22*CHOOSE('Обобщенный расчет'!$N$1,'Исходные данные'!$F$22,'Исходные данные'!$K$22)</f>
        <v>1117.8</v>
      </c>
      <c r="AM37" s="35">
        <f>AM22*CHOOSE('Обобщенный расчет'!$N$1,'Исходные данные'!$F$22,'Исходные данные'!$K$22)</f>
        <v>1117.8</v>
      </c>
      <c r="AN37" s="35">
        <f>AN22*CHOOSE('Обобщенный расчет'!$N$1,'Исходные данные'!$F$22,'Исходные данные'!$K$22)</f>
        <v>1117.8</v>
      </c>
      <c r="AO37" s="35">
        <f>AO22*CHOOSE('Обобщенный расчет'!$N$1,'Исходные данные'!$F$22,'Исходные данные'!$K$22)</f>
        <v>1117.8</v>
      </c>
      <c r="AP37" s="35">
        <f>AP22*CHOOSE('Обобщенный расчет'!$N$1,'Исходные данные'!$F$22,'Исходные данные'!$K$22)</f>
        <v>1117.8</v>
      </c>
      <c r="AQ37" s="51">
        <f t="shared" si="24"/>
        <v>13413.599999999997</v>
      </c>
      <c r="AR37" s="51">
        <f t="shared" si="25"/>
        <v>1117.7999999999997</v>
      </c>
      <c r="AS37" s="113">
        <f t="shared" si="26"/>
        <v>34316.46</v>
      </c>
      <c r="AT37" s="36"/>
      <c r="AU37" s="86"/>
      <c r="AV37" s="34"/>
    </row>
    <row r="38" spans="1:48" s="34" customFormat="1" ht="10.5" x14ac:dyDescent="0.2">
      <c r="A38" s="180" t="str">
        <f t="shared" si="27"/>
        <v>Стрижки</v>
      </c>
      <c r="B38" s="20" t="str">
        <f>CHOOSE('Исходные данные'!$O$2,'Исходные данные'!$P$2,'Исходные данные'!$P$3,'Исходные данные'!$P$4,'Исходные данные'!$P$5)</f>
        <v>UAH</v>
      </c>
      <c r="C38" s="32">
        <f>C23*CHOOSE('Обобщенный расчет'!$N$1,'Исходные данные'!$F$23,'Исходные данные'!$K$23)</f>
        <v>596.16</v>
      </c>
      <c r="D38" s="32">
        <f>D23*CHOOSE('Обобщенный расчет'!$N$1,'Исходные данные'!$F$23,'Исходные данные'!$K$23)</f>
        <v>695.51999999999987</v>
      </c>
      <c r="E38" s="32">
        <f>E23*CHOOSE('Обобщенный расчет'!$N$1,'Исходные данные'!$F$23,'Исходные данные'!$K$23)</f>
        <v>794.88</v>
      </c>
      <c r="F38" s="32">
        <f>F23*CHOOSE('Обобщенный расчет'!$N$1,'Исходные данные'!$F$23,'Исходные данные'!$K$23)</f>
        <v>894.24</v>
      </c>
      <c r="G38" s="32">
        <f>G23*CHOOSE('Обобщенный расчет'!$N$1,'Исходные данные'!$F$23,'Исходные данные'!$K$23)</f>
        <v>993.6</v>
      </c>
      <c r="H38" s="32">
        <f>H23*CHOOSE('Обобщенный расчет'!$N$1,'Исходные данные'!$F$23,'Исходные данные'!$K$23)</f>
        <v>993.6</v>
      </c>
      <c r="I38" s="32">
        <f>I23*CHOOSE('Обобщенный расчет'!$N$1,'Исходные данные'!$F$23,'Исходные данные'!$K$23)</f>
        <v>1043.28</v>
      </c>
      <c r="J38" s="32">
        <f>J23*CHOOSE('Обобщенный расчет'!$N$1,'Исходные данные'!$F$23,'Исходные данные'!$K$23)</f>
        <v>1092.9600000000003</v>
      </c>
      <c r="K38" s="32">
        <f>K23*CHOOSE('Обобщенный расчет'!$N$1,'Исходные данные'!$F$23,'Исходные данные'!$K$23)</f>
        <v>1092.9600000000003</v>
      </c>
      <c r="L38" s="32">
        <f>L23*CHOOSE('Обобщенный расчет'!$N$1,'Исходные данные'!$F$23,'Исходные данные'!$K$23)</f>
        <v>1142.6399999999999</v>
      </c>
      <c r="M38" s="32">
        <f>M23*CHOOSE('Обобщенный расчет'!$N$1,'Исходные данные'!$F$23,'Исходные данные'!$K$23)</f>
        <v>1192.32</v>
      </c>
      <c r="N38" s="32">
        <f>N23*CHOOSE('Обобщенный расчет'!$N$1,'Исходные данные'!$F$23,'Исходные данные'!$K$23)</f>
        <v>1242</v>
      </c>
      <c r="O38" s="106">
        <f t="shared" si="20"/>
        <v>11774.16</v>
      </c>
      <c r="P38" s="106">
        <f t="shared" si="21"/>
        <v>981.18</v>
      </c>
      <c r="Q38" s="32">
        <f>Q23*CHOOSE('Обобщенный расчет'!$N$1,'Исходные данные'!$F$23,'Исходные данные'!$K$23)</f>
        <v>1341.3600000000004</v>
      </c>
      <c r="R38" s="32">
        <f>R23*CHOOSE('Обобщенный расчет'!$N$1,'Исходные данные'!$F$23,'Исходные данные'!$K$23)</f>
        <v>1341.3600000000004</v>
      </c>
      <c r="S38" s="32">
        <f>S23*CHOOSE('Обобщенный расчет'!$N$1,'Исходные данные'!$F$23,'Исходные данные'!$K$23)</f>
        <v>1341.3600000000004</v>
      </c>
      <c r="T38" s="32">
        <f>T23*CHOOSE('Обобщенный расчет'!$N$1,'Исходные данные'!$F$23,'Исходные данные'!$K$23)</f>
        <v>1341.3600000000004</v>
      </c>
      <c r="U38" s="32">
        <f>U23*CHOOSE('Обобщенный расчет'!$N$1,'Исходные данные'!$F$23,'Исходные данные'!$K$23)</f>
        <v>1341.3600000000004</v>
      </c>
      <c r="V38" s="32">
        <f>V23*CHOOSE('Обобщенный расчет'!$N$1,'Исходные данные'!$F$23,'Исходные данные'!$K$23)</f>
        <v>1341.3600000000004</v>
      </c>
      <c r="W38" s="32">
        <f>W23*CHOOSE('Обобщенный расчет'!$N$1,'Исходные данные'!$F$23,'Исходные данные'!$K$23)</f>
        <v>1341.3600000000004</v>
      </c>
      <c r="X38" s="32">
        <f>X23*CHOOSE('Обобщенный расчет'!$N$1,'Исходные данные'!$F$23,'Исходные данные'!$K$23)</f>
        <v>1341.3600000000004</v>
      </c>
      <c r="Y38" s="32">
        <f>Y23*CHOOSE('Обобщенный расчет'!$N$1,'Исходные данные'!$F$23,'Исходные данные'!$K$23)</f>
        <v>1341.3600000000004</v>
      </c>
      <c r="Z38" s="32">
        <f>Z23*CHOOSE('Обобщенный расчет'!$N$1,'Исходные данные'!$F$23,'Исходные данные'!$K$23)</f>
        <v>1341.3600000000004</v>
      </c>
      <c r="AA38" s="32">
        <f>AA23*CHOOSE('Обобщенный расчет'!$N$1,'Исходные данные'!$F$23,'Исходные данные'!$K$23)</f>
        <v>1341.3600000000004</v>
      </c>
      <c r="AB38" s="32">
        <f>AB23*CHOOSE('Обобщенный расчет'!$N$1,'Исходные данные'!$F$23,'Исходные данные'!$K$23)</f>
        <v>1341.3600000000004</v>
      </c>
      <c r="AC38" s="106">
        <f t="shared" si="22"/>
        <v>16096.320000000005</v>
      </c>
      <c r="AD38" s="106">
        <f t="shared" si="23"/>
        <v>1341.3600000000004</v>
      </c>
      <c r="AE38" s="32">
        <f>AE23*CHOOSE('Обобщенный расчет'!$N$1,'Исходные данные'!$F$23,'Исходные данные'!$K$23)</f>
        <v>1490.4</v>
      </c>
      <c r="AF38" s="32">
        <f>AF23*CHOOSE('Обобщенный расчет'!$N$1,'Исходные данные'!$F$23,'Исходные данные'!$K$23)</f>
        <v>1490.4</v>
      </c>
      <c r="AG38" s="32">
        <f>AG23*CHOOSE('Обобщенный расчет'!$N$1,'Исходные данные'!$F$23,'Исходные данные'!$K$23)</f>
        <v>1490.4</v>
      </c>
      <c r="AH38" s="32">
        <f>AH23*CHOOSE('Обобщенный расчет'!$N$1,'Исходные данные'!$F$23,'Исходные данные'!$K$23)</f>
        <v>1490.4</v>
      </c>
      <c r="AI38" s="32">
        <f>AI23*CHOOSE('Обобщенный расчет'!$N$1,'Исходные данные'!$F$23,'Исходные данные'!$K$23)</f>
        <v>1490.4</v>
      </c>
      <c r="AJ38" s="32">
        <f>AJ23*CHOOSE('Обобщенный расчет'!$N$1,'Исходные данные'!$F$23,'Исходные данные'!$K$23)</f>
        <v>1490.4</v>
      </c>
      <c r="AK38" s="32">
        <f>AK23*CHOOSE('Обобщенный расчет'!$N$1,'Исходные данные'!$F$23,'Исходные данные'!$K$23)</f>
        <v>1490.4</v>
      </c>
      <c r="AL38" s="32">
        <f>AL23*CHOOSE('Обобщенный расчет'!$N$1,'Исходные данные'!$F$23,'Исходные данные'!$K$23)</f>
        <v>1490.4</v>
      </c>
      <c r="AM38" s="32">
        <f>AM23*CHOOSE('Обобщенный расчет'!$N$1,'Исходные данные'!$F$23,'Исходные данные'!$K$23)</f>
        <v>1490.4</v>
      </c>
      <c r="AN38" s="32">
        <f>AN23*CHOOSE('Обобщенный расчет'!$N$1,'Исходные данные'!$F$23,'Исходные данные'!$K$23)</f>
        <v>1490.4</v>
      </c>
      <c r="AO38" s="32">
        <f>AO23*CHOOSE('Обобщенный расчет'!$N$1,'Исходные данные'!$F$23,'Исходные данные'!$K$23)</f>
        <v>1490.4</v>
      </c>
      <c r="AP38" s="32">
        <f>AP23*CHOOSE('Обобщенный расчет'!$N$1,'Исходные данные'!$F$23,'Исходные данные'!$K$23)</f>
        <v>1490.4</v>
      </c>
      <c r="AQ38" s="106">
        <f t="shared" si="24"/>
        <v>17884.8</v>
      </c>
      <c r="AR38" s="106">
        <f t="shared" si="25"/>
        <v>1490.3999999999999</v>
      </c>
      <c r="AS38" s="113">
        <f t="shared" si="26"/>
        <v>45755.28</v>
      </c>
      <c r="AT38" s="33"/>
      <c r="AU38" s="86"/>
    </row>
    <row r="39" spans="1:48" s="37" customFormat="1" ht="10.5" x14ac:dyDescent="0.2">
      <c r="A39" s="181" t="str">
        <f t="shared" si="27"/>
        <v>Кератиновое выпрямление Pure Brazilian</v>
      </c>
      <c r="B39" s="23" t="str">
        <f>CHOOSE('Исходные данные'!$O$2,'Исходные данные'!$P$2,'Исходные данные'!$P$3,'Исходные данные'!$P$4,'Исходные данные'!$P$5)</f>
        <v>UAH</v>
      </c>
      <c r="C39" s="35">
        <f>C24*CHOOSE('Обобщенный расчет'!$N$1,'Исходные данные'!$F$24,'Исходные данные'!$K$24)</f>
        <v>2235.6</v>
      </c>
      <c r="D39" s="35">
        <f>D24*CHOOSE('Обобщенный расчет'!$N$1,'Исходные данные'!$F$24,'Исходные данные'!$K$24)</f>
        <v>2608.1999999999998</v>
      </c>
      <c r="E39" s="35">
        <f>E24*CHOOSE('Обобщенный расчет'!$N$1,'Исходные данные'!$F$24,'Исходные данные'!$K$24)</f>
        <v>2980.8</v>
      </c>
      <c r="F39" s="35">
        <f>F24*CHOOSE('Обобщенный расчет'!$N$1,'Исходные данные'!$F$24,'Исходные данные'!$K$24)</f>
        <v>3353.4</v>
      </c>
      <c r="G39" s="35">
        <f>G24*CHOOSE('Обобщенный расчет'!$N$1,'Исходные данные'!$F$24,'Исходные данные'!$K$24)</f>
        <v>3726</v>
      </c>
      <c r="H39" s="35">
        <f>H24*CHOOSE('Обобщенный расчет'!$N$1,'Исходные данные'!$F$24,'Исходные данные'!$K$24)</f>
        <v>3726</v>
      </c>
      <c r="I39" s="35">
        <f>I24*CHOOSE('Обобщенный расчет'!$N$1,'Исходные данные'!$F$24,'Исходные данные'!$K$24)</f>
        <v>3912.3</v>
      </c>
      <c r="J39" s="35">
        <f>J24*CHOOSE('Обобщенный расчет'!$N$1,'Исходные данные'!$F$24,'Исходные данные'!$K$24)</f>
        <v>4098.6000000000013</v>
      </c>
      <c r="K39" s="35">
        <f>K24*CHOOSE('Обобщенный расчет'!$N$1,'Исходные данные'!$F$24,'Исходные данные'!$K$24)</f>
        <v>4098.6000000000013</v>
      </c>
      <c r="L39" s="35">
        <f>L24*CHOOSE('Обобщенный расчет'!$N$1,'Исходные данные'!$F$24,'Исходные данные'!$K$24)</f>
        <v>4284.8999999999996</v>
      </c>
      <c r="M39" s="35">
        <f>M24*CHOOSE('Обобщенный расчет'!$N$1,'Исходные данные'!$F$24,'Исходные данные'!$K$24)</f>
        <v>4471.2</v>
      </c>
      <c r="N39" s="35">
        <f>N24*CHOOSE('Обобщенный расчет'!$N$1,'Исходные данные'!$F$24,'Исходные данные'!$K$24)</f>
        <v>4657.5</v>
      </c>
      <c r="O39" s="51">
        <f t="shared" si="20"/>
        <v>44153.1</v>
      </c>
      <c r="P39" s="51">
        <f t="shared" si="21"/>
        <v>3679.4249999999997</v>
      </c>
      <c r="Q39" s="35">
        <f>Q24*CHOOSE('Обобщенный расчет'!$N$1,'Исходные данные'!$F$24,'Исходные данные'!$K$24)</f>
        <v>5030.1000000000013</v>
      </c>
      <c r="R39" s="35">
        <f>R24*CHOOSE('Обобщенный расчет'!$N$1,'Исходные данные'!$F$24,'Исходные данные'!$K$24)</f>
        <v>5030.1000000000013</v>
      </c>
      <c r="S39" s="35">
        <f>S24*CHOOSE('Обобщенный расчет'!$N$1,'Исходные данные'!$F$24,'Исходные данные'!$K$24)</f>
        <v>5030.1000000000013</v>
      </c>
      <c r="T39" s="35">
        <f>T24*CHOOSE('Обобщенный расчет'!$N$1,'Исходные данные'!$F$24,'Исходные данные'!$K$24)</f>
        <v>5030.1000000000013</v>
      </c>
      <c r="U39" s="35">
        <f>U24*CHOOSE('Обобщенный расчет'!$N$1,'Исходные данные'!$F$24,'Исходные данные'!$K$24)</f>
        <v>5030.1000000000013</v>
      </c>
      <c r="V39" s="35">
        <f>V24*CHOOSE('Обобщенный расчет'!$N$1,'Исходные данные'!$F$24,'Исходные данные'!$K$24)</f>
        <v>5030.1000000000013</v>
      </c>
      <c r="W39" s="35">
        <f>W24*CHOOSE('Обобщенный расчет'!$N$1,'Исходные данные'!$F$24,'Исходные данные'!$K$24)</f>
        <v>5030.1000000000013</v>
      </c>
      <c r="X39" s="35">
        <f>X24*CHOOSE('Обобщенный расчет'!$N$1,'Исходные данные'!$F$24,'Исходные данные'!$K$24)</f>
        <v>5030.1000000000013</v>
      </c>
      <c r="Y39" s="35">
        <f>Y24*CHOOSE('Обобщенный расчет'!$N$1,'Исходные данные'!$F$24,'Исходные данные'!$K$24)</f>
        <v>5030.1000000000013</v>
      </c>
      <c r="Z39" s="35">
        <f>Z24*CHOOSE('Обобщенный расчет'!$N$1,'Исходные данные'!$F$24,'Исходные данные'!$K$24)</f>
        <v>5030.1000000000013</v>
      </c>
      <c r="AA39" s="35">
        <f>AA24*CHOOSE('Обобщенный расчет'!$N$1,'Исходные данные'!$F$24,'Исходные данные'!$K$24)</f>
        <v>5030.1000000000013</v>
      </c>
      <c r="AB39" s="35">
        <f>AB24*CHOOSE('Обобщенный расчет'!$N$1,'Исходные данные'!$F$24,'Исходные данные'!$K$24)</f>
        <v>5030.1000000000013</v>
      </c>
      <c r="AC39" s="51">
        <f t="shared" si="22"/>
        <v>60361.200000000004</v>
      </c>
      <c r="AD39" s="51">
        <f t="shared" si="23"/>
        <v>5030.1000000000004</v>
      </c>
      <c r="AE39" s="35">
        <f>AE24*CHOOSE('Обобщенный расчет'!$N$1,'Исходные данные'!$F$24,'Исходные данные'!$K$24)</f>
        <v>5589</v>
      </c>
      <c r="AF39" s="35">
        <f>AF24*CHOOSE('Обобщенный расчет'!$N$1,'Исходные данные'!$F$24,'Исходные данные'!$K$24)</f>
        <v>5589</v>
      </c>
      <c r="AG39" s="35">
        <f>AG24*CHOOSE('Обобщенный расчет'!$N$1,'Исходные данные'!$F$24,'Исходные данные'!$K$24)</f>
        <v>5589</v>
      </c>
      <c r="AH39" s="35">
        <f>AH24*CHOOSE('Обобщенный расчет'!$N$1,'Исходные данные'!$F$24,'Исходные данные'!$K$24)</f>
        <v>5589</v>
      </c>
      <c r="AI39" s="35">
        <f>AI24*CHOOSE('Обобщенный расчет'!$N$1,'Исходные данные'!$F$24,'Исходные данные'!$K$24)</f>
        <v>5589</v>
      </c>
      <c r="AJ39" s="35">
        <f>AJ24*CHOOSE('Обобщенный расчет'!$N$1,'Исходные данные'!$F$24,'Исходные данные'!$K$24)</f>
        <v>5589</v>
      </c>
      <c r="AK39" s="35">
        <f>AK24*CHOOSE('Обобщенный расчет'!$N$1,'Исходные данные'!$F$24,'Исходные данные'!$K$24)</f>
        <v>5589</v>
      </c>
      <c r="AL39" s="35">
        <f>AL24*CHOOSE('Обобщенный расчет'!$N$1,'Исходные данные'!$F$24,'Исходные данные'!$K$24)</f>
        <v>5589</v>
      </c>
      <c r="AM39" s="35">
        <f>AM24*CHOOSE('Обобщенный расчет'!$N$1,'Исходные данные'!$F$24,'Исходные данные'!$K$24)</f>
        <v>5589</v>
      </c>
      <c r="AN39" s="35">
        <f>AN24*CHOOSE('Обобщенный расчет'!$N$1,'Исходные данные'!$F$24,'Исходные данные'!$K$24)</f>
        <v>5589</v>
      </c>
      <c r="AO39" s="35">
        <f>AO24*CHOOSE('Обобщенный расчет'!$N$1,'Исходные данные'!$F$24,'Исходные данные'!$K$24)</f>
        <v>5589</v>
      </c>
      <c r="AP39" s="35">
        <f>AP24*CHOOSE('Обобщенный расчет'!$N$1,'Исходные данные'!$F$24,'Исходные данные'!$K$24)</f>
        <v>5589</v>
      </c>
      <c r="AQ39" s="51">
        <f t="shared" si="24"/>
        <v>67068</v>
      </c>
      <c r="AR39" s="51">
        <f t="shared" si="25"/>
        <v>5589</v>
      </c>
      <c r="AS39" s="113">
        <f t="shared" si="26"/>
        <v>171582.3</v>
      </c>
      <c r="AT39" s="36"/>
      <c r="AU39" s="86"/>
      <c r="AV39" s="34"/>
    </row>
    <row r="40" spans="1:48" s="34" customFormat="1" ht="10.5" x14ac:dyDescent="0.2">
      <c r="A40" s="180" t="str">
        <f t="shared" si="27"/>
        <v>Маникюр - Педикюр</v>
      </c>
      <c r="B40" s="20" t="str">
        <f>CHOOSE('Исходные данные'!$O$2,'Исходные данные'!$P$2,'Исходные данные'!$P$3,'Исходные данные'!$P$4,'Исходные данные'!$P$5)</f>
        <v>UAH</v>
      </c>
      <c r="C40" s="32">
        <f>C25*CHOOSE('Обобщенный расчет'!$N$1,'Исходные данные'!$F$25,'Исходные данные'!$K$25)</f>
        <v>819.72</v>
      </c>
      <c r="D40" s="32">
        <f>D25*CHOOSE('Обобщенный расчет'!$N$1,'Исходные данные'!$F$25,'Исходные данные'!$K$25)</f>
        <v>956.33999999999992</v>
      </c>
      <c r="E40" s="32">
        <f>E25*CHOOSE('Обобщенный расчет'!$N$1,'Исходные данные'!$F$25,'Исходные данные'!$K$25)</f>
        <v>1092.96</v>
      </c>
      <c r="F40" s="32">
        <f>F25*CHOOSE('Обобщенный расчет'!$N$1,'Исходные данные'!$F$25,'Исходные данные'!$K$25)</f>
        <v>1229.58</v>
      </c>
      <c r="G40" s="32">
        <f>G25*CHOOSE('Обобщенный расчет'!$N$1,'Исходные данные'!$F$25,'Исходные данные'!$K$25)</f>
        <v>1366.2</v>
      </c>
      <c r="H40" s="32">
        <f>H25*CHOOSE('Обобщенный расчет'!$N$1,'Исходные данные'!$F$25,'Исходные данные'!$K$25)</f>
        <v>1366.2</v>
      </c>
      <c r="I40" s="32">
        <f>I25*CHOOSE('Обобщенный расчет'!$N$1,'Исходные данные'!$F$25,'Исходные данные'!$K$25)</f>
        <v>1434.51</v>
      </c>
      <c r="J40" s="32">
        <f>J25*CHOOSE('Обобщенный расчет'!$N$1,'Исходные данные'!$F$25,'Исходные данные'!$K$25)</f>
        <v>1502.8200000000004</v>
      </c>
      <c r="K40" s="32">
        <f>K25*CHOOSE('Обобщенный расчет'!$N$1,'Исходные данные'!$F$25,'Исходные данные'!$K$25)</f>
        <v>1502.8200000000004</v>
      </c>
      <c r="L40" s="32">
        <f>L25*CHOOSE('Обобщенный расчет'!$N$1,'Исходные данные'!$F$25,'Исходные данные'!$K$25)</f>
        <v>1571.1299999999997</v>
      </c>
      <c r="M40" s="32">
        <f>M25*CHOOSE('Обобщенный расчет'!$N$1,'Исходные данные'!$F$25,'Исходные данные'!$K$25)</f>
        <v>1639.44</v>
      </c>
      <c r="N40" s="32">
        <f>N25*CHOOSE('Обобщенный расчет'!$N$1,'Исходные данные'!$F$25,'Исходные данные'!$K$25)</f>
        <v>1707.75</v>
      </c>
      <c r="O40" s="106">
        <f t="shared" si="20"/>
        <v>16189.47</v>
      </c>
      <c r="P40" s="106">
        <f t="shared" si="21"/>
        <v>1349.1224999999999</v>
      </c>
      <c r="Q40" s="32">
        <f>Q25*CHOOSE('Обобщенный расчет'!$N$1,'Исходные данные'!$F$25,'Исходные данные'!$K$25)</f>
        <v>1844.3700000000003</v>
      </c>
      <c r="R40" s="32">
        <f>R25*CHOOSE('Обобщенный расчет'!$N$1,'Исходные данные'!$F$25,'Исходные данные'!$K$25)</f>
        <v>1844.3700000000003</v>
      </c>
      <c r="S40" s="32">
        <f>S25*CHOOSE('Обобщенный расчет'!$N$1,'Исходные данные'!$F$25,'Исходные данные'!$K$25)</f>
        <v>1844.3700000000003</v>
      </c>
      <c r="T40" s="32">
        <f>T25*CHOOSE('Обобщенный расчет'!$N$1,'Исходные данные'!$F$25,'Исходные данные'!$K$25)</f>
        <v>1844.3700000000003</v>
      </c>
      <c r="U40" s="32">
        <f>U25*CHOOSE('Обобщенный расчет'!$N$1,'Исходные данные'!$F$25,'Исходные данные'!$K$25)</f>
        <v>1844.3700000000003</v>
      </c>
      <c r="V40" s="32">
        <f>V25*CHOOSE('Обобщенный расчет'!$N$1,'Исходные данные'!$F$25,'Исходные данные'!$K$25)</f>
        <v>1844.3700000000003</v>
      </c>
      <c r="W40" s="32">
        <f>W25*CHOOSE('Обобщенный расчет'!$N$1,'Исходные данные'!$F$25,'Исходные данные'!$K$25)</f>
        <v>1844.3700000000003</v>
      </c>
      <c r="X40" s="32">
        <f>X25*CHOOSE('Обобщенный расчет'!$N$1,'Исходные данные'!$F$25,'Исходные данные'!$K$25)</f>
        <v>1844.3700000000003</v>
      </c>
      <c r="Y40" s="32">
        <f>Y25*CHOOSE('Обобщенный расчет'!$N$1,'Исходные данные'!$F$25,'Исходные данные'!$K$25)</f>
        <v>1844.3700000000003</v>
      </c>
      <c r="Z40" s="32">
        <f>Z25*CHOOSE('Обобщенный расчет'!$N$1,'Исходные данные'!$F$25,'Исходные данные'!$K$25)</f>
        <v>1844.3700000000003</v>
      </c>
      <c r="AA40" s="32">
        <f>AA25*CHOOSE('Обобщенный расчет'!$N$1,'Исходные данные'!$F$25,'Исходные данные'!$K$25)</f>
        <v>1844.3700000000003</v>
      </c>
      <c r="AB40" s="32">
        <f>AB25*CHOOSE('Обобщенный расчет'!$N$1,'Исходные данные'!$F$25,'Исходные данные'!$K$25)</f>
        <v>1844.3700000000003</v>
      </c>
      <c r="AC40" s="106">
        <f t="shared" si="22"/>
        <v>22132.440000000002</v>
      </c>
      <c r="AD40" s="106">
        <f t="shared" si="23"/>
        <v>1844.3700000000001</v>
      </c>
      <c r="AE40" s="32">
        <f>AE25*CHOOSE('Обобщенный расчет'!$N$1,'Исходные данные'!$F$25,'Исходные данные'!$K$25)</f>
        <v>2049.3000000000002</v>
      </c>
      <c r="AF40" s="32">
        <f>AF25*CHOOSE('Обобщенный расчет'!$N$1,'Исходные данные'!$F$25,'Исходные данные'!$K$25)</f>
        <v>2049.3000000000002</v>
      </c>
      <c r="AG40" s="32">
        <f>AG25*CHOOSE('Обобщенный расчет'!$N$1,'Исходные данные'!$F$25,'Исходные данные'!$K$25)</f>
        <v>2049.3000000000002</v>
      </c>
      <c r="AH40" s="32">
        <f>AH25*CHOOSE('Обобщенный расчет'!$N$1,'Исходные данные'!$F$25,'Исходные данные'!$K$25)</f>
        <v>2049.3000000000002</v>
      </c>
      <c r="AI40" s="32">
        <f>AI25*CHOOSE('Обобщенный расчет'!$N$1,'Исходные данные'!$F$25,'Исходные данные'!$K$25)</f>
        <v>2049.3000000000002</v>
      </c>
      <c r="AJ40" s="32">
        <f>AJ25*CHOOSE('Обобщенный расчет'!$N$1,'Исходные данные'!$F$25,'Исходные данные'!$K$25)</f>
        <v>2049.3000000000002</v>
      </c>
      <c r="AK40" s="32">
        <f>AK25*CHOOSE('Обобщенный расчет'!$N$1,'Исходные данные'!$F$25,'Исходные данные'!$K$25)</f>
        <v>2049.3000000000002</v>
      </c>
      <c r="AL40" s="32">
        <f>AL25*CHOOSE('Обобщенный расчет'!$N$1,'Исходные данные'!$F$25,'Исходные данные'!$K$25)</f>
        <v>2049.3000000000002</v>
      </c>
      <c r="AM40" s="32">
        <f>AM25*CHOOSE('Обобщенный расчет'!$N$1,'Исходные данные'!$F$25,'Исходные данные'!$K$25)</f>
        <v>2049.3000000000002</v>
      </c>
      <c r="AN40" s="32">
        <f>AN25*CHOOSE('Обобщенный расчет'!$N$1,'Исходные данные'!$F$25,'Исходные данные'!$K$25)</f>
        <v>2049.3000000000002</v>
      </c>
      <c r="AO40" s="32">
        <f>AO25*CHOOSE('Обобщенный расчет'!$N$1,'Исходные данные'!$F$25,'Исходные данные'!$K$25)</f>
        <v>2049.3000000000002</v>
      </c>
      <c r="AP40" s="32">
        <f>AP25*CHOOSE('Обобщенный расчет'!$N$1,'Исходные данные'!$F$25,'Исходные данные'!$K$25)</f>
        <v>2049.3000000000002</v>
      </c>
      <c r="AQ40" s="106">
        <f t="shared" si="24"/>
        <v>24591.599999999995</v>
      </c>
      <c r="AR40" s="106">
        <f t="shared" si="25"/>
        <v>2049.2999999999997</v>
      </c>
      <c r="AS40" s="113">
        <f t="shared" si="26"/>
        <v>62913.509999999995</v>
      </c>
      <c r="AT40" s="33"/>
      <c r="AU40" s="86"/>
    </row>
    <row r="41" spans="1:48" s="37" customFormat="1" ht="10.5" x14ac:dyDescent="0.2">
      <c r="A41" s="181" t="str">
        <f t="shared" si="27"/>
        <v>Макияж - Брови - Ресници</v>
      </c>
      <c r="B41" s="23" t="str">
        <f>CHOOSE('Исходные данные'!$O$2,'Исходные данные'!$P$2,'Исходные данные'!$P$3,'Исходные данные'!$P$4,'Исходные данные'!$P$5)</f>
        <v>UAH</v>
      </c>
      <c r="C41" s="35">
        <f>C26*CHOOSE('Обобщенный расчет'!$N$1,'Исходные данные'!$F$26,'Исходные данные'!$K$26)</f>
        <v>223.56</v>
      </c>
      <c r="D41" s="35">
        <f>D26*CHOOSE('Обобщенный расчет'!$N$1,'Исходные данные'!$F$26,'Исходные данные'!$K$26)</f>
        <v>260.82</v>
      </c>
      <c r="E41" s="35">
        <f>E26*CHOOSE('Обобщенный расчет'!$N$1,'Исходные данные'!$F$26,'Исходные данные'!$K$26)</f>
        <v>298.08</v>
      </c>
      <c r="F41" s="35">
        <f>F26*CHOOSE('Обобщенный расчет'!$N$1,'Исходные данные'!$F$26,'Исходные данные'!$K$26)</f>
        <v>335.34000000000003</v>
      </c>
      <c r="G41" s="35">
        <f>G26*CHOOSE('Обобщенный расчет'!$N$1,'Исходные данные'!$F$26,'Исходные данные'!$K$26)</f>
        <v>372.6</v>
      </c>
      <c r="H41" s="35">
        <f>H26*CHOOSE('Обобщенный расчет'!$N$1,'Исходные данные'!$F$26,'Исходные данные'!$K$26)</f>
        <v>372.6</v>
      </c>
      <c r="I41" s="35">
        <f>I26*CHOOSE('Обобщенный расчет'!$N$1,'Исходные данные'!$F$26,'Исходные данные'!$K$26)</f>
        <v>391.23</v>
      </c>
      <c r="J41" s="35">
        <f>J26*CHOOSE('Обобщенный расчет'!$N$1,'Исходные данные'!$F$26,'Исходные данные'!$K$26)</f>
        <v>409.86000000000007</v>
      </c>
      <c r="K41" s="35">
        <f>K26*CHOOSE('Обобщенный расчет'!$N$1,'Исходные данные'!$F$26,'Исходные данные'!$K$26)</f>
        <v>409.86000000000007</v>
      </c>
      <c r="L41" s="35">
        <f>L26*CHOOSE('Обобщенный расчет'!$N$1,'Исходные данные'!$F$26,'Исходные данные'!$K$26)</f>
        <v>428.48999999999995</v>
      </c>
      <c r="M41" s="35">
        <f>M26*CHOOSE('Обобщенный расчет'!$N$1,'Исходные данные'!$F$26,'Исходные данные'!$K$26)</f>
        <v>447.12</v>
      </c>
      <c r="N41" s="35">
        <f>N26*CHOOSE('Обобщенный расчет'!$N$1,'Исходные данные'!$F$26,'Исходные данные'!$K$26)</f>
        <v>465.75</v>
      </c>
      <c r="O41" s="51">
        <f t="shared" si="20"/>
        <v>4415.3099999999995</v>
      </c>
      <c r="P41" s="51">
        <f t="shared" si="21"/>
        <v>367.94249999999994</v>
      </c>
      <c r="Q41" s="35">
        <f>Q26*CHOOSE('Обобщенный расчет'!$N$1,'Исходные данные'!$F$26,'Исходные данные'!$K$26)</f>
        <v>503.0100000000001</v>
      </c>
      <c r="R41" s="35">
        <f>R26*CHOOSE('Обобщенный расчет'!$N$1,'Исходные данные'!$F$26,'Исходные данные'!$K$26)</f>
        <v>503.0100000000001</v>
      </c>
      <c r="S41" s="35">
        <f>S26*CHOOSE('Обобщенный расчет'!$N$1,'Исходные данные'!$F$26,'Исходные данные'!$K$26)</f>
        <v>503.0100000000001</v>
      </c>
      <c r="T41" s="35">
        <f>T26*CHOOSE('Обобщенный расчет'!$N$1,'Исходные данные'!$F$26,'Исходные данные'!$K$26)</f>
        <v>503.0100000000001</v>
      </c>
      <c r="U41" s="35">
        <f>U26*CHOOSE('Обобщенный расчет'!$N$1,'Исходные данные'!$F$26,'Исходные данные'!$K$26)</f>
        <v>503.0100000000001</v>
      </c>
      <c r="V41" s="35">
        <f>V26*CHOOSE('Обобщенный расчет'!$N$1,'Исходные данные'!$F$26,'Исходные данные'!$K$26)</f>
        <v>503.0100000000001</v>
      </c>
      <c r="W41" s="35">
        <f>W26*CHOOSE('Обобщенный расчет'!$N$1,'Исходные данные'!$F$26,'Исходные данные'!$K$26)</f>
        <v>503.0100000000001</v>
      </c>
      <c r="X41" s="35">
        <f>X26*CHOOSE('Обобщенный расчет'!$N$1,'Исходные данные'!$F$26,'Исходные данные'!$K$26)</f>
        <v>503.0100000000001</v>
      </c>
      <c r="Y41" s="35">
        <f>Y26*CHOOSE('Обобщенный расчет'!$N$1,'Исходные данные'!$F$26,'Исходные данные'!$K$26)</f>
        <v>503.0100000000001</v>
      </c>
      <c r="Z41" s="35">
        <f>Z26*CHOOSE('Обобщенный расчет'!$N$1,'Исходные данные'!$F$26,'Исходные данные'!$K$26)</f>
        <v>503.0100000000001</v>
      </c>
      <c r="AA41" s="35">
        <f>AA26*CHOOSE('Обобщенный расчет'!$N$1,'Исходные данные'!$F$26,'Исходные данные'!$K$26)</f>
        <v>503.0100000000001</v>
      </c>
      <c r="AB41" s="35">
        <f>AB26*CHOOSE('Обобщенный расчет'!$N$1,'Исходные данные'!$F$26,'Исходные данные'!$K$26)</f>
        <v>503.0100000000001</v>
      </c>
      <c r="AC41" s="51">
        <f t="shared" si="22"/>
        <v>6036.1200000000017</v>
      </c>
      <c r="AD41" s="51">
        <f t="shared" si="23"/>
        <v>503.01000000000016</v>
      </c>
      <c r="AE41" s="35">
        <f>AE26*CHOOSE('Обобщенный расчет'!$N$1,'Исходные данные'!$F$26,'Исходные данные'!$K$26)</f>
        <v>558.9</v>
      </c>
      <c r="AF41" s="35">
        <f>AF26*CHOOSE('Обобщенный расчет'!$N$1,'Исходные данные'!$F$26,'Исходные данные'!$K$26)</f>
        <v>558.9</v>
      </c>
      <c r="AG41" s="35">
        <f>AG26*CHOOSE('Обобщенный расчет'!$N$1,'Исходные данные'!$F$26,'Исходные данные'!$K$26)</f>
        <v>558.9</v>
      </c>
      <c r="AH41" s="35">
        <f>AH26*CHOOSE('Обобщенный расчет'!$N$1,'Исходные данные'!$F$26,'Исходные данные'!$K$26)</f>
        <v>558.9</v>
      </c>
      <c r="AI41" s="35">
        <f>AI26*CHOOSE('Обобщенный расчет'!$N$1,'Исходные данные'!$F$26,'Исходные данные'!$K$26)</f>
        <v>558.9</v>
      </c>
      <c r="AJ41" s="35">
        <f>AJ26*CHOOSE('Обобщенный расчет'!$N$1,'Исходные данные'!$F$26,'Исходные данные'!$K$26)</f>
        <v>558.9</v>
      </c>
      <c r="AK41" s="35">
        <f>AK26*CHOOSE('Обобщенный расчет'!$N$1,'Исходные данные'!$F$26,'Исходные данные'!$K$26)</f>
        <v>558.9</v>
      </c>
      <c r="AL41" s="35">
        <f>AL26*CHOOSE('Обобщенный расчет'!$N$1,'Исходные данные'!$F$26,'Исходные данные'!$K$26)</f>
        <v>558.9</v>
      </c>
      <c r="AM41" s="35">
        <f>AM26*CHOOSE('Обобщенный расчет'!$N$1,'Исходные данные'!$F$26,'Исходные данные'!$K$26)</f>
        <v>558.9</v>
      </c>
      <c r="AN41" s="35">
        <f>AN26*CHOOSE('Обобщенный расчет'!$N$1,'Исходные данные'!$F$26,'Исходные данные'!$K$26)</f>
        <v>558.9</v>
      </c>
      <c r="AO41" s="35">
        <f>AO26*CHOOSE('Обобщенный расчет'!$N$1,'Исходные данные'!$F$26,'Исходные данные'!$K$26)</f>
        <v>558.9</v>
      </c>
      <c r="AP41" s="35">
        <f>AP26*CHOOSE('Обобщенный расчет'!$N$1,'Исходные данные'!$F$26,'Исходные данные'!$K$26)</f>
        <v>558.9</v>
      </c>
      <c r="AQ41" s="51">
        <f t="shared" si="24"/>
        <v>6706.7999999999984</v>
      </c>
      <c r="AR41" s="51">
        <f t="shared" si="25"/>
        <v>558.89999999999986</v>
      </c>
      <c r="AS41" s="113">
        <f t="shared" si="26"/>
        <v>17158.23</v>
      </c>
      <c r="AT41" s="36"/>
      <c r="AU41" s="86"/>
      <c r="AV41" s="34"/>
    </row>
    <row r="42" spans="1:48" s="34" customFormat="1" ht="10.5" x14ac:dyDescent="0.2">
      <c r="A42" s="180" t="str">
        <f t="shared" si="27"/>
        <v>Массаж - Косметология</v>
      </c>
      <c r="B42" s="20" t="str">
        <f>CHOOSE('Исходные данные'!$O$2,'Исходные данные'!$P$2,'Исходные данные'!$P$3,'Исходные данные'!$P$4,'Исходные данные'!$P$5)</f>
        <v>UAH</v>
      </c>
      <c r="C42" s="32">
        <f>C27*CHOOSE('Обобщенный расчет'!$N$1,'Исходные данные'!$F$27,'Исходные данные'!$K$27)</f>
        <v>782.46</v>
      </c>
      <c r="D42" s="32">
        <f>D27*CHOOSE('Обобщенный расчет'!$N$1,'Исходные данные'!$F$27,'Исходные данные'!$K$27)</f>
        <v>912.87</v>
      </c>
      <c r="E42" s="32">
        <f>E27*CHOOSE('Обобщенный расчет'!$N$1,'Исходные данные'!$F$27,'Исходные данные'!$K$27)</f>
        <v>1043.28</v>
      </c>
      <c r="F42" s="32">
        <f>F27*CHOOSE('Обобщенный расчет'!$N$1,'Исходные данные'!$F$27,'Исходные данные'!$K$27)</f>
        <v>1173.6900000000003</v>
      </c>
      <c r="G42" s="32">
        <f>G27*CHOOSE('Обобщенный расчет'!$N$1,'Исходные данные'!$F$27,'Исходные данные'!$K$27)</f>
        <v>1304.1000000000001</v>
      </c>
      <c r="H42" s="32">
        <f>H27*CHOOSE('Обобщенный расчет'!$N$1,'Исходные данные'!$F$27,'Исходные данные'!$K$27)</f>
        <v>1304.1000000000001</v>
      </c>
      <c r="I42" s="32">
        <f>I27*CHOOSE('Обобщенный расчет'!$N$1,'Исходные данные'!$F$27,'Исходные данные'!$K$27)</f>
        <v>1369.3050000000001</v>
      </c>
      <c r="J42" s="32">
        <f>J27*CHOOSE('Обобщенный расчет'!$N$1,'Исходные данные'!$F$27,'Исходные данные'!$K$27)</f>
        <v>1434.5100000000004</v>
      </c>
      <c r="K42" s="32">
        <f>K27*CHOOSE('Обобщенный расчет'!$N$1,'Исходные данные'!$F$27,'Исходные данные'!$K$27)</f>
        <v>1434.5100000000004</v>
      </c>
      <c r="L42" s="32">
        <f>L27*CHOOSE('Обобщенный расчет'!$N$1,'Исходные данные'!$F$27,'Исходные данные'!$K$27)</f>
        <v>1499.7149999999999</v>
      </c>
      <c r="M42" s="32">
        <f>M27*CHOOSE('Обобщенный расчет'!$N$1,'Исходные данные'!$F$27,'Исходные данные'!$K$27)</f>
        <v>1564.92</v>
      </c>
      <c r="N42" s="32">
        <f>N27*CHOOSE('Обобщенный расчет'!$N$1,'Исходные данные'!$F$27,'Исходные данные'!$K$27)</f>
        <v>1630.1250000000002</v>
      </c>
      <c r="O42" s="106">
        <f t="shared" si="20"/>
        <v>15453.585000000003</v>
      </c>
      <c r="P42" s="106">
        <f t="shared" si="21"/>
        <v>1287.7987500000002</v>
      </c>
      <c r="Q42" s="32">
        <f>Q27*CHOOSE('Обобщенный расчет'!$N$1,'Исходные данные'!$F$27,'Исходные данные'!$K$27)</f>
        <v>1760.5350000000003</v>
      </c>
      <c r="R42" s="32">
        <f>R27*CHOOSE('Обобщенный расчет'!$N$1,'Исходные данные'!$F$27,'Исходные данные'!$K$27)</f>
        <v>1760.5350000000003</v>
      </c>
      <c r="S42" s="32">
        <f>S27*CHOOSE('Обобщенный расчет'!$N$1,'Исходные данные'!$F$27,'Исходные данные'!$K$27)</f>
        <v>1760.5350000000003</v>
      </c>
      <c r="T42" s="32">
        <f>T27*CHOOSE('Обобщенный расчет'!$N$1,'Исходные данные'!$F$27,'Исходные данные'!$K$27)</f>
        <v>1760.5350000000003</v>
      </c>
      <c r="U42" s="32">
        <f>U27*CHOOSE('Обобщенный расчет'!$N$1,'Исходные данные'!$F$27,'Исходные данные'!$K$27)</f>
        <v>1760.5350000000003</v>
      </c>
      <c r="V42" s="32">
        <f>V27*CHOOSE('Обобщенный расчет'!$N$1,'Исходные данные'!$F$27,'Исходные данные'!$K$27)</f>
        <v>1760.5350000000003</v>
      </c>
      <c r="W42" s="32">
        <f>W27*CHOOSE('Обобщенный расчет'!$N$1,'Исходные данные'!$F$27,'Исходные данные'!$K$27)</f>
        <v>1760.5350000000003</v>
      </c>
      <c r="X42" s="32">
        <f>X27*CHOOSE('Обобщенный расчет'!$N$1,'Исходные данные'!$F$27,'Исходные данные'!$K$27)</f>
        <v>1760.5350000000003</v>
      </c>
      <c r="Y42" s="32">
        <f>Y27*CHOOSE('Обобщенный расчет'!$N$1,'Исходные данные'!$F$27,'Исходные данные'!$K$27)</f>
        <v>1760.5350000000003</v>
      </c>
      <c r="Z42" s="32">
        <f>Z27*CHOOSE('Обобщенный расчет'!$N$1,'Исходные данные'!$F$27,'Исходные данные'!$K$27)</f>
        <v>1760.5350000000003</v>
      </c>
      <c r="AA42" s="32">
        <f>AA27*CHOOSE('Обобщенный расчет'!$N$1,'Исходные данные'!$F$27,'Исходные данные'!$K$27)</f>
        <v>1760.5350000000003</v>
      </c>
      <c r="AB42" s="32">
        <f>AB27*CHOOSE('Обобщенный расчет'!$N$1,'Исходные данные'!$F$27,'Исходные данные'!$K$27)</f>
        <v>1760.5350000000003</v>
      </c>
      <c r="AC42" s="106">
        <f t="shared" si="22"/>
        <v>21126.420000000002</v>
      </c>
      <c r="AD42" s="106">
        <f t="shared" si="23"/>
        <v>1760.5350000000001</v>
      </c>
      <c r="AE42" s="32">
        <f>AE27*CHOOSE('Обобщенный расчет'!$N$1,'Исходные данные'!$F$27,'Исходные данные'!$K$27)</f>
        <v>1956.15</v>
      </c>
      <c r="AF42" s="32">
        <f>AF27*CHOOSE('Обобщенный расчет'!$N$1,'Исходные данные'!$F$27,'Исходные данные'!$K$27)</f>
        <v>1956.15</v>
      </c>
      <c r="AG42" s="32">
        <f>AG27*CHOOSE('Обобщенный расчет'!$N$1,'Исходные данные'!$F$27,'Исходные данные'!$K$27)</f>
        <v>1956.15</v>
      </c>
      <c r="AH42" s="32">
        <f>AH27*CHOOSE('Обобщенный расчет'!$N$1,'Исходные данные'!$F$27,'Исходные данные'!$K$27)</f>
        <v>1956.15</v>
      </c>
      <c r="AI42" s="32">
        <f>AI27*CHOOSE('Обобщенный расчет'!$N$1,'Исходные данные'!$F$27,'Исходные данные'!$K$27)</f>
        <v>1956.15</v>
      </c>
      <c r="AJ42" s="32">
        <f>AJ27*CHOOSE('Обобщенный расчет'!$N$1,'Исходные данные'!$F$27,'Исходные данные'!$K$27)</f>
        <v>1956.15</v>
      </c>
      <c r="AK42" s="32">
        <f>AK27*CHOOSE('Обобщенный расчет'!$N$1,'Исходные данные'!$F$27,'Исходные данные'!$K$27)</f>
        <v>1956.15</v>
      </c>
      <c r="AL42" s="32">
        <f>AL27*CHOOSE('Обобщенный расчет'!$N$1,'Исходные данные'!$F$27,'Исходные данные'!$K$27)</f>
        <v>1956.15</v>
      </c>
      <c r="AM42" s="32">
        <f>AM27*CHOOSE('Обобщенный расчет'!$N$1,'Исходные данные'!$F$27,'Исходные данные'!$K$27)</f>
        <v>1956.15</v>
      </c>
      <c r="AN42" s="32">
        <f>AN27*CHOOSE('Обобщенный расчет'!$N$1,'Исходные данные'!$F$27,'Исходные данные'!$K$27)</f>
        <v>1956.15</v>
      </c>
      <c r="AO42" s="32">
        <f>AO27*CHOOSE('Обобщенный расчет'!$N$1,'Исходные данные'!$F$27,'Исходные данные'!$K$27)</f>
        <v>1956.15</v>
      </c>
      <c r="AP42" s="32">
        <f>AP27*CHOOSE('Обобщенный расчет'!$N$1,'Исходные данные'!$F$27,'Исходные данные'!$K$27)</f>
        <v>1956.15</v>
      </c>
      <c r="AQ42" s="106">
        <f t="shared" si="24"/>
        <v>23473.800000000003</v>
      </c>
      <c r="AR42" s="106">
        <f t="shared" si="25"/>
        <v>1956.1500000000003</v>
      </c>
      <c r="AS42" s="113">
        <f t="shared" si="26"/>
        <v>60053.805000000008</v>
      </c>
      <c r="AT42" s="33"/>
      <c r="AU42" s="86"/>
    </row>
    <row r="43" spans="1:48" s="37" customFormat="1" ht="10.5" x14ac:dyDescent="0.2">
      <c r="A43" s="181" t="str">
        <f t="shared" si="27"/>
        <v>Товарные группы</v>
      </c>
      <c r="B43" s="23" t="str">
        <f>CHOOSE('Исходные данные'!$O$2,'Исходные данные'!$P$2,'Исходные данные'!$P$3,'Исходные данные'!$P$4,'Исходные данные'!$P$5)</f>
        <v>UAH</v>
      </c>
      <c r="C43" s="35">
        <f>C28*CHOOSE('Обобщенный расчет'!$N$1,'Исходные данные'!$F$28,'Исходные данные'!$K$28)</f>
        <v>25560.360000000004</v>
      </c>
      <c r="D43" s="35">
        <f>D28*CHOOSE('Обобщенный расчет'!$N$1,'Исходные данные'!$F$28,'Исходные данные'!$K$28)</f>
        <v>29820.42</v>
      </c>
      <c r="E43" s="35">
        <f>E28*CHOOSE('Обобщенный расчет'!$N$1,'Исходные данные'!$F$28,'Исходные данные'!$K$28)</f>
        <v>34080.479999999996</v>
      </c>
      <c r="F43" s="35">
        <f>F28*CHOOSE('Обобщенный расчет'!$N$1,'Исходные данные'!$F$28,'Исходные данные'!$K$28)</f>
        <v>38340.540000000008</v>
      </c>
      <c r="G43" s="35">
        <f>G28*CHOOSE('Обобщенный расчет'!$N$1,'Исходные данные'!$F$28,'Исходные данные'!$K$28)</f>
        <v>42600.600000000006</v>
      </c>
      <c r="H43" s="35">
        <f>H28*CHOOSE('Обобщенный расчет'!$N$1,'Исходные данные'!$F$28,'Исходные данные'!$K$28)</f>
        <v>42600.600000000006</v>
      </c>
      <c r="I43" s="35">
        <f>I28*CHOOSE('Обобщенный расчет'!$N$1,'Исходные данные'!$F$28,'Исходные данные'!$K$28)</f>
        <v>44730.630000000005</v>
      </c>
      <c r="J43" s="35">
        <f>J28*CHOOSE('Обобщенный расчет'!$N$1,'Исходные данные'!$F$28,'Исходные данные'!$K$28)</f>
        <v>46860.660000000011</v>
      </c>
      <c r="K43" s="35">
        <f>K28*CHOOSE('Обобщенный расчет'!$N$1,'Исходные данные'!$F$28,'Исходные данные'!$K$28)</f>
        <v>46860.660000000011</v>
      </c>
      <c r="L43" s="35">
        <f>L28*CHOOSE('Обобщенный расчет'!$N$1,'Исходные данные'!$F$28,'Исходные данные'!$K$28)</f>
        <v>48990.69</v>
      </c>
      <c r="M43" s="35">
        <f>M28*CHOOSE('Обобщенный расчет'!$N$1,'Исходные данные'!$F$28,'Исходные данные'!$K$28)</f>
        <v>51120.720000000008</v>
      </c>
      <c r="N43" s="35">
        <f>N28*CHOOSE('Обобщенный расчет'!$N$1,'Исходные данные'!$F$28,'Исходные данные'!$K$28)</f>
        <v>53250.750000000007</v>
      </c>
      <c r="O43" s="51">
        <f t="shared" si="20"/>
        <v>504817.1100000001</v>
      </c>
      <c r="P43" s="51">
        <f t="shared" si="21"/>
        <v>42068.092500000006</v>
      </c>
      <c r="Q43" s="35">
        <f>Q28*CHOOSE('Обобщенный расчет'!$N$1,'Исходные данные'!$F$28,'Исходные данные'!$K$28)</f>
        <v>57510.810000000012</v>
      </c>
      <c r="R43" s="35">
        <f>R28*CHOOSE('Обобщенный расчет'!$N$1,'Исходные данные'!$F$28,'Исходные данные'!$K$28)</f>
        <v>57510.810000000012</v>
      </c>
      <c r="S43" s="35">
        <f>S28*CHOOSE('Обобщенный расчет'!$N$1,'Исходные данные'!$F$28,'Исходные данные'!$K$28)</f>
        <v>57510.810000000012</v>
      </c>
      <c r="T43" s="35">
        <f>T28*CHOOSE('Обобщенный расчет'!$N$1,'Исходные данные'!$F$28,'Исходные данные'!$K$28)</f>
        <v>57510.810000000012</v>
      </c>
      <c r="U43" s="35">
        <f>U28*CHOOSE('Обобщенный расчет'!$N$1,'Исходные данные'!$F$28,'Исходные данные'!$K$28)</f>
        <v>57510.810000000012</v>
      </c>
      <c r="V43" s="35">
        <f>V28*CHOOSE('Обобщенный расчет'!$N$1,'Исходные данные'!$F$28,'Исходные данные'!$K$28)</f>
        <v>57510.810000000012</v>
      </c>
      <c r="W43" s="35">
        <f>W28*CHOOSE('Обобщенный расчет'!$N$1,'Исходные данные'!$F$28,'Исходные данные'!$K$28)</f>
        <v>57510.810000000012</v>
      </c>
      <c r="X43" s="35">
        <f>X28*CHOOSE('Обобщенный расчет'!$N$1,'Исходные данные'!$F$28,'Исходные данные'!$K$28)</f>
        <v>57510.810000000012</v>
      </c>
      <c r="Y43" s="35">
        <f>Y28*CHOOSE('Обобщенный расчет'!$N$1,'Исходные данные'!$F$28,'Исходные данные'!$K$28)</f>
        <v>57510.810000000012</v>
      </c>
      <c r="Z43" s="35">
        <f>Z28*CHOOSE('Обобщенный расчет'!$N$1,'Исходные данные'!$F$28,'Исходные данные'!$K$28)</f>
        <v>57510.810000000012</v>
      </c>
      <c r="AA43" s="35">
        <f>AA28*CHOOSE('Обобщенный расчет'!$N$1,'Исходные данные'!$F$28,'Исходные данные'!$K$28)</f>
        <v>57510.810000000012</v>
      </c>
      <c r="AB43" s="35">
        <f>AB28*CHOOSE('Обобщенный расчет'!$N$1,'Исходные данные'!$F$28,'Исходные данные'!$K$28)</f>
        <v>57510.810000000012</v>
      </c>
      <c r="AC43" s="51">
        <f t="shared" si="22"/>
        <v>690129.7200000002</v>
      </c>
      <c r="AD43" s="51">
        <f t="shared" si="23"/>
        <v>57510.810000000019</v>
      </c>
      <c r="AE43" s="35">
        <f>AE28*CHOOSE('Обобщенный расчет'!$N$1,'Исходные данные'!$F$28,'Исходные данные'!$K$28)</f>
        <v>63900.900000000009</v>
      </c>
      <c r="AF43" s="35">
        <f>AF28*CHOOSE('Обобщенный расчет'!$N$1,'Исходные данные'!$F$28,'Исходные данные'!$K$28)</f>
        <v>63900.900000000009</v>
      </c>
      <c r="AG43" s="35">
        <f>AG28*CHOOSE('Обобщенный расчет'!$N$1,'Исходные данные'!$F$28,'Исходные данные'!$K$28)</f>
        <v>63900.900000000009</v>
      </c>
      <c r="AH43" s="35">
        <f>AH28*CHOOSE('Обобщенный расчет'!$N$1,'Исходные данные'!$F$28,'Исходные данные'!$K$28)</f>
        <v>63900.900000000009</v>
      </c>
      <c r="AI43" s="35">
        <f>AI28*CHOOSE('Обобщенный расчет'!$N$1,'Исходные данные'!$F$28,'Исходные данные'!$K$28)</f>
        <v>63900.900000000009</v>
      </c>
      <c r="AJ43" s="35">
        <f>AJ28*CHOOSE('Обобщенный расчет'!$N$1,'Исходные данные'!$F$28,'Исходные данные'!$K$28)</f>
        <v>63900.900000000009</v>
      </c>
      <c r="AK43" s="35">
        <f>AK28*CHOOSE('Обобщенный расчет'!$N$1,'Исходные данные'!$F$28,'Исходные данные'!$K$28)</f>
        <v>63900.900000000009</v>
      </c>
      <c r="AL43" s="35">
        <f>AL28*CHOOSE('Обобщенный расчет'!$N$1,'Исходные данные'!$F$28,'Исходные данные'!$K$28)</f>
        <v>63900.900000000009</v>
      </c>
      <c r="AM43" s="35">
        <f>AM28*CHOOSE('Обобщенный расчет'!$N$1,'Исходные данные'!$F$28,'Исходные данные'!$K$28)</f>
        <v>63900.900000000009</v>
      </c>
      <c r="AN43" s="35">
        <f>AN28*CHOOSE('Обобщенный расчет'!$N$1,'Исходные данные'!$F$28,'Исходные данные'!$K$28)</f>
        <v>63900.900000000009</v>
      </c>
      <c r="AO43" s="35">
        <f>AO28*CHOOSE('Обобщенный расчет'!$N$1,'Исходные данные'!$F$28,'Исходные данные'!$K$28)</f>
        <v>63900.900000000009</v>
      </c>
      <c r="AP43" s="35">
        <f>AP28*CHOOSE('Обобщенный расчет'!$N$1,'Исходные данные'!$F$28,'Исходные данные'!$K$28)</f>
        <v>63900.900000000009</v>
      </c>
      <c r="AQ43" s="51">
        <f t="shared" si="24"/>
        <v>766810.80000000016</v>
      </c>
      <c r="AR43" s="51">
        <f t="shared" si="25"/>
        <v>63900.900000000016</v>
      </c>
      <c r="AS43" s="113">
        <f t="shared" si="26"/>
        <v>1961757.6300000004</v>
      </c>
      <c r="AT43" s="36"/>
      <c r="AU43" s="86"/>
      <c r="AV43" s="34"/>
    </row>
    <row r="44" spans="1:48" s="26" customFormat="1" ht="10.5" x14ac:dyDescent="0.2">
      <c r="A44" s="27" t="s">
        <v>3</v>
      </c>
      <c r="B44" s="28" t="str">
        <f>CHOOSE('Исходные данные'!$O$2,'Исходные данные'!$P$2,'Исходные данные'!$P$3,'Исходные данные'!$P$4,'Исходные данные'!$P$5)</f>
        <v>UAH</v>
      </c>
      <c r="C44" s="95">
        <f>SUM(C32:C43)</f>
        <v>64944.180000000008</v>
      </c>
      <c r="D44" s="95">
        <f t="shared" ref="D44:AS44" si="28">SUM(D32:D43)</f>
        <v>75768.209999999992</v>
      </c>
      <c r="E44" s="95">
        <f t="shared" si="28"/>
        <v>86592.24</v>
      </c>
      <c r="F44" s="95">
        <f t="shared" si="28"/>
        <v>97416.270000000019</v>
      </c>
      <c r="G44" s="95">
        <f t="shared" si="28"/>
        <v>108240.3</v>
      </c>
      <c r="H44" s="95">
        <f t="shared" si="28"/>
        <v>108240.3</v>
      </c>
      <c r="I44" s="95">
        <f t="shared" si="28"/>
        <v>113652.31499999999</v>
      </c>
      <c r="J44" s="95">
        <f t="shared" si="28"/>
        <v>119064.33000000005</v>
      </c>
      <c r="K44" s="95">
        <f t="shared" si="28"/>
        <v>119064.33000000005</v>
      </c>
      <c r="L44" s="95">
        <f t="shared" si="28"/>
        <v>124476.34499999999</v>
      </c>
      <c r="M44" s="95">
        <f t="shared" si="28"/>
        <v>129888.36000000002</v>
      </c>
      <c r="N44" s="95">
        <f t="shared" si="28"/>
        <v>135300.375</v>
      </c>
      <c r="O44" s="95">
        <f t="shared" si="28"/>
        <v>1282647.5550000002</v>
      </c>
      <c r="P44" s="95">
        <f t="shared" si="28"/>
        <v>106887.29625000001</v>
      </c>
      <c r="Q44" s="95">
        <f t="shared" si="28"/>
        <v>146124.40500000003</v>
      </c>
      <c r="R44" s="95">
        <f t="shared" si="28"/>
        <v>146124.40500000003</v>
      </c>
      <c r="S44" s="95">
        <f t="shared" si="28"/>
        <v>146124.40500000003</v>
      </c>
      <c r="T44" s="95">
        <f t="shared" si="28"/>
        <v>146124.40500000003</v>
      </c>
      <c r="U44" s="95">
        <f t="shared" si="28"/>
        <v>146124.40500000003</v>
      </c>
      <c r="V44" s="95">
        <f t="shared" si="28"/>
        <v>146124.40500000003</v>
      </c>
      <c r="W44" s="95">
        <f t="shared" si="28"/>
        <v>146124.40500000003</v>
      </c>
      <c r="X44" s="95">
        <f t="shared" si="28"/>
        <v>146124.40500000003</v>
      </c>
      <c r="Y44" s="95">
        <f t="shared" si="28"/>
        <v>146124.40500000003</v>
      </c>
      <c r="Z44" s="95">
        <f t="shared" si="28"/>
        <v>146124.40500000003</v>
      </c>
      <c r="AA44" s="95">
        <f t="shared" si="28"/>
        <v>146124.40500000003</v>
      </c>
      <c r="AB44" s="95">
        <f t="shared" si="28"/>
        <v>146124.40500000003</v>
      </c>
      <c r="AC44" s="95">
        <f t="shared" si="28"/>
        <v>1753492.8600000003</v>
      </c>
      <c r="AD44" s="95">
        <f t="shared" si="28"/>
        <v>146124.40500000006</v>
      </c>
      <c r="AE44" s="95">
        <f t="shared" si="28"/>
        <v>162360.45000000001</v>
      </c>
      <c r="AF44" s="95">
        <f t="shared" si="28"/>
        <v>162360.45000000001</v>
      </c>
      <c r="AG44" s="95">
        <f t="shared" si="28"/>
        <v>162360.45000000001</v>
      </c>
      <c r="AH44" s="95">
        <f t="shared" si="28"/>
        <v>162360.45000000001</v>
      </c>
      <c r="AI44" s="95">
        <f t="shared" si="28"/>
        <v>162360.45000000001</v>
      </c>
      <c r="AJ44" s="95">
        <f t="shared" si="28"/>
        <v>162360.45000000001</v>
      </c>
      <c r="AK44" s="95">
        <f t="shared" si="28"/>
        <v>162360.45000000001</v>
      </c>
      <c r="AL44" s="95">
        <f t="shared" si="28"/>
        <v>162360.45000000001</v>
      </c>
      <c r="AM44" s="95">
        <f t="shared" si="28"/>
        <v>162360.45000000001</v>
      </c>
      <c r="AN44" s="95">
        <f t="shared" si="28"/>
        <v>162360.45000000001</v>
      </c>
      <c r="AO44" s="95">
        <f t="shared" si="28"/>
        <v>162360.45000000001</v>
      </c>
      <c r="AP44" s="95">
        <f t="shared" si="28"/>
        <v>162360.45000000001</v>
      </c>
      <c r="AQ44" s="95">
        <f t="shared" si="28"/>
        <v>1948325.4</v>
      </c>
      <c r="AR44" s="95">
        <f t="shared" si="28"/>
        <v>162360.45000000001</v>
      </c>
      <c r="AS44" s="95">
        <f t="shared" si="28"/>
        <v>4984465.8149999995</v>
      </c>
      <c r="AT44" s="25"/>
      <c r="AV44" s="34"/>
    </row>
    <row r="45" spans="1:48" s="19" customFormat="1" ht="11" thickBot="1" x14ac:dyDescent="0.3">
      <c r="A45" s="29"/>
      <c r="B45" s="30"/>
      <c r="C45" s="31"/>
      <c r="D45" s="29"/>
      <c r="E45" s="29"/>
      <c r="F45" s="29"/>
      <c r="G45" s="29"/>
      <c r="H45" s="29"/>
      <c r="I45" s="29"/>
      <c r="J45" s="29"/>
      <c r="O45" s="54"/>
      <c r="P45" s="54"/>
      <c r="Q45" s="31"/>
      <c r="R45" s="29"/>
      <c r="S45" s="29"/>
      <c r="T45" s="29"/>
      <c r="U45" s="29"/>
      <c r="V45" s="29"/>
      <c r="W45" s="29"/>
      <c r="X45" s="29"/>
      <c r="AC45" s="54"/>
      <c r="AD45" s="54"/>
      <c r="AE45" s="31"/>
      <c r="AF45" s="29"/>
      <c r="AG45" s="29"/>
      <c r="AH45" s="29"/>
      <c r="AI45" s="29"/>
      <c r="AJ45" s="29"/>
      <c r="AK45" s="29"/>
      <c r="AL45" s="29"/>
      <c r="AQ45" s="54"/>
      <c r="AR45" s="54"/>
    </row>
    <row r="46" spans="1:48" s="13" customFormat="1" ht="22" thickTop="1" thickBot="1" x14ac:dyDescent="0.25">
      <c r="A46" s="14" t="s">
        <v>87</v>
      </c>
      <c r="B46" s="15"/>
      <c r="C46" s="18" t="str">
        <f t="shared" ref="C46:N46" si="29">C$6</f>
        <v>октябрь</v>
      </c>
      <c r="D46" s="18" t="str">
        <f t="shared" si="29"/>
        <v>ноябрь</v>
      </c>
      <c r="E46" s="18" t="str">
        <f t="shared" si="29"/>
        <v>декабрь</v>
      </c>
      <c r="F46" s="18" t="str">
        <f t="shared" si="29"/>
        <v>январь</v>
      </c>
      <c r="G46" s="18" t="str">
        <f t="shared" si="29"/>
        <v>февраль</v>
      </c>
      <c r="H46" s="18" t="str">
        <f t="shared" si="29"/>
        <v>март</v>
      </c>
      <c r="I46" s="18" t="str">
        <f t="shared" si="29"/>
        <v>апрель</v>
      </c>
      <c r="J46" s="18" t="str">
        <f t="shared" si="29"/>
        <v>май</v>
      </c>
      <c r="K46" s="18" t="str">
        <f t="shared" si="29"/>
        <v>июнь</v>
      </c>
      <c r="L46" s="18" t="str">
        <f t="shared" si="29"/>
        <v>июль</v>
      </c>
      <c r="M46" s="18" t="str">
        <f t="shared" si="29"/>
        <v>август</v>
      </c>
      <c r="N46" s="18" t="str">
        <f t="shared" si="29"/>
        <v>сентябрь</v>
      </c>
      <c r="O46" s="107" t="str">
        <f>$O$16</f>
        <v>Итого за 1-й год</v>
      </c>
      <c r="P46" s="107" t="str">
        <f>$P$16</f>
        <v>Среднемесячно за 1-й год</v>
      </c>
      <c r="Q46" s="18" t="str">
        <f t="shared" ref="Q46:AB46" si="30">Q$6</f>
        <v>октябрь</v>
      </c>
      <c r="R46" s="18" t="str">
        <f t="shared" si="30"/>
        <v>ноябрь</v>
      </c>
      <c r="S46" s="18" t="str">
        <f t="shared" si="30"/>
        <v>декабрь</v>
      </c>
      <c r="T46" s="18" t="str">
        <f t="shared" si="30"/>
        <v>январь</v>
      </c>
      <c r="U46" s="18" t="str">
        <f t="shared" si="30"/>
        <v>февраль</v>
      </c>
      <c r="V46" s="18" t="str">
        <f t="shared" si="30"/>
        <v>март</v>
      </c>
      <c r="W46" s="18" t="str">
        <f t="shared" si="30"/>
        <v>апрель</v>
      </c>
      <c r="X46" s="18" t="str">
        <f t="shared" si="30"/>
        <v>май</v>
      </c>
      <c r="Y46" s="18" t="str">
        <f t="shared" si="30"/>
        <v>июнь</v>
      </c>
      <c r="Z46" s="18" t="str">
        <f t="shared" si="30"/>
        <v>июль</v>
      </c>
      <c r="AA46" s="18" t="str">
        <f t="shared" si="30"/>
        <v>август</v>
      </c>
      <c r="AB46" s="18" t="str">
        <f t="shared" si="30"/>
        <v>сентябрь</v>
      </c>
      <c r="AC46" s="107" t="str">
        <f>$AC$16</f>
        <v>Итого за 2-й год</v>
      </c>
      <c r="AD46" s="107" t="str">
        <f>$AD$16</f>
        <v>Среднемесячно за 2-й год</v>
      </c>
      <c r="AE46" s="18" t="str">
        <f t="shared" ref="AE46:AP46" si="31">AE$6</f>
        <v>октябрь</v>
      </c>
      <c r="AF46" s="18" t="str">
        <f t="shared" si="31"/>
        <v>ноябрь</v>
      </c>
      <c r="AG46" s="18" t="str">
        <f t="shared" si="31"/>
        <v>декабрь</v>
      </c>
      <c r="AH46" s="18" t="str">
        <f t="shared" si="31"/>
        <v>январь</v>
      </c>
      <c r="AI46" s="18" t="str">
        <f t="shared" si="31"/>
        <v>февраль</v>
      </c>
      <c r="AJ46" s="18" t="str">
        <f t="shared" si="31"/>
        <v>март</v>
      </c>
      <c r="AK46" s="18" t="str">
        <f t="shared" si="31"/>
        <v>апрель</v>
      </c>
      <c r="AL46" s="18" t="str">
        <f t="shared" si="31"/>
        <v>май</v>
      </c>
      <c r="AM46" s="18" t="str">
        <f t="shared" si="31"/>
        <v>июнь</v>
      </c>
      <c r="AN46" s="18" t="str">
        <f t="shared" si="31"/>
        <v>июль</v>
      </c>
      <c r="AO46" s="18" t="str">
        <f t="shared" si="31"/>
        <v>август</v>
      </c>
      <c r="AP46" s="18" t="str">
        <f t="shared" si="31"/>
        <v>сентябрь</v>
      </c>
      <c r="AQ46" s="107" t="str">
        <f>AQ16</f>
        <v>Итого за 3-й год</v>
      </c>
      <c r="AR46" s="107" t="str">
        <f>AR16</f>
        <v>Среднемесячно за 3-й год</v>
      </c>
      <c r="AS46" s="115" t="str">
        <f>AS15</f>
        <v>Итого за три года</v>
      </c>
    </row>
    <row r="47" spans="1:48" s="37" customFormat="1" ht="11" thickTop="1" x14ac:dyDescent="0.2">
      <c r="A47" s="60" t="str">
        <f>'Обобщенный расчет'!B11</f>
        <v>Ремонт помещения</v>
      </c>
      <c r="B47" s="23" t="str">
        <f>CHOOSE('Исходные данные'!$O$2,'Исходные данные'!$P$2,'Исходные данные'!$P$3,'Исходные данные'!$P$4,'Исходные данные'!$P$5)</f>
        <v>UAH</v>
      </c>
      <c r="C47" s="35">
        <f>'Обобщенный расчет'!D11</f>
        <v>110000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51">
        <f t="shared" ref="O47:O55" si="32">SUM(C47:N47)</f>
        <v>110000</v>
      </c>
      <c r="P47" s="51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51">
        <f t="shared" ref="AC47:AC55" si="33">SUM(Q47:AB47)</f>
        <v>0</v>
      </c>
      <c r="AD47" s="51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51">
        <f t="shared" ref="AQ47:AQ55" si="34">SUM(AE47:AP47)</f>
        <v>0</v>
      </c>
      <c r="AR47" s="51"/>
      <c r="AS47" s="113">
        <f t="shared" ref="AS47:AS56" si="35">O47+AC47+AQ47</f>
        <v>110000</v>
      </c>
      <c r="AT47" s="36"/>
    </row>
    <row r="48" spans="1:48" s="34" customFormat="1" ht="10.5" x14ac:dyDescent="0.2">
      <c r="A48" s="59" t="str">
        <f>'Обобщенный расчет'!B12</f>
        <v>Мебель</v>
      </c>
      <c r="B48" s="20" t="str">
        <f>CHOOSE('Исходные данные'!$O$2,'Исходные данные'!$P$2,'Исходные данные'!$P$3,'Исходные данные'!$P$4,'Исходные данные'!$P$5)</f>
        <v>UAH</v>
      </c>
      <c r="C48" s="32">
        <f>'Обобщенный расчет'!D12</f>
        <v>80000</v>
      </c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106">
        <f t="shared" ref="O48" si="36">SUM(C48:N48)</f>
        <v>80000</v>
      </c>
      <c r="P48" s="106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106">
        <f t="shared" ref="AC48" si="37">SUM(Q48:AB48)</f>
        <v>0</v>
      </c>
      <c r="AD48" s="106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106">
        <f t="shared" ref="AQ48" si="38">SUM(AE48:AP48)</f>
        <v>0</v>
      </c>
      <c r="AR48" s="106"/>
      <c r="AS48" s="113">
        <f t="shared" ref="AS48" si="39">O48+AC48+AQ48</f>
        <v>80000</v>
      </c>
      <c r="AT48" s="33"/>
    </row>
    <row r="49" spans="1:46" s="37" customFormat="1" ht="10.5" x14ac:dyDescent="0.2">
      <c r="A49" s="60" t="str">
        <f>'Обобщенный расчет'!B13</f>
        <v>Оборудование</v>
      </c>
      <c r="B49" s="23" t="str">
        <f>CHOOSE('Исходные данные'!$O$2,'Исходные данные'!$P$2,'Исходные данные'!$P$3,'Исходные данные'!$P$4,'Исходные данные'!$P$5)</f>
        <v>UAH</v>
      </c>
      <c r="C49" s="35">
        <f>'Обобщенный расчет'!D13</f>
        <v>70000</v>
      </c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51">
        <f t="shared" si="32"/>
        <v>70000</v>
      </c>
      <c r="P49" s="51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51">
        <f t="shared" si="33"/>
        <v>0</v>
      </c>
      <c r="AD49" s="51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51">
        <f t="shared" si="34"/>
        <v>0</v>
      </c>
      <c r="AR49" s="51"/>
      <c r="AS49" s="113">
        <f t="shared" si="35"/>
        <v>70000</v>
      </c>
      <c r="AT49" s="36"/>
    </row>
    <row r="50" spans="1:46" s="34" customFormat="1" ht="10.5" x14ac:dyDescent="0.2">
      <c r="A50" s="59" t="str">
        <f>'Обобщенный расчет'!B14</f>
        <v>Видеонаблюдение</v>
      </c>
      <c r="B50" s="20" t="str">
        <f>CHOOSE('Исходные данные'!$O$2,'Исходные данные'!$P$2,'Исходные данные'!$P$3,'Исходные данные'!$P$4,'Исходные данные'!$P$5)</f>
        <v>UAH</v>
      </c>
      <c r="C50" s="32">
        <f>'Обобщенный расчет'!D14</f>
        <v>8000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106">
        <f t="shared" si="32"/>
        <v>8000</v>
      </c>
      <c r="P50" s="106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106">
        <f t="shared" si="33"/>
        <v>0</v>
      </c>
      <c r="AD50" s="106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106">
        <f t="shared" si="34"/>
        <v>0</v>
      </c>
      <c r="AR50" s="106"/>
      <c r="AS50" s="113">
        <f t="shared" si="35"/>
        <v>8000</v>
      </c>
      <c r="AT50" s="33"/>
    </row>
    <row r="51" spans="1:46" s="37" customFormat="1" ht="10.5" x14ac:dyDescent="0.2">
      <c r="A51" s="60" t="str">
        <f>'Обобщенный расчет'!B15</f>
        <v>Сигнализация (охранная и пожарная)</v>
      </c>
      <c r="B51" s="23" t="str">
        <f>CHOOSE('Исходные данные'!$O$2,'Исходные данные'!$P$2,'Исходные данные'!$P$3,'Исходные данные'!$P$4,'Исходные данные'!$P$5)</f>
        <v>UAH</v>
      </c>
      <c r="C51" s="35">
        <f>'Обобщенный расчет'!D15</f>
        <v>4000</v>
      </c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51">
        <f t="shared" si="32"/>
        <v>4000</v>
      </c>
      <c r="P51" s="51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51">
        <f t="shared" si="33"/>
        <v>0</v>
      </c>
      <c r="AD51" s="51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51">
        <f t="shared" si="34"/>
        <v>0</v>
      </c>
      <c r="AR51" s="51"/>
      <c r="AS51" s="113">
        <f t="shared" si="35"/>
        <v>4000</v>
      </c>
      <c r="AT51" s="36"/>
    </row>
    <row r="52" spans="1:46" s="34" customFormat="1" ht="10.5" x14ac:dyDescent="0.2">
      <c r="A52" s="59" t="str">
        <f>'Обобщенный расчет'!B16</f>
        <v>Первоначальная закупка товара</v>
      </c>
      <c r="B52" s="20" t="str">
        <f>CHOOSE('Исходные данные'!$O$2,'Исходные данные'!$P$2,'Исходные данные'!$P$3,'Исходные данные'!$P$4,'Исходные данные'!$P$5)</f>
        <v>UAH</v>
      </c>
      <c r="C52" s="32">
        <f>'Обобщенный расчет'!D16</f>
        <v>60000</v>
      </c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106">
        <f t="shared" si="32"/>
        <v>60000</v>
      </c>
      <c r="P52" s="106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106">
        <f t="shared" si="33"/>
        <v>0</v>
      </c>
      <c r="AD52" s="106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106">
        <f t="shared" si="34"/>
        <v>0</v>
      </c>
      <c r="AR52" s="106"/>
      <c r="AS52" s="113">
        <f t="shared" si="35"/>
        <v>60000</v>
      </c>
      <c r="AT52" s="33"/>
    </row>
    <row r="53" spans="1:46" s="37" customFormat="1" ht="10.5" x14ac:dyDescent="0.2">
      <c r="A53" s="60" t="str">
        <f>'Обобщенный расчет'!B17</f>
        <v>Рекламная кампания</v>
      </c>
      <c r="B53" s="23" t="str">
        <f>CHOOSE('Исходные данные'!$O$2,'Исходные данные'!$P$2,'Исходные данные'!$P$3,'Исходные данные'!$P$4,'Исходные данные'!$P$5)</f>
        <v>UAH</v>
      </c>
      <c r="C53" s="35">
        <f>'Обобщенный расчет'!D17</f>
        <v>70000</v>
      </c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51">
        <f t="shared" si="32"/>
        <v>70000</v>
      </c>
      <c r="P53" s="51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51">
        <f t="shared" si="33"/>
        <v>0</v>
      </c>
      <c r="AD53" s="51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51">
        <f t="shared" si="34"/>
        <v>0</v>
      </c>
      <c r="AR53" s="51"/>
      <c r="AS53" s="113">
        <f t="shared" si="35"/>
        <v>70000</v>
      </c>
      <c r="AT53" s="36"/>
    </row>
    <row r="54" spans="1:46" s="34" customFormat="1" ht="10.5" x14ac:dyDescent="0.2">
      <c r="A54" s="59" t="str">
        <f>'Обобщенный расчет'!B18</f>
        <v>Паушальный взнос</v>
      </c>
      <c r="B54" s="20" t="str">
        <f>CHOOSE('Исходные данные'!$O$2,'Исходные данные'!$P$2,'Исходные данные'!$P$3,'Исходные данные'!$P$4,'Исходные данные'!$P$5)</f>
        <v>UAH</v>
      </c>
      <c r="C54" s="32">
        <f>'Обобщенный расчет'!D18</f>
        <v>150000</v>
      </c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106">
        <f t="shared" si="32"/>
        <v>150000</v>
      </c>
      <c r="P54" s="106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106">
        <f t="shared" si="33"/>
        <v>0</v>
      </c>
      <c r="AD54" s="106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106">
        <f t="shared" si="34"/>
        <v>0</v>
      </c>
      <c r="AR54" s="106"/>
      <c r="AS54" s="113">
        <f t="shared" si="35"/>
        <v>150000</v>
      </c>
      <c r="AT54" s="33"/>
    </row>
    <row r="55" spans="1:46" s="37" customFormat="1" ht="10.5" x14ac:dyDescent="0.2">
      <c r="A55" s="60" t="str">
        <f>'Обобщенный расчет'!B19</f>
        <v>Прочее</v>
      </c>
      <c r="B55" s="23" t="str">
        <f>CHOOSE('Исходные данные'!$O$2,'Исходные данные'!$P$2,'Исходные данные'!$P$3,'Исходные данные'!$P$4,'Исходные данные'!$P$5)</f>
        <v>UAH</v>
      </c>
      <c r="C55" s="35">
        <f>'Обобщенный расчет'!D19</f>
        <v>8000</v>
      </c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51">
        <f t="shared" si="32"/>
        <v>8000</v>
      </c>
      <c r="P55" s="51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51">
        <f t="shared" si="33"/>
        <v>0</v>
      </c>
      <c r="AD55" s="51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51">
        <f t="shared" si="34"/>
        <v>0</v>
      </c>
      <c r="AR55" s="51"/>
      <c r="AS55" s="113">
        <f t="shared" si="35"/>
        <v>8000</v>
      </c>
      <c r="AT55" s="36"/>
    </row>
    <row r="56" spans="1:46" s="26" customFormat="1" ht="10.5" x14ac:dyDescent="0.2">
      <c r="A56" s="27" t="s">
        <v>9</v>
      </c>
      <c r="B56" s="28" t="str">
        <f>CHOOSE('Исходные данные'!$O$2,'Исходные данные'!$P$2,'Исходные данные'!$P$3,'Исходные данные'!$P$4,'Исходные данные'!$P$5)</f>
        <v>UAH</v>
      </c>
      <c r="C56" s="95">
        <f t="shared" ref="C56:O56" si="40">SUM(C47:C55)</f>
        <v>560000</v>
      </c>
      <c r="D56" s="95">
        <f t="shared" si="40"/>
        <v>0</v>
      </c>
      <c r="E56" s="95">
        <f t="shared" si="40"/>
        <v>0</v>
      </c>
      <c r="F56" s="95">
        <f t="shared" si="40"/>
        <v>0</v>
      </c>
      <c r="G56" s="95">
        <f t="shared" si="40"/>
        <v>0</v>
      </c>
      <c r="H56" s="95">
        <f t="shared" si="40"/>
        <v>0</v>
      </c>
      <c r="I56" s="95">
        <f t="shared" si="40"/>
        <v>0</v>
      </c>
      <c r="J56" s="95">
        <f t="shared" si="40"/>
        <v>0</v>
      </c>
      <c r="K56" s="95">
        <f t="shared" si="40"/>
        <v>0</v>
      </c>
      <c r="L56" s="95">
        <f t="shared" si="40"/>
        <v>0</v>
      </c>
      <c r="M56" s="95">
        <f t="shared" si="40"/>
        <v>0</v>
      </c>
      <c r="N56" s="95">
        <f t="shared" si="40"/>
        <v>0</v>
      </c>
      <c r="O56" s="95">
        <f t="shared" si="40"/>
        <v>560000</v>
      </c>
      <c r="P56" s="95"/>
      <c r="Q56" s="95">
        <f t="shared" ref="Q56:AC56" si="41">SUM(Q47:Q55)</f>
        <v>0</v>
      </c>
      <c r="R56" s="95">
        <f t="shared" si="41"/>
        <v>0</v>
      </c>
      <c r="S56" s="95">
        <f t="shared" si="41"/>
        <v>0</v>
      </c>
      <c r="T56" s="95">
        <f t="shared" si="41"/>
        <v>0</v>
      </c>
      <c r="U56" s="95">
        <f t="shared" si="41"/>
        <v>0</v>
      </c>
      <c r="V56" s="95">
        <f t="shared" si="41"/>
        <v>0</v>
      </c>
      <c r="W56" s="95">
        <f t="shared" si="41"/>
        <v>0</v>
      </c>
      <c r="X56" s="95">
        <f t="shared" si="41"/>
        <v>0</v>
      </c>
      <c r="Y56" s="95">
        <f t="shared" si="41"/>
        <v>0</v>
      </c>
      <c r="Z56" s="95">
        <f t="shared" si="41"/>
        <v>0</v>
      </c>
      <c r="AA56" s="95">
        <f t="shared" si="41"/>
        <v>0</v>
      </c>
      <c r="AB56" s="95">
        <f t="shared" si="41"/>
        <v>0</v>
      </c>
      <c r="AC56" s="95">
        <f t="shared" si="41"/>
        <v>0</v>
      </c>
      <c r="AD56" s="95"/>
      <c r="AE56" s="95">
        <f t="shared" ref="AE56:AQ56" si="42">SUM(AE47:AE55)</f>
        <v>0</v>
      </c>
      <c r="AF56" s="95">
        <f t="shared" si="42"/>
        <v>0</v>
      </c>
      <c r="AG56" s="95">
        <f t="shared" si="42"/>
        <v>0</v>
      </c>
      <c r="AH56" s="95">
        <f t="shared" si="42"/>
        <v>0</v>
      </c>
      <c r="AI56" s="95">
        <f t="shared" si="42"/>
        <v>0</v>
      </c>
      <c r="AJ56" s="95">
        <f t="shared" si="42"/>
        <v>0</v>
      </c>
      <c r="AK56" s="95">
        <f t="shared" si="42"/>
        <v>0</v>
      </c>
      <c r="AL56" s="95">
        <f t="shared" si="42"/>
        <v>0</v>
      </c>
      <c r="AM56" s="95">
        <f t="shared" si="42"/>
        <v>0</v>
      </c>
      <c r="AN56" s="95">
        <f t="shared" si="42"/>
        <v>0</v>
      </c>
      <c r="AO56" s="95">
        <f t="shared" si="42"/>
        <v>0</v>
      </c>
      <c r="AP56" s="95">
        <f t="shared" si="42"/>
        <v>0</v>
      </c>
      <c r="AQ56" s="95">
        <f t="shared" si="42"/>
        <v>0</v>
      </c>
      <c r="AR56" s="95"/>
      <c r="AS56" s="114">
        <f t="shared" si="35"/>
        <v>560000</v>
      </c>
      <c r="AT56" s="25"/>
    </row>
    <row r="57" spans="1:46" s="144" customFormat="1" ht="11" thickBot="1" x14ac:dyDescent="0.25">
      <c r="A57" s="140"/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3"/>
    </row>
    <row r="58" spans="1:46" s="13" customFormat="1" ht="22" thickTop="1" thickBot="1" x14ac:dyDescent="0.25">
      <c r="A58" s="14" t="s">
        <v>8</v>
      </c>
      <c r="B58" s="15"/>
      <c r="C58" s="18" t="str">
        <f t="shared" ref="C58:N58" si="43">C$6</f>
        <v>октябрь</v>
      </c>
      <c r="D58" s="18" t="str">
        <f t="shared" si="43"/>
        <v>ноябрь</v>
      </c>
      <c r="E58" s="18" t="str">
        <f t="shared" si="43"/>
        <v>декабрь</v>
      </c>
      <c r="F58" s="18" t="str">
        <f t="shared" si="43"/>
        <v>январь</v>
      </c>
      <c r="G58" s="18" t="str">
        <f t="shared" si="43"/>
        <v>февраль</v>
      </c>
      <c r="H58" s="18" t="str">
        <f t="shared" si="43"/>
        <v>март</v>
      </c>
      <c r="I58" s="18" t="str">
        <f t="shared" si="43"/>
        <v>апрель</v>
      </c>
      <c r="J58" s="18" t="str">
        <f t="shared" si="43"/>
        <v>май</v>
      </c>
      <c r="K58" s="18" t="str">
        <f t="shared" si="43"/>
        <v>июнь</v>
      </c>
      <c r="L58" s="18" t="str">
        <f t="shared" si="43"/>
        <v>июль</v>
      </c>
      <c r="M58" s="18" t="str">
        <f t="shared" si="43"/>
        <v>август</v>
      </c>
      <c r="N58" s="18" t="str">
        <f t="shared" si="43"/>
        <v>сентябрь</v>
      </c>
      <c r="O58" s="107" t="str">
        <f>$O$16</f>
        <v>Итого за 1-й год</v>
      </c>
      <c r="P58" s="107" t="str">
        <f>$P$16</f>
        <v>Среднемесячно за 1-й год</v>
      </c>
      <c r="Q58" s="18" t="str">
        <f t="shared" ref="Q58:AB58" si="44">Q$6</f>
        <v>октябрь</v>
      </c>
      <c r="R58" s="18" t="str">
        <f t="shared" si="44"/>
        <v>ноябрь</v>
      </c>
      <c r="S58" s="18" t="str">
        <f t="shared" si="44"/>
        <v>декабрь</v>
      </c>
      <c r="T58" s="18" t="str">
        <f t="shared" si="44"/>
        <v>январь</v>
      </c>
      <c r="U58" s="18" t="str">
        <f t="shared" si="44"/>
        <v>февраль</v>
      </c>
      <c r="V58" s="18" t="str">
        <f t="shared" si="44"/>
        <v>март</v>
      </c>
      <c r="W58" s="18" t="str">
        <f t="shared" si="44"/>
        <v>апрель</v>
      </c>
      <c r="X58" s="18" t="str">
        <f t="shared" si="44"/>
        <v>май</v>
      </c>
      <c r="Y58" s="18" t="str">
        <f t="shared" si="44"/>
        <v>июнь</v>
      </c>
      <c r="Z58" s="18" t="str">
        <f t="shared" si="44"/>
        <v>июль</v>
      </c>
      <c r="AA58" s="18" t="str">
        <f t="shared" si="44"/>
        <v>август</v>
      </c>
      <c r="AB58" s="18" t="str">
        <f t="shared" si="44"/>
        <v>сентябрь</v>
      </c>
      <c r="AC58" s="107" t="str">
        <f>AC46</f>
        <v>Итого за 2-й год</v>
      </c>
      <c r="AD58" s="107" t="str">
        <f>AD46</f>
        <v>Среднемесячно за 2-й год</v>
      </c>
      <c r="AE58" s="18" t="str">
        <f t="shared" ref="AE58:AP58" si="45">AE$6</f>
        <v>октябрь</v>
      </c>
      <c r="AF58" s="18" t="str">
        <f t="shared" si="45"/>
        <v>ноябрь</v>
      </c>
      <c r="AG58" s="18" t="str">
        <f t="shared" si="45"/>
        <v>декабрь</v>
      </c>
      <c r="AH58" s="18" t="str">
        <f t="shared" si="45"/>
        <v>январь</v>
      </c>
      <c r="AI58" s="18" t="str">
        <f t="shared" si="45"/>
        <v>февраль</v>
      </c>
      <c r="AJ58" s="18" t="str">
        <f t="shared" si="45"/>
        <v>март</v>
      </c>
      <c r="AK58" s="18" t="str">
        <f t="shared" si="45"/>
        <v>апрель</v>
      </c>
      <c r="AL58" s="18" t="str">
        <f t="shared" si="45"/>
        <v>май</v>
      </c>
      <c r="AM58" s="18" t="str">
        <f t="shared" si="45"/>
        <v>июнь</v>
      </c>
      <c r="AN58" s="18" t="str">
        <f t="shared" si="45"/>
        <v>июль</v>
      </c>
      <c r="AO58" s="18" t="str">
        <f t="shared" si="45"/>
        <v>август</v>
      </c>
      <c r="AP58" s="18" t="str">
        <f t="shared" si="45"/>
        <v>сентябрь</v>
      </c>
      <c r="AQ58" s="107" t="str">
        <f>AQ46</f>
        <v>Итого за 3-й год</v>
      </c>
      <c r="AR58" s="107" t="str">
        <f>AR46</f>
        <v>Среднемесячно за 3-й год</v>
      </c>
      <c r="AS58" s="115" t="str">
        <f>AS46</f>
        <v>Итого за три года</v>
      </c>
    </row>
    <row r="59" spans="1:46" s="152" customFormat="1" ht="10.5" hidden="1" thickTop="1" x14ac:dyDescent="0.2">
      <c r="A59" s="153" t="s">
        <v>34</v>
      </c>
      <c r="B59" s="150"/>
      <c r="C59" s="154" t="e">
        <f>C29-#REF!-C82</f>
        <v>#REF!</v>
      </c>
      <c r="D59" s="154" t="e">
        <f>D29-#REF!-D82</f>
        <v>#REF!</v>
      </c>
      <c r="E59" s="154" t="e">
        <f>E29-#REF!-E82</f>
        <v>#REF!</v>
      </c>
      <c r="F59" s="154" t="e">
        <f>F29-#REF!-F82</f>
        <v>#REF!</v>
      </c>
      <c r="G59" s="154" t="e">
        <f>G29-#REF!-G82</f>
        <v>#REF!</v>
      </c>
      <c r="H59" s="154" t="e">
        <f>H29-#REF!-H82</f>
        <v>#REF!</v>
      </c>
      <c r="I59" s="154" t="e">
        <f>I29-#REF!-I82</f>
        <v>#REF!</v>
      </c>
      <c r="J59" s="154" t="e">
        <f>J29-#REF!-J82</f>
        <v>#REF!</v>
      </c>
      <c r="K59" s="154" t="e">
        <f>K29-#REF!-K82</f>
        <v>#REF!</v>
      </c>
      <c r="L59" s="154" t="e">
        <f>L29-#REF!-L82</f>
        <v>#REF!</v>
      </c>
      <c r="M59" s="154" t="e">
        <f>M29-#REF!-M82</f>
        <v>#REF!</v>
      </c>
      <c r="N59" s="154" t="e">
        <f>N29-#REF!-N82</f>
        <v>#REF!</v>
      </c>
      <c r="O59" s="151"/>
      <c r="P59" s="151"/>
      <c r="Q59" s="154" t="e">
        <f>Q29-#REF!-Q82</f>
        <v>#REF!</v>
      </c>
      <c r="R59" s="154" t="e">
        <f>R29-#REF!-R82</f>
        <v>#REF!</v>
      </c>
      <c r="S59" s="154" t="e">
        <f>S29-#REF!-S82</f>
        <v>#REF!</v>
      </c>
      <c r="T59" s="154" t="e">
        <f>T29-#REF!-T82</f>
        <v>#REF!</v>
      </c>
      <c r="U59" s="154" t="e">
        <f>U29-#REF!-U82</f>
        <v>#REF!</v>
      </c>
      <c r="V59" s="154" t="e">
        <f>V29-#REF!-V82</f>
        <v>#REF!</v>
      </c>
      <c r="W59" s="154" t="e">
        <f>W29-#REF!-W82</f>
        <v>#REF!</v>
      </c>
      <c r="X59" s="154" t="e">
        <f>X29-#REF!-X82</f>
        <v>#REF!</v>
      </c>
      <c r="Y59" s="154" t="e">
        <f>Y29-#REF!-Y82</f>
        <v>#REF!</v>
      </c>
      <c r="Z59" s="154" t="e">
        <f>Z29-#REF!-Z82</f>
        <v>#REF!</v>
      </c>
      <c r="AA59" s="154" t="e">
        <f>AA29-#REF!-AA82</f>
        <v>#REF!</v>
      </c>
      <c r="AB59" s="154" t="e">
        <f>AB29-#REF!-AB82</f>
        <v>#REF!</v>
      </c>
      <c r="AC59" s="151"/>
      <c r="AD59" s="151"/>
      <c r="AE59" s="154" t="e">
        <f>AE29-#REF!-AE82</f>
        <v>#REF!</v>
      </c>
      <c r="AF59" s="154" t="e">
        <f>AF29-#REF!-AF82</f>
        <v>#REF!</v>
      </c>
      <c r="AG59" s="154" t="e">
        <f>AG29-#REF!-AG82</f>
        <v>#REF!</v>
      </c>
      <c r="AH59" s="154" t="e">
        <f>AH29-#REF!-AH82</f>
        <v>#REF!</v>
      </c>
      <c r="AI59" s="154" t="e">
        <f>AI29-#REF!-AI82</f>
        <v>#REF!</v>
      </c>
      <c r="AJ59" s="154" t="e">
        <f>AJ29-#REF!-AJ82</f>
        <v>#REF!</v>
      </c>
      <c r="AK59" s="154" t="e">
        <f>AK29-#REF!-AK82</f>
        <v>#REF!</v>
      </c>
      <c r="AL59" s="154" t="e">
        <f>AL29-#REF!-AL82</f>
        <v>#REF!</v>
      </c>
      <c r="AM59" s="154" t="e">
        <f>AM29-#REF!-AM82</f>
        <v>#REF!</v>
      </c>
      <c r="AN59" s="154" t="e">
        <f>AN29-#REF!-AN82</f>
        <v>#REF!</v>
      </c>
      <c r="AO59" s="154" t="e">
        <f>AO29-#REF!-AO82</f>
        <v>#REF!</v>
      </c>
      <c r="AP59" s="154" t="e">
        <f>AP29-#REF!-AP82</f>
        <v>#REF!</v>
      </c>
      <c r="AQ59" s="151"/>
      <c r="AR59" s="151"/>
      <c r="AS59" s="151"/>
    </row>
    <row r="60" spans="1:46" s="152" customFormat="1" ht="10" hidden="1" x14ac:dyDescent="0.2">
      <c r="A60" s="153" t="s">
        <v>72</v>
      </c>
      <c r="B60" s="150"/>
      <c r="C60" s="154" t="e">
        <f>C59+B60</f>
        <v>#REF!</v>
      </c>
      <c r="D60" s="154" t="e">
        <f t="shared" ref="D60:N60" si="46">D59+C60</f>
        <v>#REF!</v>
      </c>
      <c r="E60" s="154" t="e">
        <f t="shared" si="46"/>
        <v>#REF!</v>
      </c>
      <c r="F60" s="154" t="e">
        <f t="shared" si="46"/>
        <v>#REF!</v>
      </c>
      <c r="G60" s="154" t="e">
        <f t="shared" si="46"/>
        <v>#REF!</v>
      </c>
      <c r="H60" s="154" t="e">
        <f t="shared" si="46"/>
        <v>#REF!</v>
      </c>
      <c r="I60" s="154" t="e">
        <f t="shared" si="46"/>
        <v>#REF!</v>
      </c>
      <c r="J60" s="154" t="e">
        <f t="shared" si="46"/>
        <v>#REF!</v>
      </c>
      <c r="K60" s="154" t="e">
        <f t="shared" si="46"/>
        <v>#REF!</v>
      </c>
      <c r="L60" s="154" t="e">
        <f t="shared" si="46"/>
        <v>#REF!</v>
      </c>
      <c r="M60" s="154" t="e">
        <f t="shared" si="46"/>
        <v>#REF!</v>
      </c>
      <c r="N60" s="154" t="e">
        <f t="shared" si="46"/>
        <v>#REF!</v>
      </c>
      <c r="O60" s="151"/>
      <c r="P60" s="151"/>
      <c r="Q60" s="154" t="e">
        <f>Q59+N60</f>
        <v>#REF!</v>
      </c>
      <c r="R60" s="154" t="e">
        <f t="shared" ref="R60:AB60" si="47">R59+Q60</f>
        <v>#REF!</v>
      </c>
      <c r="S60" s="154" t="e">
        <f t="shared" si="47"/>
        <v>#REF!</v>
      </c>
      <c r="T60" s="154" t="e">
        <f t="shared" si="47"/>
        <v>#REF!</v>
      </c>
      <c r="U60" s="154" t="e">
        <f t="shared" si="47"/>
        <v>#REF!</v>
      </c>
      <c r="V60" s="154" t="e">
        <f t="shared" si="47"/>
        <v>#REF!</v>
      </c>
      <c r="W60" s="154" t="e">
        <f t="shared" si="47"/>
        <v>#REF!</v>
      </c>
      <c r="X60" s="154" t="e">
        <f t="shared" si="47"/>
        <v>#REF!</v>
      </c>
      <c r="Y60" s="154" t="e">
        <f t="shared" si="47"/>
        <v>#REF!</v>
      </c>
      <c r="Z60" s="154" t="e">
        <f t="shared" si="47"/>
        <v>#REF!</v>
      </c>
      <c r="AA60" s="154" t="e">
        <f t="shared" si="47"/>
        <v>#REF!</v>
      </c>
      <c r="AB60" s="154" t="e">
        <f t="shared" si="47"/>
        <v>#REF!</v>
      </c>
      <c r="AC60" s="151"/>
      <c r="AD60" s="151"/>
      <c r="AE60" s="154" t="e">
        <f>AE59+AB60</f>
        <v>#REF!</v>
      </c>
      <c r="AF60" s="154" t="e">
        <f t="shared" ref="AF60:AP60" si="48">AF59+AE60</f>
        <v>#REF!</v>
      </c>
      <c r="AG60" s="154" t="e">
        <f t="shared" si="48"/>
        <v>#REF!</v>
      </c>
      <c r="AH60" s="154" t="e">
        <f t="shared" si="48"/>
        <v>#REF!</v>
      </c>
      <c r="AI60" s="154" t="e">
        <f t="shared" si="48"/>
        <v>#REF!</v>
      </c>
      <c r="AJ60" s="154" t="e">
        <f t="shared" si="48"/>
        <v>#REF!</v>
      </c>
      <c r="AK60" s="154" t="e">
        <f t="shared" si="48"/>
        <v>#REF!</v>
      </c>
      <c r="AL60" s="154" t="e">
        <f t="shared" si="48"/>
        <v>#REF!</v>
      </c>
      <c r="AM60" s="154" t="e">
        <f t="shared" si="48"/>
        <v>#REF!</v>
      </c>
      <c r="AN60" s="154" t="e">
        <f t="shared" si="48"/>
        <v>#REF!</v>
      </c>
      <c r="AO60" s="154" t="e">
        <f t="shared" si="48"/>
        <v>#REF!</v>
      </c>
      <c r="AP60" s="154" t="e">
        <f t="shared" si="48"/>
        <v>#REF!</v>
      </c>
      <c r="AQ60" s="151"/>
      <c r="AR60" s="151"/>
      <c r="AS60" s="151"/>
    </row>
    <row r="61" spans="1:46" s="152" customFormat="1" ht="10" hidden="1" x14ac:dyDescent="0.2">
      <c r="A61" s="153" t="s">
        <v>85</v>
      </c>
      <c r="B61" s="150"/>
      <c r="C61" s="154" t="e">
        <f>IF(C55&gt;0,-C60-C55,C59)</f>
        <v>#REF!</v>
      </c>
      <c r="D61" s="154" t="e">
        <f t="shared" ref="D61:N61" si="49">IF(D55&gt;0,C61+(-D59-D55),C61+D59)</f>
        <v>#REF!</v>
      </c>
      <c r="E61" s="154" t="e">
        <f t="shared" si="49"/>
        <v>#REF!</v>
      </c>
      <c r="F61" s="154" t="e">
        <f t="shared" si="49"/>
        <v>#REF!</v>
      </c>
      <c r="G61" s="154" t="e">
        <f t="shared" si="49"/>
        <v>#REF!</v>
      </c>
      <c r="H61" s="154" t="e">
        <f t="shared" si="49"/>
        <v>#REF!</v>
      </c>
      <c r="I61" s="154" t="e">
        <f t="shared" si="49"/>
        <v>#REF!</v>
      </c>
      <c r="J61" s="154" t="e">
        <f t="shared" si="49"/>
        <v>#REF!</v>
      </c>
      <c r="K61" s="154" t="e">
        <f t="shared" si="49"/>
        <v>#REF!</v>
      </c>
      <c r="L61" s="154" t="e">
        <f t="shared" si="49"/>
        <v>#REF!</v>
      </c>
      <c r="M61" s="154" t="e">
        <f t="shared" si="49"/>
        <v>#REF!</v>
      </c>
      <c r="N61" s="154" t="e">
        <f t="shared" si="49"/>
        <v>#REF!</v>
      </c>
      <c r="O61" s="151"/>
      <c r="P61" s="151"/>
      <c r="Q61" s="154" t="e">
        <f>IF(Q55&gt;0,N61+(-Q59-Q55),N61+Q59)</f>
        <v>#REF!</v>
      </c>
      <c r="R61" s="154" t="e">
        <f t="shared" ref="R61:AB61" si="50">IF(R55&gt;0,Q61+(-R59-R55),Q61+R59)</f>
        <v>#REF!</v>
      </c>
      <c r="S61" s="154" t="e">
        <f t="shared" si="50"/>
        <v>#REF!</v>
      </c>
      <c r="T61" s="154" t="e">
        <f t="shared" si="50"/>
        <v>#REF!</v>
      </c>
      <c r="U61" s="154" t="e">
        <f t="shared" si="50"/>
        <v>#REF!</v>
      </c>
      <c r="V61" s="154" t="e">
        <f t="shared" si="50"/>
        <v>#REF!</v>
      </c>
      <c r="W61" s="154" t="e">
        <f t="shared" si="50"/>
        <v>#REF!</v>
      </c>
      <c r="X61" s="154" t="e">
        <f t="shared" si="50"/>
        <v>#REF!</v>
      </c>
      <c r="Y61" s="154" t="e">
        <f t="shared" si="50"/>
        <v>#REF!</v>
      </c>
      <c r="Z61" s="154" t="e">
        <f t="shared" si="50"/>
        <v>#REF!</v>
      </c>
      <c r="AA61" s="154" t="e">
        <f t="shared" si="50"/>
        <v>#REF!</v>
      </c>
      <c r="AB61" s="154" t="e">
        <f t="shared" si="50"/>
        <v>#REF!</v>
      </c>
      <c r="AC61" s="151"/>
      <c r="AD61" s="151"/>
      <c r="AE61" s="154" t="e">
        <f>IF(AE55&gt;0,AB61+(-AE59-AE55),AB61+AE59)</f>
        <v>#REF!</v>
      </c>
      <c r="AF61" s="154" t="e">
        <f t="shared" ref="AF61:AP61" si="51">IF(AF55&gt;0,AE61+(-AF59-AF55),AE61+AF59)</f>
        <v>#REF!</v>
      </c>
      <c r="AG61" s="154" t="e">
        <f t="shared" si="51"/>
        <v>#REF!</v>
      </c>
      <c r="AH61" s="154" t="e">
        <f t="shared" si="51"/>
        <v>#REF!</v>
      </c>
      <c r="AI61" s="154" t="e">
        <f t="shared" si="51"/>
        <v>#REF!</v>
      </c>
      <c r="AJ61" s="154" t="e">
        <f t="shared" si="51"/>
        <v>#REF!</v>
      </c>
      <c r="AK61" s="154" t="e">
        <f t="shared" si="51"/>
        <v>#REF!</v>
      </c>
      <c r="AL61" s="154" t="e">
        <f t="shared" si="51"/>
        <v>#REF!</v>
      </c>
      <c r="AM61" s="154" t="e">
        <f t="shared" si="51"/>
        <v>#REF!</v>
      </c>
      <c r="AN61" s="154" t="e">
        <f t="shared" si="51"/>
        <v>#REF!</v>
      </c>
      <c r="AO61" s="154" t="e">
        <f t="shared" si="51"/>
        <v>#REF!</v>
      </c>
      <c r="AP61" s="154" t="e">
        <f t="shared" si="51"/>
        <v>#REF!</v>
      </c>
      <c r="AQ61" s="151"/>
      <c r="AR61" s="151"/>
      <c r="AS61" s="151"/>
    </row>
    <row r="62" spans="1:46" s="152" customFormat="1" ht="10" hidden="1" x14ac:dyDescent="0.2">
      <c r="A62" s="153"/>
      <c r="B62" s="150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1"/>
      <c r="P62" s="151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1"/>
      <c r="AD62" s="151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1"/>
      <c r="AR62" s="151"/>
      <c r="AS62" s="151"/>
    </row>
    <row r="63" spans="1:46" s="37" customFormat="1" ht="11" thickTop="1" x14ac:dyDescent="0.2">
      <c r="A63" s="60" t="str">
        <f>'Обобщенный расчет'!B43</f>
        <v>Зарплата персонала</v>
      </c>
      <c r="B63" s="23" t="str">
        <f>CHOOSE('Исходные данные'!$O$2,'Исходные данные'!$P$2,'Исходные данные'!$P$3,'Исходные данные'!$P$4,'Исходные данные'!$P$5)</f>
        <v>UAH</v>
      </c>
      <c r="C63" s="35">
        <f>C9*('Обобщенный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расчет'!$H$37)*C29</f>
        <v>149536.00000000003</v>
      </c>
      <c r="D63" s="35">
        <f>D9*('Обобщенный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расчет'!$H$37)*D29</f>
        <v>171892.00000000003</v>
      </c>
      <c r="E63" s="35">
        <f>E9*('Обобщенный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расчет'!$H$37)*E29</f>
        <v>194248.00000000006</v>
      </c>
      <c r="F63" s="35">
        <f>F9*('Обобщенный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расчет'!$H$37)*F29</f>
        <v>216604.00000000006</v>
      </c>
      <c r="G63" s="35">
        <f>G9*('Обобщенный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расчет'!$H$37)*G29</f>
        <v>238960.00000000006</v>
      </c>
      <c r="H63" s="35">
        <f>H9*('Обобщенный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расчет'!$H$37)*H29</f>
        <v>238960.00000000006</v>
      </c>
      <c r="I63" s="35">
        <f>I9*('Обобщенный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расчет'!$H$37)*I29</f>
        <v>250138.00000000006</v>
      </c>
      <c r="J63" s="35">
        <f>J9*('Обобщенный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расчет'!$H$37)*J29</f>
        <v>261316.00000000012</v>
      </c>
      <c r="K63" s="35">
        <f>K9*('Обобщенный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расчет'!$H$37)*K29</f>
        <v>261316.00000000012</v>
      </c>
      <c r="L63" s="35">
        <f>L9*('Обобщенный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расчет'!$H$37)*L29</f>
        <v>272494</v>
      </c>
      <c r="M63" s="35">
        <f>M9*('Обобщенный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расчет'!$H$37)*M29</f>
        <v>283672.00000000006</v>
      </c>
      <c r="N63" s="35">
        <f>N9*('Обобщенный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расчет'!$H$37)*N29</f>
        <v>294850.00000000006</v>
      </c>
      <c r="O63" s="51">
        <f t="shared" ref="O63:O70" si="52">SUM(C63:N63)</f>
        <v>2833986.0000000005</v>
      </c>
      <c r="P63" s="51">
        <f t="shared" ref="P63:P70" si="53">O63/12</f>
        <v>236165.50000000003</v>
      </c>
      <c r="Q63" s="35">
        <f>Q9*('Обобщенный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расчет'!$H$37)*Q29</f>
        <v>318746.00000000012</v>
      </c>
      <c r="R63" s="35">
        <f>R9*('Обобщенный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расчет'!$H$37)*R29</f>
        <v>318746.00000000012</v>
      </c>
      <c r="S63" s="35">
        <f>S9*('Обобщенный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расчет'!$H$37)*S29</f>
        <v>318746.00000000012</v>
      </c>
      <c r="T63" s="35">
        <f>T9*('Обобщенный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расчет'!$H$37)*T29</f>
        <v>318746.00000000012</v>
      </c>
      <c r="U63" s="35">
        <f>U9*('Обобщенный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расчет'!$H$37)*U29</f>
        <v>318746.00000000012</v>
      </c>
      <c r="V63" s="35">
        <f>V9*('Обобщенный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расчет'!$H$37)*V29</f>
        <v>318746.00000000012</v>
      </c>
      <c r="W63" s="35">
        <f>W9*('Обобщенный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расчет'!$H$37)*W29</f>
        <v>318746.00000000012</v>
      </c>
      <c r="X63" s="35">
        <f>X9*('Обобщенный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расчет'!$H$37)*X29</f>
        <v>318746.00000000012</v>
      </c>
      <c r="Y63" s="35">
        <f>Y9*('Обобщенный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расчет'!$H$37)*Y29</f>
        <v>318746.00000000012</v>
      </c>
      <c r="Z63" s="35">
        <f>Z9*('Обобщенный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расчет'!$H$37)*Z29</f>
        <v>318746.00000000012</v>
      </c>
      <c r="AA63" s="35">
        <f>AA9*('Обобщенный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расчет'!$H$37)*AA29</f>
        <v>318746.00000000012</v>
      </c>
      <c r="AB63" s="35">
        <f>AB9*('Обобщенный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расчет'!$H$37)*AB29</f>
        <v>318746.00000000012</v>
      </c>
      <c r="AC63" s="51">
        <f t="shared" ref="AC63:AC70" si="54">SUM(Q63:AB63)</f>
        <v>3824952.0000000005</v>
      </c>
      <c r="AD63" s="51">
        <f t="shared" ref="AD63:AD70" si="55">AC63/12</f>
        <v>318746.00000000006</v>
      </c>
      <c r="AE63" s="35">
        <f>AE9*('Обобщенный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расчет'!$H$37)*AE29</f>
        <v>353820.00000000012</v>
      </c>
      <c r="AF63" s="35">
        <f>AF9*('Обобщенный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расчет'!$H$37)*AF29</f>
        <v>353820.00000000012</v>
      </c>
      <c r="AG63" s="35">
        <f>AG9*('Обобщенный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расчет'!$H$37)*AG29</f>
        <v>353820.00000000012</v>
      </c>
      <c r="AH63" s="35">
        <f>AH9*('Обобщенный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расчет'!$H$37)*AH29</f>
        <v>353820.00000000012</v>
      </c>
      <c r="AI63" s="35">
        <f>AI9*('Обобщенный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расчет'!$H$37)*AI29</f>
        <v>353820.00000000012</v>
      </c>
      <c r="AJ63" s="35">
        <f>AJ9*('Обобщенный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расчет'!$H$37)*AJ29</f>
        <v>353820.00000000012</v>
      </c>
      <c r="AK63" s="35">
        <f>AK9*('Обобщенный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расчет'!$H$37)*AK29</f>
        <v>353820.00000000012</v>
      </c>
      <c r="AL63" s="35">
        <f>AL9*('Обобщенный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расчет'!$H$37)*AL29</f>
        <v>353820.00000000012</v>
      </c>
      <c r="AM63" s="35">
        <f>AM9*('Обобщенный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расчет'!$H$37)*AM29</f>
        <v>353820.00000000012</v>
      </c>
      <c r="AN63" s="35">
        <f>AN9*('Обобщенный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расчет'!$H$37)*AN29</f>
        <v>353820.00000000012</v>
      </c>
      <c r="AO63" s="35">
        <f>AO9*('Обобщенный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расчет'!$H$37)*AO29</f>
        <v>353820.00000000012</v>
      </c>
      <c r="AP63" s="35">
        <f>AP9*('Обобщенный расчет'!$D$24*'Обобщенный расчет'!$E$24*'Обобщенный расчет'!$F$24+'Обобщенный расчет'!$D$25*'Обобщенный расчет'!$E$25*'Обобщенный расчет'!$F$25+'Обобщенный расчет'!$D$26*'Обобщенный расчет'!$E$26*'Обобщенный расчет'!$F$26+'Обобщенный расчет'!$D$27*'Обобщенный расчет'!$E$27*'Обобщенный расчет'!$F$27+'Обобщенный расчет'!$D$28*'Обобщенный расчет'!$E$28*'Обобщенный расчет'!$F$28+'Обобщенный расчет'!$D$29*'Обобщенный расчет'!$E$29*'Обобщенный расчет'!$F$29+'Обобщенный расчет'!$D$30*'Обобщенный расчет'!$E$30*'Обобщенный расчет'!$F$30+'Обобщенный расчет'!$D$31*'Обобщенный расчет'!$E$31*'Обобщенный расчет'!$F$31+'Обобщенный расчет'!$D$32*'Обобщенный расчет'!$E$32*'Обобщенный расчет'!$F$32+'Обобщенный расчет'!$D$33*'Обобщенный расчет'!$E$33*'Обобщенный расчет'!$F$33+'Обобщенный расчет'!$D$34*'Обобщенный расчет'!$E$34*'Обобщенный расчет'!$F$34+'Обобщенный расчет'!$D$35*'Обобщенный расчет'!$E$35*'Обобщенный расчет'!$F$35+'Обобщенный расчет'!$D$36*'Обобщенный расчет'!$E$36*'Обобщенный расчет'!$F$36+'Обобщенный расчет'!$D$37*'Обобщенный расчет'!$E$37*'Обобщенный расчет'!$F$37+'Обобщенный расчет'!$D$38*'Обобщенный расчет'!$E$38*'Обобщенный расчет'!$F$38)+('Обобщенный расчет'!$H$24+'Обобщенный расчет'!$H$25+'Обобщенный расчет'!$H$26+'Обобщенный расчет'!$H$27+'Обобщенный расчет'!$H$28+'Обобщенный расчет'!$H$29+'Обобщенный расчет'!$H$30+'Обобщенный расчет'!$H$31+'Обобщенный расчет'!$H$32+'Обобщенный расчет'!$H$33+'Обобщенный расчет'!$H$34+'Обобщенный расчет'!$H$35+'Обобщенный расчет'!$H$36+'Обобщенный расчет'!$H$37)*AP29</f>
        <v>353820.00000000012</v>
      </c>
      <c r="AQ63" s="51">
        <f t="shared" ref="AQ63:AQ70" si="56">SUM(AE63:AP63)</f>
        <v>4245840.0000000009</v>
      </c>
      <c r="AR63" s="51">
        <f t="shared" ref="AR63:AR70" si="57">AQ63/12</f>
        <v>353820.00000000006</v>
      </c>
      <c r="AS63" s="113">
        <f t="shared" ref="AS63:AS70" si="58">O63+AC63+AQ63</f>
        <v>10904778.000000002</v>
      </c>
      <c r="AT63" s="36"/>
    </row>
    <row r="64" spans="1:46" s="34" customFormat="1" ht="10.5" x14ac:dyDescent="0.2">
      <c r="A64" s="59" t="str">
        <f>'Обобщенный расчет'!B44</f>
        <v>Обучение персонала</v>
      </c>
      <c r="B64" s="20" t="str">
        <f>CHOOSE('Исходные данные'!$O$2,'Исходные данные'!$P$2,'Исходные данные'!$P$3,'Исходные данные'!$P$4,'Исходные данные'!$P$5)</f>
        <v>UAH</v>
      </c>
      <c r="C64" s="32">
        <f>CHOOSE('Обобщенный расчет'!$N$1,'Исходные данные'!$F$103,'Исходные данные'!$J$103)</f>
        <v>0</v>
      </c>
      <c r="D64" s="32">
        <f>CHOOSE('Обобщенный расчет'!$N$1,'Исходные данные'!$F$103,'Исходные данные'!$J$103)</f>
        <v>0</v>
      </c>
      <c r="E64" s="32">
        <f>CHOOSE('Обобщенный расчет'!$N$1,'Исходные данные'!$F$103,'Исходные данные'!$J$103)</f>
        <v>0</v>
      </c>
      <c r="F64" s="32">
        <f>CHOOSE('Обобщенный расчет'!$N$1,'Исходные данные'!$F$103,'Исходные данные'!$J$103)</f>
        <v>0</v>
      </c>
      <c r="G64" s="32">
        <f>CHOOSE('Обобщенный расчет'!$N$1,'Исходные данные'!$F$103,'Исходные данные'!$J$103)</f>
        <v>0</v>
      </c>
      <c r="H64" s="32">
        <f>CHOOSE('Обобщенный расчет'!$N$1,'Исходные данные'!$F$103,'Исходные данные'!$J$103)</f>
        <v>0</v>
      </c>
      <c r="I64" s="32">
        <f>CHOOSE('Обобщенный расчет'!$N$1,'Исходные данные'!$F$103,'Исходные данные'!$J$103)</f>
        <v>0</v>
      </c>
      <c r="J64" s="32">
        <f>CHOOSE('Обобщенный расчет'!$N$1,'Исходные данные'!$F$103,'Исходные данные'!$J$103)</f>
        <v>0</v>
      </c>
      <c r="K64" s="32">
        <f>CHOOSE('Обобщенный расчет'!$N$1,'Исходные данные'!$F$103,'Исходные данные'!$J$103)</f>
        <v>0</v>
      </c>
      <c r="L64" s="32">
        <f>CHOOSE('Обобщенный расчет'!$N$1,'Исходные данные'!$F$103,'Исходные данные'!$J$103)</f>
        <v>0</v>
      </c>
      <c r="M64" s="32">
        <f>CHOOSE('Обобщенный расчет'!$N$1,'Исходные данные'!$F$103,'Исходные данные'!$J$103)</f>
        <v>0</v>
      </c>
      <c r="N64" s="32">
        <f>CHOOSE('Обобщенный расчет'!$N$1,'Исходные данные'!$F$103,'Исходные данные'!$J$103)</f>
        <v>0</v>
      </c>
      <c r="O64" s="106">
        <f>SUM(C64:N64)</f>
        <v>0</v>
      </c>
      <c r="P64" s="106">
        <f>O64/12</f>
        <v>0</v>
      </c>
      <c r="Q64" s="32">
        <f>CHOOSE('Обобщенный расчет'!$N$1,'Исходные данные'!$F$103,'Исходные данные'!$J$103)</f>
        <v>0</v>
      </c>
      <c r="R64" s="32">
        <f>CHOOSE('Обобщенный расчет'!$N$1,'Исходные данные'!$F$103,'Исходные данные'!$J$103)</f>
        <v>0</v>
      </c>
      <c r="S64" s="32">
        <f>CHOOSE('Обобщенный расчет'!$N$1,'Исходные данные'!$F$103,'Исходные данные'!$J$103)</f>
        <v>0</v>
      </c>
      <c r="T64" s="32">
        <f>CHOOSE('Обобщенный расчет'!$N$1,'Исходные данные'!$F$103,'Исходные данные'!$J$103)</f>
        <v>0</v>
      </c>
      <c r="U64" s="32">
        <f>CHOOSE('Обобщенный расчет'!$N$1,'Исходные данные'!$F$103,'Исходные данные'!$J$103)</f>
        <v>0</v>
      </c>
      <c r="V64" s="32">
        <f>CHOOSE('Обобщенный расчет'!$N$1,'Исходные данные'!$F$103,'Исходные данные'!$J$103)</f>
        <v>0</v>
      </c>
      <c r="W64" s="32">
        <f>CHOOSE('Обобщенный расчет'!$N$1,'Исходные данные'!$F$103,'Исходные данные'!$J$103)</f>
        <v>0</v>
      </c>
      <c r="X64" s="32">
        <f>CHOOSE('Обобщенный расчет'!$N$1,'Исходные данные'!$F$103,'Исходные данные'!$J$103)</f>
        <v>0</v>
      </c>
      <c r="Y64" s="32">
        <f>CHOOSE('Обобщенный расчет'!$N$1,'Исходные данные'!$F$103,'Исходные данные'!$J$103)</f>
        <v>0</v>
      </c>
      <c r="Z64" s="32">
        <f>CHOOSE('Обобщенный расчет'!$N$1,'Исходные данные'!$F$103,'Исходные данные'!$J$103)</f>
        <v>0</v>
      </c>
      <c r="AA64" s="32">
        <f>CHOOSE('Обобщенный расчет'!$N$1,'Исходные данные'!$F$103,'Исходные данные'!$J$103)</f>
        <v>0</v>
      </c>
      <c r="AB64" s="32">
        <f>CHOOSE('Обобщенный расчет'!$N$1,'Исходные данные'!$F$103,'Исходные данные'!$J$103)</f>
        <v>0</v>
      </c>
      <c r="AC64" s="106">
        <f>SUM(Q64:AB64)</f>
        <v>0</v>
      </c>
      <c r="AD64" s="106">
        <f>AC64/12</f>
        <v>0</v>
      </c>
      <c r="AE64" s="32">
        <f>CHOOSE('Обобщенный расчет'!$N$1,'Исходные данные'!$F$103,'Исходные данные'!$J$103)</f>
        <v>0</v>
      </c>
      <c r="AF64" s="32">
        <f>CHOOSE('Обобщенный расчет'!$N$1,'Исходные данные'!$F$103,'Исходные данные'!$J$103)</f>
        <v>0</v>
      </c>
      <c r="AG64" s="32">
        <f>CHOOSE('Обобщенный расчет'!$N$1,'Исходные данные'!$F$103,'Исходные данные'!$J$103)</f>
        <v>0</v>
      </c>
      <c r="AH64" s="32">
        <f>CHOOSE('Обобщенный расчет'!$N$1,'Исходные данные'!$F$103,'Исходные данные'!$J$103)</f>
        <v>0</v>
      </c>
      <c r="AI64" s="32">
        <f>CHOOSE('Обобщенный расчет'!$N$1,'Исходные данные'!$F$103,'Исходные данные'!$J$103)</f>
        <v>0</v>
      </c>
      <c r="AJ64" s="32">
        <f>CHOOSE('Обобщенный расчет'!$N$1,'Исходные данные'!$F$103,'Исходные данные'!$J$103)</f>
        <v>0</v>
      </c>
      <c r="AK64" s="32">
        <f>CHOOSE('Обобщенный расчет'!$N$1,'Исходные данные'!$F$103,'Исходные данные'!$J$103)</f>
        <v>0</v>
      </c>
      <c r="AL64" s="32">
        <f>CHOOSE('Обобщенный расчет'!$N$1,'Исходные данные'!$F$103,'Исходные данные'!$J$103)</f>
        <v>0</v>
      </c>
      <c r="AM64" s="32">
        <f>CHOOSE('Обобщенный расчет'!$N$1,'Исходные данные'!$F$103,'Исходные данные'!$J$103)</f>
        <v>0</v>
      </c>
      <c r="AN64" s="32">
        <f>CHOOSE('Обобщенный расчет'!$N$1,'Исходные данные'!$F$103,'Исходные данные'!$J$103)</f>
        <v>0</v>
      </c>
      <c r="AO64" s="32">
        <f>CHOOSE('Обобщенный расчет'!$N$1,'Исходные данные'!$F$103,'Исходные данные'!$J$103)</f>
        <v>0</v>
      </c>
      <c r="AP64" s="32">
        <f>CHOOSE('Обобщенный расчет'!$N$1,'Исходные данные'!$F$103,'Исходные данные'!$J$103)</f>
        <v>0</v>
      </c>
      <c r="AQ64" s="106">
        <f>SUM(AE64:AP64)</f>
        <v>0</v>
      </c>
      <c r="AR64" s="106">
        <f>AQ64/12</f>
        <v>0</v>
      </c>
      <c r="AS64" s="113">
        <f>O64+AC64+AQ64</f>
        <v>0</v>
      </c>
      <c r="AT64" s="33"/>
    </row>
    <row r="65" spans="1:46" s="37" customFormat="1" ht="10.5" x14ac:dyDescent="0.2">
      <c r="A65" s="60" t="str">
        <f>'Обобщенный расчет'!B45</f>
        <v>Роялти</v>
      </c>
      <c r="B65" s="23" t="str">
        <f>CHOOSE('Исходные данные'!$O$2,'Исходные данные'!$P$2,'Исходные данные'!$P$3,'Исходные данные'!$P$4,'Исходные данные'!$P$5)</f>
        <v>UAH</v>
      </c>
      <c r="C65" s="35">
        <f>CHOOSE('Обобщенный расчет'!$N$1,'Исходные данные'!$F$104,'Исходные данные'!$J$104)*C29</f>
        <v>0</v>
      </c>
      <c r="D65" s="35">
        <f>CHOOSE('Обобщенный расчет'!$N$1,'Исходные данные'!$F$104,'Исходные данные'!$J$104)*D29</f>
        <v>0</v>
      </c>
      <c r="E65" s="35">
        <f>CHOOSE('Обобщенный расчет'!$N$1,'Исходные данные'!$F$104,'Исходные данные'!$J$104)*E29</f>
        <v>0</v>
      </c>
      <c r="F65" s="35">
        <f>CHOOSE('Обобщенный расчет'!$N$1,'Исходные данные'!$F$104,'Исходные данные'!$J$104)*F29</f>
        <v>0</v>
      </c>
      <c r="G65" s="35">
        <f>CHOOSE('Обобщенный расчет'!$N$1,'Исходные данные'!$F$104,'Исходные данные'!$J$104)*G29</f>
        <v>0</v>
      </c>
      <c r="H65" s="35">
        <f>CHOOSE('Обобщенный расчет'!$N$1,'Исходные данные'!$F$104,'Исходные данные'!$J$104)*H29</f>
        <v>0</v>
      </c>
      <c r="I65" s="35">
        <f>CHOOSE('Обобщенный расчет'!$N$1,'Исходные данные'!$F$104,'Исходные данные'!$J$104)*I29</f>
        <v>0</v>
      </c>
      <c r="J65" s="35">
        <f>CHOOSE('Обобщенный расчет'!$N$1,'Исходные данные'!$F$104,'Исходные данные'!$J$104)*J29</f>
        <v>0</v>
      </c>
      <c r="K65" s="35">
        <f>CHOOSE('Обобщенный расчет'!$N$1,'Исходные данные'!$F$104,'Исходные данные'!$J$104)*K29</f>
        <v>0</v>
      </c>
      <c r="L65" s="35">
        <f>CHOOSE('Обобщенный расчет'!$N$1,'Исходные данные'!$F$104,'Исходные данные'!$J$104)*L29</f>
        <v>0</v>
      </c>
      <c r="M65" s="35">
        <f>CHOOSE('Обобщенный расчет'!$N$1,'Исходные данные'!$F$104,'Исходные данные'!$J$104)*M29</f>
        <v>0</v>
      </c>
      <c r="N65" s="35">
        <f>CHOOSE('Обобщенный расчет'!$N$1,'Исходные данные'!$F$104,'Исходные данные'!$J$104)*N29</f>
        <v>0</v>
      </c>
      <c r="O65" s="51">
        <f t="shared" si="52"/>
        <v>0</v>
      </c>
      <c r="P65" s="51">
        <f t="shared" si="53"/>
        <v>0</v>
      </c>
      <c r="Q65" s="35">
        <f>CHOOSE('Обобщенный расчет'!$N$1,'Исходные данные'!$F$104,'Исходные данные'!$J$104)*Q29</f>
        <v>0</v>
      </c>
      <c r="R65" s="35">
        <f>CHOOSE('Обобщенный расчет'!$N$1,'Исходные данные'!$F$104,'Исходные данные'!$J$104)*R29</f>
        <v>0</v>
      </c>
      <c r="S65" s="35">
        <f>CHOOSE('Обобщенный расчет'!$N$1,'Исходные данные'!$F$104,'Исходные данные'!$J$104)*S29</f>
        <v>0</v>
      </c>
      <c r="T65" s="35">
        <f>CHOOSE('Обобщенный расчет'!$N$1,'Исходные данные'!$F$104,'Исходные данные'!$J$104)*T29</f>
        <v>0</v>
      </c>
      <c r="U65" s="35">
        <f>CHOOSE('Обобщенный расчет'!$N$1,'Исходные данные'!$F$104,'Исходные данные'!$J$104)*U29</f>
        <v>0</v>
      </c>
      <c r="V65" s="35">
        <f>CHOOSE('Обобщенный расчет'!$N$1,'Исходные данные'!$F$104,'Исходные данные'!$J$104)*V29</f>
        <v>0</v>
      </c>
      <c r="W65" s="35">
        <f>CHOOSE('Обобщенный расчет'!$N$1,'Исходные данные'!$F$104,'Исходные данные'!$J$104)*W29</f>
        <v>0</v>
      </c>
      <c r="X65" s="35">
        <f>CHOOSE('Обобщенный расчет'!$N$1,'Исходные данные'!$F$104,'Исходные данные'!$J$104)*X29</f>
        <v>0</v>
      </c>
      <c r="Y65" s="35">
        <f>CHOOSE('Обобщенный расчет'!$N$1,'Исходные данные'!$F$104,'Исходные данные'!$J$104)*Y29</f>
        <v>0</v>
      </c>
      <c r="Z65" s="35">
        <f>CHOOSE('Обобщенный расчет'!$N$1,'Исходные данные'!$F$104,'Исходные данные'!$J$104)*Z29</f>
        <v>0</v>
      </c>
      <c r="AA65" s="35">
        <f>CHOOSE('Обобщенный расчет'!$N$1,'Исходные данные'!$F$104,'Исходные данные'!$J$104)*AA29</f>
        <v>0</v>
      </c>
      <c r="AB65" s="35">
        <f>CHOOSE('Обобщенный расчет'!$N$1,'Исходные данные'!$F$104,'Исходные данные'!$J$104)*AB29</f>
        <v>0</v>
      </c>
      <c r="AC65" s="51">
        <f t="shared" si="54"/>
        <v>0</v>
      </c>
      <c r="AD65" s="51">
        <f t="shared" si="55"/>
        <v>0</v>
      </c>
      <c r="AE65" s="35">
        <f>CHOOSE('Обобщенный расчет'!$N$1,'Исходные данные'!$F$104,'Исходные данные'!$J$104)*AE29</f>
        <v>0</v>
      </c>
      <c r="AF65" s="35">
        <f>CHOOSE('Обобщенный расчет'!$N$1,'Исходные данные'!$F$104,'Исходные данные'!$J$104)*AF29</f>
        <v>0</v>
      </c>
      <c r="AG65" s="35">
        <f>CHOOSE('Обобщенный расчет'!$N$1,'Исходные данные'!$F$104,'Исходные данные'!$J$104)*AG29</f>
        <v>0</v>
      </c>
      <c r="AH65" s="35">
        <f>CHOOSE('Обобщенный расчет'!$N$1,'Исходные данные'!$F$104,'Исходные данные'!$J$104)*AH29</f>
        <v>0</v>
      </c>
      <c r="AI65" s="35">
        <f>CHOOSE('Обобщенный расчет'!$N$1,'Исходные данные'!$F$104,'Исходные данные'!$J$104)*AI29</f>
        <v>0</v>
      </c>
      <c r="AJ65" s="35">
        <f>CHOOSE('Обобщенный расчет'!$N$1,'Исходные данные'!$F$104,'Исходные данные'!$J$104)*AJ29</f>
        <v>0</v>
      </c>
      <c r="AK65" s="35">
        <f>CHOOSE('Обобщенный расчет'!$N$1,'Исходные данные'!$F$104,'Исходные данные'!$J$104)*AK29</f>
        <v>0</v>
      </c>
      <c r="AL65" s="35">
        <f>CHOOSE('Обобщенный расчет'!$N$1,'Исходные данные'!$F$104,'Исходные данные'!$J$104)*AL29</f>
        <v>0</v>
      </c>
      <c r="AM65" s="35">
        <f>CHOOSE('Обобщенный расчет'!$N$1,'Исходные данные'!$F$104,'Исходные данные'!$J$104)*AM29</f>
        <v>0</v>
      </c>
      <c r="AN65" s="35">
        <f>CHOOSE('Обобщенный расчет'!$N$1,'Исходные данные'!$F$104,'Исходные данные'!$J$104)*AN29</f>
        <v>0</v>
      </c>
      <c r="AO65" s="35">
        <f>CHOOSE('Обобщенный расчет'!$N$1,'Исходные данные'!$F$104,'Исходные данные'!$J$104)*AO29</f>
        <v>0</v>
      </c>
      <c r="AP65" s="35">
        <f>CHOOSE('Обобщенный расчет'!$N$1,'Исходные данные'!$F$104,'Исходные данные'!$J$104)*AP29</f>
        <v>0</v>
      </c>
      <c r="AQ65" s="51">
        <f t="shared" si="56"/>
        <v>0</v>
      </c>
      <c r="AR65" s="51">
        <f t="shared" si="57"/>
        <v>0</v>
      </c>
      <c r="AS65" s="113">
        <f t="shared" si="58"/>
        <v>0</v>
      </c>
      <c r="AT65" s="36"/>
    </row>
    <row r="66" spans="1:46" s="34" customFormat="1" ht="10.5" x14ac:dyDescent="0.2">
      <c r="A66" s="59" t="str">
        <f>'Обобщенный расчет'!B46</f>
        <v>Маркетинговые отчисления</v>
      </c>
      <c r="B66" s="20" t="str">
        <f>CHOOSE('Исходные данные'!$O$2,'Исходные данные'!$P$2,'Исходные данные'!$P$3,'Исходные данные'!$P$4,'Исходные данные'!$P$5)</f>
        <v>UAH</v>
      </c>
      <c r="C66" s="32">
        <f>CHOOSE('Обобщенный расчет'!$N$1,'Исходные данные'!$F$105,'Исходные данные'!$J$105)*C29</f>
        <v>0</v>
      </c>
      <c r="D66" s="32">
        <f>CHOOSE('Обобщенный расчет'!$N$1,'Исходные данные'!$F$105,'Исходные данные'!$J$105)*D29</f>
        <v>0</v>
      </c>
      <c r="E66" s="32">
        <f>CHOOSE('Обобщенный расчет'!$N$1,'Исходные данные'!$F$105,'Исходные данные'!$J$105)*E29</f>
        <v>0</v>
      </c>
      <c r="F66" s="32">
        <f>CHOOSE('Обобщенный расчет'!$N$1,'Исходные данные'!$F$105,'Исходные данные'!$J$105)*F29</f>
        <v>0</v>
      </c>
      <c r="G66" s="32">
        <f>CHOOSE('Обобщенный расчет'!$N$1,'Исходные данные'!$F$105,'Исходные данные'!$J$105)*G29</f>
        <v>0</v>
      </c>
      <c r="H66" s="32">
        <f>CHOOSE('Обобщенный расчет'!$N$1,'Исходные данные'!$F$105,'Исходные данные'!$J$105)*H29</f>
        <v>0</v>
      </c>
      <c r="I66" s="32">
        <f>CHOOSE('Обобщенный расчет'!$N$1,'Исходные данные'!$F$105,'Исходные данные'!$J$105)*I29</f>
        <v>0</v>
      </c>
      <c r="J66" s="32">
        <f>CHOOSE('Обобщенный расчет'!$N$1,'Исходные данные'!$F$105,'Исходные данные'!$J$105)*J29</f>
        <v>0</v>
      </c>
      <c r="K66" s="32">
        <f>CHOOSE('Обобщенный расчет'!$N$1,'Исходные данные'!$F$105,'Исходные данные'!$J$105)*K29</f>
        <v>0</v>
      </c>
      <c r="L66" s="32">
        <f>CHOOSE('Обобщенный расчет'!$N$1,'Исходные данные'!$F$105,'Исходные данные'!$J$105)*L29</f>
        <v>0</v>
      </c>
      <c r="M66" s="32">
        <f>CHOOSE('Обобщенный расчет'!$N$1,'Исходные данные'!$F$105,'Исходные данные'!$J$105)*M29</f>
        <v>0</v>
      </c>
      <c r="N66" s="32">
        <f>CHOOSE('Обобщенный расчет'!$N$1,'Исходные данные'!$F$105,'Исходные данные'!$J$105)*N29</f>
        <v>0</v>
      </c>
      <c r="O66" s="106">
        <f>SUM(C66:N66)</f>
        <v>0</v>
      </c>
      <c r="P66" s="106">
        <f>O66/12</f>
        <v>0</v>
      </c>
      <c r="Q66" s="32">
        <f>CHOOSE('Обобщенный расчет'!$N$1,'Исходные данные'!$F$105,'Исходные данные'!$J$105)*Q29</f>
        <v>0</v>
      </c>
      <c r="R66" s="32">
        <f>CHOOSE('Обобщенный расчет'!$N$1,'Исходные данные'!$F$105,'Исходные данные'!$J$105)*R29</f>
        <v>0</v>
      </c>
      <c r="S66" s="32">
        <f>CHOOSE('Обобщенный расчет'!$N$1,'Исходные данные'!$F$105,'Исходные данные'!$J$105)*S29</f>
        <v>0</v>
      </c>
      <c r="T66" s="32">
        <f>CHOOSE('Обобщенный расчет'!$N$1,'Исходные данные'!$F$105,'Исходные данные'!$J$105)*T29</f>
        <v>0</v>
      </c>
      <c r="U66" s="32">
        <f>CHOOSE('Обобщенный расчет'!$N$1,'Исходные данные'!$F$105,'Исходные данные'!$J$105)*U29</f>
        <v>0</v>
      </c>
      <c r="V66" s="32">
        <f>CHOOSE('Обобщенный расчет'!$N$1,'Исходные данные'!$F$105,'Исходные данные'!$J$105)*V29</f>
        <v>0</v>
      </c>
      <c r="W66" s="32">
        <f>CHOOSE('Обобщенный расчет'!$N$1,'Исходные данные'!$F$105,'Исходные данные'!$J$105)*W29</f>
        <v>0</v>
      </c>
      <c r="X66" s="32">
        <f>CHOOSE('Обобщенный расчет'!$N$1,'Исходные данные'!$F$105,'Исходные данные'!$J$105)*X29</f>
        <v>0</v>
      </c>
      <c r="Y66" s="32">
        <f>CHOOSE('Обобщенный расчет'!$N$1,'Исходные данные'!$F$105,'Исходные данные'!$J$105)*Y29</f>
        <v>0</v>
      </c>
      <c r="Z66" s="32">
        <f>CHOOSE('Обобщенный расчет'!$N$1,'Исходные данные'!$F$105,'Исходные данные'!$J$105)*Z29</f>
        <v>0</v>
      </c>
      <c r="AA66" s="32">
        <f>CHOOSE('Обобщенный расчет'!$N$1,'Исходные данные'!$F$105,'Исходные данные'!$J$105)*AA29</f>
        <v>0</v>
      </c>
      <c r="AB66" s="32">
        <f>CHOOSE('Обобщенный расчет'!$N$1,'Исходные данные'!$F$105,'Исходные данные'!$J$105)*AB29</f>
        <v>0</v>
      </c>
      <c r="AC66" s="106">
        <f>SUM(Q66:AB66)</f>
        <v>0</v>
      </c>
      <c r="AD66" s="106">
        <f>AC66/12</f>
        <v>0</v>
      </c>
      <c r="AE66" s="32">
        <f>CHOOSE('Обобщенный расчет'!$N$1,'Исходные данные'!$F$105,'Исходные данные'!$J$105)*AE29</f>
        <v>0</v>
      </c>
      <c r="AF66" s="32">
        <f>CHOOSE('Обобщенный расчет'!$N$1,'Исходные данные'!$F$105,'Исходные данные'!$J$105)*AF29</f>
        <v>0</v>
      </c>
      <c r="AG66" s="32">
        <f>CHOOSE('Обобщенный расчет'!$N$1,'Исходные данные'!$F$105,'Исходные данные'!$J$105)*AG29</f>
        <v>0</v>
      </c>
      <c r="AH66" s="32">
        <f>CHOOSE('Обобщенный расчет'!$N$1,'Исходные данные'!$F$105,'Исходные данные'!$J$105)*AH29</f>
        <v>0</v>
      </c>
      <c r="AI66" s="32">
        <f>CHOOSE('Обобщенный расчет'!$N$1,'Исходные данные'!$F$105,'Исходные данные'!$J$105)*AI29</f>
        <v>0</v>
      </c>
      <c r="AJ66" s="32">
        <f>CHOOSE('Обобщенный расчет'!$N$1,'Исходные данные'!$F$105,'Исходные данные'!$J$105)*AJ29</f>
        <v>0</v>
      </c>
      <c r="AK66" s="32">
        <f>CHOOSE('Обобщенный расчет'!$N$1,'Исходные данные'!$F$105,'Исходные данные'!$J$105)*AK29</f>
        <v>0</v>
      </c>
      <c r="AL66" s="32">
        <f>CHOOSE('Обобщенный расчет'!$N$1,'Исходные данные'!$F$105,'Исходные данные'!$J$105)*AL29</f>
        <v>0</v>
      </c>
      <c r="AM66" s="32">
        <f>CHOOSE('Обобщенный расчет'!$N$1,'Исходные данные'!$F$105,'Исходные данные'!$J$105)*AM29</f>
        <v>0</v>
      </c>
      <c r="AN66" s="32">
        <f>CHOOSE('Обобщенный расчет'!$N$1,'Исходные данные'!$F$105,'Исходные данные'!$J$105)*AN29</f>
        <v>0</v>
      </c>
      <c r="AO66" s="32">
        <f>CHOOSE('Обобщенный расчет'!$N$1,'Исходные данные'!$F$105,'Исходные данные'!$J$105)*AO29</f>
        <v>0</v>
      </c>
      <c r="AP66" s="32">
        <f>CHOOSE('Обобщенный расчет'!$N$1,'Исходные данные'!$F$105,'Исходные данные'!$J$105)*AP29</f>
        <v>0</v>
      </c>
      <c r="AQ66" s="106">
        <f>SUM(AE66:AP66)</f>
        <v>0</v>
      </c>
      <c r="AR66" s="106">
        <f>AQ66/12</f>
        <v>0</v>
      </c>
      <c r="AS66" s="113">
        <f>O66+AC66+AQ66</f>
        <v>0</v>
      </c>
      <c r="AT66" s="33"/>
    </row>
    <row r="67" spans="1:46" s="37" customFormat="1" ht="10.5" x14ac:dyDescent="0.2">
      <c r="A67" s="60" t="str">
        <f>'Обобщенный расчет'!B47</f>
        <v>Аренда</v>
      </c>
      <c r="B67" s="23" t="str">
        <f>CHOOSE('Исходные данные'!$O$2,'Исходные данные'!$P$2,'Исходные данные'!$P$3,'Исходные данные'!$P$4,'Исходные данные'!$P$5)</f>
        <v>UAH</v>
      </c>
      <c r="C67" s="35">
        <f>CHOOSE('Обобщенный расчет'!$N$1,'Исходные данные'!$F$106,'Исходные данные'!$J$106)*C10</f>
        <v>30000</v>
      </c>
      <c r="D67" s="35">
        <f>CHOOSE('Обобщенный расчет'!$N$1,'Исходные данные'!$F$106,'Исходные данные'!$J$106)*D10</f>
        <v>30000</v>
      </c>
      <c r="E67" s="35">
        <f>CHOOSE('Обобщенный расчет'!$N$1,'Исходные данные'!$F$106,'Исходные данные'!$J$106)*E10</f>
        <v>30000</v>
      </c>
      <c r="F67" s="35">
        <f>CHOOSE('Обобщенный расчет'!$N$1,'Исходные данные'!$F$106,'Исходные данные'!$J$106)*F10</f>
        <v>30000</v>
      </c>
      <c r="G67" s="35">
        <f>CHOOSE('Обобщенный расчет'!$N$1,'Исходные данные'!$F$106,'Исходные данные'!$J$106)*G10</f>
        <v>30000</v>
      </c>
      <c r="H67" s="35">
        <f>CHOOSE('Обобщенный расчет'!$N$1,'Исходные данные'!$F$106,'Исходные данные'!$J$106)*H10</f>
        <v>30000</v>
      </c>
      <c r="I67" s="35">
        <f>CHOOSE('Обобщенный расчет'!$N$1,'Исходные данные'!$F$106,'Исходные данные'!$J$106)*I10</f>
        <v>30000</v>
      </c>
      <c r="J67" s="35">
        <f>CHOOSE('Обобщенный расчет'!$N$1,'Исходные данные'!$F$106,'Исходные данные'!$J$106)*J10</f>
        <v>30000</v>
      </c>
      <c r="K67" s="35">
        <f>CHOOSE('Обобщенный расчет'!$N$1,'Исходные данные'!$F$106,'Исходные данные'!$J$106)*K10</f>
        <v>30000</v>
      </c>
      <c r="L67" s="35">
        <f>CHOOSE('Обобщенный расчет'!$N$1,'Исходные данные'!$F$106,'Исходные данные'!$J$106)*L10</f>
        <v>30000</v>
      </c>
      <c r="M67" s="35">
        <f>CHOOSE('Обобщенный расчет'!$N$1,'Исходные данные'!$F$106,'Исходные данные'!$J$106)*M10</f>
        <v>30000</v>
      </c>
      <c r="N67" s="35">
        <f>CHOOSE('Обобщенный расчет'!$N$1,'Исходные данные'!$F$106,'Исходные данные'!$J$106)*N10</f>
        <v>30000</v>
      </c>
      <c r="O67" s="51">
        <f t="shared" si="52"/>
        <v>360000</v>
      </c>
      <c r="P67" s="51">
        <f t="shared" si="53"/>
        <v>30000</v>
      </c>
      <c r="Q67" s="35">
        <f>CHOOSE('Обобщенный расчет'!$N$1,'Исходные данные'!$F$106,'Исходные данные'!$J$106)*Q10</f>
        <v>33000</v>
      </c>
      <c r="R67" s="35">
        <f>CHOOSE('Обобщенный расчет'!$N$1,'Исходные данные'!$F$106,'Исходные данные'!$J$106)*R10</f>
        <v>33000</v>
      </c>
      <c r="S67" s="35">
        <f>CHOOSE('Обобщенный расчет'!$N$1,'Исходные данные'!$F$106,'Исходные данные'!$J$106)*S10</f>
        <v>33000</v>
      </c>
      <c r="T67" s="35">
        <f>CHOOSE('Обобщенный расчет'!$N$1,'Исходные данные'!$F$106,'Исходные данные'!$J$106)*T10</f>
        <v>33000</v>
      </c>
      <c r="U67" s="35">
        <f>CHOOSE('Обобщенный расчет'!$N$1,'Исходные данные'!$F$106,'Исходные данные'!$J$106)*U10</f>
        <v>33000</v>
      </c>
      <c r="V67" s="35">
        <f>CHOOSE('Обобщенный расчет'!$N$1,'Исходные данные'!$F$106,'Исходные данные'!$J$106)*V10</f>
        <v>33000</v>
      </c>
      <c r="W67" s="35">
        <f>CHOOSE('Обобщенный расчет'!$N$1,'Исходные данные'!$F$106,'Исходные данные'!$J$106)*W10</f>
        <v>33000</v>
      </c>
      <c r="X67" s="35">
        <f>CHOOSE('Обобщенный расчет'!$N$1,'Исходные данные'!$F$106,'Исходные данные'!$J$106)*X10</f>
        <v>33000</v>
      </c>
      <c r="Y67" s="35">
        <f>CHOOSE('Обобщенный расчет'!$N$1,'Исходные данные'!$F$106,'Исходные данные'!$J$106)*Y10</f>
        <v>33000</v>
      </c>
      <c r="Z67" s="35">
        <f>CHOOSE('Обобщенный расчет'!$N$1,'Исходные данные'!$F$106,'Исходные данные'!$J$106)*Z10</f>
        <v>33000</v>
      </c>
      <c r="AA67" s="35">
        <f>CHOOSE('Обобщенный расчет'!$N$1,'Исходные данные'!$F$106,'Исходные данные'!$J$106)*AA10</f>
        <v>33000</v>
      </c>
      <c r="AB67" s="35">
        <f>CHOOSE('Обобщенный расчет'!$N$1,'Исходные данные'!$F$106,'Исходные данные'!$J$106)*AB10</f>
        <v>33000</v>
      </c>
      <c r="AC67" s="51">
        <f t="shared" si="54"/>
        <v>396000</v>
      </c>
      <c r="AD67" s="51">
        <f t="shared" si="55"/>
        <v>33000</v>
      </c>
      <c r="AE67" s="35">
        <f>CHOOSE('Обобщенный расчет'!$N$1,'Исходные данные'!$F$106,'Исходные данные'!$J$106)*AE10</f>
        <v>34500</v>
      </c>
      <c r="AF67" s="35">
        <f>CHOOSE('Обобщенный расчет'!$N$1,'Исходные данные'!$F$106,'Исходные данные'!$J$106)*AF10</f>
        <v>34500</v>
      </c>
      <c r="AG67" s="35">
        <f>CHOOSE('Обобщенный расчет'!$N$1,'Исходные данные'!$F$106,'Исходные данные'!$J$106)*AG10</f>
        <v>34500</v>
      </c>
      <c r="AH67" s="35">
        <f>CHOOSE('Обобщенный расчет'!$N$1,'Исходные данные'!$F$106,'Исходные данные'!$J$106)*AH10</f>
        <v>34500</v>
      </c>
      <c r="AI67" s="35">
        <f>CHOOSE('Обобщенный расчет'!$N$1,'Исходные данные'!$F$106,'Исходные данные'!$J$106)*AI10</f>
        <v>34500</v>
      </c>
      <c r="AJ67" s="35">
        <f>CHOOSE('Обобщенный расчет'!$N$1,'Исходные данные'!$F$106,'Исходные данные'!$J$106)*AJ10</f>
        <v>34500</v>
      </c>
      <c r="AK67" s="35">
        <f>CHOOSE('Обобщенный расчет'!$N$1,'Исходные данные'!$F$106,'Исходные данные'!$J$106)*AK10</f>
        <v>34500</v>
      </c>
      <c r="AL67" s="35">
        <f>CHOOSE('Обобщенный расчет'!$N$1,'Исходные данные'!$F$106,'Исходные данные'!$J$106)*AL10</f>
        <v>34500</v>
      </c>
      <c r="AM67" s="35">
        <f>CHOOSE('Обобщенный расчет'!$N$1,'Исходные данные'!$F$106,'Исходные данные'!$J$106)*AM10</f>
        <v>34500</v>
      </c>
      <c r="AN67" s="35">
        <f>CHOOSE('Обобщенный расчет'!$N$1,'Исходные данные'!$F$106,'Исходные данные'!$J$106)*AN10</f>
        <v>34500</v>
      </c>
      <c r="AO67" s="35">
        <f>CHOOSE('Обобщенный расчет'!$N$1,'Исходные данные'!$F$106,'Исходные данные'!$J$106)*AO10</f>
        <v>34500</v>
      </c>
      <c r="AP67" s="35">
        <f>CHOOSE('Обобщенный расчет'!$N$1,'Исходные данные'!$F$106,'Исходные данные'!$J$106)*AP10</f>
        <v>34500</v>
      </c>
      <c r="AQ67" s="51">
        <f t="shared" si="56"/>
        <v>414000</v>
      </c>
      <c r="AR67" s="51">
        <f t="shared" si="57"/>
        <v>34500</v>
      </c>
      <c r="AS67" s="113">
        <f t="shared" si="58"/>
        <v>1170000</v>
      </c>
      <c r="AT67" s="36"/>
    </row>
    <row r="68" spans="1:46" s="34" customFormat="1" ht="10.5" x14ac:dyDescent="0.2">
      <c r="A68" s="59" t="str">
        <f>'Обобщенный расчет'!B48</f>
        <v>Коммунальные платежи</v>
      </c>
      <c r="B68" s="20" t="str">
        <f>CHOOSE('Исходные данные'!$O$2,'Исходные данные'!$P$2,'Исходные данные'!$P$3,'Исходные данные'!$P$4,'Исходные данные'!$P$5)</f>
        <v>UAH</v>
      </c>
      <c r="C68" s="32">
        <f>CHOOSE('Обобщенный расчет'!$N$1,'Исходные данные'!$F$107,'Исходные данные'!$J$107)*C11</f>
        <v>5000</v>
      </c>
      <c r="D68" s="32">
        <f>CHOOSE('Обобщенный расчет'!$N$1,'Исходные данные'!$F$107,'Исходные данные'!$J$107)*D11</f>
        <v>5000</v>
      </c>
      <c r="E68" s="32">
        <f>CHOOSE('Обобщенный расчет'!$N$1,'Исходные данные'!$F$107,'Исходные данные'!$J$107)*E11</f>
        <v>5000</v>
      </c>
      <c r="F68" s="32">
        <f>CHOOSE('Обобщенный расчет'!$N$1,'Исходные данные'!$F$107,'Исходные данные'!$J$107)*F11</f>
        <v>5000</v>
      </c>
      <c r="G68" s="32">
        <f>CHOOSE('Обобщенный расчет'!$N$1,'Исходные данные'!$F$107,'Исходные данные'!$J$107)*G11</f>
        <v>5000</v>
      </c>
      <c r="H68" s="32">
        <f>CHOOSE('Обобщенный расчет'!$N$1,'Исходные данные'!$F$107,'Исходные данные'!$J$107)*H11</f>
        <v>5000</v>
      </c>
      <c r="I68" s="32">
        <f>CHOOSE('Обобщенный расчет'!$N$1,'Исходные данные'!$F$107,'Исходные данные'!$J$107)*I11</f>
        <v>5000</v>
      </c>
      <c r="J68" s="32">
        <f>CHOOSE('Обобщенный расчет'!$N$1,'Исходные данные'!$F$107,'Исходные данные'!$J$107)*J11</f>
        <v>5000</v>
      </c>
      <c r="K68" s="32">
        <f>CHOOSE('Обобщенный расчет'!$N$1,'Исходные данные'!$F$107,'Исходные данные'!$J$107)*K11</f>
        <v>5000</v>
      </c>
      <c r="L68" s="32">
        <f>CHOOSE('Обобщенный расчет'!$N$1,'Исходные данные'!$F$107,'Исходные данные'!$J$107)*L11</f>
        <v>5000</v>
      </c>
      <c r="M68" s="32">
        <f>CHOOSE('Обобщенный расчет'!$N$1,'Исходные данные'!$F$107,'Исходные данные'!$J$107)*M11</f>
        <v>5000</v>
      </c>
      <c r="N68" s="32">
        <f>CHOOSE('Обобщенный расчет'!$N$1,'Исходные данные'!$F$107,'Исходные данные'!$J$107)*N11</f>
        <v>5000</v>
      </c>
      <c r="O68" s="106">
        <f t="shared" si="52"/>
        <v>60000</v>
      </c>
      <c r="P68" s="106">
        <f t="shared" si="53"/>
        <v>5000</v>
      </c>
      <c r="Q68" s="32">
        <f>CHOOSE('Обобщенный расчет'!$N$1,'Исходные данные'!$F$107,'Исходные данные'!$J$107)*Q11</f>
        <v>5250</v>
      </c>
      <c r="R68" s="32">
        <f>CHOOSE('Обобщенный расчет'!$N$1,'Исходные данные'!$F$107,'Исходные данные'!$J$107)*R11</f>
        <v>5250</v>
      </c>
      <c r="S68" s="32">
        <f>CHOOSE('Обобщенный расчет'!$N$1,'Исходные данные'!$F$107,'Исходные данные'!$J$107)*S11</f>
        <v>5250</v>
      </c>
      <c r="T68" s="32">
        <f>CHOOSE('Обобщенный расчет'!$N$1,'Исходные данные'!$F$107,'Исходные данные'!$J$107)*T11</f>
        <v>5250</v>
      </c>
      <c r="U68" s="32">
        <f>CHOOSE('Обобщенный расчет'!$N$1,'Исходные данные'!$F$107,'Исходные данные'!$J$107)*U11</f>
        <v>5250</v>
      </c>
      <c r="V68" s="32">
        <f>CHOOSE('Обобщенный расчет'!$N$1,'Исходные данные'!$F$107,'Исходные данные'!$J$107)*V11</f>
        <v>5250</v>
      </c>
      <c r="W68" s="32">
        <f>CHOOSE('Обобщенный расчет'!$N$1,'Исходные данные'!$F$107,'Исходные данные'!$J$107)*W11</f>
        <v>5250</v>
      </c>
      <c r="X68" s="32">
        <f>CHOOSE('Обобщенный расчет'!$N$1,'Исходные данные'!$F$107,'Исходные данные'!$J$107)*X11</f>
        <v>5250</v>
      </c>
      <c r="Y68" s="32">
        <f>CHOOSE('Обобщенный расчет'!$N$1,'Исходные данные'!$F$107,'Исходные данные'!$J$107)*Y11</f>
        <v>5250</v>
      </c>
      <c r="Z68" s="32">
        <f>CHOOSE('Обобщенный расчет'!$N$1,'Исходные данные'!$F$107,'Исходные данные'!$J$107)*Z11</f>
        <v>5250</v>
      </c>
      <c r="AA68" s="32">
        <f>CHOOSE('Обобщенный расчет'!$N$1,'Исходные данные'!$F$107,'Исходные данные'!$J$107)*AA11</f>
        <v>5250</v>
      </c>
      <c r="AB68" s="32">
        <f>CHOOSE('Обобщенный расчет'!$N$1,'Исходные данные'!$F$107,'Исходные данные'!$J$107)*AB11</f>
        <v>5250</v>
      </c>
      <c r="AC68" s="106">
        <f t="shared" si="54"/>
        <v>63000</v>
      </c>
      <c r="AD68" s="106">
        <f t="shared" si="55"/>
        <v>5250</v>
      </c>
      <c r="AE68" s="32">
        <f>CHOOSE('Обобщенный расчет'!$N$1,'Исходные данные'!$F$107,'Исходные данные'!$J$107)*AE11</f>
        <v>5250</v>
      </c>
      <c r="AF68" s="32">
        <f>CHOOSE('Обобщенный расчет'!$N$1,'Исходные данные'!$F$107,'Исходные данные'!$J$107)*AF11</f>
        <v>5250</v>
      </c>
      <c r="AG68" s="32">
        <f>CHOOSE('Обобщенный расчет'!$N$1,'Исходные данные'!$F$107,'Исходные данные'!$J$107)*AG11</f>
        <v>5250</v>
      </c>
      <c r="AH68" s="32">
        <f>CHOOSE('Обобщенный расчет'!$N$1,'Исходные данные'!$F$107,'Исходные данные'!$J$107)*AH11</f>
        <v>5250</v>
      </c>
      <c r="AI68" s="32">
        <f>CHOOSE('Обобщенный расчет'!$N$1,'Исходные данные'!$F$107,'Исходные данные'!$J$107)*AI11</f>
        <v>5250</v>
      </c>
      <c r="AJ68" s="32">
        <f>CHOOSE('Обобщенный расчет'!$N$1,'Исходные данные'!$F$107,'Исходные данные'!$J$107)*AJ11</f>
        <v>5250</v>
      </c>
      <c r="AK68" s="32">
        <f>CHOOSE('Обобщенный расчет'!$N$1,'Исходные данные'!$F$107,'Исходные данные'!$J$107)*AK11</f>
        <v>5250</v>
      </c>
      <c r="AL68" s="32">
        <f>CHOOSE('Обобщенный расчет'!$N$1,'Исходные данные'!$F$107,'Исходные данные'!$J$107)*AL11</f>
        <v>5250</v>
      </c>
      <c r="AM68" s="32">
        <f>CHOOSE('Обобщенный расчет'!$N$1,'Исходные данные'!$F$107,'Исходные данные'!$J$107)*AM11</f>
        <v>5250</v>
      </c>
      <c r="AN68" s="32">
        <f>CHOOSE('Обобщенный расчет'!$N$1,'Исходные данные'!$F$107,'Исходные данные'!$J$107)*AN11</f>
        <v>5250</v>
      </c>
      <c r="AO68" s="32">
        <f>CHOOSE('Обобщенный расчет'!$N$1,'Исходные данные'!$F$107,'Исходные данные'!$J$107)*AO11</f>
        <v>5250</v>
      </c>
      <c r="AP68" s="32">
        <f>CHOOSE('Обобщенный расчет'!$N$1,'Исходные данные'!$F$107,'Исходные данные'!$J$107)*AP11</f>
        <v>5250</v>
      </c>
      <c r="AQ68" s="106">
        <f t="shared" si="56"/>
        <v>63000</v>
      </c>
      <c r="AR68" s="106">
        <f t="shared" si="57"/>
        <v>5250</v>
      </c>
      <c r="AS68" s="113">
        <f t="shared" si="58"/>
        <v>186000</v>
      </c>
      <c r="AT68" s="33"/>
    </row>
    <row r="69" spans="1:46" s="37" customFormat="1" ht="10.5" x14ac:dyDescent="0.2">
      <c r="A69" s="60" t="str">
        <f>'Обобщенный расчет'!B49</f>
        <v>Хозяйственные нужды</v>
      </c>
      <c r="B69" s="23" t="str">
        <f>CHOOSE('Исходные данные'!$O$2,'Исходные данные'!$P$2,'Исходные данные'!$P$3,'Исходные данные'!$P$4,'Исходные данные'!$P$5)</f>
        <v>UAH</v>
      </c>
      <c r="C69" s="35">
        <f>CHOOSE('Обобщенный расчет'!$N$1,'Исходные данные'!$F$108,'Исходные данные'!$J$108)</f>
        <v>2000</v>
      </c>
      <c r="D69" s="35">
        <f>CHOOSE('Обобщенный расчет'!$N$1,'Исходные данные'!$F$108,'Исходные данные'!$J$108)</f>
        <v>2000</v>
      </c>
      <c r="E69" s="35">
        <f>CHOOSE('Обобщенный расчет'!$N$1,'Исходные данные'!$F$108,'Исходные данные'!$J$108)</f>
        <v>2000</v>
      </c>
      <c r="F69" s="35">
        <f>CHOOSE('Обобщенный расчет'!$N$1,'Исходные данные'!$F$108,'Исходные данные'!$J$108)</f>
        <v>2000</v>
      </c>
      <c r="G69" s="35">
        <f>CHOOSE('Обобщенный расчет'!$N$1,'Исходные данные'!$F$108,'Исходные данные'!$J$108)</f>
        <v>2000</v>
      </c>
      <c r="H69" s="35">
        <f>CHOOSE('Обобщенный расчет'!$N$1,'Исходные данные'!$F$108,'Исходные данные'!$J$108)</f>
        <v>2000</v>
      </c>
      <c r="I69" s="35">
        <f>CHOOSE('Обобщенный расчет'!$N$1,'Исходные данные'!$F$108,'Исходные данные'!$J$108)</f>
        <v>2000</v>
      </c>
      <c r="J69" s="35">
        <f>CHOOSE('Обобщенный расчет'!$N$1,'Исходные данные'!$F$108,'Исходные данные'!$J$108)</f>
        <v>2000</v>
      </c>
      <c r="K69" s="35">
        <f>CHOOSE('Обобщенный расчет'!$N$1,'Исходные данные'!$F$108,'Исходные данные'!$J$108)</f>
        <v>2000</v>
      </c>
      <c r="L69" s="35">
        <f>CHOOSE('Обобщенный расчет'!$N$1,'Исходные данные'!$F$108,'Исходные данные'!$J$108)</f>
        <v>2000</v>
      </c>
      <c r="M69" s="35">
        <f>CHOOSE('Обобщенный расчет'!$N$1,'Исходные данные'!$F$108,'Исходные данные'!$J$108)</f>
        <v>2000</v>
      </c>
      <c r="N69" s="35">
        <f>CHOOSE('Обобщенный расчет'!$N$1,'Исходные данные'!$F$108,'Исходные данные'!$J$108)</f>
        <v>2000</v>
      </c>
      <c r="O69" s="51">
        <f t="shared" si="52"/>
        <v>24000</v>
      </c>
      <c r="P69" s="51">
        <f t="shared" si="53"/>
        <v>2000</v>
      </c>
      <c r="Q69" s="35">
        <f>CHOOSE('Обобщенный расчет'!$N$1,'Исходные данные'!$F$108,'Исходные данные'!$J$108)</f>
        <v>2000</v>
      </c>
      <c r="R69" s="35">
        <f>CHOOSE('Обобщенный расчет'!$N$1,'Исходные данные'!$F$108,'Исходные данные'!$J$108)</f>
        <v>2000</v>
      </c>
      <c r="S69" s="35">
        <f>CHOOSE('Обобщенный расчет'!$N$1,'Исходные данные'!$F$108,'Исходные данные'!$J$108)</f>
        <v>2000</v>
      </c>
      <c r="T69" s="35">
        <f>CHOOSE('Обобщенный расчет'!$N$1,'Исходные данные'!$F$108,'Исходные данные'!$J$108)</f>
        <v>2000</v>
      </c>
      <c r="U69" s="35">
        <f>CHOOSE('Обобщенный расчет'!$N$1,'Исходные данные'!$F$108,'Исходные данные'!$J$108)</f>
        <v>2000</v>
      </c>
      <c r="V69" s="35">
        <f>CHOOSE('Обобщенный расчет'!$N$1,'Исходные данные'!$F$108,'Исходные данные'!$J$108)</f>
        <v>2000</v>
      </c>
      <c r="W69" s="35">
        <f>CHOOSE('Обобщенный расчет'!$N$1,'Исходные данные'!$F$108,'Исходные данные'!$J$108)</f>
        <v>2000</v>
      </c>
      <c r="X69" s="35">
        <f>CHOOSE('Обобщенный расчет'!$N$1,'Исходные данные'!$F$108,'Исходные данные'!$J$108)</f>
        <v>2000</v>
      </c>
      <c r="Y69" s="35">
        <f>CHOOSE('Обобщенный расчет'!$N$1,'Исходные данные'!$F$108,'Исходные данные'!$J$108)</f>
        <v>2000</v>
      </c>
      <c r="Z69" s="35">
        <f>CHOOSE('Обобщенный расчет'!$N$1,'Исходные данные'!$F$108,'Исходные данные'!$J$108)</f>
        <v>2000</v>
      </c>
      <c r="AA69" s="35">
        <f>CHOOSE('Обобщенный расчет'!$N$1,'Исходные данные'!$F$108,'Исходные данные'!$J$108)</f>
        <v>2000</v>
      </c>
      <c r="AB69" s="35">
        <f>CHOOSE('Обобщенный расчет'!$N$1,'Исходные данные'!$F$108,'Исходные данные'!$J$108)</f>
        <v>2000</v>
      </c>
      <c r="AC69" s="51">
        <f t="shared" si="54"/>
        <v>24000</v>
      </c>
      <c r="AD69" s="51">
        <f t="shared" si="55"/>
        <v>2000</v>
      </c>
      <c r="AE69" s="35">
        <f>CHOOSE('Обобщенный расчет'!$N$1,'Исходные данные'!$F$108,'Исходные данные'!$J$108)</f>
        <v>2000</v>
      </c>
      <c r="AF69" s="35">
        <f>CHOOSE('Обобщенный расчет'!$N$1,'Исходные данные'!$F$108,'Исходные данные'!$J$108)</f>
        <v>2000</v>
      </c>
      <c r="AG69" s="35">
        <f>CHOOSE('Обобщенный расчет'!$N$1,'Исходные данные'!$F$108,'Исходные данные'!$J$108)</f>
        <v>2000</v>
      </c>
      <c r="AH69" s="35">
        <f>CHOOSE('Обобщенный расчет'!$N$1,'Исходные данные'!$F$108,'Исходные данные'!$J$108)</f>
        <v>2000</v>
      </c>
      <c r="AI69" s="35">
        <f>CHOOSE('Обобщенный расчет'!$N$1,'Исходные данные'!$F$108,'Исходные данные'!$J$108)</f>
        <v>2000</v>
      </c>
      <c r="AJ69" s="35">
        <f>CHOOSE('Обобщенный расчет'!$N$1,'Исходные данные'!$F$108,'Исходные данные'!$J$108)</f>
        <v>2000</v>
      </c>
      <c r="AK69" s="35">
        <f>CHOOSE('Обобщенный расчет'!$N$1,'Исходные данные'!$F$108,'Исходные данные'!$J$108)</f>
        <v>2000</v>
      </c>
      <c r="AL69" s="35">
        <f>CHOOSE('Обобщенный расчет'!$N$1,'Исходные данные'!$F$108,'Исходные данные'!$J$108)</f>
        <v>2000</v>
      </c>
      <c r="AM69" s="35">
        <f>CHOOSE('Обобщенный расчет'!$N$1,'Исходные данные'!$F$108,'Исходные данные'!$J$108)</f>
        <v>2000</v>
      </c>
      <c r="AN69" s="35">
        <f>CHOOSE('Обобщенный расчет'!$N$1,'Исходные данные'!$F$108,'Исходные данные'!$J$108)</f>
        <v>2000</v>
      </c>
      <c r="AO69" s="35">
        <f>CHOOSE('Обобщенный расчет'!$N$1,'Исходные данные'!$F$108,'Исходные данные'!$J$108)</f>
        <v>2000</v>
      </c>
      <c r="AP69" s="35">
        <f>CHOOSE('Обобщенный расчет'!$N$1,'Исходные данные'!$F$108,'Исходные данные'!$J$108)</f>
        <v>2000</v>
      </c>
      <c r="AQ69" s="51">
        <f t="shared" si="56"/>
        <v>24000</v>
      </c>
      <c r="AR69" s="51">
        <f t="shared" si="57"/>
        <v>2000</v>
      </c>
      <c r="AS69" s="113">
        <f t="shared" si="58"/>
        <v>72000</v>
      </c>
      <c r="AT69" s="36"/>
    </row>
    <row r="70" spans="1:46" s="34" customFormat="1" ht="10.5" x14ac:dyDescent="0.2">
      <c r="A70" s="59" t="str">
        <f>'Обобщенный расчет'!B50</f>
        <v>Расходные материалы</v>
      </c>
      <c r="B70" s="20" t="str">
        <f>CHOOSE('Исходные данные'!$O$2,'Исходные данные'!$P$2,'Исходные данные'!$P$3,'Исходные данные'!$P$4,'Исходные данные'!$P$5)</f>
        <v>UAH</v>
      </c>
      <c r="C70" s="32">
        <f>CHOOSE('Обобщенный расчет'!$N$1,'Исходные данные'!$F$109,'Исходные данные'!$J$109)</f>
        <v>50000</v>
      </c>
      <c r="D70" s="32">
        <f>CHOOSE('Обобщенный расчет'!$N$1,'Исходные данные'!$F$109,'Исходные данные'!$J$109)</f>
        <v>50000</v>
      </c>
      <c r="E70" s="32">
        <f>CHOOSE('Обобщенный расчет'!$N$1,'Исходные данные'!$F$109,'Исходные данные'!$J$109)</f>
        <v>50000</v>
      </c>
      <c r="F70" s="32">
        <f>CHOOSE('Обобщенный расчет'!$N$1,'Исходные данные'!$F$109,'Исходные данные'!$J$109)</f>
        <v>50000</v>
      </c>
      <c r="G70" s="32">
        <f>CHOOSE('Обобщенный расчет'!$N$1,'Исходные данные'!$F$109,'Исходные данные'!$J$109)</f>
        <v>50000</v>
      </c>
      <c r="H70" s="32">
        <f>CHOOSE('Обобщенный расчет'!$N$1,'Исходные данные'!$F$109,'Исходные данные'!$J$109)</f>
        <v>50000</v>
      </c>
      <c r="I70" s="32">
        <f>CHOOSE('Обобщенный расчет'!$N$1,'Исходные данные'!$F$109,'Исходные данные'!$J$109)</f>
        <v>50000</v>
      </c>
      <c r="J70" s="32">
        <f>CHOOSE('Обобщенный расчет'!$N$1,'Исходные данные'!$F$109,'Исходные данные'!$J$109)</f>
        <v>50000</v>
      </c>
      <c r="K70" s="32">
        <f>CHOOSE('Обобщенный расчет'!$N$1,'Исходные данные'!$F$109,'Исходные данные'!$J$109)</f>
        <v>50000</v>
      </c>
      <c r="L70" s="32">
        <f>CHOOSE('Обобщенный расчет'!$N$1,'Исходные данные'!$F$109,'Исходные данные'!$J$109)</f>
        <v>50000</v>
      </c>
      <c r="M70" s="32">
        <f>CHOOSE('Обобщенный расчет'!$N$1,'Исходные данные'!$F$109,'Исходные данные'!$J$109)</f>
        <v>50000</v>
      </c>
      <c r="N70" s="32">
        <f>CHOOSE('Обобщенный расчет'!$N$1,'Исходные данные'!$F$109,'Исходные данные'!$J$109)</f>
        <v>50000</v>
      </c>
      <c r="O70" s="106">
        <f t="shared" si="52"/>
        <v>600000</v>
      </c>
      <c r="P70" s="106">
        <f t="shared" si="53"/>
        <v>50000</v>
      </c>
      <c r="Q70" s="32">
        <f>CHOOSE('Обобщенный расчет'!$N$1,'Исходные данные'!$F$109,'Исходные данные'!$J$109)</f>
        <v>50000</v>
      </c>
      <c r="R70" s="32">
        <f>CHOOSE('Обобщенный расчет'!$N$1,'Исходные данные'!$F$109,'Исходные данные'!$J$109)</f>
        <v>50000</v>
      </c>
      <c r="S70" s="32">
        <f>CHOOSE('Обобщенный расчет'!$N$1,'Исходные данные'!$F$109,'Исходные данные'!$J$109)</f>
        <v>50000</v>
      </c>
      <c r="T70" s="32">
        <f>CHOOSE('Обобщенный расчет'!$N$1,'Исходные данные'!$F$109,'Исходные данные'!$J$109)</f>
        <v>50000</v>
      </c>
      <c r="U70" s="32">
        <f>CHOOSE('Обобщенный расчет'!$N$1,'Исходные данные'!$F$109,'Исходные данные'!$J$109)</f>
        <v>50000</v>
      </c>
      <c r="V70" s="32">
        <f>CHOOSE('Обобщенный расчет'!$N$1,'Исходные данные'!$F$109,'Исходные данные'!$J$109)</f>
        <v>50000</v>
      </c>
      <c r="W70" s="32">
        <f>CHOOSE('Обобщенный расчет'!$N$1,'Исходные данные'!$F$109,'Исходные данные'!$J$109)</f>
        <v>50000</v>
      </c>
      <c r="X70" s="32">
        <f>CHOOSE('Обобщенный расчет'!$N$1,'Исходные данные'!$F$109,'Исходные данные'!$J$109)</f>
        <v>50000</v>
      </c>
      <c r="Y70" s="32">
        <f>CHOOSE('Обобщенный расчет'!$N$1,'Исходные данные'!$F$109,'Исходные данные'!$J$109)</f>
        <v>50000</v>
      </c>
      <c r="Z70" s="32">
        <f>CHOOSE('Обобщенный расчет'!$N$1,'Исходные данные'!$F$109,'Исходные данные'!$J$109)</f>
        <v>50000</v>
      </c>
      <c r="AA70" s="32">
        <f>CHOOSE('Обобщенный расчет'!$N$1,'Исходные данные'!$F$109,'Исходные данные'!$J$109)</f>
        <v>50000</v>
      </c>
      <c r="AB70" s="32">
        <f>CHOOSE('Обобщенный расчет'!$N$1,'Исходные данные'!$F$109,'Исходные данные'!$J$109)</f>
        <v>50000</v>
      </c>
      <c r="AC70" s="106">
        <f t="shared" si="54"/>
        <v>600000</v>
      </c>
      <c r="AD70" s="106">
        <f t="shared" si="55"/>
        <v>50000</v>
      </c>
      <c r="AE70" s="32">
        <f>CHOOSE('Обобщенный расчет'!$N$1,'Исходные данные'!$F$109,'Исходные данные'!$J$109)</f>
        <v>50000</v>
      </c>
      <c r="AF70" s="32">
        <f>CHOOSE('Обобщенный расчет'!$N$1,'Исходные данные'!$F$109,'Исходные данные'!$J$109)</f>
        <v>50000</v>
      </c>
      <c r="AG70" s="32">
        <f>CHOOSE('Обобщенный расчет'!$N$1,'Исходные данные'!$F$109,'Исходные данные'!$J$109)</f>
        <v>50000</v>
      </c>
      <c r="AH70" s="32">
        <f>CHOOSE('Обобщенный расчет'!$N$1,'Исходные данные'!$F$109,'Исходные данные'!$J$109)</f>
        <v>50000</v>
      </c>
      <c r="AI70" s="32">
        <f>CHOOSE('Обобщенный расчет'!$N$1,'Исходные данные'!$F$109,'Исходные данные'!$J$109)</f>
        <v>50000</v>
      </c>
      <c r="AJ70" s="32">
        <f>CHOOSE('Обобщенный расчет'!$N$1,'Исходные данные'!$F$109,'Исходные данные'!$J$109)</f>
        <v>50000</v>
      </c>
      <c r="AK70" s="32">
        <f>CHOOSE('Обобщенный расчет'!$N$1,'Исходные данные'!$F$109,'Исходные данные'!$J$109)</f>
        <v>50000</v>
      </c>
      <c r="AL70" s="32">
        <f>CHOOSE('Обобщенный расчет'!$N$1,'Исходные данные'!$F$109,'Исходные данные'!$J$109)</f>
        <v>50000</v>
      </c>
      <c r="AM70" s="32">
        <f>CHOOSE('Обобщенный расчет'!$N$1,'Исходные данные'!$F$109,'Исходные данные'!$J$109)</f>
        <v>50000</v>
      </c>
      <c r="AN70" s="32">
        <f>CHOOSE('Обобщенный расчет'!$N$1,'Исходные данные'!$F$109,'Исходные данные'!$J$109)</f>
        <v>50000</v>
      </c>
      <c r="AO70" s="32">
        <f>CHOOSE('Обобщенный расчет'!$N$1,'Исходные данные'!$F$109,'Исходные данные'!$J$109)</f>
        <v>50000</v>
      </c>
      <c r="AP70" s="32">
        <f>CHOOSE('Обобщенный расчет'!$N$1,'Исходные данные'!$F$109,'Исходные данные'!$J$109)</f>
        <v>50000</v>
      </c>
      <c r="AQ70" s="106">
        <f t="shared" si="56"/>
        <v>600000</v>
      </c>
      <c r="AR70" s="106">
        <f t="shared" si="57"/>
        <v>50000</v>
      </c>
      <c r="AS70" s="113">
        <f t="shared" si="58"/>
        <v>1800000</v>
      </c>
      <c r="AT70" s="33"/>
    </row>
    <row r="71" spans="1:46" s="37" customFormat="1" ht="10.5" x14ac:dyDescent="0.2">
      <c r="A71" s="60" t="str">
        <f>'Обобщенный расчет'!B51</f>
        <v>Униформа персонала</v>
      </c>
      <c r="B71" s="23" t="str">
        <f>CHOOSE('Исходные данные'!$O$2,'Исходные данные'!$P$2,'Исходные данные'!$P$3,'Исходные данные'!$P$4,'Исходные данные'!$P$5)</f>
        <v>UAH</v>
      </c>
      <c r="C71" s="35">
        <f>CHOOSE('Обобщенный расчет'!$N$1,'Исходные данные'!$F$110,'Исходные данные'!$J$110)</f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f>CHOOSE('Обобщенный расчет'!$N$1,'Исходные данные'!$F$110,'Исходные данные'!$J$110)</f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51">
        <f t="shared" ref="O71:O72" si="59">SUM(C71:N71)</f>
        <v>0</v>
      </c>
      <c r="P71" s="51">
        <f t="shared" ref="P71:P72" si="60">O71/12</f>
        <v>0</v>
      </c>
      <c r="Q71" s="35">
        <f>CHOOSE('Обобщенный расчет'!$N$1,'Исходные данные'!$F$110,'Исходные данные'!$J$110)</f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f>CHOOSE('Обобщенный расчет'!$N$1,'Исходные данные'!$F$110,'Исходные данные'!$J$110)</f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51">
        <f t="shared" ref="AC71:AC72" si="61">SUM(Q71:AB71)</f>
        <v>0</v>
      </c>
      <c r="AD71" s="51">
        <f t="shared" ref="AD71:AD72" si="62">AC71/12</f>
        <v>0</v>
      </c>
      <c r="AE71" s="35">
        <f>CHOOSE('Обобщенный расчет'!$N$1,'Исходные данные'!$F$110,'Исходные данные'!$J$110)</f>
        <v>0</v>
      </c>
      <c r="AF71" s="35">
        <v>0</v>
      </c>
      <c r="AG71" s="35">
        <v>0</v>
      </c>
      <c r="AH71" s="35">
        <v>0</v>
      </c>
      <c r="AI71" s="35">
        <v>0</v>
      </c>
      <c r="AJ71" s="35">
        <v>0</v>
      </c>
      <c r="AK71" s="35">
        <f>CHOOSE('Обобщенный расчет'!$N$1,'Исходные данные'!$F$110,'Исходные данные'!$J$110)</f>
        <v>0</v>
      </c>
      <c r="AL71" s="35">
        <v>0</v>
      </c>
      <c r="AM71" s="35">
        <v>0</v>
      </c>
      <c r="AN71" s="35">
        <v>0</v>
      </c>
      <c r="AO71" s="35">
        <v>0</v>
      </c>
      <c r="AP71" s="35">
        <v>0</v>
      </c>
      <c r="AQ71" s="51">
        <f t="shared" ref="AQ71:AQ72" si="63">SUM(AE71:AP71)</f>
        <v>0</v>
      </c>
      <c r="AR71" s="51">
        <f t="shared" ref="AR71:AR72" si="64">AQ71/12</f>
        <v>0</v>
      </c>
      <c r="AS71" s="113">
        <f t="shared" ref="AS71:AS72" si="65">O71+AC71+AQ71</f>
        <v>0</v>
      </c>
      <c r="AT71" s="36"/>
    </row>
    <row r="72" spans="1:46" s="34" customFormat="1" ht="10.5" x14ac:dyDescent="0.2">
      <c r="A72" s="59" t="str">
        <f>'Обобщенный расчет'!B52</f>
        <v>Программа учета</v>
      </c>
      <c r="B72" s="20" t="str">
        <f>CHOOSE('Исходные данные'!$O$2,'Исходные данные'!$P$2,'Исходные данные'!$P$3,'Исходные данные'!$P$4,'Исходные данные'!$P$5)</f>
        <v>UAH</v>
      </c>
      <c r="C72" s="32">
        <f>CHOOSE('Обобщенный расчет'!$N$1,'Исходные данные'!$F$111,'Исходные данные'!$J$111)</f>
        <v>600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106">
        <f t="shared" si="59"/>
        <v>600</v>
      </c>
      <c r="P72" s="106">
        <f t="shared" si="60"/>
        <v>50</v>
      </c>
      <c r="Q72" s="32">
        <f>CHOOSE('Обобщенный расчет'!$N$1,'Исходные данные'!$F$111,'Исходные данные'!$J$111)</f>
        <v>600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106">
        <f t="shared" si="61"/>
        <v>600</v>
      </c>
      <c r="AD72" s="106">
        <f t="shared" si="62"/>
        <v>50</v>
      </c>
      <c r="AE72" s="32">
        <f>CHOOSE('Обобщенный расчет'!$N$1,'Исходные данные'!$F$111,'Исходные данные'!$J$111)</f>
        <v>600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106">
        <f t="shared" si="63"/>
        <v>600</v>
      </c>
      <c r="AR72" s="106">
        <f t="shared" si="64"/>
        <v>50</v>
      </c>
      <c r="AS72" s="113">
        <f t="shared" si="65"/>
        <v>1800</v>
      </c>
      <c r="AT72" s="33"/>
    </row>
    <row r="73" spans="1:46" s="37" customFormat="1" ht="10.5" x14ac:dyDescent="0.2">
      <c r="A73" s="60" t="str">
        <f>'Обобщенный расчет'!B53</f>
        <v>Сервисное обслуживание техники и оборудования</v>
      </c>
      <c r="B73" s="23" t="str">
        <f>CHOOSE('Исходные данные'!$O$2,'Исходные данные'!$P$2,'Исходные данные'!$P$3,'Исходные данные'!$P$4,'Исходные данные'!$P$5)</f>
        <v>UAH</v>
      </c>
      <c r="C73" s="35">
        <f>CHOOSE('Обобщенный расчет'!$N$1,'Исходные данные'!$F$112,'Исходные данные'!$J$112)</f>
        <v>300</v>
      </c>
      <c r="D73" s="35">
        <f>CHOOSE('Обобщенный расчет'!$N$1,'Исходные данные'!$F$112,'Исходные данные'!$J$112)</f>
        <v>300</v>
      </c>
      <c r="E73" s="35">
        <f>CHOOSE('Обобщенный расчет'!$N$1,'Исходные данные'!$F$112,'Исходные данные'!$J$112)</f>
        <v>300</v>
      </c>
      <c r="F73" s="35">
        <f>CHOOSE('Обобщенный расчет'!$N$1,'Исходные данные'!$F$112,'Исходные данные'!$J$112)</f>
        <v>300</v>
      </c>
      <c r="G73" s="35">
        <f>CHOOSE('Обобщенный расчет'!$N$1,'Исходные данные'!$F$112,'Исходные данные'!$J$112)</f>
        <v>300</v>
      </c>
      <c r="H73" s="35">
        <f>CHOOSE('Обобщенный расчет'!$N$1,'Исходные данные'!$F$112,'Исходные данные'!$J$112)</f>
        <v>300</v>
      </c>
      <c r="I73" s="35">
        <f>CHOOSE('Обобщенный расчет'!$N$1,'Исходные данные'!$F$112,'Исходные данные'!$J$112)</f>
        <v>300</v>
      </c>
      <c r="J73" s="35">
        <f>CHOOSE('Обобщенный расчет'!$N$1,'Исходные данные'!$F$112,'Исходные данные'!$J$112)</f>
        <v>300</v>
      </c>
      <c r="K73" s="35">
        <f>CHOOSE('Обобщенный расчет'!$N$1,'Исходные данные'!$F$112,'Исходные данные'!$J$112)</f>
        <v>300</v>
      </c>
      <c r="L73" s="35">
        <f>CHOOSE('Обобщенный расчет'!$N$1,'Исходные данные'!$F$112,'Исходные данные'!$J$112)</f>
        <v>300</v>
      </c>
      <c r="M73" s="35">
        <f>CHOOSE('Обобщенный расчет'!$N$1,'Исходные данные'!$F$112,'Исходные данные'!$J$112)</f>
        <v>300</v>
      </c>
      <c r="N73" s="35">
        <f>CHOOSE('Обобщенный расчет'!$N$1,'Исходные данные'!$F$112,'Исходные данные'!$J$112)</f>
        <v>300</v>
      </c>
      <c r="O73" s="51">
        <f t="shared" ref="O73:O79" si="66">SUM(C73:N73)</f>
        <v>3600</v>
      </c>
      <c r="P73" s="51">
        <f t="shared" ref="P73:P79" si="67">O73/12</f>
        <v>300</v>
      </c>
      <c r="Q73" s="35">
        <f>CHOOSE('Обобщенный расчет'!$N$1,'Исходные данные'!$F$112,'Исходные данные'!$J$112)</f>
        <v>300</v>
      </c>
      <c r="R73" s="35">
        <f>CHOOSE('Обобщенный расчет'!$N$1,'Исходные данные'!$F$112,'Исходные данные'!$J$112)</f>
        <v>300</v>
      </c>
      <c r="S73" s="35">
        <f>CHOOSE('Обобщенный расчет'!$N$1,'Исходные данные'!$F$112,'Исходные данные'!$J$112)</f>
        <v>300</v>
      </c>
      <c r="T73" s="35">
        <f>CHOOSE('Обобщенный расчет'!$N$1,'Исходные данные'!$F$112,'Исходные данные'!$J$112)</f>
        <v>300</v>
      </c>
      <c r="U73" s="35">
        <f>CHOOSE('Обобщенный расчет'!$N$1,'Исходные данные'!$F$112,'Исходные данные'!$J$112)</f>
        <v>300</v>
      </c>
      <c r="V73" s="35">
        <f>CHOOSE('Обобщенный расчет'!$N$1,'Исходные данные'!$F$112,'Исходные данные'!$J$112)</f>
        <v>300</v>
      </c>
      <c r="W73" s="35">
        <f>CHOOSE('Обобщенный расчет'!$N$1,'Исходные данные'!$F$112,'Исходные данные'!$J$112)</f>
        <v>300</v>
      </c>
      <c r="X73" s="35">
        <f>CHOOSE('Обобщенный расчет'!$N$1,'Исходные данные'!$F$112,'Исходные данные'!$J$112)</f>
        <v>300</v>
      </c>
      <c r="Y73" s="35">
        <f>CHOOSE('Обобщенный расчет'!$N$1,'Исходные данные'!$F$112,'Исходные данные'!$J$112)</f>
        <v>300</v>
      </c>
      <c r="Z73" s="35">
        <f>CHOOSE('Обобщенный расчет'!$N$1,'Исходные данные'!$F$112,'Исходные данные'!$J$112)</f>
        <v>300</v>
      </c>
      <c r="AA73" s="35">
        <f>CHOOSE('Обобщенный расчет'!$N$1,'Исходные данные'!$F$112,'Исходные данные'!$J$112)</f>
        <v>300</v>
      </c>
      <c r="AB73" s="35">
        <f>CHOOSE('Обобщенный расчет'!$N$1,'Исходные данные'!$F$112,'Исходные данные'!$J$112)</f>
        <v>300</v>
      </c>
      <c r="AC73" s="51">
        <f t="shared" ref="AC73:AC79" si="68">SUM(Q73:AB73)</f>
        <v>3600</v>
      </c>
      <c r="AD73" s="51">
        <f t="shared" ref="AD73:AD79" si="69">AC73/12</f>
        <v>300</v>
      </c>
      <c r="AE73" s="35">
        <f>CHOOSE('Обобщенный расчет'!$N$1,'Исходные данные'!$F$112,'Исходные данные'!$J$112)</f>
        <v>300</v>
      </c>
      <c r="AF73" s="35">
        <f>CHOOSE('Обобщенный расчет'!$N$1,'Исходные данные'!$F$112,'Исходные данные'!$J$112)</f>
        <v>300</v>
      </c>
      <c r="AG73" s="35">
        <f>CHOOSE('Обобщенный расчет'!$N$1,'Исходные данные'!$F$112,'Исходные данные'!$J$112)</f>
        <v>300</v>
      </c>
      <c r="AH73" s="35">
        <f>CHOOSE('Обобщенный расчет'!$N$1,'Исходные данные'!$F$112,'Исходные данные'!$J$112)</f>
        <v>300</v>
      </c>
      <c r="AI73" s="35">
        <f>CHOOSE('Обобщенный расчет'!$N$1,'Исходные данные'!$F$112,'Исходные данные'!$J$112)</f>
        <v>300</v>
      </c>
      <c r="AJ73" s="35">
        <f>CHOOSE('Обобщенный расчет'!$N$1,'Исходные данные'!$F$112,'Исходные данные'!$J$112)</f>
        <v>300</v>
      </c>
      <c r="AK73" s="35">
        <f>CHOOSE('Обобщенный расчет'!$N$1,'Исходные данные'!$F$112,'Исходные данные'!$J$112)</f>
        <v>300</v>
      </c>
      <c r="AL73" s="35">
        <f>CHOOSE('Обобщенный расчет'!$N$1,'Исходные данные'!$F$112,'Исходные данные'!$J$112)</f>
        <v>300</v>
      </c>
      <c r="AM73" s="35">
        <f>CHOOSE('Обобщенный расчет'!$N$1,'Исходные данные'!$F$112,'Исходные данные'!$J$112)</f>
        <v>300</v>
      </c>
      <c r="AN73" s="35">
        <f>CHOOSE('Обобщенный расчет'!$N$1,'Исходные данные'!$F$112,'Исходные данные'!$J$112)</f>
        <v>300</v>
      </c>
      <c r="AO73" s="35">
        <f>CHOOSE('Обобщенный расчет'!$N$1,'Исходные данные'!$F$112,'Исходные данные'!$J$112)</f>
        <v>300</v>
      </c>
      <c r="AP73" s="35">
        <f>CHOOSE('Обобщенный расчет'!$N$1,'Исходные данные'!$F$112,'Исходные данные'!$J$112)</f>
        <v>300</v>
      </c>
      <c r="AQ73" s="51">
        <f t="shared" ref="AQ73:AQ79" si="70">SUM(AE73:AP73)</f>
        <v>3600</v>
      </c>
      <c r="AR73" s="51">
        <f t="shared" ref="AR73:AR79" si="71">AQ73/12</f>
        <v>300</v>
      </c>
      <c r="AS73" s="113">
        <f t="shared" ref="AS73:AS79" si="72">O73+AC73+AQ73</f>
        <v>10800</v>
      </c>
      <c r="AT73" s="36"/>
    </row>
    <row r="74" spans="1:46" s="34" customFormat="1" ht="10.5" x14ac:dyDescent="0.2">
      <c r="A74" s="59" t="str">
        <f>'Обобщенный расчет'!B54</f>
        <v>Охрана</v>
      </c>
      <c r="B74" s="20" t="str">
        <f>CHOOSE('Исходные данные'!$O$2,'Исходные данные'!$P$2,'Исходные данные'!$P$3,'Исходные данные'!$P$4,'Исходные данные'!$P$5)</f>
        <v>UAH</v>
      </c>
      <c r="C74" s="32">
        <f>CHOOSE('Обобщенный расчет'!$N$1,'Исходные данные'!$F$113,'Исходные данные'!$J$113)</f>
        <v>300</v>
      </c>
      <c r="D74" s="32">
        <f>CHOOSE('Обобщенный расчет'!$N$1,'Исходные данные'!$F$113,'Исходные данные'!$J$113)</f>
        <v>300</v>
      </c>
      <c r="E74" s="32">
        <f>CHOOSE('Обобщенный расчет'!$N$1,'Исходные данные'!$F$113,'Исходные данные'!$J$113)</f>
        <v>300</v>
      </c>
      <c r="F74" s="32">
        <f>CHOOSE('Обобщенный расчет'!$N$1,'Исходные данные'!$F$113,'Исходные данные'!$J$113)</f>
        <v>300</v>
      </c>
      <c r="G74" s="32">
        <f>CHOOSE('Обобщенный расчет'!$N$1,'Исходные данные'!$F$113,'Исходные данные'!$J$113)</f>
        <v>300</v>
      </c>
      <c r="H74" s="32">
        <f>CHOOSE('Обобщенный расчет'!$N$1,'Исходные данные'!$F$113,'Исходные данные'!$J$113)</f>
        <v>300</v>
      </c>
      <c r="I74" s="32">
        <f>CHOOSE('Обобщенный расчет'!$N$1,'Исходные данные'!$F$113,'Исходные данные'!$J$113)</f>
        <v>300</v>
      </c>
      <c r="J74" s="32">
        <f>CHOOSE('Обобщенный расчет'!$N$1,'Исходные данные'!$F$113,'Исходные данные'!$J$113)</f>
        <v>300</v>
      </c>
      <c r="K74" s="32">
        <f>CHOOSE('Обобщенный расчет'!$N$1,'Исходные данные'!$F$113,'Исходные данные'!$J$113)</f>
        <v>300</v>
      </c>
      <c r="L74" s="32">
        <f>CHOOSE('Обобщенный расчет'!$N$1,'Исходные данные'!$F$113,'Исходные данные'!$J$113)</f>
        <v>300</v>
      </c>
      <c r="M74" s="32">
        <f>CHOOSE('Обобщенный расчет'!$N$1,'Исходные данные'!$F$113,'Исходные данные'!$J$113)</f>
        <v>300</v>
      </c>
      <c r="N74" s="32">
        <f>CHOOSE('Обобщенный расчет'!$N$1,'Исходные данные'!$F$113,'Исходные данные'!$J$113)</f>
        <v>300</v>
      </c>
      <c r="O74" s="106">
        <f>SUM(C74:N74)</f>
        <v>3600</v>
      </c>
      <c r="P74" s="106">
        <f>O74/12</f>
        <v>300</v>
      </c>
      <c r="Q74" s="32">
        <f>CHOOSE('Обобщенный расчет'!$N$1,'Исходные данные'!$F$113,'Исходные данные'!$J$113)</f>
        <v>300</v>
      </c>
      <c r="R74" s="32">
        <f>CHOOSE('Обобщенный расчет'!$N$1,'Исходные данные'!$F$113,'Исходные данные'!$J$113)</f>
        <v>300</v>
      </c>
      <c r="S74" s="32">
        <f>CHOOSE('Обобщенный расчет'!$N$1,'Исходные данные'!$F$113,'Исходные данные'!$J$113)</f>
        <v>300</v>
      </c>
      <c r="T74" s="32">
        <f>CHOOSE('Обобщенный расчет'!$N$1,'Исходные данные'!$F$113,'Исходные данные'!$J$113)</f>
        <v>300</v>
      </c>
      <c r="U74" s="32">
        <f>CHOOSE('Обобщенный расчет'!$N$1,'Исходные данные'!$F$113,'Исходные данные'!$J$113)</f>
        <v>300</v>
      </c>
      <c r="V74" s="32">
        <f>CHOOSE('Обобщенный расчет'!$N$1,'Исходные данные'!$F$113,'Исходные данные'!$J$113)</f>
        <v>300</v>
      </c>
      <c r="W74" s="32">
        <f>CHOOSE('Обобщенный расчет'!$N$1,'Исходные данные'!$F$113,'Исходные данные'!$J$113)</f>
        <v>300</v>
      </c>
      <c r="X74" s="32">
        <f>CHOOSE('Обобщенный расчет'!$N$1,'Исходные данные'!$F$113,'Исходные данные'!$J$113)</f>
        <v>300</v>
      </c>
      <c r="Y74" s="32">
        <f>CHOOSE('Обобщенный расчет'!$N$1,'Исходные данные'!$F$113,'Исходные данные'!$J$113)</f>
        <v>300</v>
      </c>
      <c r="Z74" s="32">
        <f>CHOOSE('Обобщенный расчет'!$N$1,'Исходные данные'!$F$113,'Исходные данные'!$J$113)</f>
        <v>300</v>
      </c>
      <c r="AA74" s="32">
        <f>CHOOSE('Обобщенный расчет'!$N$1,'Исходные данные'!$F$113,'Исходные данные'!$J$113)</f>
        <v>300</v>
      </c>
      <c r="AB74" s="32">
        <f>CHOOSE('Обобщенный расчет'!$N$1,'Исходные данные'!$F$113,'Исходные данные'!$J$113)</f>
        <v>300</v>
      </c>
      <c r="AC74" s="106">
        <f>SUM(Q74:AB74)</f>
        <v>3600</v>
      </c>
      <c r="AD74" s="106">
        <f>AC74/12</f>
        <v>300</v>
      </c>
      <c r="AE74" s="32">
        <f>CHOOSE('Обобщенный расчет'!$N$1,'Исходные данные'!$F$113,'Исходные данные'!$J$113)</f>
        <v>300</v>
      </c>
      <c r="AF74" s="32">
        <f>CHOOSE('Обобщенный расчет'!$N$1,'Исходные данные'!$F$113,'Исходные данные'!$J$113)</f>
        <v>300</v>
      </c>
      <c r="AG74" s="32">
        <f>CHOOSE('Обобщенный расчет'!$N$1,'Исходные данные'!$F$113,'Исходные данные'!$J$113)</f>
        <v>300</v>
      </c>
      <c r="AH74" s="32">
        <f>CHOOSE('Обобщенный расчет'!$N$1,'Исходные данные'!$F$113,'Исходные данные'!$J$113)</f>
        <v>300</v>
      </c>
      <c r="AI74" s="32">
        <f>CHOOSE('Обобщенный расчет'!$N$1,'Исходные данные'!$F$113,'Исходные данные'!$J$113)</f>
        <v>300</v>
      </c>
      <c r="AJ74" s="32">
        <f>CHOOSE('Обобщенный расчет'!$N$1,'Исходные данные'!$F$113,'Исходные данные'!$J$113)</f>
        <v>300</v>
      </c>
      <c r="AK74" s="32">
        <f>CHOOSE('Обобщенный расчет'!$N$1,'Исходные данные'!$F$113,'Исходные данные'!$J$113)</f>
        <v>300</v>
      </c>
      <c r="AL74" s="32">
        <f>CHOOSE('Обобщенный расчет'!$N$1,'Исходные данные'!$F$113,'Исходные данные'!$J$113)</f>
        <v>300</v>
      </c>
      <c r="AM74" s="32">
        <f>CHOOSE('Обобщенный расчет'!$N$1,'Исходные данные'!$F$113,'Исходные данные'!$J$113)</f>
        <v>300</v>
      </c>
      <c r="AN74" s="32">
        <f>CHOOSE('Обобщенный расчет'!$N$1,'Исходные данные'!$F$113,'Исходные данные'!$J$113)</f>
        <v>300</v>
      </c>
      <c r="AO74" s="32">
        <f>CHOOSE('Обобщенный расчет'!$N$1,'Исходные данные'!$F$113,'Исходные данные'!$J$113)</f>
        <v>300</v>
      </c>
      <c r="AP74" s="32">
        <f>CHOOSE('Обобщенный расчет'!$N$1,'Исходные данные'!$F$113,'Исходные данные'!$J$113)</f>
        <v>300</v>
      </c>
      <c r="AQ74" s="106">
        <f>SUM(AE74:AP74)</f>
        <v>3600</v>
      </c>
      <c r="AR74" s="106">
        <f>AQ74/12</f>
        <v>300</v>
      </c>
      <c r="AS74" s="113">
        <f>O74+AC74+AQ74</f>
        <v>10800</v>
      </c>
      <c r="AT74" s="33"/>
    </row>
    <row r="75" spans="1:46" s="37" customFormat="1" ht="10.5" x14ac:dyDescent="0.2">
      <c r="A75" s="60" t="str">
        <f>'Обобщенный расчет'!B55</f>
        <v>Услуги связи и интернет</v>
      </c>
      <c r="B75" s="23" t="str">
        <f>CHOOSE('Исходные данные'!$O$2,'Исходные данные'!$P$2,'Исходные данные'!$P$3,'Исходные данные'!$P$4,'Исходные данные'!$P$5)</f>
        <v>UAH</v>
      </c>
      <c r="C75" s="35">
        <f>CHOOSE('Обобщенный расчет'!$N$1,'Исходные данные'!$F$114,'Исходные данные'!$J$114)*C12</f>
        <v>500</v>
      </c>
      <c r="D75" s="35">
        <f>CHOOSE('Обобщенный расчет'!$N$1,'Исходные данные'!$F$114,'Исходные данные'!$J$114)*D12</f>
        <v>500</v>
      </c>
      <c r="E75" s="35">
        <f>CHOOSE('Обобщенный расчет'!$N$1,'Исходные данные'!$F$114,'Исходные данные'!$J$114)*E12</f>
        <v>500</v>
      </c>
      <c r="F75" s="35">
        <f>CHOOSE('Обобщенный расчет'!$N$1,'Исходные данные'!$F$114,'Исходные данные'!$J$114)*F12</f>
        <v>500</v>
      </c>
      <c r="G75" s="35">
        <f>CHOOSE('Обобщенный расчет'!$N$1,'Исходные данные'!$F$114,'Исходные данные'!$J$114)*G12</f>
        <v>500</v>
      </c>
      <c r="H75" s="35">
        <f>CHOOSE('Обобщенный расчет'!$N$1,'Исходные данные'!$F$114,'Исходные данные'!$J$114)*H12</f>
        <v>500</v>
      </c>
      <c r="I75" s="35">
        <f>CHOOSE('Обобщенный расчет'!$N$1,'Исходные данные'!$F$114,'Исходные данные'!$J$114)*I12</f>
        <v>500</v>
      </c>
      <c r="J75" s="35">
        <f>CHOOSE('Обобщенный расчет'!$N$1,'Исходные данные'!$F$114,'Исходные данные'!$J$114)*J12</f>
        <v>500</v>
      </c>
      <c r="K75" s="35">
        <f>CHOOSE('Обобщенный расчет'!$N$1,'Исходные данные'!$F$114,'Исходные данные'!$J$114)*K12</f>
        <v>500</v>
      </c>
      <c r="L75" s="35">
        <f>CHOOSE('Обобщенный расчет'!$N$1,'Исходные данные'!$F$114,'Исходные данные'!$J$114)*L12</f>
        <v>500</v>
      </c>
      <c r="M75" s="35">
        <f>CHOOSE('Обобщенный расчет'!$N$1,'Исходные данные'!$F$114,'Исходные данные'!$J$114)*M12</f>
        <v>500</v>
      </c>
      <c r="N75" s="35">
        <f>CHOOSE('Обобщенный расчет'!$N$1,'Исходные данные'!$F$114,'Исходные данные'!$J$114)*N12</f>
        <v>500</v>
      </c>
      <c r="O75" s="51">
        <f>SUM(C75:N75)</f>
        <v>6000</v>
      </c>
      <c r="P75" s="51">
        <f>O75/12</f>
        <v>500</v>
      </c>
      <c r="Q75" s="35">
        <f>CHOOSE('Обобщенный расчет'!$N$1,'Исходные данные'!$F$114,'Исходные данные'!$J$114)*Q12</f>
        <v>500</v>
      </c>
      <c r="R75" s="35">
        <f>CHOOSE('Обобщенный расчет'!$N$1,'Исходные данные'!$F$114,'Исходные данные'!$J$114)*R12</f>
        <v>500</v>
      </c>
      <c r="S75" s="35">
        <f>CHOOSE('Обобщенный расчет'!$N$1,'Исходные данные'!$F$114,'Исходные данные'!$J$114)*S12</f>
        <v>500</v>
      </c>
      <c r="T75" s="35">
        <f>CHOOSE('Обобщенный расчет'!$N$1,'Исходные данные'!$F$114,'Исходные данные'!$J$114)*T12</f>
        <v>500</v>
      </c>
      <c r="U75" s="35">
        <f>CHOOSE('Обобщенный расчет'!$N$1,'Исходные данные'!$F$114,'Исходные данные'!$J$114)*U12</f>
        <v>500</v>
      </c>
      <c r="V75" s="35">
        <f>CHOOSE('Обобщенный расчет'!$N$1,'Исходные данные'!$F$114,'Исходные данные'!$J$114)*V12</f>
        <v>500</v>
      </c>
      <c r="W75" s="35">
        <f>CHOOSE('Обобщенный расчет'!$N$1,'Исходные данные'!$F$114,'Исходные данные'!$J$114)*W12</f>
        <v>500</v>
      </c>
      <c r="X75" s="35">
        <f>CHOOSE('Обобщенный расчет'!$N$1,'Исходные данные'!$F$114,'Исходные данные'!$J$114)*X12</f>
        <v>500</v>
      </c>
      <c r="Y75" s="35">
        <f>CHOOSE('Обобщенный расчет'!$N$1,'Исходные данные'!$F$114,'Исходные данные'!$J$114)*Y12</f>
        <v>500</v>
      </c>
      <c r="Z75" s="35">
        <f>CHOOSE('Обобщенный расчет'!$N$1,'Исходные данные'!$F$114,'Исходные данные'!$J$114)*Z12</f>
        <v>500</v>
      </c>
      <c r="AA75" s="35">
        <f>CHOOSE('Обобщенный расчет'!$N$1,'Исходные данные'!$F$114,'Исходные данные'!$J$114)*AA12</f>
        <v>500</v>
      </c>
      <c r="AB75" s="35">
        <f>CHOOSE('Обобщенный расчет'!$N$1,'Исходные данные'!$F$114,'Исходные данные'!$J$114)*AB12</f>
        <v>500</v>
      </c>
      <c r="AC75" s="51">
        <f>SUM(Q75:AB75)</f>
        <v>6000</v>
      </c>
      <c r="AD75" s="51">
        <f>AC75/12</f>
        <v>500</v>
      </c>
      <c r="AE75" s="35">
        <f>CHOOSE('Обобщенный расчет'!$N$1,'Исходные данные'!$F$114,'Исходные данные'!$J$114)*AE12</f>
        <v>500</v>
      </c>
      <c r="AF75" s="35">
        <f>CHOOSE('Обобщенный расчет'!$N$1,'Исходные данные'!$F$114,'Исходные данные'!$J$114)*AF12</f>
        <v>500</v>
      </c>
      <c r="AG75" s="35">
        <f>CHOOSE('Обобщенный расчет'!$N$1,'Исходные данные'!$F$114,'Исходные данные'!$J$114)*AG12</f>
        <v>500</v>
      </c>
      <c r="AH75" s="35">
        <f>CHOOSE('Обобщенный расчет'!$N$1,'Исходные данные'!$F$114,'Исходные данные'!$J$114)*AH12</f>
        <v>500</v>
      </c>
      <c r="AI75" s="35">
        <f>CHOOSE('Обобщенный расчет'!$N$1,'Исходные данные'!$F$114,'Исходные данные'!$J$114)*AI12</f>
        <v>500</v>
      </c>
      <c r="AJ75" s="35">
        <f>CHOOSE('Обобщенный расчет'!$N$1,'Исходные данные'!$F$114,'Исходные данные'!$J$114)*AJ12</f>
        <v>500</v>
      </c>
      <c r="AK75" s="35">
        <f>CHOOSE('Обобщенный расчет'!$N$1,'Исходные данные'!$F$114,'Исходные данные'!$J$114)*AK12</f>
        <v>500</v>
      </c>
      <c r="AL75" s="35">
        <f>CHOOSE('Обобщенный расчет'!$N$1,'Исходные данные'!$F$114,'Исходные данные'!$J$114)*AL12</f>
        <v>500</v>
      </c>
      <c r="AM75" s="35">
        <f>CHOOSE('Обобщенный расчет'!$N$1,'Исходные данные'!$F$114,'Исходные данные'!$J$114)*AM12</f>
        <v>500</v>
      </c>
      <c r="AN75" s="35">
        <f>CHOOSE('Обобщенный расчет'!$N$1,'Исходные данные'!$F$114,'Исходные данные'!$J$114)*AN12</f>
        <v>500</v>
      </c>
      <c r="AO75" s="35">
        <f>CHOOSE('Обобщенный расчет'!$N$1,'Исходные данные'!$F$114,'Исходные данные'!$J$114)*AO12</f>
        <v>500</v>
      </c>
      <c r="AP75" s="35">
        <f>CHOOSE('Обобщенный расчет'!$N$1,'Исходные данные'!$F$114,'Исходные данные'!$J$114)*AP12</f>
        <v>500</v>
      </c>
      <c r="AQ75" s="51">
        <f>SUM(AE75:AP75)</f>
        <v>6000</v>
      </c>
      <c r="AR75" s="51">
        <f>AQ75/12</f>
        <v>500</v>
      </c>
      <c r="AS75" s="113">
        <f>O75+AC75+AQ75</f>
        <v>18000</v>
      </c>
      <c r="AT75" s="36"/>
    </row>
    <row r="76" spans="1:46" s="34" customFormat="1" ht="10.5" x14ac:dyDescent="0.2">
      <c r="A76" s="59" t="str">
        <f>'Обобщенный расчет'!B56</f>
        <v>Ведение бухгалтерского учета</v>
      </c>
      <c r="B76" s="20" t="str">
        <f>CHOOSE('Исходные данные'!$O$2,'Исходные данные'!$P$2,'Исходные данные'!$P$3,'Исходные данные'!$P$4,'Исходные данные'!$P$5)</f>
        <v>UAH</v>
      </c>
      <c r="C76" s="32">
        <f>CHOOSE('Обобщенный расчет'!$N$1,'Исходные данные'!$F$115,'Исходные данные'!$J$115)</f>
        <v>0</v>
      </c>
      <c r="D76" s="32">
        <f>CHOOSE('Обобщенный расчет'!$N$1,'Исходные данные'!$F$115,'Исходные данные'!$J$115)</f>
        <v>0</v>
      </c>
      <c r="E76" s="32">
        <f>CHOOSE('Обобщенный расчет'!$N$1,'Исходные данные'!$F$115,'Исходные данные'!$J$115)</f>
        <v>0</v>
      </c>
      <c r="F76" s="32">
        <f>CHOOSE('Обобщенный расчет'!$N$1,'Исходные данные'!$F$115,'Исходные данные'!$J$115)</f>
        <v>0</v>
      </c>
      <c r="G76" s="32">
        <f>CHOOSE('Обобщенный расчет'!$N$1,'Исходные данные'!$F$115,'Исходные данные'!$J$115)</f>
        <v>0</v>
      </c>
      <c r="H76" s="32">
        <f>CHOOSE('Обобщенный расчет'!$N$1,'Исходные данные'!$F$115,'Исходные данные'!$J$115)</f>
        <v>0</v>
      </c>
      <c r="I76" s="32">
        <f>CHOOSE('Обобщенный расчет'!$N$1,'Исходные данные'!$F$115,'Исходные данные'!$J$115)</f>
        <v>0</v>
      </c>
      <c r="J76" s="32">
        <f>CHOOSE('Обобщенный расчет'!$N$1,'Исходные данные'!$F$115,'Исходные данные'!$J$115)</f>
        <v>0</v>
      </c>
      <c r="K76" s="32">
        <f>CHOOSE('Обобщенный расчет'!$N$1,'Исходные данные'!$F$115,'Исходные данные'!$J$115)</f>
        <v>0</v>
      </c>
      <c r="L76" s="32">
        <f>CHOOSE('Обобщенный расчет'!$N$1,'Исходные данные'!$F$115,'Исходные данные'!$J$115)</f>
        <v>0</v>
      </c>
      <c r="M76" s="32">
        <f>CHOOSE('Обобщенный расчет'!$N$1,'Исходные данные'!$F$115,'Исходные данные'!$J$115)</f>
        <v>0</v>
      </c>
      <c r="N76" s="32">
        <f>CHOOSE('Обобщенный расчет'!$N$1,'Исходные данные'!$F$115,'Исходные данные'!$J$115)</f>
        <v>0</v>
      </c>
      <c r="O76" s="106">
        <f t="shared" si="66"/>
        <v>0</v>
      </c>
      <c r="P76" s="106">
        <f t="shared" si="67"/>
        <v>0</v>
      </c>
      <c r="Q76" s="32">
        <f>CHOOSE('Обобщенный расчет'!$N$1,'Исходные данные'!$F$115,'Исходные данные'!$J$115)</f>
        <v>0</v>
      </c>
      <c r="R76" s="32">
        <f>CHOOSE('Обобщенный расчет'!$N$1,'Исходные данные'!$F$115,'Исходные данные'!$J$115)</f>
        <v>0</v>
      </c>
      <c r="S76" s="32">
        <f>CHOOSE('Обобщенный расчет'!$N$1,'Исходные данные'!$F$115,'Исходные данные'!$J$115)</f>
        <v>0</v>
      </c>
      <c r="T76" s="32">
        <f>CHOOSE('Обобщенный расчет'!$N$1,'Исходные данные'!$F$115,'Исходные данные'!$J$115)</f>
        <v>0</v>
      </c>
      <c r="U76" s="32">
        <f>CHOOSE('Обобщенный расчет'!$N$1,'Исходные данные'!$F$115,'Исходные данные'!$J$115)</f>
        <v>0</v>
      </c>
      <c r="V76" s="32">
        <f>CHOOSE('Обобщенный расчет'!$N$1,'Исходные данные'!$F$115,'Исходные данные'!$J$115)</f>
        <v>0</v>
      </c>
      <c r="W76" s="32">
        <f>CHOOSE('Обобщенный расчет'!$N$1,'Исходные данные'!$F$115,'Исходные данные'!$J$115)</f>
        <v>0</v>
      </c>
      <c r="X76" s="32">
        <f>CHOOSE('Обобщенный расчет'!$N$1,'Исходные данные'!$F$115,'Исходные данные'!$J$115)</f>
        <v>0</v>
      </c>
      <c r="Y76" s="32">
        <f>CHOOSE('Обобщенный расчет'!$N$1,'Исходные данные'!$F$115,'Исходные данные'!$J$115)</f>
        <v>0</v>
      </c>
      <c r="Z76" s="32">
        <f>CHOOSE('Обобщенный расчет'!$N$1,'Исходные данные'!$F$115,'Исходные данные'!$J$115)</f>
        <v>0</v>
      </c>
      <c r="AA76" s="32">
        <f>CHOOSE('Обобщенный расчет'!$N$1,'Исходные данные'!$F$115,'Исходные данные'!$J$115)</f>
        <v>0</v>
      </c>
      <c r="AB76" s="32">
        <f>CHOOSE('Обобщенный расчет'!$N$1,'Исходные данные'!$F$115,'Исходные данные'!$J$115)</f>
        <v>0</v>
      </c>
      <c r="AC76" s="106">
        <f t="shared" si="68"/>
        <v>0</v>
      </c>
      <c r="AD76" s="106">
        <f t="shared" si="69"/>
        <v>0</v>
      </c>
      <c r="AE76" s="32">
        <f>CHOOSE('Обобщенный расчет'!$N$1,'Исходные данные'!$F$115,'Исходные данные'!$J$115)</f>
        <v>0</v>
      </c>
      <c r="AF76" s="32">
        <f>CHOOSE('Обобщенный расчет'!$N$1,'Исходные данные'!$F$115,'Исходные данные'!$J$115)</f>
        <v>0</v>
      </c>
      <c r="AG76" s="32">
        <f>CHOOSE('Обобщенный расчет'!$N$1,'Исходные данные'!$F$115,'Исходные данные'!$J$115)</f>
        <v>0</v>
      </c>
      <c r="AH76" s="32">
        <f>CHOOSE('Обобщенный расчет'!$N$1,'Исходные данные'!$F$115,'Исходные данные'!$J$115)</f>
        <v>0</v>
      </c>
      <c r="AI76" s="32">
        <f>CHOOSE('Обобщенный расчет'!$N$1,'Исходные данные'!$F$115,'Исходные данные'!$J$115)</f>
        <v>0</v>
      </c>
      <c r="AJ76" s="32">
        <f>CHOOSE('Обобщенный расчет'!$N$1,'Исходные данные'!$F$115,'Исходные данные'!$J$115)</f>
        <v>0</v>
      </c>
      <c r="AK76" s="32">
        <f>CHOOSE('Обобщенный расчет'!$N$1,'Исходные данные'!$F$115,'Исходные данные'!$J$115)</f>
        <v>0</v>
      </c>
      <c r="AL76" s="32">
        <f>CHOOSE('Обобщенный расчет'!$N$1,'Исходные данные'!$F$115,'Исходные данные'!$J$115)</f>
        <v>0</v>
      </c>
      <c r="AM76" s="32">
        <f>CHOOSE('Обобщенный расчет'!$N$1,'Исходные данные'!$F$115,'Исходные данные'!$J$115)</f>
        <v>0</v>
      </c>
      <c r="AN76" s="32">
        <f>CHOOSE('Обобщенный расчет'!$N$1,'Исходные данные'!$F$115,'Исходные данные'!$J$115)</f>
        <v>0</v>
      </c>
      <c r="AO76" s="32">
        <f>CHOOSE('Обобщенный расчет'!$N$1,'Исходные данные'!$F$115,'Исходные данные'!$J$115)</f>
        <v>0</v>
      </c>
      <c r="AP76" s="32">
        <f>CHOOSE('Обобщенный расчет'!$N$1,'Исходные данные'!$F$115,'Исходные данные'!$J$115)</f>
        <v>0</v>
      </c>
      <c r="AQ76" s="106">
        <f t="shared" si="70"/>
        <v>0</v>
      </c>
      <c r="AR76" s="106">
        <f t="shared" si="71"/>
        <v>0</v>
      </c>
      <c r="AS76" s="113">
        <f t="shared" si="72"/>
        <v>0</v>
      </c>
      <c r="AT76" s="33"/>
    </row>
    <row r="77" spans="1:46" s="37" customFormat="1" ht="10.5" x14ac:dyDescent="0.2">
      <c r="A77" s="60" t="str">
        <f>'Обобщенный расчет'!B57</f>
        <v>Транспортные расходы</v>
      </c>
      <c r="B77" s="23" t="str">
        <f>CHOOSE('Исходные данные'!$O$2,'Исходные данные'!$P$2,'Исходные данные'!$P$3,'Исходные данные'!$P$4,'Исходные данные'!$P$5)</f>
        <v>UAH</v>
      </c>
      <c r="C77" s="35">
        <f>CHOOSE('Обобщенный расчет'!$N$1,'Исходные данные'!$F$116,'Исходные данные'!$J$116)</f>
        <v>0</v>
      </c>
      <c r="D77" s="35">
        <f>CHOOSE('Обобщенный расчет'!$N$1,'Исходные данные'!$F$116,'Исходные данные'!$J$116)</f>
        <v>0</v>
      </c>
      <c r="E77" s="35">
        <f>CHOOSE('Обобщенный расчет'!$N$1,'Исходные данные'!$F$116,'Исходные данные'!$J$116)</f>
        <v>0</v>
      </c>
      <c r="F77" s="35">
        <f>CHOOSE('Обобщенный расчет'!$N$1,'Исходные данные'!$F$116,'Исходные данные'!$J$116)</f>
        <v>0</v>
      </c>
      <c r="G77" s="35">
        <f>CHOOSE('Обобщенный расчет'!$N$1,'Исходные данные'!$F$116,'Исходные данные'!$J$116)</f>
        <v>0</v>
      </c>
      <c r="H77" s="35">
        <f>CHOOSE('Обобщенный расчет'!$N$1,'Исходные данные'!$F$116,'Исходные данные'!$J$116)</f>
        <v>0</v>
      </c>
      <c r="I77" s="35">
        <f>CHOOSE('Обобщенный расчет'!$N$1,'Исходные данные'!$F$116,'Исходные данные'!$J$116)</f>
        <v>0</v>
      </c>
      <c r="J77" s="35">
        <f>CHOOSE('Обобщенный расчет'!$N$1,'Исходные данные'!$F$116,'Исходные данные'!$J$116)</f>
        <v>0</v>
      </c>
      <c r="K77" s="35">
        <f>CHOOSE('Обобщенный расчет'!$N$1,'Исходные данные'!$F$116,'Исходные данные'!$J$116)</f>
        <v>0</v>
      </c>
      <c r="L77" s="35">
        <f>CHOOSE('Обобщенный расчет'!$N$1,'Исходные данные'!$F$116,'Исходные данные'!$J$116)</f>
        <v>0</v>
      </c>
      <c r="M77" s="35">
        <f>CHOOSE('Обобщенный расчет'!$N$1,'Исходные данные'!$F$116,'Исходные данные'!$J$116)</f>
        <v>0</v>
      </c>
      <c r="N77" s="35">
        <f>CHOOSE('Обобщенный расчет'!$N$1,'Исходные данные'!$F$116,'Исходные данные'!$J$116)</f>
        <v>0</v>
      </c>
      <c r="O77" s="51">
        <f t="shared" si="66"/>
        <v>0</v>
      </c>
      <c r="P77" s="51">
        <f t="shared" si="67"/>
        <v>0</v>
      </c>
      <c r="Q77" s="35">
        <f>CHOOSE('Обобщенный расчет'!$N$1,'Исходные данные'!$F$116,'Исходные данные'!$J$116)</f>
        <v>0</v>
      </c>
      <c r="R77" s="35">
        <f>CHOOSE('Обобщенный расчет'!$N$1,'Исходные данные'!$F$116,'Исходные данные'!$J$116)</f>
        <v>0</v>
      </c>
      <c r="S77" s="35">
        <f>CHOOSE('Обобщенный расчет'!$N$1,'Исходные данные'!$F$116,'Исходные данные'!$J$116)</f>
        <v>0</v>
      </c>
      <c r="T77" s="35">
        <f>CHOOSE('Обобщенный расчет'!$N$1,'Исходные данные'!$F$116,'Исходные данные'!$J$116)</f>
        <v>0</v>
      </c>
      <c r="U77" s="35">
        <f>CHOOSE('Обобщенный расчет'!$N$1,'Исходные данные'!$F$116,'Исходные данные'!$J$116)</f>
        <v>0</v>
      </c>
      <c r="V77" s="35">
        <f>CHOOSE('Обобщенный расчет'!$N$1,'Исходные данные'!$F$116,'Исходные данные'!$J$116)</f>
        <v>0</v>
      </c>
      <c r="W77" s="35">
        <f>CHOOSE('Обобщенный расчет'!$N$1,'Исходные данные'!$F$116,'Исходные данные'!$J$116)</f>
        <v>0</v>
      </c>
      <c r="X77" s="35">
        <f>CHOOSE('Обобщенный расчет'!$N$1,'Исходные данные'!$F$116,'Исходные данные'!$J$116)</f>
        <v>0</v>
      </c>
      <c r="Y77" s="35">
        <f>CHOOSE('Обобщенный расчет'!$N$1,'Исходные данные'!$F$116,'Исходные данные'!$J$116)</f>
        <v>0</v>
      </c>
      <c r="Z77" s="35">
        <f>CHOOSE('Обобщенный расчет'!$N$1,'Исходные данные'!$F$116,'Исходные данные'!$J$116)</f>
        <v>0</v>
      </c>
      <c r="AA77" s="35">
        <f>CHOOSE('Обобщенный расчет'!$N$1,'Исходные данные'!$F$116,'Исходные данные'!$J$116)</f>
        <v>0</v>
      </c>
      <c r="AB77" s="35">
        <f>CHOOSE('Обобщенный расчет'!$N$1,'Исходные данные'!$F$116,'Исходные данные'!$J$116)</f>
        <v>0</v>
      </c>
      <c r="AC77" s="51">
        <f t="shared" si="68"/>
        <v>0</v>
      </c>
      <c r="AD77" s="51">
        <f t="shared" si="69"/>
        <v>0</v>
      </c>
      <c r="AE77" s="35">
        <f>CHOOSE('Обобщенный расчет'!$N$1,'Исходные данные'!$F$116,'Исходные данные'!$J$116)</f>
        <v>0</v>
      </c>
      <c r="AF77" s="35">
        <f>CHOOSE('Обобщенный расчет'!$N$1,'Исходные данные'!$F$116,'Исходные данные'!$J$116)</f>
        <v>0</v>
      </c>
      <c r="AG77" s="35">
        <f>CHOOSE('Обобщенный расчет'!$N$1,'Исходные данные'!$F$116,'Исходные данные'!$J$116)</f>
        <v>0</v>
      </c>
      <c r="AH77" s="35">
        <f>CHOOSE('Обобщенный расчет'!$N$1,'Исходные данные'!$F$116,'Исходные данные'!$J$116)</f>
        <v>0</v>
      </c>
      <c r="AI77" s="35">
        <f>CHOOSE('Обобщенный расчет'!$N$1,'Исходные данные'!$F$116,'Исходные данные'!$J$116)</f>
        <v>0</v>
      </c>
      <c r="AJ77" s="35">
        <f>CHOOSE('Обобщенный расчет'!$N$1,'Исходные данные'!$F$116,'Исходные данные'!$J$116)</f>
        <v>0</v>
      </c>
      <c r="AK77" s="35">
        <f>CHOOSE('Обобщенный расчет'!$N$1,'Исходные данные'!$F$116,'Исходные данные'!$J$116)</f>
        <v>0</v>
      </c>
      <c r="AL77" s="35">
        <f>CHOOSE('Обобщенный расчет'!$N$1,'Исходные данные'!$F$116,'Исходные данные'!$J$116)</f>
        <v>0</v>
      </c>
      <c r="AM77" s="35">
        <f>CHOOSE('Обобщенный расчет'!$N$1,'Исходные данные'!$F$116,'Исходные данные'!$J$116)</f>
        <v>0</v>
      </c>
      <c r="AN77" s="35">
        <f>CHOOSE('Обобщенный расчет'!$N$1,'Исходные данные'!$F$116,'Исходные данные'!$J$116)</f>
        <v>0</v>
      </c>
      <c r="AO77" s="35">
        <f>CHOOSE('Обобщенный расчет'!$N$1,'Исходные данные'!$F$116,'Исходные данные'!$J$116)</f>
        <v>0</v>
      </c>
      <c r="AP77" s="35">
        <f>CHOOSE('Обобщенный расчет'!$N$1,'Исходные данные'!$F$116,'Исходные данные'!$J$116)</f>
        <v>0</v>
      </c>
      <c r="AQ77" s="51">
        <f t="shared" si="70"/>
        <v>0</v>
      </c>
      <c r="AR77" s="51">
        <f t="shared" si="71"/>
        <v>0</v>
      </c>
      <c r="AS77" s="113">
        <f t="shared" si="72"/>
        <v>0</v>
      </c>
      <c r="AT77" s="36"/>
    </row>
    <row r="78" spans="1:46" s="34" customFormat="1" ht="10.5" x14ac:dyDescent="0.2">
      <c r="A78" s="59" t="str">
        <f>'Обобщенный расчет'!B58</f>
        <v>Банковское обслуживание</v>
      </c>
      <c r="B78" s="20" t="str">
        <f>CHOOSE('Исходные данные'!$O$2,'Исходные данные'!$P$2,'Исходные данные'!$P$3,'Исходные данные'!$P$4,'Исходные данные'!$P$5)</f>
        <v>UAH</v>
      </c>
      <c r="C78" s="32">
        <f>C29*CHOOSE('Обобщенный расчет'!$N$1,'Исходные данные'!$D$117*'Исходные данные'!$D$118,'Исходные данные'!$H$117*'Исходные данные'!$H$118)</f>
        <v>1490.4</v>
      </c>
      <c r="D78" s="32">
        <f>D29*CHOOSE('Обобщенный расчет'!$N$1,'Исходные данные'!$D$117*'Исходные данные'!$D$118,'Исходные данные'!$H$117*'Исходные данные'!$H$118)</f>
        <v>1738.7999999999997</v>
      </c>
      <c r="E78" s="32">
        <f>E29*CHOOSE('Обобщенный расчет'!$N$1,'Исходные данные'!$D$117*'Исходные данные'!$D$118,'Исходные данные'!$H$117*'Исходные данные'!$H$118)</f>
        <v>1987.2</v>
      </c>
      <c r="F78" s="32">
        <f>F29*CHOOSE('Обобщенный расчет'!$N$1,'Исходные данные'!$D$117*'Исходные данные'!$D$118,'Исходные данные'!$H$117*'Исходные данные'!$H$118)</f>
        <v>2235.6</v>
      </c>
      <c r="G78" s="32">
        <f>G29*CHOOSE('Обобщенный расчет'!$N$1,'Исходные данные'!$D$117*'Исходные данные'!$D$118,'Исходные данные'!$H$117*'Исходные данные'!$H$118)</f>
        <v>2484</v>
      </c>
      <c r="H78" s="32">
        <f>H29*CHOOSE('Обобщенный расчет'!$N$1,'Исходные данные'!$D$117*'Исходные данные'!$D$118,'Исходные данные'!$H$117*'Исходные данные'!$H$118)</f>
        <v>2484</v>
      </c>
      <c r="I78" s="32">
        <f>I29*CHOOSE('Обобщенный расчет'!$N$1,'Исходные данные'!$D$117*'Исходные данные'!$D$118,'Исходные данные'!$H$117*'Исходные данные'!$H$118)</f>
        <v>2608.2000000000003</v>
      </c>
      <c r="J78" s="32">
        <f>J29*CHOOSE('Обобщенный расчет'!$N$1,'Исходные данные'!$D$117*'Исходные данные'!$D$118,'Исходные данные'!$H$117*'Исходные данные'!$H$118)</f>
        <v>2732.4000000000005</v>
      </c>
      <c r="K78" s="32">
        <f>K29*CHOOSE('Обобщенный расчет'!$N$1,'Исходные данные'!$D$117*'Исходные данные'!$D$118,'Исходные данные'!$H$117*'Исходные данные'!$H$118)</f>
        <v>2732.4000000000005</v>
      </c>
      <c r="L78" s="32">
        <f>L29*CHOOSE('Обобщенный расчет'!$N$1,'Исходные данные'!$D$117*'Исходные данные'!$D$118,'Исходные данные'!$H$117*'Исходные данные'!$H$118)</f>
        <v>2856.5999999999995</v>
      </c>
      <c r="M78" s="32">
        <f>M29*CHOOSE('Обобщенный расчет'!$N$1,'Исходные данные'!$D$117*'Исходные данные'!$D$118,'Исходные данные'!$H$117*'Исходные данные'!$H$118)</f>
        <v>2980.8</v>
      </c>
      <c r="N78" s="32">
        <f>N29*CHOOSE('Обобщенный расчет'!$N$1,'Исходные данные'!$D$117*'Исходные данные'!$D$118,'Исходные данные'!$H$117*'Исходные данные'!$H$118)</f>
        <v>3105</v>
      </c>
      <c r="O78" s="106">
        <f>SUM(C78:N78)</f>
        <v>29435.4</v>
      </c>
      <c r="P78" s="106">
        <f t="shared" si="67"/>
        <v>2452.9500000000003</v>
      </c>
      <c r="Q78" s="32">
        <f>Q29*CHOOSE('Обобщенный расчет'!$N$1,'Исходные данные'!$D$117*'Исходные данные'!$D$118,'Исходные данные'!$H$117*'Исходные данные'!$H$118)</f>
        <v>3353.4000000000005</v>
      </c>
      <c r="R78" s="32">
        <f>R29*CHOOSE('Обобщенный расчет'!$N$1,'Исходные данные'!$D$117*'Исходные данные'!$D$118,'Исходные данные'!$H$117*'Исходные данные'!$H$118)</f>
        <v>3353.4000000000005</v>
      </c>
      <c r="S78" s="32">
        <f>S29*CHOOSE('Обобщенный расчет'!$N$1,'Исходные данные'!$D$117*'Исходные данные'!$D$118,'Исходные данные'!$H$117*'Исходные данные'!$H$118)</f>
        <v>3353.4000000000005</v>
      </c>
      <c r="T78" s="32">
        <f>T29*CHOOSE('Обобщенный расчет'!$N$1,'Исходные данные'!$D$117*'Исходные данные'!$D$118,'Исходные данные'!$H$117*'Исходные данные'!$H$118)</f>
        <v>3353.4000000000005</v>
      </c>
      <c r="U78" s="32">
        <f>U29*CHOOSE('Обобщенный расчет'!$N$1,'Исходные данные'!$D$117*'Исходные данные'!$D$118,'Исходные данные'!$H$117*'Исходные данные'!$H$118)</f>
        <v>3353.4000000000005</v>
      </c>
      <c r="V78" s="32">
        <f>V29*CHOOSE('Обобщенный расчет'!$N$1,'Исходные данные'!$D$117*'Исходные данные'!$D$118,'Исходные данные'!$H$117*'Исходные данные'!$H$118)</f>
        <v>3353.4000000000005</v>
      </c>
      <c r="W78" s="32">
        <f>W29*CHOOSE('Обобщенный расчет'!$N$1,'Исходные данные'!$D$117*'Исходные данные'!$D$118,'Исходные данные'!$H$117*'Исходные данные'!$H$118)</f>
        <v>3353.4000000000005</v>
      </c>
      <c r="X78" s="32">
        <f>X29*CHOOSE('Обобщенный расчет'!$N$1,'Исходные данные'!$D$117*'Исходные данные'!$D$118,'Исходные данные'!$H$117*'Исходные данные'!$H$118)</f>
        <v>3353.4000000000005</v>
      </c>
      <c r="Y78" s="32">
        <f>Y29*CHOOSE('Обобщенный расчет'!$N$1,'Исходные данные'!$D$117*'Исходные данные'!$D$118,'Исходные данные'!$H$117*'Исходные данные'!$H$118)</f>
        <v>3353.4000000000005</v>
      </c>
      <c r="Z78" s="32">
        <f>Z29*CHOOSE('Обобщенный расчет'!$N$1,'Исходные данные'!$D$117*'Исходные данные'!$D$118,'Исходные данные'!$H$117*'Исходные данные'!$H$118)</f>
        <v>3353.4000000000005</v>
      </c>
      <c r="AA78" s="32">
        <f>AA29*CHOOSE('Обобщенный расчет'!$N$1,'Исходные данные'!$D$117*'Исходные данные'!$D$118,'Исходные данные'!$H$117*'Исходные данные'!$H$118)</f>
        <v>3353.4000000000005</v>
      </c>
      <c r="AB78" s="32">
        <f>AB29*CHOOSE('Обобщенный расчет'!$N$1,'Исходные данные'!$D$117*'Исходные данные'!$D$118,'Исходные данные'!$H$117*'Исходные данные'!$H$118)</f>
        <v>3353.4000000000005</v>
      </c>
      <c r="AC78" s="106">
        <f t="shared" si="68"/>
        <v>40240.80000000001</v>
      </c>
      <c r="AD78" s="106">
        <f t="shared" si="69"/>
        <v>3353.400000000001</v>
      </c>
      <c r="AE78" s="32">
        <f>AE29*CHOOSE('Обобщенный расчет'!$N$1,'Исходные данные'!$D$117*'Исходные данные'!$D$118,'Исходные данные'!$H$117*'Исходные данные'!$H$118)</f>
        <v>3726</v>
      </c>
      <c r="AF78" s="32">
        <f>AF29*CHOOSE('Обобщенный расчет'!$N$1,'Исходные данные'!$D$117*'Исходные данные'!$D$118,'Исходные данные'!$H$117*'Исходные данные'!$H$118)</f>
        <v>3726</v>
      </c>
      <c r="AG78" s="32">
        <f>AG29*CHOOSE('Обобщенный расчет'!$N$1,'Исходные данные'!$D$117*'Исходные данные'!$D$118,'Исходные данные'!$H$117*'Исходные данные'!$H$118)</f>
        <v>3726</v>
      </c>
      <c r="AH78" s="32">
        <f>AH29*CHOOSE('Обобщенный расчет'!$N$1,'Исходные данные'!$D$117*'Исходные данные'!$D$118,'Исходные данные'!$H$117*'Исходные данные'!$H$118)</f>
        <v>3726</v>
      </c>
      <c r="AI78" s="32">
        <f>AI29*CHOOSE('Обобщенный расчет'!$N$1,'Исходные данные'!$D$117*'Исходные данные'!$D$118,'Исходные данные'!$H$117*'Исходные данные'!$H$118)</f>
        <v>3726</v>
      </c>
      <c r="AJ78" s="32">
        <f>AJ29*CHOOSE('Обобщенный расчет'!$N$1,'Исходные данные'!$D$117*'Исходные данные'!$D$118,'Исходные данные'!$H$117*'Исходные данные'!$H$118)</f>
        <v>3726</v>
      </c>
      <c r="AK78" s="32">
        <f>AK29*CHOOSE('Обобщенный расчет'!$N$1,'Исходные данные'!$D$117*'Исходные данные'!$D$118,'Исходные данные'!$H$117*'Исходные данные'!$H$118)</f>
        <v>3726</v>
      </c>
      <c r="AL78" s="32">
        <f>AL29*CHOOSE('Обобщенный расчет'!$N$1,'Исходные данные'!$D$117*'Исходные данные'!$D$118,'Исходные данные'!$H$117*'Исходные данные'!$H$118)</f>
        <v>3726</v>
      </c>
      <c r="AM78" s="32">
        <f>AM29*CHOOSE('Обобщенный расчет'!$N$1,'Исходные данные'!$D$117*'Исходные данные'!$D$118,'Исходные данные'!$H$117*'Исходные данные'!$H$118)</f>
        <v>3726</v>
      </c>
      <c r="AN78" s="32">
        <f>AN29*CHOOSE('Обобщенный расчет'!$N$1,'Исходные данные'!$D$117*'Исходные данные'!$D$118,'Исходные данные'!$H$117*'Исходные данные'!$H$118)</f>
        <v>3726</v>
      </c>
      <c r="AO78" s="32">
        <f>AO29*CHOOSE('Обобщенный расчет'!$N$1,'Исходные данные'!$D$117*'Исходные данные'!$D$118,'Исходные данные'!$H$117*'Исходные данные'!$H$118)</f>
        <v>3726</v>
      </c>
      <c r="AP78" s="32">
        <f>AP29*CHOOSE('Обобщенный расчет'!$N$1,'Исходные данные'!$D$117*'Исходные данные'!$D$118,'Исходные данные'!$H$117*'Исходные данные'!$H$118)</f>
        <v>3726</v>
      </c>
      <c r="AQ78" s="106">
        <f t="shared" si="70"/>
        <v>44712</v>
      </c>
      <c r="AR78" s="106">
        <f t="shared" si="71"/>
        <v>3726</v>
      </c>
      <c r="AS78" s="113">
        <f t="shared" si="72"/>
        <v>114388.20000000001</v>
      </c>
      <c r="AT78" s="33"/>
    </row>
    <row r="79" spans="1:46" s="37" customFormat="1" ht="10.5" x14ac:dyDescent="0.2">
      <c r="A79" s="60" t="str">
        <f>'Обобщенный расчет'!B59</f>
        <v>Налоги</v>
      </c>
      <c r="B79" s="23" t="str">
        <f>CHOOSE('Исходные данные'!$O$2,'Исходные данные'!$P$2,'Исходные данные'!$P$3,'Исходные данные'!$P$4,'Исходные данные'!$P$5)</f>
        <v>UAH</v>
      </c>
      <c r="C79" s="35">
        <f>C13*CHOOSE('Обобщенный расчет'!$N$1,IF(AND('Исходные данные'!$D$119&gt;0,'Исходные данные'!$F$121=0),'Исходные данные'!$D$119*C29,0)+IF(AND('Исходные данные'!$D$119=0,'Исходные данные'!$F$121&gt;0),'Исходные данные'!$F$121,0),IF(AND('Исходные данные'!$H$119&gt;0,'Исходные данные'!$J$121=0),'Исходные данные'!$H$119*C29,0)+IF(AND('Исходные данные'!$H$119=0,'Исходные данные'!$J$121&gt;0),'Исходные данные'!$J$121,0))</f>
        <v>15000</v>
      </c>
      <c r="D79" s="35">
        <f>D13*CHOOSE('Обобщенный расчет'!$N$1,IF(AND('Исходные данные'!$D$119&gt;0,'Исходные данные'!$F$121=0),'Исходные данные'!$D$119*D29,0)+IF(AND('Исходные данные'!$D$119=0,'Исходные данные'!$F$121&gt;0),'Исходные данные'!$F$121,0),IF(AND('Исходные данные'!$H$119&gt;0,'Исходные данные'!$J$121=0),'Исходные данные'!$H$119*D29,0)+IF(AND('Исходные данные'!$H$119=0,'Исходные данные'!$J$121&gt;0),'Исходные данные'!$J$121,0))</f>
        <v>15000</v>
      </c>
      <c r="E79" s="35">
        <f>E13*CHOOSE('Обобщенный расчет'!$N$1,IF(AND('Исходные данные'!$D$119&gt;0,'Исходные данные'!$F$121=0),'Исходные данные'!$D$119*E29,0)+IF(AND('Исходные данные'!$D$119=0,'Исходные данные'!$F$121&gt;0),'Исходные данные'!$F$121,0),IF(AND('Исходные данные'!$H$119&gt;0,'Исходные данные'!$J$121=0),'Исходные данные'!$H$119*E29,0)+IF(AND('Исходные данные'!$H$119=0,'Исходные данные'!$J$121&gt;0),'Исходные данные'!$J$121,0))</f>
        <v>15000</v>
      </c>
      <c r="F79" s="35">
        <f>F13*CHOOSE('Обобщенный расчет'!$N$1,IF(AND('Исходные данные'!$D$119&gt;0,'Исходные данные'!$F$121=0),'Исходные данные'!$D$119*F29,0)+IF(AND('Исходные данные'!$D$119=0,'Исходные данные'!$F$121&gt;0),'Исходные данные'!$F$121,0),IF(AND('Исходные данные'!$H$119&gt;0,'Исходные данные'!$J$121=0),'Исходные данные'!$H$119*F29,0)+IF(AND('Исходные данные'!$H$119=0,'Исходные данные'!$J$121&gt;0),'Исходные данные'!$J$121,0))</f>
        <v>15000</v>
      </c>
      <c r="G79" s="35">
        <f>G13*CHOOSE('Обобщенный расчет'!$N$1,IF(AND('Исходные данные'!$D$119&gt;0,'Исходные данные'!$F$121=0),'Исходные данные'!$D$119*G29,0)+IF(AND('Исходные данные'!$D$119=0,'Исходные данные'!$F$121&gt;0),'Исходные данные'!$F$121,0),IF(AND('Исходные данные'!$H$119&gt;0,'Исходные данные'!$J$121=0),'Исходные данные'!$H$119*G29,0)+IF(AND('Исходные данные'!$H$119=0,'Исходные данные'!$J$121&gt;0),'Исходные данные'!$J$121,0))</f>
        <v>15000</v>
      </c>
      <c r="H79" s="35">
        <f>H13*CHOOSE('Обобщенный расчет'!$N$1,IF(AND('Исходные данные'!$D$119&gt;0,'Исходные данные'!$F$121=0),'Исходные данные'!$D$119*H29,0)+IF(AND('Исходные данные'!$D$119=0,'Исходные данные'!$F$121&gt;0),'Исходные данные'!$F$121,0),IF(AND('Исходные данные'!$H$119&gt;0,'Исходные данные'!$J$121=0),'Исходные данные'!$H$119*H29,0)+IF(AND('Исходные данные'!$H$119=0,'Исходные данные'!$J$121&gt;0),'Исходные данные'!$J$121,0))</f>
        <v>15000</v>
      </c>
      <c r="I79" s="35">
        <f>I13*CHOOSE('Обобщенный расчет'!$N$1,IF(AND('Исходные данные'!$D$119&gt;0,'Исходные данные'!$F$121=0),'Исходные данные'!$D$119*I29,0)+IF(AND('Исходные данные'!$D$119=0,'Исходные данные'!$F$121&gt;0),'Исходные данные'!$F$121,0),IF(AND('Исходные данные'!$H$119&gt;0,'Исходные данные'!$J$121=0),'Исходные данные'!$H$119*I29,0)+IF(AND('Исходные данные'!$H$119=0,'Исходные данные'!$J$121&gt;0),'Исходные данные'!$J$121,0))</f>
        <v>15000</v>
      </c>
      <c r="J79" s="35">
        <f>J13*CHOOSE('Обобщенный расчет'!$N$1,IF(AND('Исходные данные'!$D$119&gt;0,'Исходные данные'!$F$121=0),'Исходные данные'!$D$119*J29,0)+IF(AND('Исходные данные'!$D$119=0,'Исходные данные'!$F$121&gt;0),'Исходные данные'!$F$121,0),IF(AND('Исходные данные'!$H$119&gt;0,'Исходные данные'!$J$121=0),'Исходные данные'!$H$119*J29,0)+IF(AND('Исходные данные'!$H$119=0,'Исходные данные'!$J$121&gt;0),'Исходные данные'!$J$121,0))</f>
        <v>15000</v>
      </c>
      <c r="K79" s="35">
        <f>K13*CHOOSE('Обобщенный расчет'!$N$1,IF(AND('Исходные данные'!$D$119&gt;0,'Исходные данные'!$F$121=0),'Исходные данные'!$D$119*K29,0)+IF(AND('Исходные данные'!$D$119=0,'Исходные данные'!$F$121&gt;0),'Исходные данные'!$F$121,0),IF(AND('Исходные данные'!$H$119&gt;0,'Исходные данные'!$J$121=0),'Исходные данные'!$H$119*K29,0)+IF(AND('Исходные данные'!$H$119=0,'Исходные данные'!$J$121&gt;0),'Исходные данные'!$J$121,0))</f>
        <v>15000</v>
      </c>
      <c r="L79" s="35">
        <f>L13*CHOOSE('Обобщенный расчет'!$N$1,IF(AND('Исходные данные'!$D$119&gt;0,'Исходные данные'!$F$121=0),'Исходные данные'!$D$119*L29,0)+IF(AND('Исходные данные'!$D$119=0,'Исходные данные'!$F$121&gt;0),'Исходные данные'!$F$121,0),IF(AND('Исходные данные'!$H$119&gt;0,'Исходные данные'!$J$121=0),'Исходные данные'!$H$119*L29,0)+IF(AND('Исходные данные'!$H$119=0,'Исходные данные'!$J$121&gt;0),'Исходные данные'!$J$121,0))</f>
        <v>15000</v>
      </c>
      <c r="M79" s="35">
        <f>M13*CHOOSE('Обобщенный расчет'!$N$1,IF(AND('Исходные данные'!$D$119&gt;0,'Исходные данные'!$F$121=0),'Исходные данные'!$D$119*M29,0)+IF(AND('Исходные данные'!$D$119=0,'Исходные данные'!$F$121&gt;0),'Исходные данные'!$F$121,0),IF(AND('Исходные данные'!$H$119&gt;0,'Исходные данные'!$J$121=0),'Исходные данные'!$H$119*M29,0)+IF(AND('Исходные данные'!$H$119=0,'Исходные данные'!$J$121&gt;0),'Исходные данные'!$J$121,0))</f>
        <v>15000</v>
      </c>
      <c r="N79" s="35">
        <f>N13*CHOOSE('Обобщенный расчет'!$N$1,IF(AND('Исходные данные'!$D$119&gt;0,'Исходные данные'!$F$121=0),'Исходные данные'!$D$119*N29,0)+IF(AND('Исходные данные'!$D$119=0,'Исходные данные'!$F$121&gt;0),'Исходные данные'!$F$121,0),IF(AND('Исходные данные'!$H$119&gt;0,'Исходные данные'!$J$121=0),'Исходные данные'!$H$119*N29,0)+IF(AND('Исходные данные'!$H$119=0,'Исходные данные'!$J$121&gt;0),'Исходные данные'!$J$121,0))</f>
        <v>15000</v>
      </c>
      <c r="O79" s="51">
        <f t="shared" si="66"/>
        <v>180000</v>
      </c>
      <c r="P79" s="51">
        <f t="shared" si="67"/>
        <v>15000</v>
      </c>
      <c r="Q79" s="35">
        <f>Q13*CHOOSE('Обобщенный расчет'!$N$1,IF(AND('Исходные данные'!$D$119&gt;0,'Исходные данные'!$F$121=0),'Исходные данные'!$D$119*Q29,0)+IF(AND('Исходные данные'!$D$119=0,'Исходные данные'!$F$121&gt;0),'Исходные данные'!$F$121,0),IF(AND('Исходные данные'!$H$119&gt;0,'Исходные данные'!$J$121=0),'Исходные данные'!$H$119*Q29,0)+IF(AND('Исходные данные'!$H$119=0,'Исходные данные'!$J$121&gt;0),'Исходные данные'!$J$121,0))</f>
        <v>16500</v>
      </c>
      <c r="R79" s="35">
        <f>R13*CHOOSE('Обобщенный расчет'!$N$1,IF(AND('Исходные данные'!$D$119&gt;0,'Исходные данные'!$F$121=0),'Исходные данные'!$D$119*R29,0)+IF(AND('Исходные данные'!$D$119=0,'Исходные данные'!$F$121&gt;0),'Исходные данные'!$F$121,0),IF(AND('Исходные данные'!$H$119&gt;0,'Исходные данные'!$J$121=0),'Исходные данные'!$H$119*R29,0)+IF(AND('Исходные данные'!$H$119=0,'Исходные данные'!$J$121&gt;0),'Исходные данные'!$J$121,0))</f>
        <v>16500</v>
      </c>
      <c r="S79" s="35">
        <f>S13*CHOOSE('Обобщенный расчет'!$N$1,IF(AND('Исходные данные'!$D$119&gt;0,'Исходные данные'!$F$121=0),'Исходные данные'!$D$119*S29,0)+IF(AND('Исходные данные'!$D$119=0,'Исходные данные'!$F$121&gt;0),'Исходные данные'!$F$121,0),IF(AND('Исходные данные'!$H$119&gt;0,'Исходные данные'!$J$121=0),'Исходные данные'!$H$119*S29,0)+IF(AND('Исходные данные'!$H$119=0,'Исходные данные'!$J$121&gt;0),'Исходные данные'!$J$121,0))</f>
        <v>16500</v>
      </c>
      <c r="T79" s="35">
        <f>T13*CHOOSE('Обобщенный расчет'!$N$1,IF(AND('Исходные данные'!$D$119&gt;0,'Исходные данные'!$F$121=0),'Исходные данные'!$D$119*T29,0)+IF(AND('Исходные данные'!$D$119=0,'Исходные данные'!$F$121&gt;0),'Исходные данные'!$F$121,0),IF(AND('Исходные данные'!$H$119&gt;0,'Исходные данные'!$J$121=0),'Исходные данные'!$H$119*T29,0)+IF(AND('Исходные данные'!$H$119=0,'Исходные данные'!$J$121&gt;0),'Исходные данные'!$J$121,0))</f>
        <v>16500</v>
      </c>
      <c r="U79" s="35">
        <f>U13*CHOOSE('Обобщенный расчет'!$N$1,IF(AND('Исходные данные'!$D$119&gt;0,'Исходные данные'!$F$121=0),'Исходные данные'!$D$119*U29,0)+IF(AND('Исходные данные'!$D$119=0,'Исходные данные'!$F$121&gt;0),'Исходные данные'!$F$121,0),IF(AND('Исходные данные'!$H$119&gt;0,'Исходные данные'!$J$121=0),'Исходные данные'!$H$119*U29,0)+IF(AND('Исходные данные'!$H$119=0,'Исходные данные'!$J$121&gt;0),'Исходные данные'!$J$121,0))</f>
        <v>16500</v>
      </c>
      <c r="V79" s="35">
        <f>V13*CHOOSE('Обобщенный расчет'!$N$1,IF(AND('Исходные данные'!$D$119&gt;0,'Исходные данные'!$F$121=0),'Исходные данные'!$D$119*V29,0)+IF(AND('Исходные данные'!$D$119=0,'Исходные данные'!$F$121&gt;0),'Исходные данные'!$F$121,0),IF(AND('Исходные данные'!$H$119&gt;0,'Исходные данные'!$J$121=0),'Исходные данные'!$H$119*V29,0)+IF(AND('Исходные данные'!$H$119=0,'Исходные данные'!$J$121&gt;0),'Исходные данные'!$J$121,0))</f>
        <v>16500</v>
      </c>
      <c r="W79" s="35">
        <f>W13*CHOOSE('Обобщенный расчет'!$N$1,IF(AND('Исходные данные'!$D$119&gt;0,'Исходные данные'!$F$121=0),'Исходные данные'!$D$119*W29,0)+IF(AND('Исходные данные'!$D$119=0,'Исходные данные'!$F$121&gt;0),'Исходные данные'!$F$121,0),IF(AND('Исходные данные'!$H$119&gt;0,'Исходные данные'!$J$121=0),'Исходные данные'!$H$119*W29,0)+IF(AND('Исходные данные'!$H$119=0,'Исходные данные'!$J$121&gt;0),'Исходные данные'!$J$121,0))</f>
        <v>16500</v>
      </c>
      <c r="X79" s="35">
        <f>X13*CHOOSE('Обобщенный расчет'!$N$1,IF(AND('Исходные данные'!$D$119&gt;0,'Исходные данные'!$F$121=0),'Исходные данные'!$D$119*X29,0)+IF(AND('Исходные данные'!$D$119=0,'Исходные данные'!$F$121&gt;0),'Исходные данные'!$F$121,0),IF(AND('Исходные данные'!$H$119&gt;0,'Исходные данные'!$J$121=0),'Исходные данные'!$H$119*X29,0)+IF(AND('Исходные данные'!$H$119=0,'Исходные данные'!$J$121&gt;0),'Исходные данные'!$J$121,0))</f>
        <v>16500</v>
      </c>
      <c r="Y79" s="35">
        <f>Y13*CHOOSE('Обобщенный расчет'!$N$1,IF(AND('Исходные данные'!$D$119&gt;0,'Исходные данные'!$F$121=0),'Исходные данные'!$D$119*Y29,0)+IF(AND('Исходные данные'!$D$119=0,'Исходные данные'!$F$121&gt;0),'Исходные данные'!$F$121,0),IF(AND('Исходные данные'!$H$119&gt;0,'Исходные данные'!$J$121=0),'Исходные данные'!$H$119*Y29,0)+IF(AND('Исходные данные'!$H$119=0,'Исходные данные'!$J$121&gt;0),'Исходные данные'!$J$121,0))</f>
        <v>16500</v>
      </c>
      <c r="Z79" s="35">
        <f>Z13*CHOOSE('Обобщенный расчет'!$N$1,IF(AND('Исходные данные'!$D$119&gt;0,'Исходные данные'!$F$121=0),'Исходные данные'!$D$119*Z29,0)+IF(AND('Исходные данные'!$D$119=0,'Исходные данные'!$F$121&gt;0),'Исходные данные'!$F$121,0),IF(AND('Исходные данные'!$H$119&gt;0,'Исходные данные'!$J$121=0),'Исходные данные'!$H$119*Z29,0)+IF(AND('Исходные данные'!$H$119=0,'Исходные данные'!$J$121&gt;0),'Исходные данные'!$J$121,0))</f>
        <v>16500</v>
      </c>
      <c r="AA79" s="35">
        <f>AA13*CHOOSE('Обобщенный расчет'!$N$1,IF(AND('Исходные данные'!$D$119&gt;0,'Исходные данные'!$F$121=0),'Исходные данные'!$D$119*AA29,0)+IF(AND('Исходные данные'!$D$119=0,'Исходные данные'!$F$121&gt;0),'Исходные данные'!$F$121,0),IF(AND('Исходные данные'!$H$119&gt;0,'Исходные данные'!$J$121=0),'Исходные данные'!$H$119*AA29,0)+IF(AND('Исходные данные'!$H$119=0,'Исходные данные'!$J$121&gt;0),'Исходные данные'!$J$121,0))</f>
        <v>16500</v>
      </c>
      <c r="AB79" s="35">
        <f>AB13*CHOOSE('Обобщенный расчет'!$N$1,IF(AND('Исходные данные'!$D$119&gt;0,'Исходные данные'!$F$121=0),'Исходные данные'!$D$119*AB29,0)+IF(AND('Исходные данные'!$D$119=0,'Исходные данные'!$F$121&gt;0),'Исходные данные'!$F$121,0),IF(AND('Исходные данные'!$H$119&gt;0,'Исходные данные'!$J$121=0),'Исходные данные'!$H$119*AB29,0)+IF(AND('Исходные данные'!$H$119=0,'Исходные данные'!$J$121&gt;0),'Исходные данные'!$J$121,0))</f>
        <v>16500</v>
      </c>
      <c r="AC79" s="51">
        <f t="shared" si="68"/>
        <v>198000</v>
      </c>
      <c r="AD79" s="51">
        <f t="shared" si="69"/>
        <v>16500</v>
      </c>
      <c r="AE79" s="35">
        <f>AE13*CHOOSE('Обобщенный расчет'!$N$1,IF(AND('Исходные данные'!$D$119&gt;0,'Исходные данные'!$F$121=0),'Исходные данные'!$D$119*AE29,0)+IF(AND('Исходные данные'!$D$119=0,'Исходные данные'!$F$121&gt;0),'Исходные данные'!$F$121,0),IF(AND('Исходные данные'!$H$119&gt;0,'Исходные данные'!$J$121=0),'Исходные данные'!$H$119*AE29,0)+IF(AND('Исходные данные'!$H$119=0,'Исходные данные'!$J$121&gt;0),'Исходные данные'!$J$121,0))</f>
        <v>16500</v>
      </c>
      <c r="AF79" s="35">
        <f>AF13*CHOOSE('Обобщенный расчет'!$N$1,IF(AND('Исходные данные'!$D$119&gt;0,'Исходные данные'!$F$121=0),'Исходные данные'!$D$119*AF29,0)+IF(AND('Исходные данные'!$D$119=0,'Исходные данные'!$F$121&gt;0),'Исходные данные'!$F$121,0),IF(AND('Исходные данные'!$H$119&gt;0,'Исходные данные'!$J$121=0),'Исходные данные'!$H$119*AF29,0)+IF(AND('Исходные данные'!$H$119=0,'Исходные данные'!$J$121&gt;0),'Исходные данные'!$J$121,0))</f>
        <v>16500</v>
      </c>
      <c r="AG79" s="35">
        <f>AG13*CHOOSE('Обобщенный расчет'!$N$1,IF(AND('Исходные данные'!$D$119&gt;0,'Исходные данные'!$F$121=0),'Исходные данные'!$D$119*AG29,0)+IF(AND('Исходные данные'!$D$119=0,'Исходные данные'!$F$121&gt;0),'Исходные данные'!$F$121,0),IF(AND('Исходные данные'!$H$119&gt;0,'Исходные данные'!$J$121=0),'Исходные данные'!$H$119*AG29,0)+IF(AND('Исходные данные'!$H$119=0,'Исходные данные'!$J$121&gt;0),'Исходные данные'!$J$121,0))</f>
        <v>16500</v>
      </c>
      <c r="AH79" s="35">
        <f>AH13*CHOOSE('Обобщенный расчет'!$N$1,IF(AND('Исходные данные'!$D$119&gt;0,'Исходные данные'!$F$121=0),'Исходные данные'!$D$119*AH29,0)+IF(AND('Исходные данные'!$D$119=0,'Исходные данные'!$F$121&gt;0),'Исходные данные'!$F$121,0),IF(AND('Исходные данные'!$H$119&gt;0,'Исходные данные'!$J$121=0),'Исходные данные'!$H$119*AH29,0)+IF(AND('Исходные данные'!$H$119=0,'Исходные данные'!$J$121&gt;0),'Исходные данные'!$J$121,0))</f>
        <v>16500</v>
      </c>
      <c r="AI79" s="35">
        <f>AI13*CHOOSE('Обобщенный расчет'!$N$1,IF(AND('Исходные данные'!$D$119&gt;0,'Исходные данные'!$F$121=0),'Исходные данные'!$D$119*AI29,0)+IF(AND('Исходные данные'!$D$119=0,'Исходные данные'!$F$121&gt;0),'Исходные данные'!$F$121,0),IF(AND('Исходные данные'!$H$119&gt;0,'Исходные данные'!$J$121=0),'Исходные данные'!$H$119*AI29,0)+IF(AND('Исходные данные'!$H$119=0,'Исходные данные'!$J$121&gt;0),'Исходные данные'!$J$121,0))</f>
        <v>16500</v>
      </c>
      <c r="AJ79" s="35">
        <f>AJ13*CHOOSE('Обобщенный расчет'!$N$1,IF(AND('Исходные данные'!$D$119&gt;0,'Исходные данные'!$F$121=0),'Исходные данные'!$D$119*AJ29,0)+IF(AND('Исходные данные'!$D$119=0,'Исходные данные'!$F$121&gt;0),'Исходные данные'!$F$121,0),IF(AND('Исходные данные'!$H$119&gt;0,'Исходные данные'!$J$121=0),'Исходные данные'!$H$119*AJ29,0)+IF(AND('Исходные данные'!$H$119=0,'Исходные данные'!$J$121&gt;0),'Исходные данные'!$J$121,0))</f>
        <v>16500</v>
      </c>
      <c r="AK79" s="35">
        <f>AK13*CHOOSE('Обобщенный расчет'!$N$1,IF(AND('Исходные данные'!$D$119&gt;0,'Исходные данные'!$F$121=0),'Исходные данные'!$D$119*AK29,0)+IF(AND('Исходные данные'!$D$119=0,'Исходные данные'!$F$121&gt;0),'Исходные данные'!$F$121,0),IF(AND('Исходные данные'!$H$119&gt;0,'Исходные данные'!$J$121=0),'Исходные данные'!$H$119*AK29,0)+IF(AND('Исходные данные'!$H$119=0,'Исходные данные'!$J$121&gt;0),'Исходные данные'!$J$121,0))</f>
        <v>16500</v>
      </c>
      <c r="AL79" s="35">
        <f>AL13*CHOOSE('Обобщенный расчет'!$N$1,IF(AND('Исходные данные'!$D$119&gt;0,'Исходные данные'!$F$121=0),'Исходные данные'!$D$119*AL29,0)+IF(AND('Исходные данные'!$D$119=0,'Исходные данные'!$F$121&gt;0),'Исходные данные'!$F$121,0),IF(AND('Исходные данные'!$H$119&gt;0,'Исходные данные'!$J$121=0),'Исходные данные'!$H$119*AL29,0)+IF(AND('Исходные данные'!$H$119=0,'Исходные данные'!$J$121&gt;0),'Исходные данные'!$J$121,0))</f>
        <v>16500</v>
      </c>
      <c r="AM79" s="35">
        <f>AM13*CHOOSE('Обобщенный расчет'!$N$1,IF(AND('Исходные данные'!$D$119&gt;0,'Исходные данные'!$F$121=0),'Исходные данные'!$D$119*AM29,0)+IF(AND('Исходные данные'!$D$119=0,'Исходные данные'!$F$121&gt;0),'Исходные данные'!$F$121,0),IF(AND('Исходные данные'!$H$119&gt;0,'Исходные данные'!$J$121=0),'Исходные данные'!$H$119*AM29,0)+IF(AND('Исходные данные'!$H$119=0,'Исходные данные'!$J$121&gt;0),'Исходные данные'!$J$121,0))</f>
        <v>16500</v>
      </c>
      <c r="AN79" s="35">
        <f>AN13*CHOOSE('Обобщенный расчет'!$N$1,IF(AND('Исходные данные'!$D$119&gt;0,'Исходные данные'!$F$121=0),'Исходные данные'!$D$119*AN29,0)+IF(AND('Исходные данные'!$D$119=0,'Исходные данные'!$F$121&gt;0),'Исходные данные'!$F$121,0),IF(AND('Исходные данные'!$H$119&gt;0,'Исходные данные'!$J$121=0),'Исходные данные'!$H$119*AN29,0)+IF(AND('Исходные данные'!$H$119=0,'Исходные данные'!$J$121&gt;0),'Исходные данные'!$J$121,0))</f>
        <v>16500</v>
      </c>
      <c r="AO79" s="35">
        <f>AO13*CHOOSE('Обобщенный расчет'!$N$1,IF(AND('Исходные данные'!$D$119&gt;0,'Исходные данные'!$F$121=0),'Исходные данные'!$D$119*AO29,0)+IF(AND('Исходные данные'!$D$119=0,'Исходные данные'!$F$121&gt;0),'Исходные данные'!$F$121,0),IF(AND('Исходные данные'!$H$119&gt;0,'Исходные данные'!$J$121=0),'Исходные данные'!$H$119*AO29,0)+IF(AND('Исходные данные'!$H$119=0,'Исходные данные'!$J$121&gt;0),'Исходные данные'!$J$121,0))</f>
        <v>16500</v>
      </c>
      <c r="AP79" s="35">
        <f>AP13*CHOOSE('Обобщенный расчет'!$N$1,IF(AND('Исходные данные'!$D$119&gt;0,'Исходные данные'!$F$121=0),'Исходные данные'!$D$119*AP29,0)+IF(AND('Исходные данные'!$D$119=0,'Исходные данные'!$F$121&gt;0),'Исходные данные'!$F$121,0),IF(AND('Исходные данные'!$H$119&gt;0,'Исходные данные'!$J$121=0),'Исходные данные'!$H$119*AP29,0)+IF(AND('Исходные данные'!$H$119=0,'Исходные данные'!$J$121&gt;0),'Исходные данные'!$J$121,0))</f>
        <v>16500</v>
      </c>
      <c r="AQ79" s="51">
        <f t="shared" si="70"/>
        <v>198000</v>
      </c>
      <c r="AR79" s="51">
        <f t="shared" si="71"/>
        <v>16500</v>
      </c>
      <c r="AS79" s="113">
        <f t="shared" si="72"/>
        <v>576000</v>
      </c>
      <c r="AT79" s="36"/>
    </row>
    <row r="80" spans="1:46" s="34" customFormat="1" ht="10.5" x14ac:dyDescent="0.2">
      <c r="A80" s="59" t="str">
        <f>'Обобщенный расчет'!B60</f>
        <v>Местная реклама (буклеты, печатная продукция и т.д.)</v>
      </c>
      <c r="B80" s="20" t="str">
        <f>CHOOSE('Исходные данные'!$O$2,'Исходные данные'!$P$2,'Исходные данные'!$P$3,'Исходные данные'!$P$4,'Исходные данные'!$P$5)</f>
        <v>UAH</v>
      </c>
      <c r="C80" s="32">
        <f>CHOOSE('Обобщенный расчет'!$N$1,'Исходные данные'!$F$122,'Исходные данные'!$J$122)</f>
        <v>1000</v>
      </c>
      <c r="D80" s="32">
        <f>CHOOSE('Обобщенный расчет'!$N$1,'Исходные данные'!$F$122,'Исходные данные'!$J$122)</f>
        <v>1000</v>
      </c>
      <c r="E80" s="32">
        <f>CHOOSE('Обобщенный расчет'!$N$1,'Исходные данные'!$F$122,'Исходные данные'!$J$122)</f>
        <v>1000</v>
      </c>
      <c r="F80" s="32">
        <f>CHOOSE('Обобщенный расчет'!$N$1,'Исходные данные'!$F$122,'Исходные данные'!$J$122)</f>
        <v>1000</v>
      </c>
      <c r="G80" s="32">
        <f>CHOOSE('Обобщенный расчет'!$N$1,'Исходные данные'!$F$122,'Исходные данные'!$J$122)</f>
        <v>1000</v>
      </c>
      <c r="H80" s="32">
        <f>CHOOSE('Обобщенный расчет'!$N$1,'Исходные данные'!$F$122,'Исходные данные'!$J$122)</f>
        <v>1000</v>
      </c>
      <c r="I80" s="32">
        <f>CHOOSE('Обобщенный расчет'!$N$1,'Исходные данные'!$F$122,'Исходные данные'!$J$122)</f>
        <v>1000</v>
      </c>
      <c r="J80" s="32">
        <f>CHOOSE('Обобщенный расчет'!$N$1,'Исходные данные'!$F$122,'Исходные данные'!$J$122)</f>
        <v>1000</v>
      </c>
      <c r="K80" s="32">
        <f>CHOOSE('Обобщенный расчет'!$N$1,'Исходные данные'!$F$122,'Исходные данные'!$J$122)</f>
        <v>1000</v>
      </c>
      <c r="L80" s="32">
        <f>CHOOSE('Обобщенный расчет'!$N$1,'Исходные данные'!$F$122,'Исходные данные'!$J$122)</f>
        <v>1000</v>
      </c>
      <c r="M80" s="32">
        <f>CHOOSE('Обобщенный расчет'!$N$1,'Исходные данные'!$F$122,'Исходные данные'!$J$122)</f>
        <v>1000</v>
      </c>
      <c r="N80" s="32">
        <f>CHOOSE('Обобщенный расчет'!$N$1,'Исходные данные'!$F$122,'Исходные данные'!$J$122)</f>
        <v>1000</v>
      </c>
      <c r="O80" s="106">
        <f>SUM(C80:N80)</f>
        <v>12000</v>
      </c>
      <c r="P80" s="106">
        <f>O80/12</f>
        <v>1000</v>
      </c>
      <c r="Q80" s="32">
        <f>CHOOSE('Обобщенный расчет'!$N$1,'Исходные данные'!$F$122,'Исходные данные'!$J$122)</f>
        <v>1000</v>
      </c>
      <c r="R80" s="32">
        <f>CHOOSE('Обобщенный расчет'!$N$1,'Исходные данные'!$F$122,'Исходные данные'!$J$122)</f>
        <v>1000</v>
      </c>
      <c r="S80" s="32">
        <f>CHOOSE('Обобщенный расчет'!$N$1,'Исходные данные'!$F$122,'Исходные данные'!$J$122)</f>
        <v>1000</v>
      </c>
      <c r="T80" s="32">
        <f>CHOOSE('Обобщенный расчет'!$N$1,'Исходные данные'!$F$122,'Исходные данные'!$J$122)</f>
        <v>1000</v>
      </c>
      <c r="U80" s="32">
        <f>CHOOSE('Обобщенный расчет'!$N$1,'Исходные данные'!$F$122,'Исходные данные'!$J$122)</f>
        <v>1000</v>
      </c>
      <c r="V80" s="32">
        <f>CHOOSE('Обобщенный расчет'!$N$1,'Исходные данные'!$F$122,'Исходные данные'!$J$122)</f>
        <v>1000</v>
      </c>
      <c r="W80" s="32">
        <f>CHOOSE('Обобщенный расчет'!$N$1,'Исходные данные'!$F$122,'Исходные данные'!$J$122)</f>
        <v>1000</v>
      </c>
      <c r="X80" s="32">
        <f>CHOOSE('Обобщенный расчет'!$N$1,'Исходные данные'!$F$122,'Исходные данные'!$J$122)</f>
        <v>1000</v>
      </c>
      <c r="Y80" s="32">
        <f>CHOOSE('Обобщенный расчет'!$N$1,'Исходные данные'!$F$122,'Исходные данные'!$J$122)</f>
        <v>1000</v>
      </c>
      <c r="Z80" s="32">
        <f>CHOOSE('Обобщенный расчет'!$N$1,'Исходные данные'!$F$122,'Исходные данные'!$J$122)</f>
        <v>1000</v>
      </c>
      <c r="AA80" s="32">
        <f>CHOOSE('Обобщенный расчет'!$N$1,'Исходные данные'!$F$122,'Исходные данные'!$J$122)</f>
        <v>1000</v>
      </c>
      <c r="AB80" s="32">
        <f>CHOOSE('Обобщенный расчет'!$N$1,'Исходные данные'!$F$122,'Исходные данные'!$J$122)</f>
        <v>1000</v>
      </c>
      <c r="AC80" s="106">
        <f>SUM(Q80:AB80)</f>
        <v>12000</v>
      </c>
      <c r="AD80" s="106">
        <f>AC80/12</f>
        <v>1000</v>
      </c>
      <c r="AE80" s="32">
        <f>CHOOSE('Обобщенный расчет'!$N$1,'Исходные данные'!$F$122,'Исходные данные'!$J$122)</f>
        <v>1000</v>
      </c>
      <c r="AF80" s="32">
        <f>CHOOSE('Обобщенный расчет'!$N$1,'Исходные данные'!$F$122,'Исходные данные'!$J$122)</f>
        <v>1000</v>
      </c>
      <c r="AG80" s="32">
        <f>CHOOSE('Обобщенный расчет'!$N$1,'Исходные данные'!$F$122,'Исходные данные'!$J$122)</f>
        <v>1000</v>
      </c>
      <c r="AH80" s="32">
        <f>CHOOSE('Обобщенный расчет'!$N$1,'Исходные данные'!$F$122,'Исходные данные'!$J$122)</f>
        <v>1000</v>
      </c>
      <c r="AI80" s="32">
        <f>CHOOSE('Обобщенный расчет'!$N$1,'Исходные данные'!$F$122,'Исходные данные'!$J$122)</f>
        <v>1000</v>
      </c>
      <c r="AJ80" s="32">
        <f>CHOOSE('Обобщенный расчет'!$N$1,'Исходные данные'!$F$122,'Исходные данные'!$J$122)</f>
        <v>1000</v>
      </c>
      <c r="AK80" s="32">
        <f>CHOOSE('Обобщенный расчет'!$N$1,'Исходные данные'!$F$122,'Исходные данные'!$J$122)</f>
        <v>1000</v>
      </c>
      <c r="AL80" s="32">
        <f>CHOOSE('Обобщенный расчет'!$N$1,'Исходные данные'!$F$122,'Исходные данные'!$J$122)</f>
        <v>1000</v>
      </c>
      <c r="AM80" s="32">
        <f>CHOOSE('Обобщенный расчет'!$N$1,'Исходные данные'!$F$122,'Исходные данные'!$J$122)</f>
        <v>1000</v>
      </c>
      <c r="AN80" s="32">
        <f>CHOOSE('Обобщенный расчет'!$N$1,'Исходные данные'!$F$122,'Исходные данные'!$J$122)</f>
        <v>1000</v>
      </c>
      <c r="AO80" s="32">
        <f>CHOOSE('Обобщенный расчет'!$N$1,'Исходные данные'!$F$122,'Исходные данные'!$J$122)</f>
        <v>1000</v>
      </c>
      <c r="AP80" s="32">
        <f>CHOOSE('Обобщенный расчет'!$N$1,'Исходные данные'!$F$122,'Исходные данные'!$J$122)</f>
        <v>1000</v>
      </c>
      <c r="AQ80" s="106">
        <f>SUM(AE80:AP80)</f>
        <v>12000</v>
      </c>
      <c r="AR80" s="106">
        <f>AQ80/12</f>
        <v>1000</v>
      </c>
      <c r="AS80" s="113">
        <f>O80+AC80+AQ80</f>
        <v>36000</v>
      </c>
      <c r="AT80" s="33"/>
    </row>
    <row r="81" spans="1:46" s="37" customFormat="1" ht="10.5" x14ac:dyDescent="0.2">
      <c r="A81" s="60" t="str">
        <f>'Обобщенный расчет'!B61</f>
        <v>Прочее</v>
      </c>
      <c r="B81" s="23" t="str">
        <f>CHOOSE('Исходные данные'!$O$2,'Исходные данные'!$P$2,'Исходные данные'!$P$3,'Исходные данные'!$P$4,'Исходные данные'!$P$5)</f>
        <v>UAH</v>
      </c>
      <c r="C81" s="35">
        <f>CHOOSE('Обобщенный расчет'!$N$1,'Исходные данные'!$F$123,'Исходные данные'!$J$123)</f>
        <v>1000</v>
      </c>
      <c r="D81" s="35">
        <f>CHOOSE('Обобщенный расчет'!$N$1,'Исходные данные'!$F$123,'Исходные данные'!$J$123)</f>
        <v>1000</v>
      </c>
      <c r="E81" s="35">
        <f>CHOOSE('Обобщенный расчет'!$N$1,'Исходные данные'!$F$123,'Исходные данные'!$J$123)</f>
        <v>1000</v>
      </c>
      <c r="F81" s="35">
        <f>CHOOSE('Обобщенный расчет'!$N$1,'Исходные данные'!$F$123,'Исходные данные'!$J$123)</f>
        <v>1000</v>
      </c>
      <c r="G81" s="35">
        <f>CHOOSE('Обобщенный расчет'!$N$1,'Исходные данные'!$F$123,'Исходные данные'!$J$123)</f>
        <v>1000</v>
      </c>
      <c r="H81" s="35">
        <f>CHOOSE('Обобщенный расчет'!$N$1,'Исходные данные'!$F$123,'Исходные данные'!$J$123)</f>
        <v>1000</v>
      </c>
      <c r="I81" s="35">
        <f>CHOOSE('Обобщенный расчет'!$N$1,'Исходные данные'!$F$123,'Исходные данные'!$J$123)</f>
        <v>1000</v>
      </c>
      <c r="J81" s="35">
        <f>CHOOSE('Обобщенный расчет'!$N$1,'Исходные данные'!$F$123,'Исходные данные'!$J$123)</f>
        <v>1000</v>
      </c>
      <c r="K81" s="35">
        <f>CHOOSE('Обобщенный расчет'!$N$1,'Исходные данные'!$F$123,'Исходные данные'!$J$123)</f>
        <v>1000</v>
      </c>
      <c r="L81" s="35">
        <f>CHOOSE('Обобщенный расчет'!$N$1,'Исходные данные'!$F$123,'Исходные данные'!$J$123)</f>
        <v>1000</v>
      </c>
      <c r="M81" s="35">
        <f>CHOOSE('Обобщенный расчет'!$N$1,'Исходные данные'!$F$123,'Исходные данные'!$J$123)</f>
        <v>1000</v>
      </c>
      <c r="N81" s="35">
        <f>CHOOSE('Обобщенный расчет'!$N$1,'Исходные данные'!$F$123,'Исходные данные'!$J$123)</f>
        <v>1000</v>
      </c>
      <c r="O81" s="51">
        <f>SUM(C81:N81)</f>
        <v>12000</v>
      </c>
      <c r="P81" s="51">
        <f>O81/12</f>
        <v>1000</v>
      </c>
      <c r="Q81" s="35">
        <f>CHOOSE('Обобщенный расчет'!$N$1,'Исходные данные'!$F$123,'Исходные данные'!$J$123)</f>
        <v>1000</v>
      </c>
      <c r="R81" s="35">
        <f>CHOOSE('Обобщенный расчет'!$N$1,'Исходные данные'!$F$123,'Исходные данные'!$J$123)</f>
        <v>1000</v>
      </c>
      <c r="S81" s="35">
        <f>CHOOSE('Обобщенный расчет'!$N$1,'Исходные данные'!$F$123,'Исходные данные'!$J$123)</f>
        <v>1000</v>
      </c>
      <c r="T81" s="35">
        <f>CHOOSE('Обобщенный расчет'!$N$1,'Исходные данные'!$F$123,'Исходные данные'!$J$123)</f>
        <v>1000</v>
      </c>
      <c r="U81" s="35">
        <f>CHOOSE('Обобщенный расчет'!$N$1,'Исходные данные'!$F$123,'Исходные данные'!$J$123)</f>
        <v>1000</v>
      </c>
      <c r="V81" s="35">
        <f>CHOOSE('Обобщенный расчет'!$N$1,'Исходные данные'!$F$123,'Исходные данные'!$J$123)</f>
        <v>1000</v>
      </c>
      <c r="W81" s="35">
        <f>CHOOSE('Обобщенный расчет'!$N$1,'Исходные данные'!$F$123,'Исходные данные'!$J$123)</f>
        <v>1000</v>
      </c>
      <c r="X81" s="35">
        <f>CHOOSE('Обобщенный расчет'!$N$1,'Исходные данные'!$F$123,'Исходные данные'!$J$123)</f>
        <v>1000</v>
      </c>
      <c r="Y81" s="35">
        <f>CHOOSE('Обобщенный расчет'!$N$1,'Исходные данные'!$F$123,'Исходные данные'!$J$123)</f>
        <v>1000</v>
      </c>
      <c r="Z81" s="35">
        <f>CHOOSE('Обобщенный расчет'!$N$1,'Исходные данные'!$F$123,'Исходные данные'!$J$123)</f>
        <v>1000</v>
      </c>
      <c r="AA81" s="35">
        <f>CHOOSE('Обобщенный расчет'!$N$1,'Исходные данные'!$F$123,'Исходные данные'!$J$123)</f>
        <v>1000</v>
      </c>
      <c r="AB81" s="35">
        <f>CHOOSE('Обобщенный расчет'!$N$1,'Исходные данные'!$F$123,'Исходные данные'!$J$123)</f>
        <v>1000</v>
      </c>
      <c r="AC81" s="51">
        <f>SUM(Q81:AB81)</f>
        <v>12000</v>
      </c>
      <c r="AD81" s="51">
        <f>AC81/12</f>
        <v>1000</v>
      </c>
      <c r="AE81" s="35">
        <f>CHOOSE('Обобщенный расчет'!$N$1,'Исходные данные'!$F$123,'Исходные данные'!$J$123)</f>
        <v>1000</v>
      </c>
      <c r="AF81" s="35">
        <f>CHOOSE('Обобщенный расчет'!$N$1,'Исходные данные'!$F$123,'Исходные данные'!$J$123)</f>
        <v>1000</v>
      </c>
      <c r="AG81" s="35">
        <f>CHOOSE('Обобщенный расчет'!$N$1,'Исходные данные'!$F$123,'Исходные данные'!$J$123)</f>
        <v>1000</v>
      </c>
      <c r="AH81" s="35">
        <f>CHOOSE('Обобщенный расчет'!$N$1,'Исходные данные'!$F$123,'Исходные данные'!$J$123)</f>
        <v>1000</v>
      </c>
      <c r="AI81" s="35">
        <f>CHOOSE('Обобщенный расчет'!$N$1,'Исходные данные'!$F$123,'Исходные данные'!$J$123)</f>
        <v>1000</v>
      </c>
      <c r="AJ81" s="35">
        <f>CHOOSE('Обобщенный расчет'!$N$1,'Исходные данные'!$F$123,'Исходные данные'!$J$123)</f>
        <v>1000</v>
      </c>
      <c r="AK81" s="35">
        <f>CHOOSE('Обобщенный расчет'!$N$1,'Исходные данные'!$F$123,'Исходные данные'!$J$123)</f>
        <v>1000</v>
      </c>
      <c r="AL81" s="35">
        <f>CHOOSE('Обобщенный расчет'!$N$1,'Исходные данные'!$F$123,'Исходные данные'!$J$123)</f>
        <v>1000</v>
      </c>
      <c r="AM81" s="35">
        <f>CHOOSE('Обобщенный расчет'!$N$1,'Исходные данные'!$F$123,'Исходные данные'!$J$123)</f>
        <v>1000</v>
      </c>
      <c r="AN81" s="35">
        <f>CHOOSE('Обобщенный расчет'!$N$1,'Исходные данные'!$F$123,'Исходные данные'!$J$123)</f>
        <v>1000</v>
      </c>
      <c r="AO81" s="35">
        <f>CHOOSE('Обобщенный расчет'!$N$1,'Исходные данные'!$F$123,'Исходные данные'!$J$123)</f>
        <v>1000</v>
      </c>
      <c r="AP81" s="35">
        <f>CHOOSE('Обобщенный расчет'!$N$1,'Исходные данные'!$F$123,'Исходные данные'!$J$123)</f>
        <v>1000</v>
      </c>
      <c r="AQ81" s="51">
        <f>SUM(AE81:AP81)</f>
        <v>12000</v>
      </c>
      <c r="AR81" s="51">
        <f>AQ81/12</f>
        <v>1000</v>
      </c>
      <c r="AS81" s="113">
        <f>O81+AC81+AQ81</f>
        <v>36000</v>
      </c>
      <c r="AT81" s="36"/>
    </row>
    <row r="82" spans="1:46" s="62" customFormat="1" ht="10.5" x14ac:dyDescent="0.2">
      <c r="A82" s="134" t="s">
        <v>9</v>
      </c>
      <c r="B82" s="135" t="str">
        <f>CHOOSE('Исходные данные'!$O$2,'Исходные данные'!$P$2,'Исходные данные'!$P$3,'Исходные данные'!$P$4,'Исходные данные'!$P$5)</f>
        <v>UAH</v>
      </c>
      <c r="C82" s="136">
        <f t="shared" ref="C82:AS82" si="73">SUM(C63:C81)</f>
        <v>256726.40000000002</v>
      </c>
      <c r="D82" s="136">
        <f t="shared" si="73"/>
        <v>278730.80000000005</v>
      </c>
      <c r="E82" s="136">
        <f t="shared" si="73"/>
        <v>301335.20000000007</v>
      </c>
      <c r="F82" s="136">
        <f t="shared" si="73"/>
        <v>323939.60000000003</v>
      </c>
      <c r="G82" s="136">
        <f t="shared" si="73"/>
        <v>346544.00000000006</v>
      </c>
      <c r="H82" s="136">
        <f t="shared" si="73"/>
        <v>346544.00000000006</v>
      </c>
      <c r="I82" s="136">
        <f t="shared" si="73"/>
        <v>357846.20000000007</v>
      </c>
      <c r="J82" s="136">
        <f t="shared" si="73"/>
        <v>369148.40000000014</v>
      </c>
      <c r="K82" s="136">
        <f t="shared" si="73"/>
        <v>369148.40000000014</v>
      </c>
      <c r="L82" s="136">
        <f t="shared" si="73"/>
        <v>380450.6</v>
      </c>
      <c r="M82" s="136">
        <f t="shared" si="73"/>
        <v>391752.80000000005</v>
      </c>
      <c r="N82" s="136">
        <f t="shared" si="73"/>
        <v>403055.00000000006</v>
      </c>
      <c r="O82" s="136">
        <f t="shared" si="73"/>
        <v>4125221.4000000004</v>
      </c>
      <c r="P82" s="136">
        <f t="shared" si="73"/>
        <v>343768.45</v>
      </c>
      <c r="Q82" s="136">
        <f t="shared" si="73"/>
        <v>432549.40000000014</v>
      </c>
      <c r="R82" s="136">
        <f t="shared" si="73"/>
        <v>431949.40000000014</v>
      </c>
      <c r="S82" s="136">
        <f t="shared" si="73"/>
        <v>431949.40000000014</v>
      </c>
      <c r="T82" s="136">
        <f t="shared" si="73"/>
        <v>431949.40000000014</v>
      </c>
      <c r="U82" s="136">
        <f t="shared" si="73"/>
        <v>431949.40000000014</v>
      </c>
      <c r="V82" s="136">
        <f t="shared" si="73"/>
        <v>431949.40000000014</v>
      </c>
      <c r="W82" s="136">
        <f t="shared" si="73"/>
        <v>431949.40000000014</v>
      </c>
      <c r="X82" s="136">
        <f t="shared" si="73"/>
        <v>431949.40000000014</v>
      </c>
      <c r="Y82" s="136">
        <f t="shared" si="73"/>
        <v>431949.40000000014</v>
      </c>
      <c r="Z82" s="136">
        <f t="shared" si="73"/>
        <v>431949.40000000014</v>
      </c>
      <c r="AA82" s="136">
        <f t="shared" si="73"/>
        <v>431949.40000000014</v>
      </c>
      <c r="AB82" s="136">
        <f t="shared" si="73"/>
        <v>431949.40000000014</v>
      </c>
      <c r="AC82" s="136">
        <f t="shared" si="73"/>
        <v>5183992.8</v>
      </c>
      <c r="AD82" s="136">
        <f t="shared" si="73"/>
        <v>431999.40000000008</v>
      </c>
      <c r="AE82" s="136">
        <f t="shared" si="73"/>
        <v>469496.00000000012</v>
      </c>
      <c r="AF82" s="136">
        <f t="shared" si="73"/>
        <v>468896.00000000012</v>
      </c>
      <c r="AG82" s="136">
        <f t="shared" si="73"/>
        <v>468896.00000000012</v>
      </c>
      <c r="AH82" s="136">
        <f t="shared" si="73"/>
        <v>468896.00000000012</v>
      </c>
      <c r="AI82" s="136">
        <f t="shared" si="73"/>
        <v>468896.00000000012</v>
      </c>
      <c r="AJ82" s="136">
        <f t="shared" si="73"/>
        <v>468896.00000000012</v>
      </c>
      <c r="AK82" s="136">
        <f t="shared" si="73"/>
        <v>468896.00000000012</v>
      </c>
      <c r="AL82" s="136">
        <f t="shared" si="73"/>
        <v>468896.00000000012</v>
      </c>
      <c r="AM82" s="136">
        <f t="shared" si="73"/>
        <v>468896.00000000012</v>
      </c>
      <c r="AN82" s="136">
        <f t="shared" si="73"/>
        <v>468896.00000000012</v>
      </c>
      <c r="AO82" s="136">
        <f t="shared" si="73"/>
        <v>468896.00000000012</v>
      </c>
      <c r="AP82" s="136">
        <f t="shared" si="73"/>
        <v>468896.00000000012</v>
      </c>
      <c r="AQ82" s="136">
        <f t="shared" si="73"/>
        <v>5627352.0000000009</v>
      </c>
      <c r="AR82" s="136">
        <f t="shared" si="73"/>
        <v>468946.00000000006</v>
      </c>
      <c r="AS82" s="136">
        <f t="shared" si="73"/>
        <v>14936566.200000001</v>
      </c>
    </row>
    <row r="83" spans="1:46" s="13" customFormat="1" ht="11" thickBot="1" x14ac:dyDescent="0.25">
      <c r="A83" s="39"/>
      <c r="B83" s="38"/>
      <c r="C83" s="41"/>
      <c r="D83" s="41"/>
      <c r="E83" s="41"/>
      <c r="F83" s="41"/>
      <c r="G83" s="41"/>
      <c r="H83" s="41"/>
      <c r="I83" s="39"/>
      <c r="J83" s="39"/>
      <c r="K83" s="39"/>
      <c r="L83" s="39"/>
      <c r="M83" s="39"/>
      <c r="N83" s="39"/>
      <c r="O83" s="109"/>
      <c r="P83" s="109"/>
      <c r="Q83" s="41"/>
      <c r="R83" s="41"/>
      <c r="S83" s="41"/>
      <c r="T83" s="41"/>
      <c r="U83" s="41"/>
      <c r="V83" s="41"/>
      <c r="W83" s="39"/>
      <c r="X83" s="39"/>
      <c r="Y83" s="39"/>
      <c r="Z83" s="39"/>
      <c r="AA83" s="39"/>
      <c r="AB83" s="39"/>
      <c r="AC83" s="109"/>
      <c r="AD83" s="109"/>
      <c r="AE83" s="41"/>
      <c r="AF83" s="41"/>
      <c r="AG83" s="41"/>
      <c r="AH83" s="41"/>
      <c r="AI83" s="41"/>
      <c r="AJ83" s="41"/>
      <c r="AK83" s="39"/>
      <c r="AL83" s="39"/>
      <c r="AM83" s="39"/>
      <c r="AN83" s="39"/>
      <c r="AO83" s="39"/>
      <c r="AP83" s="39"/>
      <c r="AQ83" s="109"/>
      <c r="AR83" s="109"/>
      <c r="AS83" s="39"/>
    </row>
    <row r="84" spans="1:46" s="19" customFormat="1" ht="22" thickTop="1" thickBot="1" x14ac:dyDescent="0.25">
      <c r="A84" s="17" t="s">
        <v>10</v>
      </c>
      <c r="B84" s="18"/>
      <c r="C84" s="18" t="str">
        <f t="shared" ref="C84:N84" si="74">C$6</f>
        <v>октябрь</v>
      </c>
      <c r="D84" s="18" t="str">
        <f t="shared" si="74"/>
        <v>ноябрь</v>
      </c>
      <c r="E84" s="18" t="str">
        <f t="shared" si="74"/>
        <v>декабрь</v>
      </c>
      <c r="F84" s="18" t="str">
        <f t="shared" si="74"/>
        <v>январь</v>
      </c>
      <c r="G84" s="18" t="str">
        <f t="shared" si="74"/>
        <v>февраль</v>
      </c>
      <c r="H84" s="18" t="str">
        <f t="shared" si="74"/>
        <v>март</v>
      </c>
      <c r="I84" s="18" t="str">
        <f t="shared" si="74"/>
        <v>апрель</v>
      </c>
      <c r="J84" s="18" t="str">
        <f t="shared" si="74"/>
        <v>май</v>
      </c>
      <c r="K84" s="18" t="str">
        <f t="shared" si="74"/>
        <v>июнь</v>
      </c>
      <c r="L84" s="18" t="str">
        <f t="shared" si="74"/>
        <v>июль</v>
      </c>
      <c r="M84" s="18" t="str">
        <f t="shared" si="74"/>
        <v>август</v>
      </c>
      <c r="N84" s="18" t="str">
        <f t="shared" si="74"/>
        <v>сентябрь</v>
      </c>
      <c r="O84" s="107" t="str">
        <f>$O$16</f>
        <v>Итого за 1-й год</v>
      </c>
      <c r="P84" s="107" t="str">
        <f>$P$16</f>
        <v>Среднемесячно за 1-й год</v>
      </c>
      <c r="Q84" s="18" t="str">
        <f t="shared" ref="Q84:AB84" si="75">Q$6</f>
        <v>октябрь</v>
      </c>
      <c r="R84" s="18" t="str">
        <f t="shared" si="75"/>
        <v>ноябрь</v>
      </c>
      <c r="S84" s="18" t="str">
        <f t="shared" si="75"/>
        <v>декабрь</v>
      </c>
      <c r="T84" s="18" t="str">
        <f t="shared" si="75"/>
        <v>январь</v>
      </c>
      <c r="U84" s="18" t="str">
        <f t="shared" si="75"/>
        <v>февраль</v>
      </c>
      <c r="V84" s="18" t="str">
        <f t="shared" si="75"/>
        <v>март</v>
      </c>
      <c r="W84" s="18" t="str">
        <f t="shared" si="75"/>
        <v>апрель</v>
      </c>
      <c r="X84" s="18" t="str">
        <f t="shared" si="75"/>
        <v>май</v>
      </c>
      <c r="Y84" s="18" t="str">
        <f t="shared" si="75"/>
        <v>июнь</v>
      </c>
      <c r="Z84" s="18" t="str">
        <f t="shared" si="75"/>
        <v>июль</v>
      </c>
      <c r="AA84" s="18" t="str">
        <f t="shared" si="75"/>
        <v>август</v>
      </c>
      <c r="AB84" s="18" t="str">
        <f t="shared" si="75"/>
        <v>сентябрь</v>
      </c>
      <c r="AC84" s="107" t="str">
        <f>AC58</f>
        <v>Итого за 2-й год</v>
      </c>
      <c r="AD84" s="107" t="str">
        <f>AD58</f>
        <v>Среднемесячно за 2-й год</v>
      </c>
      <c r="AE84" s="18" t="str">
        <f t="shared" ref="AE84:AP84" si="76">AE$6</f>
        <v>октябрь</v>
      </c>
      <c r="AF84" s="18" t="str">
        <f t="shared" si="76"/>
        <v>ноябрь</v>
      </c>
      <c r="AG84" s="18" t="str">
        <f t="shared" si="76"/>
        <v>декабрь</v>
      </c>
      <c r="AH84" s="18" t="str">
        <f t="shared" si="76"/>
        <v>январь</v>
      </c>
      <c r="AI84" s="18" t="str">
        <f t="shared" si="76"/>
        <v>февраль</v>
      </c>
      <c r="AJ84" s="18" t="str">
        <f t="shared" si="76"/>
        <v>март</v>
      </c>
      <c r="AK84" s="18" t="str">
        <f t="shared" si="76"/>
        <v>апрель</v>
      </c>
      <c r="AL84" s="18" t="str">
        <f t="shared" si="76"/>
        <v>май</v>
      </c>
      <c r="AM84" s="18" t="str">
        <f t="shared" si="76"/>
        <v>июнь</v>
      </c>
      <c r="AN84" s="18" t="str">
        <f t="shared" si="76"/>
        <v>июль</v>
      </c>
      <c r="AO84" s="18" t="str">
        <f t="shared" si="76"/>
        <v>август</v>
      </c>
      <c r="AP84" s="18" t="str">
        <f t="shared" si="76"/>
        <v>сентябрь</v>
      </c>
      <c r="AQ84" s="107" t="str">
        <f>AQ58</f>
        <v>Итого за 3-й год</v>
      </c>
      <c r="AR84" s="107" t="str">
        <f>AR58</f>
        <v>Среднемесячно за 3-й год</v>
      </c>
      <c r="AS84" s="116" t="str">
        <f>AS58</f>
        <v>Итого за три года</v>
      </c>
    </row>
    <row r="85" spans="1:46" s="19" customFormat="1" ht="11" thickTop="1" x14ac:dyDescent="0.2">
      <c r="A85" s="42" t="s">
        <v>11</v>
      </c>
      <c r="B85" s="23" t="str">
        <f>CHOOSE('Исходные данные'!$O$2,'Исходные данные'!$P$2,'Исходные данные'!$P$3,'Исходные данные'!$P$4,'Исходные данные'!$P$5)</f>
        <v>UAH</v>
      </c>
      <c r="C85" s="128">
        <f t="shared" ref="C85:N85" si="77">C29</f>
        <v>372600</v>
      </c>
      <c r="D85" s="128">
        <f t="shared" si="77"/>
        <v>434699.99999999994</v>
      </c>
      <c r="E85" s="128">
        <f t="shared" si="77"/>
        <v>496800</v>
      </c>
      <c r="F85" s="128">
        <f t="shared" si="77"/>
        <v>558900</v>
      </c>
      <c r="G85" s="128">
        <f t="shared" si="77"/>
        <v>621000</v>
      </c>
      <c r="H85" s="128">
        <f t="shared" si="77"/>
        <v>621000</v>
      </c>
      <c r="I85" s="128">
        <f t="shared" si="77"/>
        <v>652050</v>
      </c>
      <c r="J85" s="128">
        <f t="shared" si="77"/>
        <v>683100.00000000012</v>
      </c>
      <c r="K85" s="128">
        <f t="shared" si="77"/>
        <v>683100.00000000012</v>
      </c>
      <c r="L85" s="128">
        <f t="shared" si="77"/>
        <v>714149.99999999988</v>
      </c>
      <c r="M85" s="128">
        <f t="shared" si="77"/>
        <v>745200</v>
      </c>
      <c r="N85" s="128">
        <f t="shared" si="77"/>
        <v>776250</v>
      </c>
      <c r="O85" s="129">
        <f t="shared" ref="O85:O91" si="78">SUM(C85:N85)</f>
        <v>7358850</v>
      </c>
      <c r="P85" s="129">
        <f t="shared" ref="P85:P91" si="79">O85/12</f>
        <v>613237.5</v>
      </c>
      <c r="Q85" s="128">
        <f t="shared" ref="Q85:AB85" si="80">Q29</f>
        <v>838350.00000000012</v>
      </c>
      <c r="R85" s="128">
        <f t="shared" si="80"/>
        <v>838350.00000000012</v>
      </c>
      <c r="S85" s="128">
        <f t="shared" si="80"/>
        <v>838350.00000000012</v>
      </c>
      <c r="T85" s="128">
        <f t="shared" si="80"/>
        <v>838350.00000000012</v>
      </c>
      <c r="U85" s="128">
        <f t="shared" si="80"/>
        <v>838350.00000000012</v>
      </c>
      <c r="V85" s="128">
        <f t="shared" si="80"/>
        <v>838350.00000000012</v>
      </c>
      <c r="W85" s="128">
        <f t="shared" si="80"/>
        <v>838350.00000000012</v>
      </c>
      <c r="X85" s="128">
        <f t="shared" si="80"/>
        <v>838350.00000000012</v>
      </c>
      <c r="Y85" s="128">
        <f t="shared" si="80"/>
        <v>838350.00000000012</v>
      </c>
      <c r="Z85" s="128">
        <f t="shared" si="80"/>
        <v>838350.00000000012</v>
      </c>
      <c r="AA85" s="128">
        <f t="shared" si="80"/>
        <v>838350.00000000012</v>
      </c>
      <c r="AB85" s="128">
        <f t="shared" si="80"/>
        <v>838350.00000000012</v>
      </c>
      <c r="AC85" s="129">
        <f t="shared" ref="AC85:AC91" si="81">SUM(Q85:AB85)</f>
        <v>10060200.000000002</v>
      </c>
      <c r="AD85" s="129">
        <f t="shared" ref="AD85:AD91" si="82">AC85/12</f>
        <v>838350.00000000012</v>
      </c>
      <c r="AE85" s="128">
        <f t="shared" ref="AE85:AP85" si="83">AE29</f>
        <v>931500</v>
      </c>
      <c r="AF85" s="128">
        <f t="shared" si="83"/>
        <v>931500</v>
      </c>
      <c r="AG85" s="128">
        <f t="shared" si="83"/>
        <v>931500</v>
      </c>
      <c r="AH85" s="128">
        <f t="shared" si="83"/>
        <v>931500</v>
      </c>
      <c r="AI85" s="128">
        <f t="shared" si="83"/>
        <v>931500</v>
      </c>
      <c r="AJ85" s="128">
        <f t="shared" si="83"/>
        <v>931500</v>
      </c>
      <c r="AK85" s="128">
        <f t="shared" si="83"/>
        <v>931500</v>
      </c>
      <c r="AL85" s="128">
        <f t="shared" si="83"/>
        <v>931500</v>
      </c>
      <c r="AM85" s="128">
        <f t="shared" si="83"/>
        <v>931500</v>
      </c>
      <c r="AN85" s="128">
        <f t="shared" si="83"/>
        <v>931500</v>
      </c>
      <c r="AO85" s="128">
        <f t="shared" si="83"/>
        <v>931500</v>
      </c>
      <c r="AP85" s="128">
        <f t="shared" si="83"/>
        <v>931500</v>
      </c>
      <c r="AQ85" s="129">
        <f t="shared" ref="AQ85:AQ91" si="84">SUM(AE85:AP85)</f>
        <v>11178000</v>
      </c>
      <c r="AR85" s="129">
        <f t="shared" ref="AR85:AR91" si="85">AQ85/12</f>
        <v>931500</v>
      </c>
      <c r="AS85" s="130">
        <f t="shared" ref="AS85:AS90" si="86">O85+AC85+AQ85</f>
        <v>28597050</v>
      </c>
    </row>
    <row r="86" spans="1:46" s="19" customFormat="1" ht="10.5" x14ac:dyDescent="0.2">
      <c r="A86" s="22" t="str">
        <f>"- Себестоимость"</f>
        <v>- Себестоимость</v>
      </c>
      <c r="B86" s="23" t="str">
        <f>CHOOSE('Исходные данные'!$O$2,'Исходные данные'!$P$2,'Исходные данные'!$P$3,'Исходные данные'!$P$4,'Исходные данные'!$P$5)</f>
        <v>UAH</v>
      </c>
      <c r="C86" s="128">
        <f>C44</f>
        <v>64944.180000000008</v>
      </c>
      <c r="D86" s="128">
        <f t="shared" ref="D86:N86" si="87">D44</f>
        <v>75768.209999999992</v>
      </c>
      <c r="E86" s="128">
        <f t="shared" si="87"/>
        <v>86592.24</v>
      </c>
      <c r="F86" s="128">
        <f t="shared" si="87"/>
        <v>97416.270000000019</v>
      </c>
      <c r="G86" s="128">
        <f t="shared" si="87"/>
        <v>108240.3</v>
      </c>
      <c r="H86" s="128">
        <f t="shared" si="87"/>
        <v>108240.3</v>
      </c>
      <c r="I86" s="128">
        <f t="shared" si="87"/>
        <v>113652.31499999999</v>
      </c>
      <c r="J86" s="128">
        <f t="shared" si="87"/>
        <v>119064.33000000005</v>
      </c>
      <c r="K86" s="128">
        <f t="shared" si="87"/>
        <v>119064.33000000005</v>
      </c>
      <c r="L86" s="128">
        <f t="shared" si="87"/>
        <v>124476.34499999999</v>
      </c>
      <c r="M86" s="128">
        <f t="shared" si="87"/>
        <v>129888.36000000002</v>
      </c>
      <c r="N86" s="128">
        <f t="shared" si="87"/>
        <v>135300.375</v>
      </c>
      <c r="O86" s="129">
        <f t="shared" si="78"/>
        <v>1282647.5550000002</v>
      </c>
      <c r="P86" s="129">
        <f t="shared" si="79"/>
        <v>106887.29625000001</v>
      </c>
      <c r="Q86" s="128">
        <f>Q44</f>
        <v>146124.40500000003</v>
      </c>
      <c r="R86" s="128">
        <f t="shared" ref="R86:AB86" si="88">R44</f>
        <v>146124.40500000003</v>
      </c>
      <c r="S86" s="128">
        <f t="shared" si="88"/>
        <v>146124.40500000003</v>
      </c>
      <c r="T86" s="128">
        <f t="shared" si="88"/>
        <v>146124.40500000003</v>
      </c>
      <c r="U86" s="128">
        <f t="shared" si="88"/>
        <v>146124.40500000003</v>
      </c>
      <c r="V86" s="128">
        <f t="shared" si="88"/>
        <v>146124.40500000003</v>
      </c>
      <c r="W86" s="128">
        <f t="shared" si="88"/>
        <v>146124.40500000003</v>
      </c>
      <c r="X86" s="128">
        <f t="shared" si="88"/>
        <v>146124.40500000003</v>
      </c>
      <c r="Y86" s="128">
        <f t="shared" si="88"/>
        <v>146124.40500000003</v>
      </c>
      <c r="Z86" s="128">
        <f t="shared" si="88"/>
        <v>146124.40500000003</v>
      </c>
      <c r="AA86" s="128">
        <f t="shared" si="88"/>
        <v>146124.40500000003</v>
      </c>
      <c r="AB86" s="128">
        <f t="shared" si="88"/>
        <v>146124.40500000003</v>
      </c>
      <c r="AC86" s="129">
        <f t="shared" si="81"/>
        <v>1753492.8600000003</v>
      </c>
      <c r="AD86" s="129">
        <f t="shared" si="82"/>
        <v>146124.40500000003</v>
      </c>
      <c r="AE86" s="128">
        <f>AE44</f>
        <v>162360.45000000001</v>
      </c>
      <c r="AF86" s="128">
        <f t="shared" ref="AF86:AP86" si="89">AF44</f>
        <v>162360.45000000001</v>
      </c>
      <c r="AG86" s="128">
        <f t="shared" si="89"/>
        <v>162360.45000000001</v>
      </c>
      <c r="AH86" s="128">
        <f t="shared" si="89"/>
        <v>162360.45000000001</v>
      </c>
      <c r="AI86" s="128">
        <f t="shared" si="89"/>
        <v>162360.45000000001</v>
      </c>
      <c r="AJ86" s="128">
        <f t="shared" si="89"/>
        <v>162360.45000000001</v>
      </c>
      <c r="AK86" s="128">
        <f t="shared" si="89"/>
        <v>162360.45000000001</v>
      </c>
      <c r="AL86" s="128">
        <f t="shared" si="89"/>
        <v>162360.45000000001</v>
      </c>
      <c r="AM86" s="128">
        <f t="shared" si="89"/>
        <v>162360.45000000001</v>
      </c>
      <c r="AN86" s="128">
        <f t="shared" si="89"/>
        <v>162360.45000000001</v>
      </c>
      <c r="AO86" s="128">
        <f t="shared" si="89"/>
        <v>162360.45000000001</v>
      </c>
      <c r="AP86" s="128">
        <f t="shared" si="89"/>
        <v>162360.45000000001</v>
      </c>
      <c r="AQ86" s="129">
        <f t="shared" si="84"/>
        <v>1948325.3999999997</v>
      </c>
      <c r="AR86" s="129">
        <f t="shared" si="85"/>
        <v>162360.44999999998</v>
      </c>
      <c r="AS86" s="130">
        <f t="shared" si="86"/>
        <v>4984465.8150000004</v>
      </c>
    </row>
    <row r="87" spans="1:46" s="19" customFormat="1" ht="10.5" x14ac:dyDescent="0.2">
      <c r="A87" s="42" t="s">
        <v>12</v>
      </c>
      <c r="B87" s="23" t="str">
        <f>CHOOSE('Исходные данные'!$O$2,'Исходные данные'!$P$2,'Исходные данные'!$P$3,'Исходные данные'!$P$4,'Исходные данные'!$P$5)</f>
        <v>UAH</v>
      </c>
      <c r="C87" s="128">
        <f>C85-C86</f>
        <v>307655.82</v>
      </c>
      <c r="D87" s="128">
        <f t="shared" ref="D87:N87" si="90">D85-D86</f>
        <v>358931.78999999992</v>
      </c>
      <c r="E87" s="128">
        <f t="shared" si="90"/>
        <v>410207.76</v>
      </c>
      <c r="F87" s="128">
        <f t="shared" si="90"/>
        <v>461483.73</v>
      </c>
      <c r="G87" s="128">
        <f t="shared" si="90"/>
        <v>512759.7</v>
      </c>
      <c r="H87" s="128">
        <f t="shared" si="90"/>
        <v>512759.7</v>
      </c>
      <c r="I87" s="128">
        <f t="shared" si="90"/>
        <v>538397.68500000006</v>
      </c>
      <c r="J87" s="128">
        <f t="shared" si="90"/>
        <v>564035.67000000004</v>
      </c>
      <c r="K87" s="128">
        <f t="shared" si="90"/>
        <v>564035.67000000004</v>
      </c>
      <c r="L87" s="128">
        <f t="shared" si="90"/>
        <v>589673.65499999991</v>
      </c>
      <c r="M87" s="128">
        <f t="shared" si="90"/>
        <v>615311.64</v>
      </c>
      <c r="N87" s="128">
        <f t="shared" si="90"/>
        <v>640949.625</v>
      </c>
      <c r="O87" s="129">
        <f t="shared" si="78"/>
        <v>6076202.4450000003</v>
      </c>
      <c r="P87" s="129">
        <f t="shared" si="79"/>
        <v>506350.20375000004</v>
      </c>
      <c r="Q87" s="128">
        <f>Q85-Q86</f>
        <v>692225.59500000009</v>
      </c>
      <c r="R87" s="128">
        <f t="shared" ref="R87:AB87" si="91">R85-R86</f>
        <v>692225.59500000009</v>
      </c>
      <c r="S87" s="128">
        <f t="shared" si="91"/>
        <v>692225.59500000009</v>
      </c>
      <c r="T87" s="128">
        <f t="shared" si="91"/>
        <v>692225.59500000009</v>
      </c>
      <c r="U87" s="128">
        <f t="shared" si="91"/>
        <v>692225.59500000009</v>
      </c>
      <c r="V87" s="128">
        <f t="shared" si="91"/>
        <v>692225.59500000009</v>
      </c>
      <c r="W87" s="128">
        <f t="shared" si="91"/>
        <v>692225.59500000009</v>
      </c>
      <c r="X87" s="128">
        <f t="shared" si="91"/>
        <v>692225.59500000009</v>
      </c>
      <c r="Y87" s="128">
        <f t="shared" si="91"/>
        <v>692225.59500000009</v>
      </c>
      <c r="Z87" s="128">
        <f t="shared" si="91"/>
        <v>692225.59500000009</v>
      </c>
      <c r="AA87" s="128">
        <f t="shared" si="91"/>
        <v>692225.59500000009</v>
      </c>
      <c r="AB87" s="128">
        <f t="shared" si="91"/>
        <v>692225.59500000009</v>
      </c>
      <c r="AC87" s="129">
        <f t="shared" si="81"/>
        <v>8306707.1399999997</v>
      </c>
      <c r="AD87" s="129">
        <f t="shared" si="82"/>
        <v>692225.59499999997</v>
      </c>
      <c r="AE87" s="128">
        <f>AE85-AE86</f>
        <v>769139.55</v>
      </c>
      <c r="AF87" s="128">
        <f t="shared" ref="AF87:AP87" si="92">AF85-AF86</f>
        <v>769139.55</v>
      </c>
      <c r="AG87" s="128">
        <f t="shared" si="92"/>
        <v>769139.55</v>
      </c>
      <c r="AH87" s="128">
        <f t="shared" si="92"/>
        <v>769139.55</v>
      </c>
      <c r="AI87" s="128">
        <f t="shared" si="92"/>
        <v>769139.55</v>
      </c>
      <c r="AJ87" s="128">
        <f t="shared" si="92"/>
        <v>769139.55</v>
      </c>
      <c r="AK87" s="128">
        <f t="shared" si="92"/>
        <v>769139.55</v>
      </c>
      <c r="AL87" s="128">
        <f t="shared" si="92"/>
        <v>769139.55</v>
      </c>
      <c r="AM87" s="128">
        <f t="shared" si="92"/>
        <v>769139.55</v>
      </c>
      <c r="AN87" s="128">
        <f t="shared" si="92"/>
        <v>769139.55</v>
      </c>
      <c r="AO87" s="128">
        <f t="shared" si="92"/>
        <v>769139.55</v>
      </c>
      <c r="AP87" s="128">
        <f t="shared" si="92"/>
        <v>769139.55</v>
      </c>
      <c r="AQ87" s="129">
        <f t="shared" si="84"/>
        <v>9229674.5999999996</v>
      </c>
      <c r="AR87" s="129">
        <f t="shared" si="85"/>
        <v>769139.54999999993</v>
      </c>
      <c r="AS87" s="130">
        <f t="shared" si="86"/>
        <v>23612584.185000002</v>
      </c>
    </row>
    <row r="88" spans="1:46" s="65" customFormat="1" ht="10.5" x14ac:dyDescent="0.2">
      <c r="A88" s="63" t="str">
        <f>"- Инвестиции"</f>
        <v>- Инвестиции</v>
      </c>
      <c r="B88" s="64" t="str">
        <f>CHOOSE('Исходные данные'!$O$2,'Исходные данные'!$P$2,'Исходные данные'!$P$3,'Исходные данные'!$P$4,'Исходные данные'!$P$5)</f>
        <v>UAH</v>
      </c>
      <c r="C88" s="131">
        <f t="shared" ref="C88:N88" si="93">C56</f>
        <v>560000</v>
      </c>
      <c r="D88" s="131">
        <f t="shared" si="93"/>
        <v>0</v>
      </c>
      <c r="E88" s="131">
        <f t="shared" si="93"/>
        <v>0</v>
      </c>
      <c r="F88" s="131">
        <f t="shared" si="93"/>
        <v>0</v>
      </c>
      <c r="G88" s="131">
        <f t="shared" si="93"/>
        <v>0</v>
      </c>
      <c r="H88" s="131">
        <f t="shared" si="93"/>
        <v>0</v>
      </c>
      <c r="I88" s="131">
        <f t="shared" si="93"/>
        <v>0</v>
      </c>
      <c r="J88" s="131">
        <f t="shared" si="93"/>
        <v>0</v>
      </c>
      <c r="K88" s="131">
        <f t="shared" si="93"/>
        <v>0</v>
      </c>
      <c r="L88" s="131">
        <f t="shared" si="93"/>
        <v>0</v>
      </c>
      <c r="M88" s="131">
        <f t="shared" si="93"/>
        <v>0</v>
      </c>
      <c r="N88" s="131">
        <f t="shared" si="93"/>
        <v>0</v>
      </c>
      <c r="O88" s="129">
        <f t="shared" si="78"/>
        <v>560000</v>
      </c>
      <c r="P88" s="129"/>
      <c r="Q88" s="131">
        <f t="shared" ref="Q88:AB88" si="94">Q56</f>
        <v>0</v>
      </c>
      <c r="R88" s="131">
        <f t="shared" si="94"/>
        <v>0</v>
      </c>
      <c r="S88" s="131">
        <f t="shared" si="94"/>
        <v>0</v>
      </c>
      <c r="T88" s="131">
        <f t="shared" si="94"/>
        <v>0</v>
      </c>
      <c r="U88" s="131">
        <f t="shared" si="94"/>
        <v>0</v>
      </c>
      <c r="V88" s="131">
        <f t="shared" si="94"/>
        <v>0</v>
      </c>
      <c r="W88" s="131">
        <f t="shared" si="94"/>
        <v>0</v>
      </c>
      <c r="X88" s="131">
        <f t="shared" si="94"/>
        <v>0</v>
      </c>
      <c r="Y88" s="131">
        <f t="shared" si="94"/>
        <v>0</v>
      </c>
      <c r="Z88" s="131">
        <f t="shared" si="94"/>
        <v>0</v>
      </c>
      <c r="AA88" s="131">
        <f t="shared" si="94"/>
        <v>0</v>
      </c>
      <c r="AB88" s="131">
        <f t="shared" si="94"/>
        <v>0</v>
      </c>
      <c r="AC88" s="129">
        <f t="shared" si="81"/>
        <v>0</v>
      </c>
      <c r="AD88" s="129"/>
      <c r="AE88" s="131">
        <f t="shared" ref="AE88:AP88" si="95">AE56</f>
        <v>0</v>
      </c>
      <c r="AF88" s="131">
        <f t="shared" si="95"/>
        <v>0</v>
      </c>
      <c r="AG88" s="131">
        <f t="shared" si="95"/>
        <v>0</v>
      </c>
      <c r="AH88" s="131">
        <f t="shared" si="95"/>
        <v>0</v>
      </c>
      <c r="AI88" s="131">
        <f t="shared" si="95"/>
        <v>0</v>
      </c>
      <c r="AJ88" s="131">
        <f t="shared" si="95"/>
        <v>0</v>
      </c>
      <c r="AK88" s="131">
        <f t="shared" si="95"/>
        <v>0</v>
      </c>
      <c r="AL88" s="131">
        <f t="shared" si="95"/>
        <v>0</v>
      </c>
      <c r="AM88" s="131">
        <f t="shared" si="95"/>
        <v>0</v>
      </c>
      <c r="AN88" s="131">
        <f t="shared" si="95"/>
        <v>0</v>
      </c>
      <c r="AO88" s="131">
        <f t="shared" si="95"/>
        <v>0</v>
      </c>
      <c r="AP88" s="131">
        <f t="shared" si="95"/>
        <v>0</v>
      </c>
      <c r="AQ88" s="129">
        <f t="shared" si="84"/>
        <v>0</v>
      </c>
      <c r="AR88" s="129"/>
      <c r="AS88" s="130">
        <f t="shared" si="86"/>
        <v>560000</v>
      </c>
    </row>
    <row r="89" spans="1:46" s="19" customFormat="1" ht="10.5" x14ac:dyDescent="0.2">
      <c r="A89" s="22" t="str">
        <f>"- Текущие затраты"</f>
        <v>- Текущие затраты</v>
      </c>
      <c r="B89" s="23" t="str">
        <f>CHOOSE('Исходные данные'!$O$2,'Исходные данные'!$P$2,'Исходные данные'!$P$3,'Исходные данные'!$P$4,'Исходные данные'!$P$5)</f>
        <v>UAH</v>
      </c>
      <c r="C89" s="128">
        <f t="shared" ref="C89:N89" si="96">C82</f>
        <v>256726.40000000002</v>
      </c>
      <c r="D89" s="128">
        <f t="shared" si="96"/>
        <v>278730.80000000005</v>
      </c>
      <c r="E89" s="128">
        <f t="shared" si="96"/>
        <v>301335.20000000007</v>
      </c>
      <c r="F89" s="128">
        <f t="shared" si="96"/>
        <v>323939.60000000003</v>
      </c>
      <c r="G89" s="128">
        <f t="shared" si="96"/>
        <v>346544.00000000006</v>
      </c>
      <c r="H89" s="128">
        <f t="shared" si="96"/>
        <v>346544.00000000006</v>
      </c>
      <c r="I89" s="128">
        <f t="shared" si="96"/>
        <v>357846.20000000007</v>
      </c>
      <c r="J89" s="128">
        <f t="shared" si="96"/>
        <v>369148.40000000014</v>
      </c>
      <c r="K89" s="128">
        <f t="shared" si="96"/>
        <v>369148.40000000014</v>
      </c>
      <c r="L89" s="128">
        <f t="shared" si="96"/>
        <v>380450.6</v>
      </c>
      <c r="M89" s="128">
        <f t="shared" si="96"/>
        <v>391752.80000000005</v>
      </c>
      <c r="N89" s="128">
        <f t="shared" si="96"/>
        <v>403055.00000000006</v>
      </c>
      <c r="O89" s="129">
        <f t="shared" si="78"/>
        <v>4125221.4000000013</v>
      </c>
      <c r="P89" s="129">
        <f t="shared" si="79"/>
        <v>343768.45000000013</v>
      </c>
      <c r="Q89" s="128">
        <f t="shared" ref="Q89:AB89" si="97">Q82</f>
        <v>432549.40000000014</v>
      </c>
      <c r="R89" s="128">
        <f t="shared" si="97"/>
        <v>431949.40000000014</v>
      </c>
      <c r="S89" s="128">
        <f t="shared" si="97"/>
        <v>431949.40000000014</v>
      </c>
      <c r="T89" s="128">
        <f t="shared" si="97"/>
        <v>431949.40000000014</v>
      </c>
      <c r="U89" s="128">
        <f t="shared" si="97"/>
        <v>431949.40000000014</v>
      </c>
      <c r="V89" s="128">
        <f t="shared" si="97"/>
        <v>431949.40000000014</v>
      </c>
      <c r="W89" s="128">
        <f t="shared" si="97"/>
        <v>431949.40000000014</v>
      </c>
      <c r="X89" s="128">
        <f t="shared" si="97"/>
        <v>431949.40000000014</v>
      </c>
      <c r="Y89" s="128">
        <f t="shared" si="97"/>
        <v>431949.40000000014</v>
      </c>
      <c r="Z89" s="128">
        <f t="shared" si="97"/>
        <v>431949.40000000014</v>
      </c>
      <c r="AA89" s="128">
        <f t="shared" si="97"/>
        <v>431949.40000000014</v>
      </c>
      <c r="AB89" s="128">
        <f t="shared" si="97"/>
        <v>431949.40000000014</v>
      </c>
      <c r="AC89" s="129">
        <f t="shared" si="81"/>
        <v>5183992.8000000035</v>
      </c>
      <c r="AD89" s="129">
        <f t="shared" si="82"/>
        <v>431999.40000000031</v>
      </c>
      <c r="AE89" s="128">
        <f t="shared" ref="AE89:AP89" si="98">AE82</f>
        <v>469496.00000000012</v>
      </c>
      <c r="AF89" s="128">
        <f t="shared" si="98"/>
        <v>468896.00000000012</v>
      </c>
      <c r="AG89" s="128">
        <f t="shared" si="98"/>
        <v>468896.00000000012</v>
      </c>
      <c r="AH89" s="128">
        <f t="shared" si="98"/>
        <v>468896.00000000012</v>
      </c>
      <c r="AI89" s="128">
        <f t="shared" si="98"/>
        <v>468896.00000000012</v>
      </c>
      <c r="AJ89" s="128">
        <f t="shared" si="98"/>
        <v>468896.00000000012</v>
      </c>
      <c r="AK89" s="128">
        <f t="shared" si="98"/>
        <v>468896.00000000012</v>
      </c>
      <c r="AL89" s="128">
        <f t="shared" si="98"/>
        <v>468896.00000000012</v>
      </c>
      <c r="AM89" s="128">
        <f t="shared" si="98"/>
        <v>468896.00000000012</v>
      </c>
      <c r="AN89" s="128">
        <f t="shared" si="98"/>
        <v>468896.00000000012</v>
      </c>
      <c r="AO89" s="128">
        <f t="shared" si="98"/>
        <v>468896.00000000012</v>
      </c>
      <c r="AP89" s="128">
        <f t="shared" si="98"/>
        <v>468896.00000000012</v>
      </c>
      <c r="AQ89" s="129">
        <f t="shared" si="84"/>
        <v>5627352.0000000009</v>
      </c>
      <c r="AR89" s="129">
        <f t="shared" si="85"/>
        <v>468946.00000000006</v>
      </c>
      <c r="AS89" s="130">
        <f t="shared" si="86"/>
        <v>14936566.200000007</v>
      </c>
    </row>
    <row r="90" spans="1:46" s="19" customFormat="1" ht="10.5" x14ac:dyDescent="0.2">
      <c r="A90" s="189" t="s">
        <v>105</v>
      </c>
      <c r="B90" s="23" t="str">
        <f>CHOOSE('Исходные данные'!$O$2,'Исходные данные'!$P$2,'Исходные данные'!$P$3,'Исходные данные'!$P$4,'Исходные данные'!$P$5)</f>
        <v>UAH</v>
      </c>
      <c r="C90" s="128">
        <f>C87-C88-C89</f>
        <v>-509070.58</v>
      </c>
      <c r="D90" s="128">
        <f>D87-D88-D89</f>
        <v>80200.989999999874</v>
      </c>
      <c r="E90" s="128">
        <f t="shared" ref="E90:N90" si="99">E87-E88-E89</f>
        <v>108872.55999999994</v>
      </c>
      <c r="F90" s="128">
        <f t="shared" si="99"/>
        <v>137544.12999999995</v>
      </c>
      <c r="G90" s="128">
        <f t="shared" si="99"/>
        <v>166215.69999999995</v>
      </c>
      <c r="H90" s="128">
        <f t="shared" si="99"/>
        <v>166215.69999999995</v>
      </c>
      <c r="I90" s="128">
        <f t="shared" si="99"/>
        <v>180551.48499999999</v>
      </c>
      <c r="J90" s="128">
        <f t="shared" si="99"/>
        <v>194887.2699999999</v>
      </c>
      <c r="K90" s="128">
        <f t="shared" si="99"/>
        <v>194887.2699999999</v>
      </c>
      <c r="L90" s="128">
        <f t="shared" si="99"/>
        <v>209223.05499999993</v>
      </c>
      <c r="M90" s="128">
        <f t="shared" si="99"/>
        <v>223558.83999999997</v>
      </c>
      <c r="N90" s="128">
        <f t="shared" si="99"/>
        <v>237894.62499999994</v>
      </c>
      <c r="O90" s="129">
        <f t="shared" si="78"/>
        <v>1390981.0449999995</v>
      </c>
      <c r="P90" s="129">
        <f t="shared" si="79"/>
        <v>115915.08708333329</v>
      </c>
      <c r="Q90" s="128">
        <f>Q87-Q88-Q89</f>
        <v>259676.19499999995</v>
      </c>
      <c r="R90" s="128">
        <f>R87-R88-R89</f>
        <v>260276.19499999995</v>
      </c>
      <c r="S90" s="128">
        <f t="shared" ref="S90:AB90" si="100">S87-S88-S89</f>
        <v>260276.19499999995</v>
      </c>
      <c r="T90" s="128">
        <f t="shared" si="100"/>
        <v>260276.19499999995</v>
      </c>
      <c r="U90" s="128">
        <f t="shared" si="100"/>
        <v>260276.19499999995</v>
      </c>
      <c r="V90" s="128">
        <f t="shared" si="100"/>
        <v>260276.19499999995</v>
      </c>
      <c r="W90" s="128">
        <f t="shared" si="100"/>
        <v>260276.19499999995</v>
      </c>
      <c r="X90" s="128">
        <f t="shared" si="100"/>
        <v>260276.19499999995</v>
      </c>
      <c r="Y90" s="128">
        <f t="shared" si="100"/>
        <v>260276.19499999995</v>
      </c>
      <c r="Z90" s="128">
        <f t="shared" si="100"/>
        <v>260276.19499999995</v>
      </c>
      <c r="AA90" s="128">
        <f t="shared" si="100"/>
        <v>260276.19499999995</v>
      </c>
      <c r="AB90" s="128">
        <f t="shared" si="100"/>
        <v>260276.19499999995</v>
      </c>
      <c r="AC90" s="129">
        <f t="shared" si="81"/>
        <v>3122714.3399999985</v>
      </c>
      <c r="AD90" s="129">
        <f t="shared" si="82"/>
        <v>260226.19499999986</v>
      </c>
      <c r="AE90" s="128">
        <f>AE87-AE88-AE89</f>
        <v>299643.54999999993</v>
      </c>
      <c r="AF90" s="128">
        <f>AF87-AF88-AF89</f>
        <v>300243.54999999993</v>
      </c>
      <c r="AG90" s="128">
        <f t="shared" ref="AG90:AP90" si="101">AG87-AG88-AG89</f>
        <v>300243.54999999993</v>
      </c>
      <c r="AH90" s="128">
        <f t="shared" si="101"/>
        <v>300243.54999999993</v>
      </c>
      <c r="AI90" s="128">
        <f t="shared" si="101"/>
        <v>300243.54999999993</v>
      </c>
      <c r="AJ90" s="128">
        <f t="shared" si="101"/>
        <v>300243.54999999993</v>
      </c>
      <c r="AK90" s="128">
        <f t="shared" si="101"/>
        <v>300243.54999999993</v>
      </c>
      <c r="AL90" s="128">
        <f t="shared" si="101"/>
        <v>300243.54999999993</v>
      </c>
      <c r="AM90" s="128">
        <f t="shared" si="101"/>
        <v>300243.54999999993</v>
      </c>
      <c r="AN90" s="128">
        <f t="shared" si="101"/>
        <v>300243.54999999993</v>
      </c>
      <c r="AO90" s="128">
        <f t="shared" si="101"/>
        <v>300243.54999999993</v>
      </c>
      <c r="AP90" s="128">
        <f t="shared" si="101"/>
        <v>300243.54999999993</v>
      </c>
      <c r="AQ90" s="129">
        <f t="shared" si="84"/>
        <v>3602322.5999999982</v>
      </c>
      <c r="AR90" s="129">
        <f t="shared" si="85"/>
        <v>300193.54999999987</v>
      </c>
      <c r="AS90" s="130">
        <f t="shared" si="86"/>
        <v>8116017.9849999957</v>
      </c>
    </row>
    <row r="91" spans="1:46" s="19" customFormat="1" ht="10.5" x14ac:dyDescent="0.2">
      <c r="A91" s="190" t="s">
        <v>70</v>
      </c>
      <c r="B91" s="23" t="str">
        <f>CHOOSE('Исходные данные'!$O$2,'Исходные данные'!$P$2,'Исходные данные'!$P$3,'Исходные данные'!$P$4,'Исходные данные'!$P$5)</f>
        <v>UAH</v>
      </c>
      <c r="C91" s="128">
        <f t="shared" ref="C91:N91" si="102">C87-C89</f>
        <v>50929.419999999984</v>
      </c>
      <c r="D91" s="128">
        <f t="shared" si="102"/>
        <v>80200.989999999874</v>
      </c>
      <c r="E91" s="128">
        <f t="shared" si="102"/>
        <v>108872.55999999994</v>
      </c>
      <c r="F91" s="128">
        <f t="shared" si="102"/>
        <v>137544.12999999995</v>
      </c>
      <c r="G91" s="128">
        <f t="shared" si="102"/>
        <v>166215.69999999995</v>
      </c>
      <c r="H91" s="128">
        <f t="shared" si="102"/>
        <v>166215.69999999995</v>
      </c>
      <c r="I91" s="128">
        <f t="shared" si="102"/>
        <v>180551.48499999999</v>
      </c>
      <c r="J91" s="128">
        <f t="shared" si="102"/>
        <v>194887.2699999999</v>
      </c>
      <c r="K91" s="128">
        <f t="shared" si="102"/>
        <v>194887.2699999999</v>
      </c>
      <c r="L91" s="128">
        <f t="shared" si="102"/>
        <v>209223.05499999993</v>
      </c>
      <c r="M91" s="128">
        <f t="shared" si="102"/>
        <v>223558.83999999997</v>
      </c>
      <c r="N91" s="128">
        <f t="shared" si="102"/>
        <v>237894.62499999994</v>
      </c>
      <c r="O91" s="129">
        <f t="shared" si="78"/>
        <v>1950981.0449999995</v>
      </c>
      <c r="P91" s="129">
        <f t="shared" si="79"/>
        <v>162581.75374999995</v>
      </c>
      <c r="Q91" s="128">
        <f t="shared" ref="Q91:AB91" si="103">Q87-Q89</f>
        <v>259676.19499999995</v>
      </c>
      <c r="R91" s="128">
        <f t="shared" si="103"/>
        <v>260276.19499999995</v>
      </c>
      <c r="S91" s="128">
        <f t="shared" si="103"/>
        <v>260276.19499999995</v>
      </c>
      <c r="T91" s="128">
        <f t="shared" si="103"/>
        <v>260276.19499999995</v>
      </c>
      <c r="U91" s="128">
        <f t="shared" si="103"/>
        <v>260276.19499999995</v>
      </c>
      <c r="V91" s="128">
        <f t="shared" si="103"/>
        <v>260276.19499999995</v>
      </c>
      <c r="W91" s="128">
        <f t="shared" si="103"/>
        <v>260276.19499999995</v>
      </c>
      <c r="X91" s="128">
        <f t="shared" si="103"/>
        <v>260276.19499999995</v>
      </c>
      <c r="Y91" s="128">
        <f t="shared" si="103"/>
        <v>260276.19499999995</v>
      </c>
      <c r="Z91" s="128">
        <f t="shared" si="103"/>
        <v>260276.19499999995</v>
      </c>
      <c r="AA91" s="128">
        <f t="shared" si="103"/>
        <v>260276.19499999995</v>
      </c>
      <c r="AB91" s="128">
        <f t="shared" si="103"/>
        <v>260276.19499999995</v>
      </c>
      <c r="AC91" s="129">
        <f t="shared" si="81"/>
        <v>3122714.3399999985</v>
      </c>
      <c r="AD91" s="129">
        <f t="shared" si="82"/>
        <v>260226.19499999986</v>
      </c>
      <c r="AE91" s="128">
        <f t="shared" ref="AE91:AP91" si="104">AE87-AE89</f>
        <v>299643.54999999993</v>
      </c>
      <c r="AF91" s="128">
        <f t="shared" si="104"/>
        <v>300243.54999999993</v>
      </c>
      <c r="AG91" s="128">
        <f t="shared" si="104"/>
        <v>300243.54999999993</v>
      </c>
      <c r="AH91" s="128">
        <f t="shared" si="104"/>
        <v>300243.54999999993</v>
      </c>
      <c r="AI91" s="128">
        <f t="shared" si="104"/>
        <v>300243.54999999993</v>
      </c>
      <c r="AJ91" s="128">
        <f t="shared" si="104"/>
        <v>300243.54999999993</v>
      </c>
      <c r="AK91" s="128">
        <f t="shared" si="104"/>
        <v>300243.54999999993</v>
      </c>
      <c r="AL91" s="128">
        <f t="shared" si="104"/>
        <v>300243.54999999993</v>
      </c>
      <c r="AM91" s="128">
        <f t="shared" si="104"/>
        <v>300243.54999999993</v>
      </c>
      <c r="AN91" s="128">
        <f t="shared" si="104"/>
        <v>300243.54999999993</v>
      </c>
      <c r="AO91" s="128">
        <f t="shared" si="104"/>
        <v>300243.54999999993</v>
      </c>
      <c r="AP91" s="128">
        <f t="shared" si="104"/>
        <v>300243.54999999993</v>
      </c>
      <c r="AQ91" s="129">
        <f t="shared" si="84"/>
        <v>3602322.5999999982</v>
      </c>
      <c r="AR91" s="129">
        <f t="shared" si="85"/>
        <v>300193.54999999987</v>
      </c>
      <c r="AS91" s="132"/>
    </row>
    <row r="92" spans="1:46" s="19" customFormat="1" ht="10.5" x14ac:dyDescent="0.2">
      <c r="A92" s="185" t="str">
        <f>"- Прибыль (убытки) накопительным итогом"</f>
        <v>- Прибыль (убытки) накопительным итогом</v>
      </c>
      <c r="B92" s="23" t="str">
        <f>CHOOSE('Исходные данные'!$O$2,'Исходные данные'!$P$2,'Исходные данные'!$P$3,'Исходные данные'!$P$4,'Исходные данные'!$P$5)</f>
        <v>UAH</v>
      </c>
      <c r="C92" s="128">
        <f t="shared" ref="C92:N92" si="105">C90+IF(ISNUMBER(B92),B92,0)</f>
        <v>-509070.58</v>
      </c>
      <c r="D92" s="128">
        <f t="shared" si="105"/>
        <v>-428869.59000000014</v>
      </c>
      <c r="E92" s="128">
        <f t="shared" si="105"/>
        <v>-319997.0300000002</v>
      </c>
      <c r="F92" s="128">
        <f t="shared" si="105"/>
        <v>-182452.90000000026</v>
      </c>
      <c r="G92" s="128">
        <f t="shared" si="105"/>
        <v>-16237.200000000303</v>
      </c>
      <c r="H92" s="128">
        <f t="shared" si="105"/>
        <v>149978.49999999965</v>
      </c>
      <c r="I92" s="128">
        <f t="shared" si="105"/>
        <v>330529.98499999964</v>
      </c>
      <c r="J92" s="128">
        <f t="shared" si="105"/>
        <v>525417.25499999954</v>
      </c>
      <c r="K92" s="128">
        <f t="shared" si="105"/>
        <v>720304.52499999944</v>
      </c>
      <c r="L92" s="128">
        <f t="shared" si="105"/>
        <v>929527.57999999938</v>
      </c>
      <c r="M92" s="128">
        <f t="shared" si="105"/>
        <v>1153086.4199999995</v>
      </c>
      <c r="N92" s="128">
        <f t="shared" si="105"/>
        <v>1390981.0449999995</v>
      </c>
      <c r="O92" s="129">
        <f>N92</f>
        <v>1390981.0449999995</v>
      </c>
      <c r="P92" s="129"/>
      <c r="Q92" s="128">
        <f>Q90+IF(ISNUMBER(N92),N92,0)</f>
        <v>1650657.2399999993</v>
      </c>
      <c r="R92" s="128">
        <f t="shared" ref="R92:AB92" si="106">R90+IF(ISNUMBER(Q92),Q92,0)</f>
        <v>1910933.4349999991</v>
      </c>
      <c r="S92" s="128">
        <f t="shared" si="106"/>
        <v>2171209.629999999</v>
      </c>
      <c r="T92" s="128">
        <f t="shared" si="106"/>
        <v>2431485.8249999988</v>
      </c>
      <c r="U92" s="128">
        <f t="shared" si="106"/>
        <v>2691762.0199999986</v>
      </c>
      <c r="V92" s="128">
        <f t="shared" si="106"/>
        <v>2952038.2149999985</v>
      </c>
      <c r="W92" s="128">
        <f t="shared" si="106"/>
        <v>3212314.4099999983</v>
      </c>
      <c r="X92" s="128">
        <f t="shared" si="106"/>
        <v>3472590.6049999981</v>
      </c>
      <c r="Y92" s="128">
        <f t="shared" si="106"/>
        <v>3732866.799999998</v>
      </c>
      <c r="Z92" s="128">
        <f t="shared" si="106"/>
        <v>3993142.9949999978</v>
      </c>
      <c r="AA92" s="128">
        <f t="shared" si="106"/>
        <v>4253419.1899999976</v>
      </c>
      <c r="AB92" s="128">
        <f t="shared" si="106"/>
        <v>4513695.3849999979</v>
      </c>
      <c r="AC92" s="129">
        <f>AB92</f>
        <v>4513695.3849999979</v>
      </c>
      <c r="AD92" s="129"/>
      <c r="AE92" s="128">
        <f>AE90+IF(ISNUMBER(AB92),AB92,0)</f>
        <v>4813338.9349999977</v>
      </c>
      <c r="AF92" s="128">
        <f t="shared" ref="AF92:AP92" si="107">AF90+IF(ISNUMBER(AE92),AE92,0)</f>
        <v>5113582.4849999975</v>
      </c>
      <c r="AG92" s="128">
        <f t="shared" si="107"/>
        <v>5413826.0349999974</v>
      </c>
      <c r="AH92" s="128">
        <f t="shared" si="107"/>
        <v>5714069.5849999972</v>
      </c>
      <c r="AI92" s="128">
        <f t="shared" si="107"/>
        <v>6014313.134999997</v>
      </c>
      <c r="AJ92" s="128">
        <f t="shared" si="107"/>
        <v>6314556.6849999968</v>
      </c>
      <c r="AK92" s="128">
        <f t="shared" si="107"/>
        <v>6614800.2349999966</v>
      </c>
      <c r="AL92" s="128">
        <f t="shared" si="107"/>
        <v>6915043.7849999964</v>
      </c>
      <c r="AM92" s="128">
        <f t="shared" si="107"/>
        <v>7215287.3349999962</v>
      </c>
      <c r="AN92" s="128">
        <f t="shared" si="107"/>
        <v>7515530.8849999961</v>
      </c>
      <c r="AO92" s="128">
        <f t="shared" si="107"/>
        <v>7815774.4349999959</v>
      </c>
      <c r="AP92" s="128">
        <f t="shared" si="107"/>
        <v>8116017.9849999957</v>
      </c>
      <c r="AQ92" s="129">
        <f>AP92</f>
        <v>8116017.9849999957</v>
      </c>
      <c r="AR92" s="129"/>
      <c r="AS92" s="132"/>
    </row>
    <row r="93" spans="1:46" s="19" customFormat="1" ht="11" thickBot="1" x14ac:dyDescent="0.3">
      <c r="O93" s="54"/>
      <c r="P93" s="54"/>
      <c r="AC93" s="54"/>
      <c r="AD93" s="54"/>
      <c r="AQ93" s="54"/>
      <c r="AR93" s="54"/>
    </row>
    <row r="94" spans="1:46" s="19" customFormat="1" ht="22" thickTop="1" thickBot="1" x14ac:dyDescent="0.25">
      <c r="A94" s="17" t="s">
        <v>13</v>
      </c>
      <c r="B94" s="18"/>
      <c r="C94" s="18" t="str">
        <f t="shared" ref="C94:N94" si="108">C$6</f>
        <v>октябрь</v>
      </c>
      <c r="D94" s="18" t="str">
        <f t="shared" si="108"/>
        <v>ноябрь</v>
      </c>
      <c r="E94" s="18" t="str">
        <f t="shared" si="108"/>
        <v>декабрь</v>
      </c>
      <c r="F94" s="18" t="str">
        <f t="shared" si="108"/>
        <v>январь</v>
      </c>
      <c r="G94" s="18" t="str">
        <f t="shared" si="108"/>
        <v>февраль</v>
      </c>
      <c r="H94" s="18" t="str">
        <f t="shared" si="108"/>
        <v>март</v>
      </c>
      <c r="I94" s="18" t="str">
        <f t="shared" si="108"/>
        <v>апрель</v>
      </c>
      <c r="J94" s="18" t="str">
        <f t="shared" si="108"/>
        <v>май</v>
      </c>
      <c r="K94" s="18" t="str">
        <f t="shared" si="108"/>
        <v>июнь</v>
      </c>
      <c r="L94" s="18" t="str">
        <f t="shared" si="108"/>
        <v>июль</v>
      </c>
      <c r="M94" s="18" t="str">
        <f t="shared" si="108"/>
        <v>август</v>
      </c>
      <c r="N94" s="18" t="str">
        <f t="shared" si="108"/>
        <v>сентябрь</v>
      </c>
      <c r="O94" s="107" t="str">
        <f>$O$16</f>
        <v>Итого за 1-й год</v>
      </c>
      <c r="P94" s="107" t="str">
        <f>$P$16</f>
        <v>Среднемесячно за 1-й год</v>
      </c>
      <c r="Q94" s="18" t="str">
        <f t="shared" ref="Q94:AB94" si="109">Q$6</f>
        <v>октябрь</v>
      </c>
      <c r="R94" s="18" t="str">
        <f t="shared" si="109"/>
        <v>ноябрь</v>
      </c>
      <c r="S94" s="18" t="str">
        <f t="shared" si="109"/>
        <v>декабрь</v>
      </c>
      <c r="T94" s="18" t="str">
        <f t="shared" si="109"/>
        <v>январь</v>
      </c>
      <c r="U94" s="18" t="str">
        <f t="shared" si="109"/>
        <v>февраль</v>
      </c>
      <c r="V94" s="18" t="str">
        <f t="shared" si="109"/>
        <v>март</v>
      </c>
      <c r="W94" s="18" t="str">
        <f t="shared" si="109"/>
        <v>апрель</v>
      </c>
      <c r="X94" s="18" t="str">
        <f t="shared" si="109"/>
        <v>май</v>
      </c>
      <c r="Y94" s="18" t="str">
        <f t="shared" si="109"/>
        <v>июнь</v>
      </c>
      <c r="Z94" s="18" t="str">
        <f t="shared" si="109"/>
        <v>июль</v>
      </c>
      <c r="AA94" s="18" t="str">
        <f t="shared" si="109"/>
        <v>август</v>
      </c>
      <c r="AB94" s="18" t="str">
        <f t="shared" si="109"/>
        <v>сентябрь</v>
      </c>
      <c r="AC94" s="107" t="str">
        <f>AC84</f>
        <v>Итого за 2-й год</v>
      </c>
      <c r="AD94" s="107" t="str">
        <f>AD84</f>
        <v>Среднемесячно за 2-й год</v>
      </c>
      <c r="AE94" s="18" t="str">
        <f t="shared" ref="AE94:AP94" si="110">AE$6</f>
        <v>октябрь</v>
      </c>
      <c r="AF94" s="18" t="str">
        <f t="shared" si="110"/>
        <v>ноябрь</v>
      </c>
      <c r="AG94" s="18" t="str">
        <f t="shared" si="110"/>
        <v>декабрь</v>
      </c>
      <c r="AH94" s="18" t="str">
        <f t="shared" si="110"/>
        <v>январь</v>
      </c>
      <c r="AI94" s="18" t="str">
        <f t="shared" si="110"/>
        <v>февраль</v>
      </c>
      <c r="AJ94" s="18" t="str">
        <f t="shared" si="110"/>
        <v>март</v>
      </c>
      <c r="AK94" s="18" t="str">
        <f t="shared" si="110"/>
        <v>апрель</v>
      </c>
      <c r="AL94" s="18" t="str">
        <f t="shared" si="110"/>
        <v>май</v>
      </c>
      <c r="AM94" s="18" t="str">
        <f t="shared" si="110"/>
        <v>июнь</v>
      </c>
      <c r="AN94" s="18" t="str">
        <f t="shared" si="110"/>
        <v>июль</v>
      </c>
      <c r="AO94" s="18" t="str">
        <f t="shared" si="110"/>
        <v>август</v>
      </c>
      <c r="AP94" s="18" t="str">
        <f t="shared" si="110"/>
        <v>сентябрь</v>
      </c>
      <c r="AQ94" s="107" t="str">
        <f>AQ84</f>
        <v>Итого за 3-й год</v>
      </c>
      <c r="AR94" s="107" t="str">
        <f>AR84</f>
        <v>Среднемесячно за 3-й год</v>
      </c>
      <c r="AS94" s="116" t="str">
        <f>AS84</f>
        <v>Итого за три года</v>
      </c>
    </row>
    <row r="95" spans="1:46" s="34" customFormat="1" ht="11" thickTop="1" x14ac:dyDescent="0.2">
      <c r="A95" s="188" t="s">
        <v>14</v>
      </c>
      <c r="B95" s="23" t="str">
        <f>CHOOSE('Исходные данные'!$O$2,'Исходные данные'!$P$2,'Исходные данные'!$P$3,'Исходные данные'!$P$4,'Исходные данные'!$P$5)</f>
        <v>UAH</v>
      </c>
      <c r="C95" s="35">
        <f t="shared" ref="C95:N95" si="111">C85</f>
        <v>372600</v>
      </c>
      <c r="D95" s="35">
        <f t="shared" si="111"/>
        <v>434699.99999999994</v>
      </c>
      <c r="E95" s="35">
        <f t="shared" si="111"/>
        <v>496800</v>
      </c>
      <c r="F95" s="35">
        <f t="shared" si="111"/>
        <v>558900</v>
      </c>
      <c r="G95" s="35">
        <f t="shared" si="111"/>
        <v>621000</v>
      </c>
      <c r="H95" s="35">
        <f t="shared" si="111"/>
        <v>621000</v>
      </c>
      <c r="I95" s="35">
        <f t="shared" si="111"/>
        <v>652050</v>
      </c>
      <c r="J95" s="35">
        <f t="shared" si="111"/>
        <v>683100.00000000012</v>
      </c>
      <c r="K95" s="35">
        <f t="shared" si="111"/>
        <v>683100.00000000012</v>
      </c>
      <c r="L95" s="35">
        <f t="shared" si="111"/>
        <v>714149.99999999988</v>
      </c>
      <c r="M95" s="35">
        <f t="shared" si="111"/>
        <v>745200</v>
      </c>
      <c r="N95" s="35">
        <f t="shared" si="111"/>
        <v>776250</v>
      </c>
      <c r="O95" s="51">
        <f>SUM(C95:N95)</f>
        <v>7358850</v>
      </c>
      <c r="P95" s="51">
        <f>O95/12</f>
        <v>613237.5</v>
      </c>
      <c r="Q95" s="35">
        <f t="shared" ref="Q95:AB95" si="112">Q85</f>
        <v>838350.00000000012</v>
      </c>
      <c r="R95" s="35">
        <f t="shared" si="112"/>
        <v>838350.00000000012</v>
      </c>
      <c r="S95" s="35">
        <f t="shared" si="112"/>
        <v>838350.00000000012</v>
      </c>
      <c r="T95" s="35">
        <f t="shared" si="112"/>
        <v>838350.00000000012</v>
      </c>
      <c r="U95" s="35">
        <f t="shared" si="112"/>
        <v>838350.00000000012</v>
      </c>
      <c r="V95" s="35">
        <f t="shared" si="112"/>
        <v>838350.00000000012</v>
      </c>
      <c r="W95" s="35">
        <f t="shared" si="112"/>
        <v>838350.00000000012</v>
      </c>
      <c r="X95" s="35">
        <f t="shared" si="112"/>
        <v>838350.00000000012</v>
      </c>
      <c r="Y95" s="35">
        <f t="shared" si="112"/>
        <v>838350.00000000012</v>
      </c>
      <c r="Z95" s="35">
        <f t="shared" si="112"/>
        <v>838350.00000000012</v>
      </c>
      <c r="AA95" s="35">
        <f t="shared" si="112"/>
        <v>838350.00000000012</v>
      </c>
      <c r="AB95" s="35">
        <f t="shared" si="112"/>
        <v>838350.00000000012</v>
      </c>
      <c r="AC95" s="51">
        <f>SUM(Q95:AB95)</f>
        <v>10060200.000000002</v>
      </c>
      <c r="AD95" s="51">
        <f>AC95/12</f>
        <v>838350.00000000012</v>
      </c>
      <c r="AE95" s="35">
        <f t="shared" ref="AE95:AP95" si="113">AE85</f>
        <v>931500</v>
      </c>
      <c r="AF95" s="35">
        <f t="shared" si="113"/>
        <v>931500</v>
      </c>
      <c r="AG95" s="35">
        <f t="shared" si="113"/>
        <v>931500</v>
      </c>
      <c r="AH95" s="35">
        <f t="shared" si="113"/>
        <v>931500</v>
      </c>
      <c r="AI95" s="35">
        <f t="shared" si="113"/>
        <v>931500</v>
      </c>
      <c r="AJ95" s="35">
        <f t="shared" si="113"/>
        <v>931500</v>
      </c>
      <c r="AK95" s="35">
        <f t="shared" si="113"/>
        <v>931500</v>
      </c>
      <c r="AL95" s="35">
        <f t="shared" si="113"/>
        <v>931500</v>
      </c>
      <c r="AM95" s="35">
        <f t="shared" si="113"/>
        <v>931500</v>
      </c>
      <c r="AN95" s="35">
        <f t="shared" si="113"/>
        <v>931500</v>
      </c>
      <c r="AO95" s="35">
        <f t="shared" si="113"/>
        <v>931500</v>
      </c>
      <c r="AP95" s="35">
        <f t="shared" si="113"/>
        <v>931500</v>
      </c>
      <c r="AQ95" s="51">
        <f>SUM(AE95:AP95)</f>
        <v>11178000</v>
      </c>
      <c r="AR95" s="51">
        <f>AQ95/12</f>
        <v>931500</v>
      </c>
      <c r="AS95" s="123">
        <f>O95+AC95+AQ95</f>
        <v>28597050</v>
      </c>
    </row>
    <row r="96" spans="1:46" s="34" customFormat="1" ht="10.5" x14ac:dyDescent="0.2">
      <c r="A96" s="188" t="s">
        <v>1</v>
      </c>
      <c r="B96" s="23" t="str">
        <f>CHOOSE('Исходные данные'!$O$2,'Исходные данные'!$P$2,'Исходные данные'!$P$3,'Исходные данные'!$P$4,'Исходные данные'!$P$5)</f>
        <v>UAH</v>
      </c>
      <c r="C96" s="124">
        <f t="shared" ref="C96:N96" si="114">-(C82+C44)</f>
        <v>-321670.58</v>
      </c>
      <c r="D96" s="124">
        <f t="shared" si="114"/>
        <v>-354499.01</v>
      </c>
      <c r="E96" s="124">
        <f t="shared" si="114"/>
        <v>-387927.44000000006</v>
      </c>
      <c r="F96" s="124">
        <f t="shared" si="114"/>
        <v>-421355.87000000005</v>
      </c>
      <c r="G96" s="124">
        <f t="shared" si="114"/>
        <v>-454784.30000000005</v>
      </c>
      <c r="H96" s="124">
        <f t="shared" si="114"/>
        <v>-454784.30000000005</v>
      </c>
      <c r="I96" s="124">
        <f t="shared" si="114"/>
        <v>-471498.51500000007</v>
      </c>
      <c r="J96" s="124">
        <f t="shared" si="114"/>
        <v>-488212.73000000021</v>
      </c>
      <c r="K96" s="124">
        <f t="shared" si="114"/>
        <v>-488212.73000000021</v>
      </c>
      <c r="L96" s="124">
        <f t="shared" si="114"/>
        <v>-504926.94499999995</v>
      </c>
      <c r="M96" s="124">
        <f t="shared" si="114"/>
        <v>-521641.16000000003</v>
      </c>
      <c r="N96" s="124">
        <f t="shared" si="114"/>
        <v>-538355.375</v>
      </c>
      <c r="O96" s="51">
        <f>SUM(C96:N96)</f>
        <v>-5407868.9550000019</v>
      </c>
      <c r="P96" s="51">
        <f>O96/12</f>
        <v>-450655.74625000014</v>
      </c>
      <c r="Q96" s="124">
        <f t="shared" ref="Q96:AB96" si="115">-(Q82+Q44)</f>
        <v>-578673.80500000017</v>
      </c>
      <c r="R96" s="124">
        <f t="shared" si="115"/>
        <v>-578073.80500000017</v>
      </c>
      <c r="S96" s="124">
        <f t="shared" si="115"/>
        <v>-578073.80500000017</v>
      </c>
      <c r="T96" s="124">
        <f t="shared" si="115"/>
        <v>-578073.80500000017</v>
      </c>
      <c r="U96" s="124">
        <f t="shared" si="115"/>
        <v>-578073.80500000017</v>
      </c>
      <c r="V96" s="124">
        <f t="shared" si="115"/>
        <v>-578073.80500000017</v>
      </c>
      <c r="W96" s="124">
        <f t="shared" si="115"/>
        <v>-578073.80500000017</v>
      </c>
      <c r="X96" s="124">
        <f t="shared" si="115"/>
        <v>-578073.80500000017</v>
      </c>
      <c r="Y96" s="124">
        <f t="shared" si="115"/>
        <v>-578073.80500000017</v>
      </c>
      <c r="Z96" s="124">
        <f t="shared" si="115"/>
        <v>-578073.80500000017</v>
      </c>
      <c r="AA96" s="124">
        <f t="shared" si="115"/>
        <v>-578073.80500000017</v>
      </c>
      <c r="AB96" s="124">
        <f t="shared" si="115"/>
        <v>-578073.80500000017</v>
      </c>
      <c r="AC96" s="51">
        <f>SUM(Q96:AB96)</f>
        <v>-6937485.6600000001</v>
      </c>
      <c r="AD96" s="51">
        <f>AC96/12</f>
        <v>-578123.80500000005</v>
      </c>
      <c r="AE96" s="124">
        <f t="shared" ref="AE96:AP96" si="116">-(AE82+AE44)</f>
        <v>-631856.45000000019</v>
      </c>
      <c r="AF96" s="124">
        <f t="shared" si="116"/>
        <v>-631256.45000000019</v>
      </c>
      <c r="AG96" s="124">
        <f t="shared" si="116"/>
        <v>-631256.45000000019</v>
      </c>
      <c r="AH96" s="124">
        <f t="shared" si="116"/>
        <v>-631256.45000000019</v>
      </c>
      <c r="AI96" s="124">
        <f t="shared" si="116"/>
        <v>-631256.45000000019</v>
      </c>
      <c r="AJ96" s="124">
        <f t="shared" si="116"/>
        <v>-631256.45000000019</v>
      </c>
      <c r="AK96" s="124">
        <f t="shared" si="116"/>
        <v>-631256.45000000019</v>
      </c>
      <c r="AL96" s="124">
        <f t="shared" si="116"/>
        <v>-631256.45000000019</v>
      </c>
      <c r="AM96" s="124">
        <f t="shared" si="116"/>
        <v>-631256.45000000019</v>
      </c>
      <c r="AN96" s="124">
        <f t="shared" si="116"/>
        <v>-631256.45000000019</v>
      </c>
      <c r="AO96" s="124">
        <f t="shared" si="116"/>
        <v>-631256.45000000019</v>
      </c>
      <c r="AP96" s="124">
        <f t="shared" si="116"/>
        <v>-631256.45000000019</v>
      </c>
      <c r="AQ96" s="51">
        <f>SUM(AE96:AP96)</f>
        <v>-7575677.4000000022</v>
      </c>
      <c r="AR96" s="51">
        <f>AQ96/12</f>
        <v>-631306.45000000019</v>
      </c>
      <c r="AS96" s="123">
        <f>O96+AC96+AQ96</f>
        <v>-19921032.015000004</v>
      </c>
    </row>
    <row r="97" spans="1:45" s="34" customFormat="1" ht="10.5" x14ac:dyDescent="0.2">
      <c r="A97" s="188" t="s">
        <v>15</v>
      </c>
      <c r="B97" s="23" t="str">
        <f>CHOOSE('Исходные данные'!$O$2,'Исходные данные'!$P$2,'Исходные данные'!$P$3,'Исходные данные'!$P$4,'Исходные данные'!$P$5)</f>
        <v>UAH</v>
      </c>
      <c r="C97" s="124">
        <f t="shared" ref="C97:N97" si="117">SUM(C95:C96)</f>
        <v>50929.419999999984</v>
      </c>
      <c r="D97" s="35">
        <f t="shared" si="117"/>
        <v>80200.989999999932</v>
      </c>
      <c r="E97" s="35">
        <f t="shared" si="117"/>
        <v>108872.55999999994</v>
      </c>
      <c r="F97" s="35">
        <f t="shared" si="117"/>
        <v>137544.12999999995</v>
      </c>
      <c r="G97" s="35">
        <f t="shared" si="117"/>
        <v>166215.69999999995</v>
      </c>
      <c r="H97" s="35">
        <f t="shared" si="117"/>
        <v>166215.69999999995</v>
      </c>
      <c r="I97" s="35">
        <f t="shared" si="117"/>
        <v>180551.48499999993</v>
      </c>
      <c r="J97" s="124">
        <f t="shared" si="117"/>
        <v>194887.2699999999</v>
      </c>
      <c r="K97" s="124">
        <f t="shared" si="117"/>
        <v>194887.2699999999</v>
      </c>
      <c r="L97" s="124">
        <f t="shared" si="117"/>
        <v>209223.05499999993</v>
      </c>
      <c r="M97" s="124">
        <f t="shared" si="117"/>
        <v>223558.83999999997</v>
      </c>
      <c r="N97" s="124">
        <f t="shared" si="117"/>
        <v>237894.625</v>
      </c>
      <c r="O97" s="51">
        <f>SUM(C97:N97)</f>
        <v>1950981.0449999995</v>
      </c>
      <c r="P97" s="51">
        <f>O97/12</f>
        <v>162581.75374999995</v>
      </c>
      <c r="Q97" s="124">
        <f t="shared" ref="Q97:AB97" si="118">SUM(Q95:Q96)</f>
        <v>259676.19499999995</v>
      </c>
      <c r="R97" s="35">
        <f t="shared" si="118"/>
        <v>260276.19499999995</v>
      </c>
      <c r="S97" s="35">
        <f t="shared" si="118"/>
        <v>260276.19499999995</v>
      </c>
      <c r="T97" s="35">
        <f t="shared" si="118"/>
        <v>260276.19499999995</v>
      </c>
      <c r="U97" s="35">
        <f t="shared" si="118"/>
        <v>260276.19499999995</v>
      </c>
      <c r="V97" s="35">
        <f t="shared" si="118"/>
        <v>260276.19499999995</v>
      </c>
      <c r="W97" s="35">
        <f t="shared" si="118"/>
        <v>260276.19499999995</v>
      </c>
      <c r="X97" s="124">
        <f t="shared" si="118"/>
        <v>260276.19499999995</v>
      </c>
      <c r="Y97" s="124">
        <f t="shared" si="118"/>
        <v>260276.19499999995</v>
      </c>
      <c r="Z97" s="124">
        <f t="shared" si="118"/>
        <v>260276.19499999995</v>
      </c>
      <c r="AA97" s="124">
        <f t="shared" si="118"/>
        <v>260276.19499999995</v>
      </c>
      <c r="AB97" s="124">
        <f t="shared" si="118"/>
        <v>260276.19499999995</v>
      </c>
      <c r="AC97" s="51">
        <f>SUM(Q97:AB97)</f>
        <v>3122714.3399999985</v>
      </c>
      <c r="AD97" s="51">
        <f>AC97/12</f>
        <v>260226.19499999986</v>
      </c>
      <c r="AE97" s="124">
        <f t="shared" ref="AE97:AP97" si="119">SUM(AE95:AE96)</f>
        <v>299643.54999999981</v>
      </c>
      <c r="AF97" s="35">
        <f t="shared" si="119"/>
        <v>300243.54999999981</v>
      </c>
      <c r="AG97" s="35">
        <f t="shared" si="119"/>
        <v>300243.54999999981</v>
      </c>
      <c r="AH97" s="35">
        <f t="shared" si="119"/>
        <v>300243.54999999981</v>
      </c>
      <c r="AI97" s="35">
        <f t="shared" si="119"/>
        <v>300243.54999999981</v>
      </c>
      <c r="AJ97" s="35">
        <f t="shared" si="119"/>
        <v>300243.54999999981</v>
      </c>
      <c r="AK97" s="35">
        <f t="shared" si="119"/>
        <v>300243.54999999981</v>
      </c>
      <c r="AL97" s="124">
        <f t="shared" si="119"/>
        <v>300243.54999999981</v>
      </c>
      <c r="AM97" s="124">
        <f t="shared" si="119"/>
        <v>300243.54999999981</v>
      </c>
      <c r="AN97" s="124">
        <f t="shared" si="119"/>
        <v>300243.54999999981</v>
      </c>
      <c r="AO97" s="124">
        <f t="shared" si="119"/>
        <v>300243.54999999981</v>
      </c>
      <c r="AP97" s="124">
        <f t="shared" si="119"/>
        <v>300243.54999999981</v>
      </c>
      <c r="AQ97" s="51">
        <f>SUM(AE97:AP97)</f>
        <v>3602322.5999999978</v>
      </c>
      <c r="AR97" s="51">
        <f>AQ97/12</f>
        <v>300193.54999999981</v>
      </c>
      <c r="AS97" s="123">
        <f>O97+AC97+AQ97</f>
        <v>8676017.9849999957</v>
      </c>
    </row>
    <row r="98" spans="1:45" s="34" customFormat="1" ht="10.5" x14ac:dyDescent="0.2">
      <c r="A98" s="188" t="s">
        <v>16</v>
      </c>
      <c r="B98" s="23" t="str">
        <f>CHOOSE('Исходные данные'!$O$2,'Исходные данные'!$P$2,'Исходные данные'!$P$3,'Исходные данные'!$P$4,'Исходные данные'!$P$5)</f>
        <v>UAH</v>
      </c>
      <c r="C98" s="124">
        <f t="shared" ref="C98:N98" si="120">-(C56)</f>
        <v>-560000</v>
      </c>
      <c r="D98" s="124">
        <f t="shared" si="120"/>
        <v>0</v>
      </c>
      <c r="E98" s="124">
        <f t="shared" si="120"/>
        <v>0</v>
      </c>
      <c r="F98" s="124">
        <f t="shared" si="120"/>
        <v>0</v>
      </c>
      <c r="G98" s="124">
        <f t="shared" si="120"/>
        <v>0</v>
      </c>
      <c r="H98" s="124">
        <f t="shared" si="120"/>
        <v>0</v>
      </c>
      <c r="I98" s="124">
        <f t="shared" si="120"/>
        <v>0</v>
      </c>
      <c r="J98" s="124">
        <f t="shared" si="120"/>
        <v>0</v>
      </c>
      <c r="K98" s="124">
        <f t="shared" si="120"/>
        <v>0</v>
      </c>
      <c r="L98" s="124">
        <f t="shared" si="120"/>
        <v>0</v>
      </c>
      <c r="M98" s="124">
        <f t="shared" si="120"/>
        <v>0</v>
      </c>
      <c r="N98" s="124">
        <f t="shared" si="120"/>
        <v>0</v>
      </c>
      <c r="O98" s="51">
        <f>SUM(C98:N98)</f>
        <v>-560000</v>
      </c>
      <c r="P98" s="51"/>
      <c r="Q98" s="124">
        <f t="shared" ref="Q98:AB98" si="121">-(Q56)</f>
        <v>0</v>
      </c>
      <c r="R98" s="124">
        <f t="shared" si="121"/>
        <v>0</v>
      </c>
      <c r="S98" s="124">
        <f t="shared" si="121"/>
        <v>0</v>
      </c>
      <c r="T98" s="124">
        <f t="shared" si="121"/>
        <v>0</v>
      </c>
      <c r="U98" s="124">
        <f t="shared" si="121"/>
        <v>0</v>
      </c>
      <c r="V98" s="124">
        <f t="shared" si="121"/>
        <v>0</v>
      </c>
      <c r="W98" s="124">
        <f t="shared" si="121"/>
        <v>0</v>
      </c>
      <c r="X98" s="124">
        <f t="shared" si="121"/>
        <v>0</v>
      </c>
      <c r="Y98" s="124">
        <f t="shared" si="121"/>
        <v>0</v>
      </c>
      <c r="Z98" s="124">
        <f t="shared" si="121"/>
        <v>0</v>
      </c>
      <c r="AA98" s="124">
        <f t="shared" si="121"/>
        <v>0</v>
      </c>
      <c r="AB98" s="124">
        <f t="shared" si="121"/>
        <v>0</v>
      </c>
      <c r="AC98" s="51">
        <f>SUM(Q98:AB98)</f>
        <v>0</v>
      </c>
      <c r="AD98" s="51"/>
      <c r="AE98" s="124">
        <f t="shared" ref="AE98:AP98" si="122">-(AE56)</f>
        <v>0</v>
      </c>
      <c r="AF98" s="124">
        <f t="shared" si="122"/>
        <v>0</v>
      </c>
      <c r="AG98" s="124">
        <f t="shared" si="122"/>
        <v>0</v>
      </c>
      <c r="AH98" s="124">
        <f t="shared" si="122"/>
        <v>0</v>
      </c>
      <c r="AI98" s="124">
        <f t="shared" si="122"/>
        <v>0</v>
      </c>
      <c r="AJ98" s="124">
        <f t="shared" si="122"/>
        <v>0</v>
      </c>
      <c r="AK98" s="124">
        <f t="shared" si="122"/>
        <v>0</v>
      </c>
      <c r="AL98" s="124">
        <f t="shared" si="122"/>
        <v>0</v>
      </c>
      <c r="AM98" s="124">
        <f t="shared" si="122"/>
        <v>0</v>
      </c>
      <c r="AN98" s="124">
        <f t="shared" si="122"/>
        <v>0</v>
      </c>
      <c r="AO98" s="124">
        <f t="shared" si="122"/>
        <v>0</v>
      </c>
      <c r="AP98" s="124">
        <f t="shared" si="122"/>
        <v>0</v>
      </c>
      <c r="AQ98" s="51">
        <f>SUM(AE98:AP98)</f>
        <v>0</v>
      </c>
      <c r="AR98" s="51"/>
      <c r="AS98" s="123">
        <f>O98+AC98+AQ98</f>
        <v>-560000</v>
      </c>
    </row>
    <row r="99" spans="1:45" s="66" customFormat="1" ht="10.5" x14ac:dyDescent="0.2">
      <c r="A99" s="188" t="s">
        <v>17</v>
      </c>
      <c r="B99" s="64" t="str">
        <f>CHOOSE('Исходные данные'!$O$2,'Исходные данные'!$P$2,'Исходные данные'!$P$3,'Исходные данные'!$P$4,'Исходные данные'!$P$5)</f>
        <v>UAH</v>
      </c>
      <c r="C99" s="122">
        <f>C56</f>
        <v>560000</v>
      </c>
      <c r="D99" s="122">
        <f t="shared" ref="D99:N99" si="123">D56</f>
        <v>0</v>
      </c>
      <c r="E99" s="122">
        <f t="shared" si="123"/>
        <v>0</v>
      </c>
      <c r="F99" s="122">
        <f t="shared" si="123"/>
        <v>0</v>
      </c>
      <c r="G99" s="122">
        <f t="shared" si="123"/>
        <v>0</v>
      </c>
      <c r="H99" s="122">
        <f t="shared" si="123"/>
        <v>0</v>
      </c>
      <c r="I99" s="122">
        <f t="shared" si="123"/>
        <v>0</v>
      </c>
      <c r="J99" s="122">
        <f t="shared" si="123"/>
        <v>0</v>
      </c>
      <c r="K99" s="122">
        <f t="shared" si="123"/>
        <v>0</v>
      </c>
      <c r="L99" s="122">
        <f t="shared" si="123"/>
        <v>0</v>
      </c>
      <c r="M99" s="122">
        <f t="shared" si="123"/>
        <v>0</v>
      </c>
      <c r="N99" s="122">
        <f t="shared" si="123"/>
        <v>0</v>
      </c>
      <c r="O99" s="51">
        <f>SUM(C99:N99)</f>
        <v>560000</v>
      </c>
      <c r="P99" s="51"/>
      <c r="Q99" s="122">
        <f>Q56</f>
        <v>0</v>
      </c>
      <c r="R99" s="122">
        <f t="shared" ref="R99:AB99" si="124">R56</f>
        <v>0</v>
      </c>
      <c r="S99" s="122">
        <f t="shared" si="124"/>
        <v>0</v>
      </c>
      <c r="T99" s="122">
        <f t="shared" si="124"/>
        <v>0</v>
      </c>
      <c r="U99" s="122">
        <f t="shared" si="124"/>
        <v>0</v>
      </c>
      <c r="V99" s="122">
        <f t="shared" si="124"/>
        <v>0</v>
      </c>
      <c r="W99" s="122">
        <f t="shared" si="124"/>
        <v>0</v>
      </c>
      <c r="X99" s="122">
        <f t="shared" si="124"/>
        <v>0</v>
      </c>
      <c r="Y99" s="122">
        <f t="shared" si="124"/>
        <v>0</v>
      </c>
      <c r="Z99" s="122">
        <f t="shared" si="124"/>
        <v>0</v>
      </c>
      <c r="AA99" s="122">
        <f t="shared" si="124"/>
        <v>0</v>
      </c>
      <c r="AB99" s="122">
        <f t="shared" si="124"/>
        <v>0</v>
      </c>
      <c r="AC99" s="51">
        <f>SUM(Q99:AB99)</f>
        <v>0</v>
      </c>
      <c r="AD99" s="51"/>
      <c r="AE99" s="122">
        <f>AE56</f>
        <v>0</v>
      </c>
      <c r="AF99" s="122">
        <f t="shared" ref="AF99:AP99" si="125">AF56</f>
        <v>0</v>
      </c>
      <c r="AG99" s="122">
        <f t="shared" si="125"/>
        <v>0</v>
      </c>
      <c r="AH99" s="122">
        <f t="shared" si="125"/>
        <v>0</v>
      </c>
      <c r="AI99" s="122">
        <f t="shared" si="125"/>
        <v>0</v>
      </c>
      <c r="AJ99" s="122">
        <f t="shared" si="125"/>
        <v>0</v>
      </c>
      <c r="AK99" s="122">
        <f t="shared" si="125"/>
        <v>0</v>
      </c>
      <c r="AL99" s="122">
        <f t="shared" si="125"/>
        <v>0</v>
      </c>
      <c r="AM99" s="122">
        <f t="shared" si="125"/>
        <v>0</v>
      </c>
      <c r="AN99" s="122">
        <f t="shared" si="125"/>
        <v>0</v>
      </c>
      <c r="AO99" s="122">
        <f t="shared" si="125"/>
        <v>0</v>
      </c>
      <c r="AP99" s="122">
        <f t="shared" si="125"/>
        <v>0</v>
      </c>
      <c r="AQ99" s="51">
        <f>SUM(AE99:AP99)</f>
        <v>0</v>
      </c>
      <c r="AR99" s="51"/>
      <c r="AS99" s="121">
        <f>O99+AC99+AQ99</f>
        <v>560000</v>
      </c>
    </row>
    <row r="100" spans="1:45" s="34" customFormat="1" ht="10.5" x14ac:dyDescent="0.2">
      <c r="A100" s="188" t="s">
        <v>18</v>
      </c>
      <c r="B100" s="23" t="str">
        <f>CHOOSE('Исходные данные'!$O$2,'Исходные данные'!$P$2,'Исходные данные'!$P$3,'Исходные данные'!$P$4,'Исходные данные'!$P$5)</f>
        <v>UAH</v>
      </c>
      <c r="C100" s="124">
        <v>0</v>
      </c>
      <c r="D100" s="35">
        <f>C101</f>
        <v>50929.419999999984</v>
      </c>
      <c r="E100" s="35">
        <f t="shared" ref="E100:N100" si="126">D101</f>
        <v>131130.40999999992</v>
      </c>
      <c r="F100" s="35">
        <f t="shared" si="126"/>
        <v>240002.96999999986</v>
      </c>
      <c r="G100" s="35">
        <f t="shared" si="126"/>
        <v>377547.0999999998</v>
      </c>
      <c r="H100" s="35">
        <f t="shared" si="126"/>
        <v>543762.79999999981</v>
      </c>
      <c r="I100" s="35">
        <f t="shared" si="126"/>
        <v>709978.49999999977</v>
      </c>
      <c r="J100" s="124">
        <f t="shared" si="126"/>
        <v>890529.98499999964</v>
      </c>
      <c r="K100" s="124">
        <f t="shared" si="126"/>
        <v>1085417.2549999994</v>
      </c>
      <c r="L100" s="124">
        <f t="shared" si="126"/>
        <v>1280304.5249999994</v>
      </c>
      <c r="M100" s="124">
        <f t="shared" si="126"/>
        <v>1489527.5799999994</v>
      </c>
      <c r="N100" s="124">
        <f t="shared" si="126"/>
        <v>1713086.4199999995</v>
      </c>
      <c r="O100" s="125">
        <f>C100</f>
        <v>0</v>
      </c>
      <c r="P100" s="125"/>
      <c r="Q100" s="124">
        <f>N101</f>
        <v>1950981.0449999995</v>
      </c>
      <c r="R100" s="35">
        <f t="shared" ref="R100:AB100" si="127">Q101</f>
        <v>2210657.2399999993</v>
      </c>
      <c r="S100" s="35">
        <f t="shared" si="127"/>
        <v>2470933.4349999991</v>
      </c>
      <c r="T100" s="35">
        <f t="shared" si="127"/>
        <v>2731209.629999999</v>
      </c>
      <c r="U100" s="35">
        <f t="shared" si="127"/>
        <v>2991485.8249999988</v>
      </c>
      <c r="V100" s="35">
        <f t="shared" si="127"/>
        <v>3251762.0199999986</v>
      </c>
      <c r="W100" s="35">
        <f t="shared" si="127"/>
        <v>3512038.2149999985</v>
      </c>
      <c r="X100" s="124">
        <f t="shared" si="127"/>
        <v>3772314.4099999983</v>
      </c>
      <c r="Y100" s="124">
        <f t="shared" si="127"/>
        <v>4032590.6049999981</v>
      </c>
      <c r="Z100" s="124">
        <f t="shared" si="127"/>
        <v>4292866.799999998</v>
      </c>
      <c r="AA100" s="124">
        <f t="shared" si="127"/>
        <v>4553142.9949999982</v>
      </c>
      <c r="AB100" s="124">
        <f t="shared" si="127"/>
        <v>4813419.1899999985</v>
      </c>
      <c r="AC100" s="125">
        <f>Q100</f>
        <v>1950981.0449999995</v>
      </c>
      <c r="AD100" s="125"/>
      <c r="AE100" s="124">
        <f>AB101</f>
        <v>5073695.3849999988</v>
      </c>
      <c r="AF100" s="35">
        <f t="shared" ref="AF100:AP100" si="128">AE101</f>
        <v>5373338.9349999987</v>
      </c>
      <c r="AG100" s="35">
        <f t="shared" si="128"/>
        <v>5673582.4849999985</v>
      </c>
      <c r="AH100" s="35">
        <f t="shared" si="128"/>
        <v>5973826.0349999983</v>
      </c>
      <c r="AI100" s="35">
        <f t="shared" si="128"/>
        <v>6274069.5849999981</v>
      </c>
      <c r="AJ100" s="35">
        <f t="shared" si="128"/>
        <v>6574313.1349999979</v>
      </c>
      <c r="AK100" s="35">
        <f t="shared" si="128"/>
        <v>6874556.6849999977</v>
      </c>
      <c r="AL100" s="124">
        <f t="shared" si="128"/>
        <v>7174800.2349999975</v>
      </c>
      <c r="AM100" s="124">
        <f t="shared" si="128"/>
        <v>7475043.7849999974</v>
      </c>
      <c r="AN100" s="124">
        <f t="shared" si="128"/>
        <v>7775287.3349999972</v>
      </c>
      <c r="AO100" s="124">
        <f t="shared" si="128"/>
        <v>8075530.884999997</v>
      </c>
      <c r="AP100" s="124">
        <f t="shared" si="128"/>
        <v>8375774.4349999968</v>
      </c>
      <c r="AQ100" s="125">
        <f>AE100</f>
        <v>5073695.3849999988</v>
      </c>
      <c r="AR100" s="125"/>
      <c r="AS100" s="123">
        <f>O100</f>
        <v>0</v>
      </c>
    </row>
    <row r="101" spans="1:45" s="34" customFormat="1" ht="10.5" x14ac:dyDescent="0.2">
      <c r="A101" s="188" t="s">
        <v>19</v>
      </c>
      <c r="B101" s="23" t="str">
        <f>CHOOSE('Исходные данные'!$O$2,'Исходные данные'!$P$2,'Исходные данные'!$P$3,'Исходные данные'!$P$4,'Исходные данные'!$P$5)</f>
        <v>UAH</v>
      </c>
      <c r="C101" s="124">
        <f>C97+C98+C99+C100</f>
        <v>50929.419999999984</v>
      </c>
      <c r="D101" s="35">
        <f>D97+D98+D99+D100</f>
        <v>131130.40999999992</v>
      </c>
      <c r="E101" s="35">
        <f t="shared" ref="E101:N101" si="129">E97+E98+E99+E100</f>
        <v>240002.96999999986</v>
      </c>
      <c r="F101" s="35">
        <f t="shared" si="129"/>
        <v>377547.0999999998</v>
      </c>
      <c r="G101" s="35">
        <f t="shared" si="129"/>
        <v>543762.79999999981</v>
      </c>
      <c r="H101" s="35">
        <f t="shared" si="129"/>
        <v>709978.49999999977</v>
      </c>
      <c r="I101" s="35">
        <f t="shared" si="129"/>
        <v>890529.98499999964</v>
      </c>
      <c r="J101" s="124">
        <f t="shared" si="129"/>
        <v>1085417.2549999994</v>
      </c>
      <c r="K101" s="124">
        <f t="shared" si="129"/>
        <v>1280304.5249999994</v>
      </c>
      <c r="L101" s="124">
        <f t="shared" si="129"/>
        <v>1489527.5799999994</v>
      </c>
      <c r="M101" s="124">
        <f t="shared" si="129"/>
        <v>1713086.4199999995</v>
      </c>
      <c r="N101" s="124">
        <f t="shared" si="129"/>
        <v>1950981.0449999995</v>
      </c>
      <c r="O101" s="125">
        <f>N101</f>
        <v>1950981.0449999995</v>
      </c>
      <c r="P101" s="125"/>
      <c r="Q101" s="124">
        <f>Q97+Q98+Q99+Q100</f>
        <v>2210657.2399999993</v>
      </c>
      <c r="R101" s="35">
        <f>R97+R98+R99+R100</f>
        <v>2470933.4349999991</v>
      </c>
      <c r="S101" s="35">
        <f t="shared" ref="S101:AB101" si="130">S97+S98+S99+S100</f>
        <v>2731209.629999999</v>
      </c>
      <c r="T101" s="35">
        <f t="shared" si="130"/>
        <v>2991485.8249999988</v>
      </c>
      <c r="U101" s="35">
        <f t="shared" si="130"/>
        <v>3251762.0199999986</v>
      </c>
      <c r="V101" s="35">
        <f t="shared" si="130"/>
        <v>3512038.2149999985</v>
      </c>
      <c r="W101" s="35">
        <f t="shared" si="130"/>
        <v>3772314.4099999983</v>
      </c>
      <c r="X101" s="124">
        <f t="shared" si="130"/>
        <v>4032590.6049999981</v>
      </c>
      <c r="Y101" s="124">
        <f t="shared" si="130"/>
        <v>4292866.799999998</v>
      </c>
      <c r="Z101" s="124">
        <f t="shared" si="130"/>
        <v>4553142.9949999982</v>
      </c>
      <c r="AA101" s="124">
        <f t="shared" si="130"/>
        <v>4813419.1899999985</v>
      </c>
      <c r="AB101" s="124">
        <f t="shared" si="130"/>
        <v>5073695.3849999988</v>
      </c>
      <c r="AC101" s="125">
        <f>AB101</f>
        <v>5073695.3849999988</v>
      </c>
      <c r="AD101" s="125"/>
      <c r="AE101" s="124">
        <f>AE97+AE98+AE99+AE100</f>
        <v>5373338.9349999987</v>
      </c>
      <c r="AF101" s="35">
        <f>AF97+AF98+AF99+AF100</f>
        <v>5673582.4849999985</v>
      </c>
      <c r="AG101" s="35">
        <f t="shared" ref="AG101:AP101" si="131">AG97+AG98+AG99+AG100</f>
        <v>5973826.0349999983</v>
      </c>
      <c r="AH101" s="35">
        <f t="shared" si="131"/>
        <v>6274069.5849999981</v>
      </c>
      <c r="AI101" s="35">
        <f t="shared" si="131"/>
        <v>6574313.1349999979</v>
      </c>
      <c r="AJ101" s="35">
        <f t="shared" si="131"/>
        <v>6874556.6849999977</v>
      </c>
      <c r="AK101" s="35">
        <f t="shared" si="131"/>
        <v>7174800.2349999975</v>
      </c>
      <c r="AL101" s="124">
        <f t="shared" si="131"/>
        <v>7475043.7849999974</v>
      </c>
      <c r="AM101" s="124">
        <f t="shared" si="131"/>
        <v>7775287.3349999972</v>
      </c>
      <c r="AN101" s="124">
        <f t="shared" si="131"/>
        <v>8075530.884999997</v>
      </c>
      <c r="AO101" s="124">
        <f t="shared" si="131"/>
        <v>8375774.4349999968</v>
      </c>
      <c r="AP101" s="124">
        <f t="shared" si="131"/>
        <v>8676017.9849999957</v>
      </c>
      <c r="AQ101" s="125">
        <f>AP101</f>
        <v>8676017.9849999957</v>
      </c>
      <c r="AR101" s="125"/>
      <c r="AS101" s="123">
        <f>AQ101</f>
        <v>8676017.9849999957</v>
      </c>
    </row>
    <row r="102" spans="1:45" s="19" customFormat="1" ht="11" thickBot="1" x14ac:dyDescent="0.3">
      <c r="O102" s="54"/>
      <c r="P102" s="54"/>
      <c r="AC102" s="54"/>
      <c r="AD102" s="54"/>
      <c r="AQ102" s="54"/>
      <c r="AR102" s="54"/>
    </row>
    <row r="103" spans="1:45" s="19" customFormat="1" ht="11.5" thickTop="1" thickBot="1" x14ac:dyDescent="0.25">
      <c r="A103" s="17" t="s">
        <v>20</v>
      </c>
      <c r="B103" s="18"/>
      <c r="C103" s="18" t="str">
        <f t="shared" ref="C103:AP103" si="132">C$6</f>
        <v>октябрь</v>
      </c>
      <c r="D103" s="18" t="str">
        <f t="shared" si="132"/>
        <v>ноябрь</v>
      </c>
      <c r="E103" s="18" t="str">
        <f t="shared" si="132"/>
        <v>декабрь</v>
      </c>
      <c r="F103" s="18" t="str">
        <f t="shared" si="132"/>
        <v>январь</v>
      </c>
      <c r="G103" s="18" t="str">
        <f t="shared" si="132"/>
        <v>февраль</v>
      </c>
      <c r="H103" s="18" t="str">
        <f t="shared" si="132"/>
        <v>март</v>
      </c>
      <c r="I103" s="18" t="str">
        <f t="shared" si="132"/>
        <v>апрель</v>
      </c>
      <c r="J103" s="18" t="str">
        <f t="shared" si="132"/>
        <v>май</v>
      </c>
      <c r="K103" s="18" t="str">
        <f t="shared" si="132"/>
        <v>июнь</v>
      </c>
      <c r="L103" s="18" t="str">
        <f t="shared" si="132"/>
        <v>июль</v>
      </c>
      <c r="M103" s="18" t="str">
        <f t="shared" si="132"/>
        <v>август</v>
      </c>
      <c r="N103" s="18" t="str">
        <f t="shared" si="132"/>
        <v>сентябрь</v>
      </c>
      <c r="O103" s="110"/>
      <c r="P103" s="110"/>
      <c r="Q103" s="18" t="str">
        <f t="shared" si="132"/>
        <v>октябрь</v>
      </c>
      <c r="R103" s="18" t="str">
        <f t="shared" si="132"/>
        <v>ноябрь</v>
      </c>
      <c r="S103" s="18" t="str">
        <f t="shared" si="132"/>
        <v>декабрь</v>
      </c>
      <c r="T103" s="18" t="str">
        <f t="shared" si="132"/>
        <v>январь</v>
      </c>
      <c r="U103" s="18" t="str">
        <f t="shared" si="132"/>
        <v>февраль</v>
      </c>
      <c r="V103" s="18" t="str">
        <f t="shared" si="132"/>
        <v>март</v>
      </c>
      <c r="W103" s="18" t="str">
        <f t="shared" si="132"/>
        <v>апрель</v>
      </c>
      <c r="X103" s="18" t="str">
        <f t="shared" si="132"/>
        <v>май</v>
      </c>
      <c r="Y103" s="18" t="str">
        <f t="shared" si="132"/>
        <v>июнь</v>
      </c>
      <c r="Z103" s="18" t="str">
        <f t="shared" si="132"/>
        <v>июль</v>
      </c>
      <c r="AA103" s="18" t="str">
        <f t="shared" si="132"/>
        <v>август</v>
      </c>
      <c r="AB103" s="18" t="str">
        <f t="shared" si="132"/>
        <v>сентябрь</v>
      </c>
      <c r="AC103" s="110"/>
      <c r="AD103" s="110"/>
      <c r="AE103" s="18" t="str">
        <f t="shared" si="132"/>
        <v>октябрь</v>
      </c>
      <c r="AF103" s="18" t="str">
        <f t="shared" si="132"/>
        <v>ноябрь</v>
      </c>
      <c r="AG103" s="18" t="str">
        <f t="shared" si="132"/>
        <v>декабрь</v>
      </c>
      <c r="AH103" s="18" t="str">
        <f t="shared" si="132"/>
        <v>январь</v>
      </c>
      <c r="AI103" s="18" t="str">
        <f t="shared" si="132"/>
        <v>февраль</v>
      </c>
      <c r="AJ103" s="18" t="str">
        <f t="shared" si="132"/>
        <v>март</v>
      </c>
      <c r="AK103" s="18" t="str">
        <f t="shared" si="132"/>
        <v>апрель</v>
      </c>
      <c r="AL103" s="18" t="str">
        <f t="shared" si="132"/>
        <v>май</v>
      </c>
      <c r="AM103" s="18" t="str">
        <f t="shared" si="132"/>
        <v>июнь</v>
      </c>
      <c r="AN103" s="18" t="str">
        <f t="shared" si="132"/>
        <v>июль</v>
      </c>
      <c r="AO103" s="18" t="str">
        <f t="shared" si="132"/>
        <v>август</v>
      </c>
      <c r="AP103" s="18" t="str">
        <f t="shared" si="132"/>
        <v>сентябрь</v>
      </c>
      <c r="AQ103" s="110"/>
      <c r="AR103" s="110"/>
      <c r="AS103" s="18"/>
    </row>
    <row r="104" spans="1:45" s="19" customFormat="1" ht="14.5" thickTop="1" x14ac:dyDescent="0.25">
      <c r="A104" s="43"/>
      <c r="B104" s="44"/>
      <c r="C104" s="43"/>
      <c r="D104" s="43"/>
      <c r="E104" s="43"/>
      <c r="F104" s="43"/>
      <c r="G104" s="43"/>
      <c r="H104" s="43"/>
      <c r="I104" s="45"/>
      <c r="O104" s="54"/>
      <c r="P104" s="54"/>
      <c r="Q104" s="43"/>
      <c r="R104" s="43"/>
      <c r="S104" s="43"/>
      <c r="T104" s="43"/>
      <c r="U104" s="43"/>
      <c r="V104" s="43"/>
      <c r="W104" s="45"/>
      <c r="AC104" s="54"/>
      <c r="AD104" s="54"/>
      <c r="AE104" s="43"/>
      <c r="AF104" s="43"/>
      <c r="AG104" s="43"/>
      <c r="AH104" s="43"/>
      <c r="AI104" s="43"/>
      <c r="AJ104" s="43"/>
      <c r="AK104" s="45"/>
      <c r="AQ104" s="54"/>
      <c r="AR104" s="54"/>
      <c r="AS104" s="46"/>
    </row>
    <row r="105" spans="1:45" s="48" customFormat="1" ht="10.5" x14ac:dyDescent="0.2">
      <c r="A105" s="47" t="s">
        <v>101</v>
      </c>
      <c r="B105" s="173">
        <f>'Исходные данные'!J48</f>
        <v>0.1</v>
      </c>
      <c r="C105" s="171">
        <f>1/POWER((1+$B$105/12),C106)</f>
        <v>1</v>
      </c>
      <c r="D105" s="171">
        <f t="shared" ref="D105:N105" si="133">1/POWER((1+$B$105/12),D106)</f>
        <v>0.99173553719008267</v>
      </c>
      <c r="E105" s="171">
        <f t="shared" si="133"/>
        <v>0.98353937572570183</v>
      </c>
      <c r="F105" s="171">
        <f t="shared" si="133"/>
        <v>0.97541095113292753</v>
      </c>
      <c r="G105" s="171">
        <f t="shared" si="133"/>
        <v>0.9673497036029034</v>
      </c>
      <c r="H105" s="171">
        <f t="shared" si="133"/>
        <v>0.95935507795329267</v>
      </c>
      <c r="I105" s="171">
        <f t="shared" si="133"/>
        <v>0.95142652359004232</v>
      </c>
      <c r="J105" s="171">
        <f t="shared" si="133"/>
        <v>0.94356349446946353</v>
      </c>
      <c r="K105" s="171">
        <f t="shared" si="133"/>
        <v>0.93576544906062498</v>
      </c>
      <c r="L105" s="171">
        <f t="shared" si="133"/>
        <v>0.9280318503080579</v>
      </c>
      <c r="M105" s="171">
        <f t="shared" si="133"/>
        <v>0.92036216559476813</v>
      </c>
      <c r="N105" s="171">
        <f t="shared" si="133"/>
        <v>0.91275586670555531</v>
      </c>
      <c r="O105" s="111"/>
      <c r="P105" s="111"/>
      <c r="Q105" s="171">
        <f t="shared" ref="Q105:AB105" si="134">1/POWER((1+$B$105/12),Q106)</f>
        <v>0.90521242979063321</v>
      </c>
      <c r="R105" s="171">
        <f t="shared" si="134"/>
        <v>0.89773133532955385</v>
      </c>
      <c r="S105" s="171">
        <f t="shared" si="134"/>
        <v>0.89031206809542529</v>
      </c>
      <c r="T105" s="171">
        <f t="shared" si="134"/>
        <v>0.88295411711943006</v>
      </c>
      <c r="U105" s="171">
        <f t="shared" si="134"/>
        <v>0.87565697565563305</v>
      </c>
      <c r="V105" s="171">
        <f t="shared" si="134"/>
        <v>0.86842014114608246</v>
      </c>
      <c r="W105" s="171">
        <f t="shared" si="134"/>
        <v>0.86124311518619745</v>
      </c>
      <c r="X105" s="171">
        <f t="shared" si="134"/>
        <v>0.85412540349044375</v>
      </c>
      <c r="Y105" s="171">
        <f t="shared" si="134"/>
        <v>0.84706651585829151</v>
      </c>
      <c r="Z105" s="171">
        <f t="shared" si="134"/>
        <v>0.84006596614045448</v>
      </c>
      <c r="AA105" s="171">
        <f t="shared" si="134"/>
        <v>0.83312327220540916</v>
      </c>
      <c r="AB105" s="171">
        <f t="shared" si="134"/>
        <v>0.82623795590619109</v>
      </c>
      <c r="AC105" s="111"/>
      <c r="AD105" s="111"/>
      <c r="AE105" s="171">
        <f t="shared" ref="AE105:AP105" si="135">1/POWER((1+$B$105/12),AE106)</f>
        <v>0.81940954304746227</v>
      </c>
      <c r="AF105" s="171">
        <f t="shared" si="135"/>
        <v>0.81263756335285531</v>
      </c>
      <c r="AG105" s="171">
        <f t="shared" si="135"/>
        <v>0.80592155043258373</v>
      </c>
      <c r="AH105" s="171">
        <f t="shared" si="135"/>
        <v>0.79926104175132262</v>
      </c>
      <c r="AI105" s="171">
        <f t="shared" si="135"/>
        <v>0.79265557859635305</v>
      </c>
      <c r="AJ105" s="171">
        <f t="shared" si="135"/>
        <v>0.78610470604597016</v>
      </c>
      <c r="AK105" s="171">
        <f t="shared" si="135"/>
        <v>0.77960797293815209</v>
      </c>
      <c r="AL105" s="171">
        <f t="shared" si="135"/>
        <v>0.77316493183948976</v>
      </c>
      <c r="AM105" s="171">
        <f t="shared" si="135"/>
        <v>0.76677513901437</v>
      </c>
      <c r="AN105" s="171">
        <f t="shared" si="135"/>
        <v>0.76043815439441664</v>
      </c>
      <c r="AO105" s="171">
        <f t="shared" si="135"/>
        <v>0.75415354154818171</v>
      </c>
      <c r="AP105" s="171">
        <f t="shared" si="135"/>
        <v>0.74792086765108945</v>
      </c>
      <c r="AQ105" s="111"/>
      <c r="AR105" s="111"/>
      <c r="AS105" s="49"/>
    </row>
    <row r="106" spans="1:45" s="177" customFormat="1" ht="10.5" hidden="1" x14ac:dyDescent="0.25">
      <c r="A106" s="172"/>
      <c r="B106" s="173"/>
      <c r="C106" s="174">
        <v>0</v>
      </c>
      <c r="D106" s="174">
        <v>1</v>
      </c>
      <c r="E106" s="174">
        <v>2</v>
      </c>
      <c r="F106" s="174">
        <v>3</v>
      </c>
      <c r="G106" s="174">
        <v>4</v>
      </c>
      <c r="H106" s="174">
        <v>5</v>
      </c>
      <c r="I106" s="174">
        <v>6</v>
      </c>
      <c r="J106" s="174">
        <v>7</v>
      </c>
      <c r="K106" s="174">
        <v>8</v>
      </c>
      <c r="L106" s="174">
        <v>9</v>
      </c>
      <c r="M106" s="174">
        <v>10</v>
      </c>
      <c r="N106" s="174">
        <v>11</v>
      </c>
      <c r="O106" s="175"/>
      <c r="P106" s="175"/>
      <c r="Q106" s="174">
        <v>12</v>
      </c>
      <c r="R106" s="174">
        <v>13</v>
      </c>
      <c r="S106" s="174">
        <v>14</v>
      </c>
      <c r="T106" s="174">
        <v>15</v>
      </c>
      <c r="U106" s="174">
        <v>16</v>
      </c>
      <c r="V106" s="174">
        <v>17</v>
      </c>
      <c r="W106" s="174">
        <v>18</v>
      </c>
      <c r="X106" s="174">
        <v>19</v>
      </c>
      <c r="Y106" s="174">
        <v>20</v>
      </c>
      <c r="Z106" s="174">
        <v>21</v>
      </c>
      <c r="AA106" s="174">
        <v>22</v>
      </c>
      <c r="AB106" s="174">
        <v>23</v>
      </c>
      <c r="AC106" s="175"/>
      <c r="AD106" s="175"/>
      <c r="AE106" s="174">
        <v>24</v>
      </c>
      <c r="AF106" s="174">
        <v>25</v>
      </c>
      <c r="AG106" s="174">
        <v>26</v>
      </c>
      <c r="AH106" s="174">
        <v>27</v>
      </c>
      <c r="AI106" s="174">
        <v>28</v>
      </c>
      <c r="AJ106" s="174">
        <v>29</v>
      </c>
      <c r="AK106" s="174">
        <v>30</v>
      </c>
      <c r="AL106" s="174">
        <v>31</v>
      </c>
      <c r="AM106" s="174">
        <v>32</v>
      </c>
      <c r="AN106" s="174">
        <v>33</v>
      </c>
      <c r="AO106" s="174">
        <v>34</v>
      </c>
      <c r="AP106" s="174">
        <v>35</v>
      </c>
      <c r="AQ106" s="175"/>
      <c r="AR106" s="175"/>
      <c r="AS106" s="176"/>
    </row>
    <row r="107" spans="1:45" s="177" customFormat="1" ht="10.5" x14ac:dyDescent="0.2">
      <c r="A107" s="185" t="str">
        <f>"Чистый денежный поток (NCF), "&amp;CHOOSE('Исходные данные'!$O$2,'Исходные данные'!$P$2,'Исходные данные'!$P$3,'Исходные данные'!$P$4,'Исходные данные'!$P$5)&amp;""</f>
        <v>Чистый денежный поток (NCF), UAH</v>
      </c>
      <c r="B107" s="173"/>
      <c r="C107" s="35">
        <f>C91</f>
        <v>50929.419999999984</v>
      </c>
      <c r="D107" s="35">
        <f t="shared" ref="D107:N107" si="136">D91</f>
        <v>80200.989999999874</v>
      </c>
      <c r="E107" s="35">
        <f t="shared" si="136"/>
        <v>108872.55999999994</v>
      </c>
      <c r="F107" s="35">
        <f t="shared" si="136"/>
        <v>137544.12999999995</v>
      </c>
      <c r="G107" s="35">
        <f t="shared" si="136"/>
        <v>166215.69999999995</v>
      </c>
      <c r="H107" s="35">
        <f t="shared" si="136"/>
        <v>166215.69999999995</v>
      </c>
      <c r="I107" s="35">
        <f t="shared" si="136"/>
        <v>180551.48499999999</v>
      </c>
      <c r="J107" s="35">
        <f t="shared" si="136"/>
        <v>194887.2699999999</v>
      </c>
      <c r="K107" s="35">
        <f t="shared" si="136"/>
        <v>194887.2699999999</v>
      </c>
      <c r="L107" s="35">
        <f t="shared" si="136"/>
        <v>209223.05499999993</v>
      </c>
      <c r="M107" s="35">
        <f t="shared" si="136"/>
        <v>223558.83999999997</v>
      </c>
      <c r="N107" s="35">
        <f t="shared" si="136"/>
        <v>237894.62499999994</v>
      </c>
      <c r="O107" s="175"/>
      <c r="P107" s="175"/>
      <c r="Q107" s="35">
        <f>Q91</f>
        <v>259676.19499999995</v>
      </c>
      <c r="R107" s="35">
        <f t="shared" ref="R107:AB107" si="137">R91</f>
        <v>260276.19499999995</v>
      </c>
      <c r="S107" s="35">
        <f t="shared" si="137"/>
        <v>260276.19499999995</v>
      </c>
      <c r="T107" s="35">
        <f t="shared" si="137"/>
        <v>260276.19499999995</v>
      </c>
      <c r="U107" s="35">
        <f t="shared" si="137"/>
        <v>260276.19499999995</v>
      </c>
      <c r="V107" s="35">
        <f t="shared" si="137"/>
        <v>260276.19499999995</v>
      </c>
      <c r="W107" s="35">
        <f t="shared" si="137"/>
        <v>260276.19499999995</v>
      </c>
      <c r="X107" s="35">
        <f t="shared" si="137"/>
        <v>260276.19499999995</v>
      </c>
      <c r="Y107" s="35">
        <f t="shared" si="137"/>
        <v>260276.19499999995</v>
      </c>
      <c r="Z107" s="35">
        <f t="shared" si="137"/>
        <v>260276.19499999995</v>
      </c>
      <c r="AA107" s="35">
        <f t="shared" si="137"/>
        <v>260276.19499999995</v>
      </c>
      <c r="AB107" s="35">
        <f t="shared" si="137"/>
        <v>260276.19499999995</v>
      </c>
      <c r="AC107" s="175"/>
      <c r="AD107" s="175"/>
      <c r="AE107" s="35">
        <f>AE91</f>
        <v>299643.54999999993</v>
      </c>
      <c r="AF107" s="35">
        <f t="shared" ref="AF107:AP107" si="138">AF91</f>
        <v>300243.54999999993</v>
      </c>
      <c r="AG107" s="35">
        <f t="shared" si="138"/>
        <v>300243.54999999993</v>
      </c>
      <c r="AH107" s="35">
        <f t="shared" si="138"/>
        <v>300243.54999999993</v>
      </c>
      <c r="AI107" s="35">
        <f t="shared" si="138"/>
        <v>300243.54999999993</v>
      </c>
      <c r="AJ107" s="35">
        <f t="shared" si="138"/>
        <v>300243.54999999993</v>
      </c>
      <c r="AK107" s="35">
        <f t="shared" si="138"/>
        <v>300243.54999999993</v>
      </c>
      <c r="AL107" s="35">
        <f t="shared" si="138"/>
        <v>300243.54999999993</v>
      </c>
      <c r="AM107" s="35">
        <f t="shared" si="138"/>
        <v>300243.54999999993</v>
      </c>
      <c r="AN107" s="35">
        <f t="shared" si="138"/>
        <v>300243.54999999993</v>
      </c>
      <c r="AO107" s="35">
        <f t="shared" si="138"/>
        <v>300243.54999999993</v>
      </c>
      <c r="AP107" s="35">
        <f t="shared" si="138"/>
        <v>300243.54999999993</v>
      </c>
      <c r="AQ107" s="175"/>
      <c r="AR107" s="175"/>
      <c r="AS107" s="176"/>
    </row>
    <row r="108" spans="1:45" s="177" customFormat="1" ht="10.5" x14ac:dyDescent="0.2">
      <c r="A108" s="185" t="str">
        <f>"Чистый денежный поток (NCF) нарастающим итогом, "&amp;CHOOSE('Исходные данные'!$O$2,'Исходные данные'!$P$2,'Исходные данные'!$P$3,'Исходные данные'!$P$4,'Исходные данные'!$P$5)&amp;""</f>
        <v>Чистый денежный поток (NCF) нарастающим итогом, UAH</v>
      </c>
      <c r="B108" s="173"/>
      <c r="C108" s="35">
        <f>B108+C107</f>
        <v>50929.419999999984</v>
      </c>
      <c r="D108" s="35">
        <f t="shared" ref="D108:N108" si="139">C108+D107</f>
        <v>131130.40999999986</v>
      </c>
      <c r="E108" s="35">
        <f t="shared" si="139"/>
        <v>240002.9699999998</v>
      </c>
      <c r="F108" s="35">
        <f t="shared" si="139"/>
        <v>377547.09999999974</v>
      </c>
      <c r="G108" s="35">
        <f t="shared" si="139"/>
        <v>543762.7999999997</v>
      </c>
      <c r="H108" s="35">
        <f t="shared" si="139"/>
        <v>709978.49999999965</v>
      </c>
      <c r="I108" s="35">
        <f t="shared" si="139"/>
        <v>890529.98499999964</v>
      </c>
      <c r="J108" s="35">
        <f t="shared" si="139"/>
        <v>1085417.2549999994</v>
      </c>
      <c r="K108" s="35">
        <f t="shared" si="139"/>
        <v>1280304.5249999994</v>
      </c>
      <c r="L108" s="35">
        <f t="shared" si="139"/>
        <v>1489527.5799999994</v>
      </c>
      <c r="M108" s="35">
        <f t="shared" si="139"/>
        <v>1713086.4199999995</v>
      </c>
      <c r="N108" s="35">
        <f t="shared" si="139"/>
        <v>1950981.0449999995</v>
      </c>
      <c r="O108" s="175"/>
      <c r="P108" s="175"/>
      <c r="Q108" s="35">
        <f>N108+Q107</f>
        <v>2210657.2399999993</v>
      </c>
      <c r="R108" s="35">
        <f t="shared" ref="R108:AB108" si="140">Q108+R107</f>
        <v>2470933.4349999991</v>
      </c>
      <c r="S108" s="35">
        <f t="shared" si="140"/>
        <v>2731209.629999999</v>
      </c>
      <c r="T108" s="35">
        <f t="shared" si="140"/>
        <v>2991485.8249999988</v>
      </c>
      <c r="U108" s="35">
        <f t="shared" si="140"/>
        <v>3251762.0199999986</v>
      </c>
      <c r="V108" s="35">
        <f t="shared" si="140"/>
        <v>3512038.2149999985</v>
      </c>
      <c r="W108" s="35">
        <f t="shared" si="140"/>
        <v>3772314.4099999983</v>
      </c>
      <c r="X108" s="35">
        <f t="shared" si="140"/>
        <v>4032590.6049999981</v>
      </c>
      <c r="Y108" s="35">
        <f t="shared" si="140"/>
        <v>4292866.799999998</v>
      </c>
      <c r="Z108" s="35">
        <f t="shared" si="140"/>
        <v>4553142.9949999982</v>
      </c>
      <c r="AA108" s="35">
        <f t="shared" si="140"/>
        <v>4813419.1899999985</v>
      </c>
      <c r="AB108" s="35">
        <f t="shared" si="140"/>
        <v>5073695.3849999988</v>
      </c>
      <c r="AC108" s="175"/>
      <c r="AD108" s="175"/>
      <c r="AE108" s="35">
        <f>AB108+AE107</f>
        <v>5373338.9349999987</v>
      </c>
      <c r="AF108" s="35">
        <f t="shared" ref="AF108:AP108" si="141">AE108+AF107</f>
        <v>5673582.4849999985</v>
      </c>
      <c r="AG108" s="35">
        <f t="shared" si="141"/>
        <v>5973826.0349999983</v>
      </c>
      <c r="AH108" s="35">
        <f t="shared" si="141"/>
        <v>6274069.5849999981</v>
      </c>
      <c r="AI108" s="35">
        <f t="shared" si="141"/>
        <v>6574313.1349999979</v>
      </c>
      <c r="AJ108" s="35">
        <f t="shared" si="141"/>
        <v>6874556.6849999977</v>
      </c>
      <c r="AK108" s="35">
        <f t="shared" si="141"/>
        <v>7174800.2349999975</v>
      </c>
      <c r="AL108" s="35">
        <f t="shared" si="141"/>
        <v>7475043.7849999974</v>
      </c>
      <c r="AM108" s="35">
        <f t="shared" si="141"/>
        <v>7775287.3349999972</v>
      </c>
      <c r="AN108" s="35">
        <f t="shared" si="141"/>
        <v>8075530.884999997</v>
      </c>
      <c r="AO108" s="35">
        <f t="shared" si="141"/>
        <v>8375774.4349999968</v>
      </c>
      <c r="AP108" s="35">
        <f t="shared" si="141"/>
        <v>8676017.9849999975</v>
      </c>
      <c r="AQ108" s="175"/>
      <c r="AR108" s="175"/>
      <c r="AS108" s="176"/>
    </row>
    <row r="109" spans="1:45" s="19" customFormat="1" ht="10.5" x14ac:dyDescent="0.2">
      <c r="A109" s="65" t="str">
        <f>"Чистая приведенная стоимость (NPV),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(NPV), UAH</v>
      </c>
      <c r="B109" s="24"/>
      <c r="C109" s="35">
        <f>IF(C107*C105&lt;0,C107,C107*C105)</f>
        <v>50929.419999999984</v>
      </c>
      <c r="D109" s="35">
        <f t="shared" ref="D109:N109" si="142">IF(D107*D105&lt;0,D107,D107*D105)</f>
        <v>79538.171900826317</v>
      </c>
      <c r="E109" s="35">
        <f t="shared" si="142"/>
        <v>107080.44969605896</v>
      </c>
      <c r="F109" s="35">
        <f t="shared" si="142"/>
        <v>134162.05066605099</v>
      </c>
      <c r="G109" s="35">
        <f t="shared" si="142"/>
        <v>160788.70812914908</v>
      </c>
      <c r="H109" s="35">
        <f t="shared" si="142"/>
        <v>159459.87583056107</v>
      </c>
      <c r="I109" s="35">
        <f t="shared" si="142"/>
        <v>171781.47170256966</v>
      </c>
      <c r="J109" s="35">
        <f t="shared" si="142"/>
        <v>183888.51350881375</v>
      </c>
      <c r="K109" s="35">
        <f>IF(K107*K105&lt;0,K107,K107*K105)</f>
        <v>182368.77372774918</v>
      </c>
      <c r="L109" s="35">
        <f t="shared" si="142"/>
        <v>194165.6588587545</v>
      </c>
      <c r="M109" s="35">
        <f t="shared" si="142"/>
        <v>205755.09812025423</v>
      </c>
      <c r="N109" s="35">
        <f t="shared" si="142"/>
        <v>217139.71462646802</v>
      </c>
      <c r="O109" s="51"/>
      <c r="P109" s="51"/>
      <c r="Q109" s="35">
        <f>IF(Q107*Q105&lt;0,Q107,Q107*Q105)</f>
        <v>235062.11943473623</v>
      </c>
      <c r="R109" s="35">
        <f t="shared" ref="R109:AB109" si="143">IF(R107*R105&lt;0,R107,R107*R105)</f>
        <v>233658.09609184531</v>
      </c>
      <c r="S109" s="35">
        <f t="shared" si="143"/>
        <v>231727.03744645815</v>
      </c>
      <c r="T109" s="35">
        <f t="shared" si="143"/>
        <v>229811.93796342958</v>
      </c>
      <c r="U109" s="35">
        <f t="shared" si="143"/>
        <v>227912.66574885577</v>
      </c>
      <c r="V109" s="35">
        <f t="shared" si="143"/>
        <v>226029.08999886524</v>
      </c>
      <c r="W109" s="35">
        <f t="shared" si="143"/>
        <v>224161.08099061015</v>
      </c>
      <c r="X109" s="35">
        <f t="shared" si="143"/>
        <v>222308.51007333238</v>
      </c>
      <c r="Y109" s="35">
        <f>IF(Y107*Y105&lt;0,Y107,Y107*Y105)</f>
        <v>220471.24965950323</v>
      </c>
      <c r="Z109" s="35">
        <f t="shared" si="143"/>
        <v>218649.17321603629</v>
      </c>
      <c r="AA109" s="35">
        <f t="shared" si="143"/>
        <v>216842.1552555731</v>
      </c>
      <c r="AB109" s="35">
        <f t="shared" si="143"/>
        <v>215050.07132784114</v>
      </c>
      <c r="AC109" s="51"/>
      <c r="AD109" s="51"/>
      <c r="AE109" s="35">
        <f>IF(AE107*AE105&lt;0,AE107,AE107*AE105)</f>
        <v>245530.78438261937</v>
      </c>
      <c r="AF109" s="35">
        <f t="shared" ref="AF109:AP109" si="144">IF(AF107*AF105&lt;0,AF107,AF107*AF105)</f>
        <v>243989.18688441112</v>
      </c>
      <c r="AG109" s="35">
        <f t="shared" si="144"/>
        <v>241972.74732338291</v>
      </c>
      <c r="AH109" s="35">
        <f t="shared" si="144"/>
        <v>239972.97255211527</v>
      </c>
      <c r="AI109" s="35">
        <f t="shared" si="144"/>
        <v>237989.72484507301</v>
      </c>
      <c r="AJ109" s="35">
        <f t="shared" si="144"/>
        <v>236022.86761494848</v>
      </c>
      <c r="AK109" s="35">
        <f t="shared" si="144"/>
        <v>234072.26540325466</v>
      </c>
      <c r="AL109" s="35">
        <f t="shared" si="144"/>
        <v>232137.78387099638</v>
      </c>
      <c r="AM109" s="35">
        <f>IF(AM107*AM105&lt;0,AM107,AM107*AM105)</f>
        <v>230219.2897894179</v>
      </c>
      <c r="AN109" s="35">
        <f t="shared" si="144"/>
        <v>228316.65103082769</v>
      </c>
      <c r="AO109" s="35">
        <f t="shared" si="144"/>
        <v>226429.73655949853</v>
      </c>
      <c r="AP109" s="35">
        <f t="shared" si="144"/>
        <v>224558.4164226432</v>
      </c>
      <c r="AQ109" s="108"/>
      <c r="AR109" s="108"/>
      <c r="AS109" s="51"/>
    </row>
    <row r="110" spans="1:45" s="19" customFormat="1" ht="10.5" x14ac:dyDescent="0.2">
      <c r="A110" s="65" t="str">
        <f>"Чистая приведенная стоимость (NPV) нарастающим итогом,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 нарастающим итогом, UAH</v>
      </c>
      <c r="B110" s="24"/>
      <c r="C110" s="35">
        <f>B110+C109</f>
        <v>50929.419999999984</v>
      </c>
      <c r="D110" s="35">
        <f t="shared" ref="D110:N110" si="145">C110+D109</f>
        <v>130467.5919008263</v>
      </c>
      <c r="E110" s="35">
        <f t="shared" si="145"/>
        <v>237548.04159688525</v>
      </c>
      <c r="F110" s="35">
        <f t="shared" si="145"/>
        <v>371710.09226293623</v>
      </c>
      <c r="G110" s="35">
        <f t="shared" si="145"/>
        <v>532498.80039208534</v>
      </c>
      <c r="H110" s="35">
        <f t="shared" si="145"/>
        <v>691958.67622264638</v>
      </c>
      <c r="I110" s="35">
        <f t="shared" si="145"/>
        <v>863740.14792521601</v>
      </c>
      <c r="J110" s="35">
        <f t="shared" si="145"/>
        <v>1047628.6614340297</v>
      </c>
      <c r="K110" s="35">
        <f t="shared" si="145"/>
        <v>1229997.4351617789</v>
      </c>
      <c r="L110" s="35">
        <f t="shared" si="145"/>
        <v>1424163.0940205334</v>
      </c>
      <c r="M110" s="35">
        <f t="shared" si="145"/>
        <v>1629918.1921407876</v>
      </c>
      <c r="N110" s="35">
        <f t="shared" si="145"/>
        <v>1847057.9067672556</v>
      </c>
      <c r="O110" s="51"/>
      <c r="P110" s="51"/>
      <c r="Q110" s="35">
        <f>N110+Q109</f>
        <v>2082120.0262019918</v>
      </c>
      <c r="R110" s="35">
        <f t="shared" ref="R110:AB110" si="146">Q110+R109</f>
        <v>2315778.1222938374</v>
      </c>
      <c r="S110" s="35">
        <f t="shared" si="146"/>
        <v>2547505.1597402957</v>
      </c>
      <c r="T110" s="35">
        <f t="shared" si="146"/>
        <v>2777317.0977037251</v>
      </c>
      <c r="U110" s="35">
        <f t="shared" si="146"/>
        <v>3005229.7634525807</v>
      </c>
      <c r="V110" s="35">
        <f t="shared" si="146"/>
        <v>3231258.8534514457</v>
      </c>
      <c r="W110" s="35">
        <f t="shared" si="146"/>
        <v>3455419.9344420559</v>
      </c>
      <c r="X110" s="35">
        <f t="shared" si="146"/>
        <v>3677728.4445153885</v>
      </c>
      <c r="Y110" s="35">
        <f t="shared" si="146"/>
        <v>3898199.6941748918</v>
      </c>
      <c r="Z110" s="35">
        <f t="shared" si="146"/>
        <v>4116848.8673909279</v>
      </c>
      <c r="AA110" s="35">
        <f t="shared" si="146"/>
        <v>4333691.0226465007</v>
      </c>
      <c r="AB110" s="35">
        <f t="shared" si="146"/>
        <v>4548741.0939743416</v>
      </c>
      <c r="AC110" s="51"/>
      <c r="AD110" s="51"/>
      <c r="AE110" s="35">
        <f>AB110+AE109</f>
        <v>4794271.8783569606</v>
      </c>
      <c r="AF110" s="35">
        <f t="shared" ref="AF110:AP110" si="147">AE110+AF109</f>
        <v>5038261.0652413713</v>
      </c>
      <c r="AG110" s="35">
        <f t="shared" si="147"/>
        <v>5280233.8125647539</v>
      </c>
      <c r="AH110" s="35">
        <f t="shared" si="147"/>
        <v>5520206.785116869</v>
      </c>
      <c r="AI110" s="35">
        <f t="shared" si="147"/>
        <v>5758196.5099619422</v>
      </c>
      <c r="AJ110" s="35">
        <f t="shared" si="147"/>
        <v>5994219.3775768904</v>
      </c>
      <c r="AK110" s="35">
        <f t="shared" si="147"/>
        <v>6228291.6429801453</v>
      </c>
      <c r="AL110" s="35">
        <f t="shared" si="147"/>
        <v>6460429.4268511413</v>
      </c>
      <c r="AM110" s="35">
        <f t="shared" si="147"/>
        <v>6690648.716640559</v>
      </c>
      <c r="AN110" s="35">
        <f t="shared" si="147"/>
        <v>6918965.3676713863</v>
      </c>
      <c r="AO110" s="35">
        <f t="shared" si="147"/>
        <v>7145395.1042308845</v>
      </c>
      <c r="AP110" s="35">
        <f t="shared" si="147"/>
        <v>7369953.5206535272</v>
      </c>
      <c r="AQ110" s="108"/>
      <c r="AR110" s="108"/>
      <c r="AS110" s="51"/>
    </row>
    <row r="111" spans="1:45" s="19" customFormat="1" ht="10.5" x14ac:dyDescent="0.2">
      <c r="A111" s="185"/>
      <c r="B111" s="52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108"/>
      <c r="P111" s="108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108"/>
      <c r="AD111" s="108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108"/>
      <c r="AR111" s="108"/>
      <c r="AS111" s="21"/>
    </row>
    <row r="112" spans="1:45" s="19" customFormat="1" ht="10.5" x14ac:dyDescent="0.25">
      <c r="A112" s="186" t="str">
        <f>"Чистая приведенная стоимость (NPV) на конец 3-го года,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 на конец 3-го года, UAH</v>
      </c>
      <c r="B112" s="53">
        <f>AP110+AS98</f>
        <v>6809953.5206535272</v>
      </c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108"/>
      <c r="P112" s="108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108"/>
      <c r="AD112" s="108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108"/>
      <c r="AR112" s="108"/>
      <c r="AS112" s="21"/>
    </row>
    <row r="113" spans="1:45" s="19" customFormat="1" ht="10.5" x14ac:dyDescent="0.25">
      <c r="A113" s="186" t="s">
        <v>21</v>
      </c>
      <c r="B113" s="53">
        <f>AP110/AS56</f>
        <v>13.160631286881298</v>
      </c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108"/>
      <c r="P113" s="108"/>
      <c r="Q113" s="26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108"/>
      <c r="AD113" s="108"/>
      <c r="AE113" s="26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108"/>
      <c r="AR113" s="108"/>
      <c r="AS113" s="21"/>
    </row>
    <row r="114" spans="1:45" s="19" customFormat="1" ht="10.5" x14ac:dyDescent="0.25">
      <c r="A114" s="187" t="s">
        <v>108</v>
      </c>
      <c r="B114" s="97">
        <f>AS119</f>
        <v>6</v>
      </c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108"/>
      <c r="P114" s="108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108"/>
      <c r="AD114" s="108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108"/>
      <c r="AR114" s="108"/>
      <c r="AS114" s="21"/>
    </row>
    <row r="115" spans="1:45" s="13" customFormat="1" ht="10.5" x14ac:dyDescent="0.25">
      <c r="A115" s="187" t="s">
        <v>47</v>
      </c>
      <c r="B115" s="97">
        <f>AS120</f>
        <v>1</v>
      </c>
      <c r="C115" s="41"/>
      <c r="D115" s="41"/>
      <c r="E115" s="40"/>
      <c r="F115" s="40"/>
      <c r="G115" s="40"/>
      <c r="H115" s="41"/>
      <c r="I115" s="39"/>
      <c r="J115" s="39"/>
      <c r="K115" s="39"/>
      <c r="L115" s="39"/>
      <c r="M115" s="39"/>
      <c r="N115" s="39"/>
      <c r="O115" s="109"/>
      <c r="P115" s="109"/>
      <c r="Q115" s="41"/>
      <c r="R115" s="41"/>
      <c r="S115" s="40"/>
      <c r="T115" s="40"/>
      <c r="U115" s="40"/>
      <c r="V115" s="41"/>
      <c r="W115" s="39"/>
      <c r="X115" s="39"/>
      <c r="Y115" s="39"/>
      <c r="Z115" s="39"/>
      <c r="AA115" s="39"/>
      <c r="AB115" s="39"/>
      <c r="AC115" s="109"/>
      <c r="AD115" s="109"/>
      <c r="AE115" s="41"/>
      <c r="AF115" s="41"/>
      <c r="AG115" s="40"/>
      <c r="AH115" s="40"/>
      <c r="AI115" s="40"/>
      <c r="AJ115" s="41"/>
      <c r="AK115" s="39"/>
      <c r="AL115" s="39"/>
      <c r="AM115" s="39"/>
      <c r="AN115" s="39"/>
      <c r="AO115" s="39"/>
      <c r="AP115" s="39"/>
      <c r="AQ115" s="109"/>
      <c r="AR115" s="109"/>
      <c r="AS115" s="39"/>
    </row>
    <row r="116" spans="1:45" s="19" customFormat="1" ht="10.5" x14ac:dyDescent="0.25">
      <c r="B116" s="26"/>
      <c r="C116" s="50"/>
      <c r="E116" s="55"/>
      <c r="O116" s="54"/>
      <c r="P116" s="54"/>
      <c r="Q116" s="50"/>
      <c r="S116" s="55"/>
      <c r="AC116" s="54"/>
      <c r="AD116" s="54"/>
      <c r="AE116" s="50"/>
      <c r="AG116" s="55"/>
      <c r="AQ116" s="54"/>
      <c r="AR116" s="54"/>
    </row>
    <row r="117" spans="1:45" s="117" customFormat="1" ht="10.5" hidden="1" x14ac:dyDescent="0.25">
      <c r="B117" s="118" t="s">
        <v>34</v>
      </c>
      <c r="C117" s="118">
        <f t="shared" ref="C117:N117" si="148">IF(C92&gt;0,0,1)</f>
        <v>1</v>
      </c>
      <c r="D117" s="118">
        <f t="shared" si="148"/>
        <v>1</v>
      </c>
      <c r="E117" s="118">
        <f t="shared" si="148"/>
        <v>1</v>
      </c>
      <c r="F117" s="118">
        <f t="shared" si="148"/>
        <v>1</v>
      </c>
      <c r="G117" s="118">
        <f t="shared" si="148"/>
        <v>1</v>
      </c>
      <c r="H117" s="118">
        <f t="shared" si="148"/>
        <v>0</v>
      </c>
      <c r="I117" s="118">
        <f t="shared" si="148"/>
        <v>0</v>
      </c>
      <c r="J117" s="118">
        <f t="shared" si="148"/>
        <v>0</v>
      </c>
      <c r="K117" s="118">
        <f t="shared" si="148"/>
        <v>0</v>
      </c>
      <c r="L117" s="118">
        <f t="shared" si="148"/>
        <v>0</v>
      </c>
      <c r="M117" s="118">
        <f t="shared" si="148"/>
        <v>0</v>
      </c>
      <c r="N117" s="118">
        <f t="shared" si="148"/>
        <v>0</v>
      </c>
      <c r="O117" s="119"/>
      <c r="P117" s="119"/>
      <c r="Q117" s="118">
        <f t="shared" ref="Q117:AB117" si="149">IF(Q92&gt;0,0,1)</f>
        <v>0</v>
      </c>
      <c r="R117" s="118">
        <f t="shared" si="149"/>
        <v>0</v>
      </c>
      <c r="S117" s="118">
        <f t="shared" si="149"/>
        <v>0</v>
      </c>
      <c r="T117" s="118">
        <f t="shared" si="149"/>
        <v>0</v>
      </c>
      <c r="U117" s="118">
        <f t="shared" si="149"/>
        <v>0</v>
      </c>
      <c r="V117" s="118">
        <f t="shared" si="149"/>
        <v>0</v>
      </c>
      <c r="W117" s="118">
        <f t="shared" si="149"/>
        <v>0</v>
      </c>
      <c r="X117" s="118">
        <f t="shared" si="149"/>
        <v>0</v>
      </c>
      <c r="Y117" s="118">
        <f t="shared" si="149"/>
        <v>0</v>
      </c>
      <c r="Z117" s="118">
        <f t="shared" si="149"/>
        <v>0</v>
      </c>
      <c r="AA117" s="118">
        <f t="shared" si="149"/>
        <v>0</v>
      </c>
      <c r="AB117" s="118">
        <f t="shared" si="149"/>
        <v>0</v>
      </c>
      <c r="AC117" s="119"/>
      <c r="AD117" s="119"/>
      <c r="AE117" s="118">
        <f t="shared" ref="AE117:AP117" si="150">IF(AE92&gt;0,0,1)</f>
        <v>0</v>
      </c>
      <c r="AF117" s="118">
        <f t="shared" si="150"/>
        <v>0</v>
      </c>
      <c r="AG117" s="118">
        <f t="shared" si="150"/>
        <v>0</v>
      </c>
      <c r="AH117" s="118">
        <f t="shared" si="150"/>
        <v>0</v>
      </c>
      <c r="AI117" s="118">
        <f t="shared" si="150"/>
        <v>0</v>
      </c>
      <c r="AJ117" s="118">
        <f t="shared" si="150"/>
        <v>0</v>
      </c>
      <c r="AK117" s="118">
        <f t="shared" si="150"/>
        <v>0</v>
      </c>
      <c r="AL117" s="118">
        <f t="shared" si="150"/>
        <v>0</v>
      </c>
      <c r="AM117" s="118">
        <f t="shared" si="150"/>
        <v>0</v>
      </c>
      <c r="AN117" s="118">
        <f t="shared" si="150"/>
        <v>0</v>
      </c>
      <c r="AO117" s="118">
        <f t="shared" si="150"/>
        <v>0</v>
      </c>
      <c r="AP117" s="118">
        <f t="shared" si="150"/>
        <v>0</v>
      </c>
      <c r="AQ117" s="119"/>
      <c r="AR117" s="119"/>
      <c r="AS117" s="117">
        <f>SUM(C117:AP117)</f>
        <v>5</v>
      </c>
    </row>
    <row r="118" spans="1:45" s="118" customFormat="1" ht="10" hidden="1" x14ac:dyDescent="0.2">
      <c r="B118" s="118" t="s">
        <v>46</v>
      </c>
      <c r="C118" s="118">
        <f>IF(C91&gt;0,0,1)</f>
        <v>0</v>
      </c>
      <c r="D118" s="118">
        <f>IF(OR(D91&gt;0,C118=0),0,1)</f>
        <v>0</v>
      </c>
      <c r="E118" s="118">
        <f t="shared" ref="E118:N118" si="151">IF(OR(E91&gt;0,D118=0),0,1)</f>
        <v>0</v>
      </c>
      <c r="F118" s="118">
        <f t="shared" si="151"/>
        <v>0</v>
      </c>
      <c r="G118" s="118">
        <f t="shared" si="151"/>
        <v>0</v>
      </c>
      <c r="H118" s="118">
        <f t="shared" si="151"/>
        <v>0</v>
      </c>
      <c r="I118" s="118">
        <f>IF(OR(I91&gt;0,H118=0),0,1)</f>
        <v>0</v>
      </c>
      <c r="J118" s="118">
        <f t="shared" si="151"/>
        <v>0</v>
      </c>
      <c r="K118" s="118">
        <f t="shared" si="151"/>
        <v>0</v>
      </c>
      <c r="L118" s="118">
        <f>IF(OR(L91&gt;0,K118=0),0,1)</f>
        <v>0</v>
      </c>
      <c r="M118" s="118">
        <f t="shared" si="151"/>
        <v>0</v>
      </c>
      <c r="N118" s="118">
        <f t="shared" si="151"/>
        <v>0</v>
      </c>
      <c r="Q118" s="118">
        <f>IF(OR(Q91&gt;0,N118=0),0,1)</f>
        <v>0</v>
      </c>
      <c r="R118" s="118">
        <f t="shared" ref="R118:AB118" si="152">IF(OR(R91&gt;0,Q118=0),0,1)</f>
        <v>0</v>
      </c>
      <c r="S118" s="118">
        <f t="shared" si="152"/>
        <v>0</v>
      </c>
      <c r="T118" s="118">
        <f t="shared" si="152"/>
        <v>0</v>
      </c>
      <c r="U118" s="118">
        <f t="shared" si="152"/>
        <v>0</v>
      </c>
      <c r="V118" s="118">
        <f>IF(OR(V91&gt;0,U118=0),0,1)</f>
        <v>0</v>
      </c>
      <c r="W118" s="118">
        <f t="shared" si="152"/>
        <v>0</v>
      </c>
      <c r="X118" s="118">
        <f t="shared" si="152"/>
        <v>0</v>
      </c>
      <c r="Y118" s="118">
        <f>IF(OR(Y91&gt;0,X118=0),0,1)</f>
        <v>0</v>
      </c>
      <c r="Z118" s="118">
        <f t="shared" si="152"/>
        <v>0</v>
      </c>
      <c r="AA118" s="118">
        <f t="shared" si="152"/>
        <v>0</v>
      </c>
      <c r="AB118" s="118">
        <f t="shared" si="152"/>
        <v>0</v>
      </c>
      <c r="AE118" s="118">
        <f>IF(OR(AE91&gt;0,AB118=0),0,1)</f>
        <v>0</v>
      </c>
      <c r="AF118" s="118">
        <f t="shared" ref="AF118:AP118" si="153">IF(OR(AF91&gt;0,AE118=0),0,1)</f>
        <v>0</v>
      </c>
      <c r="AG118" s="118">
        <f t="shared" si="153"/>
        <v>0</v>
      </c>
      <c r="AH118" s="118">
        <f t="shared" si="153"/>
        <v>0</v>
      </c>
      <c r="AI118" s="118">
        <f t="shared" si="153"/>
        <v>0</v>
      </c>
      <c r="AJ118" s="118">
        <f>IF(OR(AJ91&gt;0,AI118=0),0,1)</f>
        <v>0</v>
      </c>
      <c r="AK118" s="118">
        <f t="shared" si="153"/>
        <v>0</v>
      </c>
      <c r="AL118" s="118">
        <f t="shared" si="153"/>
        <v>0</v>
      </c>
      <c r="AM118" s="118">
        <f>IF(OR(AM91&gt;0,AL118=0),0,1)</f>
        <v>0</v>
      </c>
      <c r="AN118" s="118">
        <f t="shared" si="153"/>
        <v>0</v>
      </c>
      <c r="AO118" s="118">
        <f t="shared" si="153"/>
        <v>0</v>
      </c>
      <c r="AP118" s="118">
        <f t="shared" si="153"/>
        <v>0</v>
      </c>
      <c r="AS118" s="117">
        <f>SUM(C118:AP118)</f>
        <v>0</v>
      </c>
    </row>
    <row r="119" spans="1:45" s="19" customFormat="1" ht="10.5" hidden="1" x14ac:dyDescent="0.25">
      <c r="O119" s="54"/>
      <c r="P119" s="54"/>
      <c r="AC119" s="54"/>
      <c r="AD119" s="54"/>
      <c r="AQ119" s="54"/>
      <c r="AR119" s="54"/>
      <c r="AS119" s="19">
        <f>IF(OR(AR91&lt;0,AS90&lt;0),"проект не окупается",IF(AS117&lt;36,AS117+1,-AS90/AR91+37))</f>
        <v>6</v>
      </c>
    </row>
    <row r="120" spans="1:45" s="57" customFormat="1" ht="14" hidden="1" x14ac:dyDescent="0.3">
      <c r="A120" s="19"/>
      <c r="B120" s="56"/>
      <c r="O120" s="112"/>
      <c r="P120" s="112"/>
      <c r="AC120" s="112"/>
      <c r="AD120" s="112"/>
      <c r="AQ120" s="112"/>
      <c r="AR120" s="112"/>
      <c r="AS120" s="57">
        <f>IF(OR(AR91&lt;0,AS90&lt;0),"проект не окупается",IF(AS118&lt;36,AS118+1,-AS90/AR91+37))</f>
        <v>1</v>
      </c>
    </row>
    <row r="121" spans="1:45" s="57" customFormat="1" ht="14" hidden="1" x14ac:dyDescent="0.3">
      <c r="A121" s="19"/>
      <c r="B121" s="56"/>
      <c r="O121" s="112"/>
      <c r="P121" s="112"/>
      <c r="AC121" s="112"/>
      <c r="AD121" s="112"/>
      <c r="AQ121" s="112"/>
      <c r="AR121" s="112"/>
    </row>
    <row r="122" spans="1:45" s="194" customFormat="1" ht="14" x14ac:dyDescent="0.3">
      <c r="A122" s="191"/>
      <c r="B122" s="191"/>
      <c r="C122" s="192"/>
      <c r="D122" s="192"/>
      <c r="E122" s="192"/>
      <c r="F122" s="192"/>
      <c r="G122" s="192"/>
      <c r="H122" s="192"/>
      <c r="I122" s="192"/>
      <c r="J122" s="192"/>
      <c r="K122" s="192"/>
      <c r="L122" s="192"/>
      <c r="M122" s="192"/>
      <c r="N122" s="192"/>
      <c r="O122" s="193"/>
      <c r="P122" s="193"/>
      <c r="AC122" s="195"/>
      <c r="AD122" s="195"/>
      <c r="AQ122" s="195"/>
      <c r="AR122" s="195"/>
    </row>
    <row r="123" spans="1:45" s="194" customFormat="1" ht="14" x14ac:dyDescent="0.3">
      <c r="A123" s="191"/>
      <c r="B123" s="191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3"/>
      <c r="P123" s="195"/>
      <c r="AC123" s="195"/>
      <c r="AD123" s="195"/>
      <c r="AQ123" s="195"/>
      <c r="AR123" s="195"/>
    </row>
    <row r="124" spans="1:45" s="194" customFormat="1" ht="14" x14ac:dyDescent="0.3">
      <c r="A124" s="191"/>
      <c r="B124" s="191"/>
      <c r="O124" s="195"/>
      <c r="P124" s="195"/>
      <c r="AC124" s="195"/>
      <c r="AD124" s="195"/>
      <c r="AQ124" s="195"/>
      <c r="AR124" s="195"/>
    </row>
    <row r="125" spans="1:45" s="57" customFormat="1" ht="14" x14ac:dyDescent="0.3">
      <c r="A125" s="19"/>
      <c r="B125" s="56"/>
      <c r="O125" s="112"/>
      <c r="P125" s="112"/>
      <c r="AC125" s="112"/>
      <c r="AD125" s="112"/>
      <c r="AQ125" s="112"/>
      <c r="AR125" s="112"/>
    </row>
    <row r="126" spans="1:45" s="57" customFormat="1" ht="14" x14ac:dyDescent="0.3">
      <c r="A126" s="19"/>
      <c r="B126" s="56"/>
      <c r="O126" s="112"/>
      <c r="P126" s="112"/>
      <c r="AC126" s="112"/>
      <c r="AD126" s="112"/>
      <c r="AQ126" s="112"/>
      <c r="AR126" s="112"/>
    </row>
    <row r="127" spans="1:45" s="57" customFormat="1" ht="14" x14ac:dyDescent="0.3">
      <c r="A127" s="19"/>
      <c r="B127" s="56"/>
      <c r="O127" s="112"/>
      <c r="P127" s="112"/>
      <c r="AC127" s="112"/>
      <c r="AD127" s="112"/>
      <c r="AQ127" s="112"/>
      <c r="AR127" s="112"/>
    </row>
    <row r="128" spans="1:45" s="57" customFormat="1" ht="14" x14ac:dyDescent="0.3">
      <c r="A128" s="19"/>
      <c r="B128" s="56"/>
      <c r="O128" s="112"/>
      <c r="P128" s="112"/>
      <c r="AC128" s="112"/>
      <c r="AD128" s="112"/>
      <c r="AQ128" s="112"/>
      <c r="AR128" s="112"/>
    </row>
    <row r="129" spans="1:44" s="57" customFormat="1" ht="14" x14ac:dyDescent="0.3">
      <c r="A129" s="19"/>
      <c r="B129" s="56"/>
      <c r="O129" s="112"/>
      <c r="P129" s="112"/>
      <c r="AC129" s="112"/>
      <c r="AD129" s="112"/>
      <c r="AQ129" s="112"/>
      <c r="AR129" s="112"/>
    </row>
    <row r="130" spans="1:44" s="57" customFormat="1" ht="14" x14ac:dyDescent="0.3">
      <c r="A130" s="19"/>
      <c r="B130" s="56"/>
      <c r="O130" s="112"/>
      <c r="P130" s="112"/>
      <c r="AC130" s="112"/>
      <c r="AD130" s="112"/>
      <c r="AQ130" s="112"/>
      <c r="AR130" s="112"/>
    </row>
    <row r="131" spans="1:44" s="57" customFormat="1" ht="14" x14ac:dyDescent="0.3">
      <c r="A131" s="19"/>
      <c r="B131" s="56"/>
      <c r="O131" s="112"/>
      <c r="P131" s="112"/>
      <c r="AC131" s="112"/>
      <c r="AD131" s="112"/>
      <c r="AQ131" s="112"/>
      <c r="AR131" s="112"/>
    </row>
    <row r="132" spans="1:44" s="57" customFormat="1" ht="14" x14ac:dyDescent="0.3">
      <c r="A132" s="19"/>
      <c r="B132" s="56"/>
      <c r="O132" s="112"/>
      <c r="P132" s="112"/>
      <c r="AC132" s="112"/>
      <c r="AD132" s="112"/>
      <c r="AQ132" s="112"/>
      <c r="AR132" s="112"/>
    </row>
    <row r="133" spans="1:44" s="57" customFormat="1" ht="14" x14ac:dyDescent="0.3">
      <c r="A133" s="19"/>
      <c r="B133" s="56"/>
      <c r="O133" s="112"/>
      <c r="P133" s="112"/>
      <c r="AC133" s="112"/>
      <c r="AD133" s="112"/>
      <c r="AQ133" s="112"/>
      <c r="AR133" s="112"/>
    </row>
  </sheetData>
  <mergeCells count="9">
    <mergeCell ref="A1:B1"/>
    <mergeCell ref="AS15:AS16"/>
    <mergeCell ref="C5:P5"/>
    <mergeCell ref="C15:P15"/>
    <mergeCell ref="Q5:AD5"/>
    <mergeCell ref="Q15:AD15"/>
    <mergeCell ref="AE5:AR5"/>
    <mergeCell ref="AE15:AR15"/>
    <mergeCell ref="A6:B6"/>
  </mergeCells>
  <conditionalFormatting sqref="C9:N10">
    <cfRule type="cellIs" dxfId="38" priority="89" operator="lessThan">
      <formula>1</formula>
    </cfRule>
    <cfRule type="cellIs" dxfId="37" priority="90" operator="greaterThan">
      <formula>1</formula>
    </cfRule>
  </conditionalFormatting>
  <conditionalFormatting sqref="C9:N9">
    <cfRule type="cellIs" dxfId="36" priority="91" operator="lessThan">
      <formula>1</formula>
    </cfRule>
  </conditionalFormatting>
  <conditionalFormatting sqref="Q7:AB7">
    <cfRule type="cellIs" dxfId="35" priority="76" operator="lessThan">
      <formula>1</formula>
    </cfRule>
    <cfRule type="cellIs" dxfId="34" priority="77" operator="greaterThan">
      <formula>1</formula>
    </cfRule>
  </conditionalFormatting>
  <conditionalFormatting sqref="Q9:AB9">
    <cfRule type="cellIs" dxfId="33" priority="75" operator="lessThan">
      <formula>1</formula>
    </cfRule>
  </conditionalFormatting>
  <conditionalFormatting sqref="Q9:AB10">
    <cfRule type="cellIs" dxfId="32" priority="73" operator="lessThan">
      <formula>1</formula>
    </cfRule>
    <cfRule type="cellIs" dxfId="31" priority="74" operator="greaterThan">
      <formula>1</formula>
    </cfRule>
  </conditionalFormatting>
  <conditionalFormatting sqref="AE7:AP7">
    <cfRule type="cellIs" dxfId="30" priority="58" operator="lessThan">
      <formula>1</formula>
    </cfRule>
    <cfRule type="cellIs" dxfId="29" priority="59" operator="greaterThan">
      <formula>1</formula>
    </cfRule>
  </conditionalFormatting>
  <conditionalFormatting sqref="AE9:AP9">
    <cfRule type="cellIs" dxfId="28" priority="57" operator="lessThan">
      <formula>1</formula>
    </cfRule>
  </conditionalFormatting>
  <conditionalFormatting sqref="AE9:AP10">
    <cfRule type="cellIs" dxfId="27" priority="55" operator="lessThan">
      <formula>1</formula>
    </cfRule>
    <cfRule type="cellIs" dxfId="26" priority="56" operator="greaterThan">
      <formula>1</formula>
    </cfRule>
  </conditionalFormatting>
  <conditionalFormatting sqref="C7:N7">
    <cfRule type="cellIs" dxfId="25" priority="31" operator="lessThan">
      <formula>1</formula>
    </cfRule>
    <cfRule type="cellIs" dxfId="24" priority="32" operator="greaterThan">
      <formula>1</formula>
    </cfRule>
  </conditionalFormatting>
  <conditionalFormatting sqref="C11:N12">
    <cfRule type="cellIs" dxfId="23" priority="28" operator="lessThan">
      <formula>1</formula>
    </cfRule>
    <cfRule type="cellIs" dxfId="22" priority="29" operator="greaterThan">
      <formula>1</formula>
    </cfRule>
  </conditionalFormatting>
  <conditionalFormatting sqref="C11:N11">
    <cfRule type="cellIs" dxfId="21" priority="30" operator="lessThan">
      <formula>1</formula>
    </cfRule>
  </conditionalFormatting>
  <conditionalFormatting sqref="AE11:AP11">
    <cfRule type="cellIs" dxfId="20" priority="24" operator="lessThan">
      <formula>1</formula>
    </cfRule>
  </conditionalFormatting>
  <conditionalFormatting sqref="AE11:AP12">
    <cfRule type="cellIs" dxfId="19" priority="22" operator="lessThan">
      <formula>1</formula>
    </cfRule>
    <cfRule type="cellIs" dxfId="18" priority="23" operator="greaterThan">
      <formula>1</formula>
    </cfRule>
  </conditionalFormatting>
  <conditionalFormatting sqref="Q11:AB11">
    <cfRule type="cellIs" dxfId="17" priority="27" operator="lessThan">
      <formula>1</formula>
    </cfRule>
  </conditionalFormatting>
  <conditionalFormatting sqref="Q11:AB12">
    <cfRule type="cellIs" dxfId="16" priority="25" operator="lessThan">
      <formula>1</formula>
    </cfRule>
    <cfRule type="cellIs" dxfId="15" priority="26" operator="greaterThan">
      <formula>1</formula>
    </cfRule>
  </conditionalFormatting>
  <conditionalFormatting sqref="C13:N13">
    <cfRule type="cellIs" dxfId="14" priority="19" operator="lessThan">
      <formula>1</formula>
    </cfRule>
    <cfRule type="cellIs" dxfId="13" priority="20" operator="greaterThan">
      <formula>1</formula>
    </cfRule>
  </conditionalFormatting>
  <conditionalFormatting sqref="C13:N13">
    <cfRule type="cellIs" dxfId="12" priority="21" operator="lessThan">
      <formula>1</formula>
    </cfRule>
  </conditionalFormatting>
  <conditionalFormatting sqref="AE13:AP13">
    <cfRule type="cellIs" dxfId="11" priority="15" operator="lessThan">
      <formula>1</formula>
    </cfRule>
  </conditionalFormatting>
  <conditionalFormatting sqref="AE13:AP13">
    <cfRule type="cellIs" dxfId="10" priority="13" operator="lessThan">
      <formula>1</formula>
    </cfRule>
    <cfRule type="cellIs" dxfId="9" priority="14" operator="greaterThan">
      <formula>1</formula>
    </cfRule>
  </conditionalFormatting>
  <conditionalFormatting sqref="Q13:AB13">
    <cfRule type="cellIs" dxfId="8" priority="18" operator="lessThan">
      <formula>1</formula>
    </cfRule>
  </conditionalFormatting>
  <conditionalFormatting sqref="Q13:AB13">
    <cfRule type="cellIs" dxfId="7" priority="16" operator="lessThan">
      <formula>1</formula>
    </cfRule>
    <cfRule type="cellIs" dxfId="6" priority="17" operator="greaterThan">
      <formula>1</formula>
    </cfRule>
  </conditionalFormatting>
  <conditionalFormatting sqref="C8:N8">
    <cfRule type="cellIs" dxfId="5" priority="9" operator="lessThan">
      <formula>1</formula>
    </cfRule>
    <cfRule type="cellIs" dxfId="4" priority="10" operator="greaterThan">
      <formula>1</formula>
    </cfRule>
  </conditionalFormatting>
  <conditionalFormatting sqref="Q8:AB8">
    <cfRule type="cellIs" dxfId="3" priority="3" operator="lessThan">
      <formula>1</formula>
    </cfRule>
    <cfRule type="cellIs" dxfId="2" priority="4" operator="greaterThan">
      <formula>1</formula>
    </cfRule>
  </conditionalFormatting>
  <conditionalFormatting sqref="AE8:AP8">
    <cfRule type="cellIs" dxfId="1" priority="1" operator="lessThan">
      <formula>1</formula>
    </cfRule>
    <cfRule type="cellIs" dxfId="0" priority="2" operator="greaterThan">
      <formula>1</formula>
    </cfRule>
  </conditionalFormatting>
  <pageMargins left="0.39370078740157483" right="0.39370078740157483" top="0.39370078740157483" bottom="0.39370078740157483" header="0.51181102362204722" footer="0.51181102362204722"/>
  <pageSetup paperSize="9" scale="57" fitToHeight="2" orientation="landscape" horizontalDpi="300" verticalDpi="300" r:id="rId1"/>
  <headerFooter alignWithMargins="0"/>
  <rowBreaks count="1" manualBreakCount="1">
    <brk id="83" max="44" man="1"/>
  </rowBreaks>
  <colBreaks count="2" manualBreakCount="2">
    <brk id="16" min="4" max="109" man="1"/>
    <brk id="30" min="4" max="109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Исходные данные</vt:lpstr>
      <vt:lpstr>Обобщенный расчет</vt:lpstr>
      <vt:lpstr>Детальный расчет</vt:lpstr>
      <vt:lpstr>'Детальный расчет'!Заголовки_для_печати</vt:lpstr>
      <vt:lpstr>'Детальный расчет'!Область_печати</vt:lpstr>
      <vt:lpstr>'Исходные данные'!Область_печати</vt:lpstr>
      <vt:lpstr>'Обобщенный расчет'!Область_печати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Кирилл Новак</cp:lastModifiedBy>
  <cp:lastPrinted>2018-07-25T10:52:59Z</cp:lastPrinted>
  <dcterms:created xsi:type="dcterms:W3CDTF">2013-12-25T12:04:54Z</dcterms:created>
  <dcterms:modified xsi:type="dcterms:W3CDTF">2019-03-14T12:45:57Z</dcterms:modified>
</cp:coreProperties>
</file>