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иктор\Dropbox\Академия\Франчайзинг\"/>
    </mc:Choice>
  </mc:AlternateContent>
  <workbookProtection workbookAlgorithmName="SHA-512" workbookHashValue="su05fRUGvxFB4I4aU6zl2wF6oanCnUcUKnJnSyezhSLB1+udkv6N1TmR4qxfesa7FRZTACwjdxvOYUhR1qTMcQ==" workbookSaltValue="TgSv2y9pYU16587dawDbNQ==" workbookSpinCount="100000" lockStructure="1"/>
  <bookViews>
    <workbookView xWindow="0" yWindow="0" windowWidth="18324" windowHeight="9384"/>
  </bookViews>
  <sheets>
    <sheet name="Варианты пакетов" sheetId="5" r:id="rId1"/>
    <sheet name="Почему Франшиза" sheetId="19" r:id="rId2"/>
    <sheet name="Условия пакетов" sheetId="24" r:id="rId3"/>
    <sheet name="Инвестиции" sheetId="21" state="hidden" r:id="rId4"/>
    <sheet name="Доход" sheetId="22" state="hidden" r:id="rId5"/>
    <sheet name="Прибыль" sheetId="23" state="hidden" r:id="rId6"/>
    <sheet name="Технический лист" sheetId="16" state="hidden" r:id="rId7"/>
    <sheet name="вар пакетов доп" sheetId="25" state="hidden" r:id="rId8"/>
    <sheet name="Инвестиции. &quot;СТАРТ&quot;" sheetId="2" state="hidden" r:id="rId9"/>
    <sheet name="Доходы. &quot;СТАРТ&quot;" sheetId="11" state="hidden" r:id="rId10"/>
    <sheet name="Прибыль. &quot;СТАРТ&quot;" sheetId="12" state="hidden" r:id="rId11"/>
    <sheet name="Инвестиции. &quot;БИЗНЕС&quot;" sheetId="8" state="hidden" r:id="rId12"/>
    <sheet name="Доходы. &quot;БИЗНЕС&quot;" sheetId="17" state="hidden" r:id="rId13"/>
    <sheet name="Прибыль. &quot;БИЗНЕС&quot;" sheetId="13" state="hidden" r:id="rId14"/>
    <sheet name="Инвестиции &quot;ПЛАТИНУМ&quot;" sheetId="9" state="hidden" r:id="rId15"/>
    <sheet name="Доходы. &quot;ПЛАТИНУМ&quot;" sheetId="18" state="hidden" r:id="rId16"/>
    <sheet name="Прибыль &quot;ПЛАТИНУМ&quot;" sheetId="15" state="hidden" r:id="rId17"/>
  </sheets>
  <externalReferences>
    <externalReference r:id="rId1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5" l="1"/>
  <c r="D10" i="5"/>
  <c r="E10" i="5"/>
  <c r="F10" i="5"/>
  <c r="G10" i="5"/>
  <c r="H10" i="5"/>
  <c r="C11" i="5"/>
  <c r="D11" i="5"/>
  <c r="E11" i="5"/>
  <c r="F11" i="5"/>
  <c r="G11" i="5"/>
  <c r="H11" i="5"/>
  <c r="H9" i="5"/>
  <c r="G9" i="5"/>
  <c r="F9" i="5"/>
  <c r="E9" i="5"/>
  <c r="D9" i="5"/>
  <c r="C9" i="5"/>
  <c r="D41" i="13" l="1"/>
  <c r="D41" i="15"/>
  <c r="H4" i="5" l="1"/>
  <c r="G4" i="5"/>
  <c r="F4" i="5"/>
  <c r="E4" i="5"/>
  <c r="D4" i="5"/>
  <c r="C4" i="5"/>
  <c r="B4" i="5"/>
  <c r="H3" i="5"/>
  <c r="G3" i="5"/>
  <c r="F3" i="5"/>
  <c r="E3" i="5"/>
  <c r="D3" i="5"/>
  <c r="C3" i="5"/>
  <c r="B3" i="5"/>
  <c r="C2" i="25" l="1"/>
  <c r="C3" i="25"/>
  <c r="C4" i="25"/>
  <c r="C5" i="25"/>
  <c r="C6" i="25"/>
  <c r="C7" i="25"/>
  <c r="C8" i="25"/>
  <c r="C9" i="25"/>
  <c r="C1" i="25"/>
  <c r="H2" i="5"/>
  <c r="G2" i="5"/>
  <c r="F2" i="5"/>
  <c r="E2" i="5"/>
  <c r="D2" i="5"/>
  <c r="C2" i="5"/>
  <c r="B2" i="5"/>
  <c r="A16" i="24" s="1"/>
  <c r="E47" i="21" l="1"/>
  <c r="V27" i="23"/>
  <c r="V28" i="23"/>
  <c r="V29" i="23"/>
  <c r="V30" i="23"/>
  <c r="V31" i="23"/>
  <c r="V32" i="23"/>
  <c r="V33" i="23"/>
  <c r="V34" i="23"/>
  <c r="V35" i="23"/>
  <c r="V36" i="23"/>
  <c r="V37" i="23"/>
  <c r="V26" i="23"/>
  <c r="M153" i="23"/>
  <c r="M154" i="23"/>
  <c r="M155" i="23"/>
  <c r="M156" i="23"/>
  <c r="M157" i="23"/>
  <c r="M158" i="23"/>
  <c r="M159" i="23"/>
  <c r="M160" i="23"/>
  <c r="M161" i="23"/>
  <c r="M162" i="23"/>
  <c r="M163" i="23"/>
  <c r="M164" i="23"/>
  <c r="M165" i="23"/>
  <c r="M166" i="23"/>
  <c r="M167" i="23"/>
  <c r="M168" i="23"/>
  <c r="M169" i="23"/>
  <c r="M170" i="23"/>
  <c r="M171" i="23"/>
  <c r="M172" i="23"/>
  <c r="M173" i="23"/>
  <c r="M174" i="23"/>
  <c r="M175" i="23"/>
  <c r="M176" i="23"/>
  <c r="M177" i="23"/>
  <c r="M178" i="23"/>
  <c r="M179" i="23"/>
  <c r="M180" i="23"/>
  <c r="M181" i="23"/>
  <c r="M182" i="23"/>
  <c r="M183" i="23"/>
  <c r="M184" i="23"/>
  <c r="M185" i="23"/>
  <c r="M186" i="23"/>
  <c r="M187" i="23"/>
  <c r="M188" i="23"/>
  <c r="M189" i="23"/>
  <c r="M190" i="23"/>
  <c r="M191" i="23"/>
  <c r="M192" i="23"/>
  <c r="M193" i="23"/>
  <c r="M194" i="23"/>
  <c r="M195" i="23"/>
  <c r="M196" i="23"/>
  <c r="M197" i="23"/>
  <c r="M198" i="23"/>
  <c r="M199" i="23"/>
  <c r="M200" i="23"/>
  <c r="M201" i="23"/>
  <c r="M202" i="23"/>
  <c r="M203" i="23"/>
  <c r="M204" i="23"/>
  <c r="M205" i="23"/>
  <c r="M206" i="23"/>
  <c r="M207" i="23"/>
  <c r="M208" i="23"/>
  <c r="M209" i="23"/>
  <c r="M210" i="23"/>
  <c r="M211" i="23"/>
  <c r="M212" i="23"/>
  <c r="M213" i="23"/>
  <c r="M214" i="23"/>
  <c r="M215" i="23"/>
  <c r="M216" i="23"/>
  <c r="M217" i="23"/>
  <c r="M218" i="23"/>
  <c r="M219" i="23"/>
  <c r="M220" i="23"/>
  <c r="M221" i="23"/>
  <c r="M222" i="23"/>
  <c r="M223" i="23"/>
  <c r="M224" i="23"/>
  <c r="M225" i="23"/>
  <c r="M226" i="23"/>
  <c r="M227" i="23"/>
  <c r="D76" i="23"/>
  <c r="D77" i="23"/>
  <c r="D78" i="23"/>
  <c r="D79" i="23"/>
  <c r="D80" i="23"/>
  <c r="D81" i="23"/>
  <c r="D82" i="23"/>
  <c r="D83" i="23"/>
  <c r="D84" i="23"/>
  <c r="D67" i="23"/>
  <c r="D68" i="23"/>
  <c r="D69" i="23"/>
  <c r="D70" i="23"/>
  <c r="D71" i="23"/>
  <c r="D72" i="23"/>
  <c r="D73" i="23"/>
  <c r="D74" i="23"/>
  <c r="D75" i="23"/>
  <c r="D58" i="23"/>
  <c r="D59" i="23"/>
  <c r="D60" i="23"/>
  <c r="D61" i="23"/>
  <c r="D62" i="23"/>
  <c r="D63" i="23"/>
  <c r="D64" i="23"/>
  <c r="D65" i="23"/>
  <c r="D66" i="23"/>
  <c r="D325" i="22"/>
  <c r="D324" i="22"/>
  <c r="D323" i="22"/>
  <c r="D322" i="22"/>
  <c r="D321" i="22"/>
  <c r="D320" i="22"/>
  <c r="D319" i="22"/>
  <c r="D318" i="22"/>
  <c r="D317" i="22"/>
  <c r="D312" i="22"/>
  <c r="D311" i="22"/>
  <c r="D310" i="22"/>
  <c r="D309" i="22"/>
  <c r="D308" i="22"/>
  <c r="D307" i="22"/>
  <c r="D306" i="22"/>
  <c r="D305" i="22"/>
  <c r="D304" i="22"/>
  <c r="D300" i="22"/>
  <c r="D299" i="22"/>
  <c r="D298" i="22"/>
  <c r="D297" i="22"/>
  <c r="D296" i="22"/>
  <c r="D295" i="22"/>
  <c r="D294" i="22"/>
  <c r="D293" i="22"/>
  <c r="D292" i="22"/>
  <c r="D289" i="22"/>
  <c r="D288" i="22"/>
  <c r="D287" i="22"/>
  <c r="D286" i="22"/>
  <c r="D285" i="22"/>
  <c r="D284" i="22"/>
  <c r="D283" i="22"/>
  <c r="D282" i="22"/>
  <c r="D281" i="22"/>
  <c r="D280" i="22"/>
  <c r="D279" i="22"/>
  <c r="D276" i="22"/>
  <c r="D275" i="22"/>
  <c r="D274" i="22"/>
  <c r="D273" i="22"/>
  <c r="D272" i="22"/>
  <c r="D271" i="22"/>
  <c r="D270" i="22"/>
  <c r="D269" i="22"/>
  <c r="D268" i="22"/>
  <c r="D267" i="22"/>
  <c r="D264" i="22"/>
  <c r="D263" i="22"/>
  <c r="D262" i="22"/>
  <c r="D261" i="22"/>
  <c r="D260" i="22"/>
  <c r="D259" i="22"/>
  <c r="D258" i="22"/>
  <c r="D257" i="22"/>
  <c r="D256" i="22"/>
  <c r="D251" i="22"/>
  <c r="D250" i="22"/>
  <c r="D249" i="22"/>
  <c r="D248" i="22"/>
  <c r="D247" i="22"/>
  <c r="D246" i="22"/>
  <c r="D245" i="22"/>
  <c r="D244" i="22"/>
  <c r="D243" i="22"/>
  <c r="D239" i="22"/>
  <c r="D238" i="22"/>
  <c r="D237" i="22"/>
  <c r="D236" i="22"/>
  <c r="D235" i="22"/>
  <c r="D234" i="22"/>
  <c r="D233" i="22"/>
  <c r="D232" i="22"/>
  <c r="D231" i="22"/>
  <c r="D228" i="22"/>
  <c r="D227" i="22"/>
  <c r="D226" i="22"/>
  <c r="D225" i="22"/>
  <c r="D224" i="22"/>
  <c r="D223" i="22"/>
  <c r="D222" i="22"/>
  <c r="D221" i="22"/>
  <c r="D220" i="22"/>
  <c r="L3" i="21"/>
  <c r="L4" i="21"/>
  <c r="L2" i="21"/>
  <c r="B9" i="24" s="1"/>
  <c r="E199" i="21"/>
  <c r="E200" i="21"/>
  <c r="E201" i="21"/>
  <c r="E202" i="21"/>
  <c r="E203" i="21"/>
  <c r="E204" i="21"/>
  <c r="E205" i="21"/>
  <c r="E206" i="21"/>
  <c r="E207" i="21"/>
  <c r="E208" i="21"/>
  <c r="E209" i="21"/>
  <c r="E210" i="21"/>
  <c r="E211" i="21"/>
  <c r="E212" i="21"/>
  <c r="E213" i="21"/>
  <c r="E214" i="21"/>
  <c r="E198" i="21"/>
  <c r="E129" i="21"/>
  <c r="E130" i="21"/>
  <c r="E131" i="21"/>
  <c r="E132" i="21"/>
  <c r="E133" i="21"/>
  <c r="E134" i="21"/>
  <c r="E135" i="21"/>
  <c r="E136" i="21"/>
  <c r="E137" i="21"/>
  <c r="E138" i="21"/>
  <c r="E139" i="21"/>
  <c r="E140" i="21"/>
  <c r="E141" i="21"/>
  <c r="E142" i="21"/>
  <c r="E143" i="21"/>
  <c r="E144" i="21"/>
  <c r="E145" i="21"/>
  <c r="E146" i="21"/>
  <c r="E147" i="21"/>
  <c r="E148" i="21"/>
  <c r="E149" i="21"/>
  <c r="E150" i="21"/>
  <c r="E151" i="21"/>
  <c r="E152" i="21"/>
  <c r="E153" i="21"/>
  <c r="E154" i="21"/>
  <c r="E155" i="21"/>
  <c r="E156" i="21"/>
  <c r="E157" i="21"/>
  <c r="E158" i="21"/>
  <c r="E159" i="21"/>
  <c r="E160" i="21"/>
  <c r="E161" i="21"/>
  <c r="E162" i="21"/>
  <c r="E163" i="21"/>
  <c r="E164" i="21"/>
  <c r="E165" i="21"/>
  <c r="E166" i="21"/>
  <c r="E167" i="21"/>
  <c r="E168" i="21"/>
  <c r="E169" i="21"/>
  <c r="E170" i="21"/>
  <c r="E171" i="21"/>
  <c r="E172" i="21"/>
  <c r="E173" i="21"/>
  <c r="E174" i="21"/>
  <c r="E175" i="21"/>
  <c r="E176" i="21"/>
  <c r="E177" i="21"/>
  <c r="E178" i="21"/>
  <c r="E179" i="21"/>
  <c r="E180" i="21"/>
  <c r="E181" i="21"/>
  <c r="E182" i="21"/>
  <c r="E183" i="21"/>
  <c r="E184" i="21"/>
  <c r="E185" i="21"/>
  <c r="E186" i="21"/>
  <c r="E187" i="21"/>
  <c r="E188" i="21"/>
  <c r="E189" i="21"/>
  <c r="E190" i="21"/>
  <c r="E191" i="21"/>
  <c r="E192" i="21"/>
  <c r="E193" i="21"/>
  <c r="E194" i="21"/>
  <c r="E195" i="21"/>
  <c r="E196" i="21"/>
  <c r="E197" i="21"/>
  <c r="E128" i="21"/>
  <c r="V15" i="23"/>
  <c r="V16" i="23"/>
  <c r="V17" i="23"/>
  <c r="V18" i="23"/>
  <c r="V19" i="23"/>
  <c r="V20" i="23"/>
  <c r="V21" i="23"/>
  <c r="V22" i="23"/>
  <c r="V23" i="23"/>
  <c r="V24" i="23"/>
  <c r="V25" i="23"/>
  <c r="V14" i="23"/>
  <c r="M128" i="23"/>
  <c r="M129" i="23"/>
  <c r="M130" i="23"/>
  <c r="M131" i="23"/>
  <c r="M132" i="23"/>
  <c r="M133" i="23"/>
  <c r="M134" i="23"/>
  <c r="M135" i="23"/>
  <c r="M136" i="23"/>
  <c r="M137" i="23"/>
  <c r="M138" i="23"/>
  <c r="M139" i="23"/>
  <c r="M140" i="23"/>
  <c r="M141" i="23"/>
  <c r="M142" i="23"/>
  <c r="M143" i="23"/>
  <c r="M144" i="23"/>
  <c r="M145" i="23"/>
  <c r="M146" i="23"/>
  <c r="M147" i="23"/>
  <c r="M148" i="23"/>
  <c r="M149" i="23"/>
  <c r="M150" i="23"/>
  <c r="M151" i="23"/>
  <c r="M152" i="23"/>
  <c r="M103" i="23"/>
  <c r="M104" i="23"/>
  <c r="M105" i="23"/>
  <c r="M106" i="23"/>
  <c r="M107" i="23"/>
  <c r="M108" i="23"/>
  <c r="M109" i="23"/>
  <c r="M110" i="23"/>
  <c r="M111" i="23"/>
  <c r="M112" i="23"/>
  <c r="M113" i="23"/>
  <c r="M114" i="23"/>
  <c r="M115" i="23"/>
  <c r="M116" i="23"/>
  <c r="M117" i="23"/>
  <c r="M118" i="23"/>
  <c r="M119" i="23"/>
  <c r="M120" i="23"/>
  <c r="M121" i="23"/>
  <c r="M122" i="23"/>
  <c r="M123" i="23"/>
  <c r="M124" i="23"/>
  <c r="M125" i="23"/>
  <c r="M126" i="23"/>
  <c r="M127" i="23"/>
  <c r="M78" i="23"/>
  <c r="M79" i="23"/>
  <c r="M80" i="23"/>
  <c r="M81" i="23"/>
  <c r="M82" i="23"/>
  <c r="M83" i="23"/>
  <c r="M84" i="23"/>
  <c r="M85" i="23"/>
  <c r="M86" i="23"/>
  <c r="M87" i="23"/>
  <c r="M88" i="23"/>
  <c r="M89" i="23"/>
  <c r="M90" i="23"/>
  <c r="M91" i="23"/>
  <c r="M92" i="23"/>
  <c r="M93" i="23"/>
  <c r="M94" i="23"/>
  <c r="M95" i="23"/>
  <c r="M96" i="23"/>
  <c r="M97" i="23"/>
  <c r="M98" i="23"/>
  <c r="M99" i="23"/>
  <c r="M100" i="23"/>
  <c r="M101" i="23"/>
  <c r="M102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30" i="23"/>
  <c r="D217" i="22"/>
  <c r="D216" i="22"/>
  <c r="D215" i="22"/>
  <c r="D214" i="22"/>
  <c r="D213" i="22"/>
  <c r="D212" i="22"/>
  <c r="D211" i="22"/>
  <c r="D210" i="22"/>
  <c r="D209" i="22"/>
  <c r="D204" i="22"/>
  <c r="D203" i="22"/>
  <c r="D202" i="22"/>
  <c r="D201" i="22"/>
  <c r="D200" i="22"/>
  <c r="D199" i="22"/>
  <c r="D198" i="22"/>
  <c r="D197" i="22"/>
  <c r="D196" i="22"/>
  <c r="D192" i="22"/>
  <c r="D191" i="22"/>
  <c r="D190" i="22"/>
  <c r="D189" i="22"/>
  <c r="D188" i="22"/>
  <c r="D187" i="22"/>
  <c r="D186" i="22"/>
  <c r="D185" i="22"/>
  <c r="D184" i="22"/>
  <c r="D181" i="22"/>
  <c r="D180" i="22"/>
  <c r="D179" i="22"/>
  <c r="D178" i="22"/>
  <c r="D177" i="22"/>
  <c r="D176" i="22"/>
  <c r="D175" i="22"/>
  <c r="D174" i="22"/>
  <c r="D173" i="22"/>
  <c r="D172" i="22"/>
  <c r="D171" i="22"/>
  <c r="D168" i="22"/>
  <c r="D167" i="22"/>
  <c r="D166" i="22"/>
  <c r="D165" i="22"/>
  <c r="D164" i="22"/>
  <c r="D163" i="22"/>
  <c r="D162" i="22"/>
  <c r="D161" i="22"/>
  <c r="D160" i="22"/>
  <c r="D159" i="22"/>
  <c r="D156" i="22"/>
  <c r="D155" i="22"/>
  <c r="D154" i="22"/>
  <c r="D153" i="22"/>
  <c r="D152" i="22"/>
  <c r="D151" i="22"/>
  <c r="D150" i="22"/>
  <c r="D149" i="22"/>
  <c r="D148" i="22"/>
  <c r="D143" i="22"/>
  <c r="D142" i="22"/>
  <c r="D141" i="22"/>
  <c r="D140" i="22"/>
  <c r="D139" i="22"/>
  <c r="D138" i="22"/>
  <c r="D137" i="22"/>
  <c r="D136" i="22"/>
  <c r="D135" i="22"/>
  <c r="D131" i="22"/>
  <c r="D130" i="22"/>
  <c r="D129" i="22"/>
  <c r="D128" i="22"/>
  <c r="D127" i="22"/>
  <c r="D126" i="22"/>
  <c r="D125" i="22"/>
  <c r="D124" i="22"/>
  <c r="D123" i="22"/>
  <c r="D120" i="22"/>
  <c r="D119" i="22"/>
  <c r="D118" i="22"/>
  <c r="D117" i="22"/>
  <c r="D116" i="22"/>
  <c r="D115" i="22"/>
  <c r="D114" i="22"/>
  <c r="D113" i="22"/>
  <c r="D112" i="22"/>
  <c r="E125" i="21"/>
  <c r="E126" i="21"/>
  <c r="E127" i="21"/>
  <c r="E120" i="21"/>
  <c r="E121" i="21"/>
  <c r="E122" i="21"/>
  <c r="E123" i="21"/>
  <c r="E124" i="21"/>
  <c r="E105" i="21"/>
  <c r="E106" i="21"/>
  <c r="E107" i="21"/>
  <c r="E108" i="21"/>
  <c r="E109" i="21"/>
  <c r="E110" i="21"/>
  <c r="E111" i="21"/>
  <c r="E112" i="21"/>
  <c r="E113" i="21"/>
  <c r="E114" i="21"/>
  <c r="E115" i="21"/>
  <c r="E116" i="21"/>
  <c r="E117" i="21"/>
  <c r="E118" i="21"/>
  <c r="E119" i="21"/>
  <c r="E102" i="21"/>
  <c r="E103" i="21"/>
  <c r="E104" i="21"/>
  <c r="E94" i="21"/>
  <c r="E95" i="21"/>
  <c r="E96" i="21"/>
  <c r="E97" i="21"/>
  <c r="E98" i="21"/>
  <c r="E99" i="21"/>
  <c r="E100" i="21"/>
  <c r="E101" i="21"/>
  <c r="E83" i="21"/>
  <c r="E84" i="21"/>
  <c r="E85" i="21"/>
  <c r="E86" i="21"/>
  <c r="E87" i="21"/>
  <c r="E88" i="21"/>
  <c r="E89" i="21"/>
  <c r="E90" i="21"/>
  <c r="E91" i="21"/>
  <c r="E92" i="21"/>
  <c r="E93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73" i="21"/>
  <c r="E74" i="21"/>
  <c r="E75" i="21"/>
  <c r="E76" i="21"/>
  <c r="E77" i="21"/>
  <c r="E78" i="21"/>
  <c r="E79" i="21"/>
  <c r="E80" i="21"/>
  <c r="E81" i="21"/>
  <c r="E82" i="21"/>
  <c r="E56" i="21"/>
  <c r="O17" i="11" l="1"/>
  <c r="L17" i="11"/>
  <c r="J17" i="11"/>
  <c r="O5" i="11"/>
  <c r="L5" i="11"/>
  <c r="J5" i="11"/>
  <c r="E5" i="11"/>
  <c r="I4" i="12" l="1"/>
  <c r="D77" i="2"/>
  <c r="D69" i="2"/>
  <c r="D68" i="2"/>
  <c r="D67" i="2"/>
  <c r="D66" i="2"/>
  <c r="D65" i="2"/>
  <c r="D61" i="2"/>
  <c r="D59" i="2"/>
  <c r="D58" i="2"/>
  <c r="D57" i="2"/>
  <c r="D56" i="2"/>
  <c r="D55" i="2"/>
  <c r="D54" i="2"/>
  <c r="D53" i="2"/>
  <c r="D52" i="2"/>
  <c r="D51" i="2"/>
  <c r="D50" i="2"/>
  <c r="D49" i="2"/>
  <c r="D48" i="2"/>
  <c r="D44" i="2"/>
  <c r="D43" i="2"/>
  <c r="D42" i="2"/>
  <c r="D45" i="2" s="1"/>
  <c r="D38" i="2"/>
  <c r="D37" i="2"/>
  <c r="D36" i="2"/>
  <c r="D35" i="2"/>
  <c r="D34" i="2"/>
  <c r="D33" i="2"/>
  <c r="D32" i="2"/>
  <c r="D31" i="2"/>
  <c r="D39" i="2" s="1"/>
  <c r="D27" i="2"/>
  <c r="D26" i="2"/>
  <c r="D25" i="2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D5" i="2"/>
  <c r="D4" i="2"/>
  <c r="I4" i="13"/>
  <c r="D98" i="8"/>
  <c r="D90" i="8"/>
  <c r="D89" i="8"/>
  <c r="D88" i="8"/>
  <c r="D87" i="8"/>
  <c r="D86" i="8"/>
  <c r="D91" i="8" s="1"/>
  <c r="D82" i="8"/>
  <c r="D80" i="8"/>
  <c r="D79" i="8"/>
  <c r="D78" i="8"/>
  <c r="D77" i="8"/>
  <c r="D76" i="8"/>
  <c r="D75" i="8"/>
  <c r="D74" i="8"/>
  <c r="D73" i="8"/>
  <c r="D72" i="8"/>
  <c r="D71" i="8"/>
  <c r="D70" i="8"/>
  <c r="D83" i="8" s="1"/>
  <c r="D69" i="8"/>
  <c r="D68" i="8"/>
  <c r="D64" i="8"/>
  <c r="D63" i="8"/>
  <c r="D62" i="8"/>
  <c r="D58" i="8"/>
  <c r="D57" i="8"/>
  <c r="D56" i="8"/>
  <c r="D55" i="8"/>
  <c r="D54" i="8"/>
  <c r="D53" i="8"/>
  <c r="D52" i="8"/>
  <c r="D51" i="8"/>
  <c r="D47" i="8"/>
  <c r="D46" i="8"/>
  <c r="D45" i="8"/>
  <c r="D44" i="8"/>
  <c r="D43" i="8"/>
  <c r="D42" i="8"/>
  <c r="D41" i="8"/>
  <c r="D40" i="8"/>
  <c r="D39" i="8"/>
  <c r="D38" i="8"/>
  <c r="D37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34" i="8" s="1"/>
  <c r="D17" i="8"/>
  <c r="D13" i="8"/>
  <c r="D12" i="8"/>
  <c r="D11" i="8"/>
  <c r="D10" i="8"/>
  <c r="D9" i="8"/>
  <c r="D8" i="8"/>
  <c r="D7" i="8"/>
  <c r="D6" i="8"/>
  <c r="D5" i="8"/>
  <c r="D4" i="8"/>
  <c r="I4" i="15"/>
  <c r="D100" i="9"/>
  <c r="D92" i="9"/>
  <c r="D91" i="9"/>
  <c r="D90" i="9"/>
  <c r="D89" i="9"/>
  <c r="D88" i="9"/>
  <c r="D83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5" i="9"/>
  <c r="D64" i="9"/>
  <c r="D63" i="9"/>
  <c r="D59" i="9"/>
  <c r="D58" i="9"/>
  <c r="D57" i="9"/>
  <c r="D56" i="9"/>
  <c r="D55" i="9"/>
  <c r="D54" i="9"/>
  <c r="D53" i="9"/>
  <c r="D52" i="9"/>
  <c r="D48" i="9"/>
  <c r="D47" i="9"/>
  <c r="D46" i="9"/>
  <c r="D45" i="9"/>
  <c r="D44" i="9"/>
  <c r="D43" i="9"/>
  <c r="D42" i="9"/>
  <c r="D41" i="9"/>
  <c r="D40" i="9"/>
  <c r="D39" i="9"/>
  <c r="D38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3" i="9"/>
  <c r="D12" i="9"/>
  <c r="D11" i="9"/>
  <c r="D10" i="9"/>
  <c r="D9" i="9"/>
  <c r="D8" i="9"/>
  <c r="D7" i="9"/>
  <c r="D6" i="9"/>
  <c r="D5" i="9"/>
  <c r="D4" i="9"/>
  <c r="B8" i="24"/>
  <c r="C13" i="19"/>
  <c r="D62" i="2" l="1"/>
  <c r="D49" i="9"/>
  <c r="D60" i="9"/>
  <c r="D14" i="8"/>
  <c r="D65" i="8"/>
  <c r="D28" i="2"/>
  <c r="D70" i="2"/>
  <c r="D35" i="9"/>
  <c r="D84" i="9"/>
  <c r="D93" i="9"/>
  <c r="D14" i="9"/>
  <c r="D66" i="9"/>
  <c r="D48" i="8"/>
  <c r="D59" i="8"/>
  <c r="D14" i="2"/>
  <c r="D95" i="8"/>
  <c r="D74" i="2" l="1"/>
  <c r="D97" i="9"/>
  <c r="D101" i="8"/>
  <c r="D96" i="8"/>
  <c r="D80" i="2" l="1"/>
  <c r="D75" i="2"/>
  <c r="D103" i="9"/>
  <c r="D98" i="9"/>
  <c r="D102" i="8"/>
  <c r="H4" i="13"/>
  <c r="M4" i="23"/>
  <c r="M5" i="23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21" i="23"/>
  <c r="M22" i="23"/>
  <c r="M23" i="23"/>
  <c r="M24" i="23"/>
  <c r="M25" i="23"/>
  <c r="M26" i="23"/>
  <c r="M27" i="23"/>
  <c r="M28" i="23"/>
  <c r="M29" i="23"/>
  <c r="M30" i="23"/>
  <c r="M31" i="23"/>
  <c r="M32" i="23"/>
  <c r="M33" i="23"/>
  <c r="M34" i="23"/>
  <c r="M35" i="23"/>
  <c r="M36" i="23"/>
  <c r="M37" i="23"/>
  <c r="M38" i="23"/>
  <c r="M39" i="23"/>
  <c r="M40" i="23"/>
  <c r="M41" i="23"/>
  <c r="M42" i="23"/>
  <c r="M43" i="23"/>
  <c r="M44" i="23"/>
  <c r="M45" i="23"/>
  <c r="M46" i="23"/>
  <c r="M47" i="23"/>
  <c r="M48" i="23"/>
  <c r="M49" i="23"/>
  <c r="M50" i="23"/>
  <c r="M51" i="23"/>
  <c r="M52" i="23"/>
  <c r="M53" i="23"/>
  <c r="M54" i="23"/>
  <c r="M55" i="23"/>
  <c r="M56" i="23"/>
  <c r="M57" i="23"/>
  <c r="M58" i="23"/>
  <c r="M59" i="23"/>
  <c r="M60" i="23"/>
  <c r="M61" i="23"/>
  <c r="M62" i="23"/>
  <c r="M63" i="23"/>
  <c r="M64" i="23"/>
  <c r="M65" i="23"/>
  <c r="M66" i="23"/>
  <c r="M67" i="23"/>
  <c r="M68" i="23"/>
  <c r="M69" i="23"/>
  <c r="M70" i="23"/>
  <c r="M71" i="23"/>
  <c r="M72" i="23"/>
  <c r="M73" i="23"/>
  <c r="M74" i="23"/>
  <c r="M75" i="23"/>
  <c r="M76" i="23"/>
  <c r="M77" i="23"/>
  <c r="M3" i="23"/>
  <c r="D4" i="23"/>
  <c r="D5" i="23"/>
  <c r="D6" i="23"/>
  <c r="D7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" i="23"/>
  <c r="V3" i="23"/>
  <c r="V4" i="23"/>
  <c r="V5" i="23"/>
  <c r="V6" i="23"/>
  <c r="V7" i="23"/>
  <c r="V8" i="23"/>
  <c r="V9" i="23"/>
  <c r="V10" i="23"/>
  <c r="V11" i="23"/>
  <c r="V12" i="23"/>
  <c r="V13" i="23"/>
  <c r="V2" i="23"/>
  <c r="D108" i="22"/>
  <c r="D107" i="22"/>
  <c r="D106" i="22"/>
  <c r="D105" i="22"/>
  <c r="D104" i="22"/>
  <c r="D103" i="22"/>
  <c r="D102" i="22"/>
  <c r="D101" i="22"/>
  <c r="D100" i="22"/>
  <c r="D95" i="22"/>
  <c r="D94" i="22"/>
  <c r="D93" i="22"/>
  <c r="D92" i="22"/>
  <c r="D91" i="22"/>
  <c r="D90" i="22"/>
  <c r="D89" i="22"/>
  <c r="D88" i="22"/>
  <c r="D87" i="22"/>
  <c r="D83" i="22"/>
  <c r="D82" i="22"/>
  <c r="D81" i="22"/>
  <c r="D80" i="22"/>
  <c r="D79" i="22"/>
  <c r="D78" i="22"/>
  <c r="D77" i="22"/>
  <c r="D76" i="22"/>
  <c r="D75" i="22"/>
  <c r="D72" i="22"/>
  <c r="D71" i="22"/>
  <c r="D70" i="22"/>
  <c r="D69" i="22"/>
  <c r="D68" i="22"/>
  <c r="D67" i="22"/>
  <c r="D66" i="22"/>
  <c r="D65" i="22"/>
  <c r="D64" i="22"/>
  <c r="D63" i="22"/>
  <c r="D62" i="22"/>
  <c r="D59" i="22"/>
  <c r="D58" i="22"/>
  <c r="D57" i="22"/>
  <c r="D56" i="22"/>
  <c r="D55" i="22"/>
  <c r="D54" i="22"/>
  <c r="D53" i="22"/>
  <c r="D52" i="22"/>
  <c r="D51" i="22"/>
  <c r="D50" i="22"/>
  <c r="D47" i="22"/>
  <c r="D46" i="22"/>
  <c r="D45" i="22"/>
  <c r="D44" i="22"/>
  <c r="D43" i="22"/>
  <c r="D42" i="22"/>
  <c r="D41" i="22"/>
  <c r="D40" i="22"/>
  <c r="D39" i="22"/>
  <c r="D34" i="22"/>
  <c r="D33" i="22"/>
  <c r="D32" i="22"/>
  <c r="D31" i="22"/>
  <c r="D30" i="22"/>
  <c r="D29" i="22"/>
  <c r="D28" i="22"/>
  <c r="D27" i="22"/>
  <c r="D26" i="22"/>
  <c r="D22" i="22"/>
  <c r="D21" i="22"/>
  <c r="D20" i="22"/>
  <c r="D19" i="22"/>
  <c r="D18" i="22"/>
  <c r="D17" i="22"/>
  <c r="D16" i="22"/>
  <c r="D15" i="22"/>
  <c r="D14" i="22"/>
  <c r="D4" i="22"/>
  <c r="D5" i="22"/>
  <c r="D6" i="22"/>
  <c r="D7" i="22"/>
  <c r="D8" i="22"/>
  <c r="D9" i="22"/>
  <c r="D10" i="22"/>
  <c r="D11" i="22"/>
  <c r="D3" i="22"/>
  <c r="E3" i="21"/>
  <c r="E4" i="21"/>
  <c r="E5" i="21"/>
  <c r="E6" i="21"/>
  <c r="E7" i="21"/>
  <c r="E8" i="21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8" i="21"/>
  <c r="E49" i="21"/>
  <c r="E50" i="21"/>
  <c r="E51" i="21"/>
  <c r="E52" i="21"/>
  <c r="E53" i="21"/>
  <c r="E54" i="21"/>
  <c r="E55" i="21"/>
  <c r="E2" i="21"/>
  <c r="Q52" i="23"/>
  <c r="Q51" i="23"/>
  <c r="Q50" i="23"/>
  <c r="Q49" i="23"/>
  <c r="Q48" i="23"/>
  <c r="Q47" i="23"/>
  <c r="Q46" i="23"/>
  <c r="Q45" i="23"/>
  <c r="Q44" i="23"/>
  <c r="Q43" i="23"/>
  <c r="Q42" i="23"/>
  <c r="Q41" i="23"/>
  <c r="Q40" i="23"/>
  <c r="Q39" i="23"/>
  <c r="Q38" i="23"/>
  <c r="Q37" i="23"/>
  <c r="Q36" i="23"/>
  <c r="Q35" i="23"/>
  <c r="Q34" i="23"/>
  <c r="Q33" i="23"/>
  <c r="Q32" i="23"/>
  <c r="Q31" i="23"/>
  <c r="Q30" i="23"/>
  <c r="Q29" i="23"/>
  <c r="Q28" i="23"/>
  <c r="B158" i="24" l="1"/>
  <c r="D158" i="24"/>
  <c r="C158" i="24"/>
  <c r="A158" i="24"/>
  <c r="D105" i="24"/>
  <c r="D49" i="24"/>
  <c r="D47" i="24"/>
  <c r="D43" i="24"/>
  <c r="D39" i="24"/>
  <c r="D35" i="24"/>
  <c r="C48" i="24"/>
  <c r="C44" i="24"/>
  <c r="C40" i="24"/>
  <c r="C36" i="24"/>
  <c r="C32" i="24"/>
  <c r="B46" i="24"/>
  <c r="B42" i="24"/>
  <c r="B38" i="24"/>
  <c r="B34" i="24"/>
  <c r="C98" i="24"/>
  <c r="D96" i="24"/>
  <c r="C74" i="24"/>
  <c r="D71" i="24"/>
  <c r="C73" i="24"/>
  <c r="C68" i="24"/>
  <c r="B72" i="24"/>
  <c r="B67" i="24"/>
  <c r="C49" i="24"/>
  <c r="D46" i="24"/>
  <c r="D42" i="24"/>
  <c r="D38" i="24"/>
  <c r="D34" i="24"/>
  <c r="C47" i="24"/>
  <c r="C43" i="24"/>
  <c r="C39" i="24"/>
  <c r="C35" i="24"/>
  <c r="B32" i="24"/>
  <c r="B45" i="24"/>
  <c r="B41" i="24"/>
  <c r="B37" i="24"/>
  <c r="B33" i="24"/>
  <c r="C97" i="24"/>
  <c r="C96" i="24"/>
  <c r="D74" i="24"/>
  <c r="D69" i="24"/>
  <c r="C72" i="24"/>
  <c r="C67" i="24"/>
  <c r="B71" i="24"/>
  <c r="B49" i="24"/>
  <c r="D45" i="24"/>
  <c r="D41" i="24"/>
  <c r="D37" i="24"/>
  <c r="D33" i="24"/>
  <c r="C46" i="24"/>
  <c r="C42" i="24"/>
  <c r="C38" i="24"/>
  <c r="C34" i="24"/>
  <c r="B48" i="24"/>
  <c r="B44" i="24"/>
  <c r="B40" i="24"/>
  <c r="B36" i="24"/>
  <c r="D98" i="24"/>
  <c r="B98" i="24"/>
  <c r="B96" i="24"/>
  <c r="D73" i="24"/>
  <c r="D68" i="24"/>
  <c r="C71" i="24"/>
  <c r="B69" i="24"/>
  <c r="D48" i="24"/>
  <c r="D44" i="24"/>
  <c r="D40" i="24"/>
  <c r="D36" i="24"/>
  <c r="D32" i="24"/>
  <c r="C45" i="24"/>
  <c r="C41" i="24"/>
  <c r="C37" i="24"/>
  <c r="C33" i="24"/>
  <c r="B47" i="24"/>
  <c r="B43" i="24"/>
  <c r="B39" i="24"/>
  <c r="B35" i="24"/>
  <c r="D97" i="24"/>
  <c r="B97" i="24"/>
  <c r="B74" i="24"/>
  <c r="D72" i="24"/>
  <c r="D67" i="24"/>
  <c r="C69" i="24"/>
  <c r="B73" i="24"/>
  <c r="B68" i="24"/>
  <c r="D70" i="24"/>
  <c r="B70" i="24"/>
  <c r="C70" i="24"/>
  <c r="B196" i="24"/>
  <c r="D190" i="24"/>
  <c r="C185" i="24"/>
  <c r="B180" i="24"/>
  <c r="B176" i="24"/>
  <c r="D194" i="24"/>
  <c r="C189" i="24"/>
  <c r="B184" i="24"/>
  <c r="B179" i="24"/>
  <c r="B175" i="24"/>
  <c r="D198" i="24"/>
  <c r="C193" i="24"/>
  <c r="B188" i="24"/>
  <c r="D182" i="24"/>
  <c r="D178" i="24"/>
  <c r="C197" i="24"/>
  <c r="B192" i="24"/>
  <c r="D186" i="24"/>
  <c r="C181" i="24"/>
  <c r="C177" i="24"/>
  <c r="D199" i="24"/>
  <c r="C184" i="24"/>
  <c r="D189" i="24"/>
  <c r="B195" i="24"/>
  <c r="C180" i="24"/>
  <c r="B182" i="24"/>
  <c r="C187" i="24"/>
  <c r="D192" i="24"/>
  <c r="B198" i="24"/>
  <c r="C179" i="24"/>
  <c r="D179" i="24"/>
  <c r="B185" i="24"/>
  <c r="C190" i="24"/>
  <c r="D195" i="24"/>
  <c r="C176" i="24"/>
  <c r="D185" i="24"/>
  <c r="B191" i="24"/>
  <c r="C196" i="24"/>
  <c r="D176" i="24"/>
  <c r="C183" i="24"/>
  <c r="D188" i="24"/>
  <c r="B194" i="24"/>
  <c r="C199" i="24"/>
  <c r="D175" i="24"/>
  <c r="B181" i="24"/>
  <c r="C186" i="24"/>
  <c r="D191" i="24"/>
  <c r="B197" i="24"/>
  <c r="D181" i="24"/>
  <c r="B187" i="24"/>
  <c r="C192" i="24"/>
  <c r="D197" i="24"/>
  <c r="B178" i="24"/>
  <c r="D184" i="24"/>
  <c r="B190" i="24"/>
  <c r="C195" i="24"/>
  <c r="D177" i="24"/>
  <c r="B177" i="24"/>
  <c r="C182" i="24"/>
  <c r="D187" i="24"/>
  <c r="B193" i="24"/>
  <c r="C198" i="24"/>
  <c r="B183" i="24"/>
  <c r="C188" i="24"/>
  <c r="D193" i="24"/>
  <c r="B199" i="24"/>
  <c r="D180" i="24"/>
  <c r="B186" i="24"/>
  <c r="C191" i="24"/>
  <c r="D196" i="24"/>
  <c r="C175" i="24"/>
  <c r="C178" i="24"/>
  <c r="D183" i="24"/>
  <c r="B189" i="24"/>
  <c r="C194" i="24"/>
  <c r="D162" i="24"/>
  <c r="D169" i="24"/>
  <c r="D161" i="24"/>
  <c r="D165" i="24"/>
  <c r="D163" i="24"/>
  <c r="D168" i="24"/>
  <c r="E163" i="24"/>
  <c r="B162" i="24"/>
  <c r="B166" i="24"/>
  <c r="E161" i="24"/>
  <c r="E166" i="24"/>
  <c r="C163" i="24"/>
  <c r="C168" i="24"/>
  <c r="D164" i="24"/>
  <c r="B164" i="24"/>
  <c r="E164" i="24"/>
  <c r="C166" i="24"/>
  <c r="B161" i="24"/>
  <c r="B165" i="24"/>
  <c r="E165" i="24"/>
  <c r="C169" i="24"/>
  <c r="D167" i="24"/>
  <c r="E167" i="24"/>
  <c r="B163" i="24"/>
  <c r="B167" i="24"/>
  <c r="E162" i="24"/>
  <c r="E168" i="24"/>
  <c r="C164" i="24"/>
  <c r="D166" i="24"/>
  <c r="E169" i="24"/>
  <c r="B168" i="24"/>
  <c r="C161" i="24"/>
  <c r="C165" i="24"/>
  <c r="B169" i="24"/>
  <c r="C162" i="24"/>
  <c r="C167" i="24"/>
  <c r="Z131" i="24"/>
  <c r="J131" i="24"/>
  <c r="AA130" i="24"/>
  <c r="P133" i="24"/>
  <c r="AB129" i="24"/>
  <c r="E132" i="24"/>
  <c r="F131" i="24"/>
  <c r="C134" i="24"/>
  <c r="M129" i="24"/>
  <c r="AC129" i="24"/>
  <c r="P130" i="24"/>
  <c r="C131" i="24"/>
  <c r="S131" i="24"/>
  <c r="F132" i="24"/>
  <c r="Y132" i="24"/>
  <c r="AA133" i="24"/>
  <c r="AD134" i="24"/>
  <c r="B129" i="24"/>
  <c r="R129" i="24"/>
  <c r="E130" i="24"/>
  <c r="U130" i="24"/>
  <c r="H131" i="24"/>
  <c r="X131" i="24"/>
  <c r="K132" i="24"/>
  <c r="D133" i="24"/>
  <c r="G134" i="24"/>
  <c r="J135" i="24"/>
  <c r="K129" i="24"/>
  <c r="AA129" i="24"/>
  <c r="N130" i="24"/>
  <c r="AD130" i="24"/>
  <c r="Q131" i="24"/>
  <c r="D132" i="24"/>
  <c r="W132" i="24"/>
  <c r="W133" i="24"/>
  <c r="Z134" i="24"/>
  <c r="K136" i="24"/>
  <c r="N132" i="24"/>
  <c r="AD132" i="24"/>
  <c r="Q133" i="24"/>
  <c r="D134" i="24"/>
  <c r="T134" i="24"/>
  <c r="G135" i="24"/>
  <c r="O136" i="24"/>
  <c r="F133" i="24"/>
  <c r="V133" i="24"/>
  <c r="I134" i="24"/>
  <c r="Y134" i="24"/>
  <c r="N135" i="24"/>
  <c r="F137" i="24"/>
  <c r="T129" i="24"/>
  <c r="G130" i="24"/>
  <c r="W130" i="24"/>
  <c r="H129" i="24"/>
  <c r="N131" i="24"/>
  <c r="S134" i="24"/>
  <c r="O130" i="24"/>
  <c r="X132" i="24"/>
  <c r="P129" i="24"/>
  <c r="V131" i="24"/>
  <c r="F135" i="24"/>
  <c r="Q129" i="24"/>
  <c r="D130" i="24"/>
  <c r="T130" i="24"/>
  <c r="G131" i="24"/>
  <c r="W131" i="24"/>
  <c r="J132" i="24"/>
  <c r="C133" i="24"/>
  <c r="F134" i="24"/>
  <c r="I135" i="24"/>
  <c r="F129" i="24"/>
  <c r="V129" i="24"/>
  <c r="I130" i="24"/>
  <c r="Y130" i="24"/>
  <c r="L131" i="24"/>
  <c r="AB131" i="24"/>
  <c r="P132" i="24"/>
  <c r="L133" i="24"/>
  <c r="O134" i="24"/>
  <c r="G136" i="24"/>
  <c r="O129" i="24"/>
  <c r="B130" i="24"/>
  <c r="R130" i="24"/>
  <c r="E131" i="24"/>
  <c r="U131" i="24"/>
  <c r="H132" i="24"/>
  <c r="AB132" i="24"/>
  <c r="B134" i="24"/>
  <c r="E135" i="24"/>
  <c r="AA136" i="24"/>
  <c r="R132" i="24"/>
  <c r="E133" i="24"/>
  <c r="U133" i="24"/>
  <c r="H134" i="24"/>
  <c r="X134" i="24"/>
  <c r="L135" i="24"/>
  <c r="B137" i="24"/>
  <c r="J133" i="24"/>
  <c r="Z133" i="24"/>
  <c r="M134" i="24"/>
  <c r="AC134" i="24"/>
  <c r="V135" i="24"/>
  <c r="V137" i="24"/>
  <c r="K134" i="24"/>
  <c r="M132" i="24"/>
  <c r="H133" i="24"/>
  <c r="X129" i="24"/>
  <c r="AD131" i="24"/>
  <c r="J137" i="24"/>
  <c r="B131" i="24"/>
  <c r="X133" i="24"/>
  <c r="C130" i="24"/>
  <c r="I132" i="24"/>
  <c r="E129" i="24"/>
  <c r="U129" i="24"/>
  <c r="H130" i="24"/>
  <c r="X130" i="24"/>
  <c r="K131" i="24"/>
  <c r="AA131" i="24"/>
  <c r="O132" i="24"/>
  <c r="K133" i="24"/>
  <c r="N134" i="24"/>
  <c r="X135" i="24"/>
  <c r="J129" i="24"/>
  <c r="Z129" i="24"/>
  <c r="M130" i="24"/>
  <c r="AC130" i="24"/>
  <c r="P131" i="24"/>
  <c r="C132" i="24"/>
  <c r="U132" i="24"/>
  <c r="T133" i="24"/>
  <c r="W134" i="24"/>
  <c r="C129" i="24"/>
  <c r="S129" i="24"/>
  <c r="F130" i="24"/>
  <c r="V130" i="24"/>
  <c r="I131" i="24"/>
  <c r="Y131" i="24"/>
  <c r="L132" i="24"/>
  <c r="G133" i="24"/>
  <c r="J134" i="24"/>
  <c r="P135" i="24"/>
  <c r="N137" i="24"/>
  <c r="V132" i="24"/>
  <c r="I133" i="24"/>
  <c r="Y133" i="24"/>
  <c r="L134" i="24"/>
  <c r="AB134" i="24"/>
  <c r="T135" i="24"/>
  <c r="R137" i="24"/>
  <c r="N133" i="24"/>
  <c r="AD133" i="24"/>
  <c r="Q134" i="24"/>
  <c r="D135" i="24"/>
  <c r="C136" i="24"/>
  <c r="R135" i="24"/>
  <c r="D129" i="24"/>
  <c r="K130" i="24"/>
  <c r="S132" i="24"/>
  <c r="L129" i="24"/>
  <c r="R131" i="24"/>
  <c r="AA134" i="24"/>
  <c r="S130" i="24"/>
  <c r="AC132" i="24"/>
  <c r="I129" i="24"/>
  <c r="Y129" i="24"/>
  <c r="L130" i="24"/>
  <c r="AB130" i="24"/>
  <c r="O131" i="24"/>
  <c r="B132" i="24"/>
  <c r="T132" i="24"/>
  <c r="S133" i="24"/>
  <c r="V134" i="24"/>
  <c r="Z137" i="24"/>
  <c r="N129" i="24"/>
  <c r="AD129" i="24"/>
  <c r="Q130" i="24"/>
  <c r="D131" i="24"/>
  <c r="T131" i="24"/>
  <c r="G132" i="24"/>
  <c r="AA132" i="24"/>
  <c r="AB133" i="24"/>
  <c r="B135" i="24"/>
  <c r="G129" i="24"/>
  <c r="W129" i="24"/>
  <c r="J130" i="24"/>
  <c r="Z130" i="24"/>
  <c r="M131" i="24"/>
  <c r="AC131" i="24"/>
  <c r="Q132" i="24"/>
  <c r="O133" i="24"/>
  <c r="R134" i="24"/>
  <c r="W136" i="24"/>
  <c r="Z135" i="24"/>
  <c r="AD137" i="24"/>
  <c r="Z132" i="24"/>
  <c r="M133" i="24"/>
  <c r="AC133" i="24"/>
  <c r="P134" i="24"/>
  <c r="C135" i="24"/>
  <c r="AB135" i="24"/>
  <c r="B133" i="24"/>
  <c r="R133" i="24"/>
  <c r="E134" i="24"/>
  <c r="U134" i="24"/>
  <c r="H135" i="24"/>
  <c r="S136" i="24"/>
  <c r="Q137" i="24"/>
  <c r="AD136" i="24"/>
  <c r="N136" i="24"/>
  <c r="AA135" i="24"/>
  <c r="K135" i="24"/>
  <c r="T137" i="24"/>
  <c r="D137" i="24"/>
  <c r="Q136" i="24"/>
  <c r="AD135" i="24"/>
  <c r="G137" i="24"/>
  <c r="Q135" i="24"/>
  <c r="C137" i="24"/>
  <c r="AC137" i="24"/>
  <c r="M137" i="24"/>
  <c r="Z136" i="24"/>
  <c r="J136" i="24"/>
  <c r="W135" i="24"/>
  <c r="P137" i="24"/>
  <c r="AC136" i="24"/>
  <c r="M136" i="24"/>
  <c r="S137" i="24"/>
  <c r="M135" i="24"/>
  <c r="Y137" i="24"/>
  <c r="I137" i="24"/>
  <c r="V136" i="24"/>
  <c r="F136" i="24"/>
  <c r="S135" i="24"/>
  <c r="AB137" i="24"/>
  <c r="L137" i="24"/>
  <c r="Y136" i="24"/>
  <c r="I136" i="24"/>
  <c r="O137" i="24"/>
  <c r="AB136" i="24"/>
  <c r="L136" i="24"/>
  <c r="Y135" i="24"/>
  <c r="T136" i="24"/>
  <c r="AC135" i="24"/>
  <c r="U137" i="24"/>
  <c r="E137" i="24"/>
  <c r="R136" i="24"/>
  <c r="B136" i="24"/>
  <c r="O135" i="24"/>
  <c r="X137" i="24"/>
  <c r="H137" i="24"/>
  <c r="U136" i="24"/>
  <c r="E136" i="24"/>
  <c r="AA137" i="24"/>
  <c r="K137" i="24"/>
  <c r="X136" i="24"/>
  <c r="H136" i="24"/>
  <c r="U135" i="24"/>
  <c r="W137" i="24"/>
  <c r="D136" i="24"/>
  <c r="P136" i="24"/>
  <c r="U151" i="24"/>
  <c r="R150" i="24"/>
  <c r="V146" i="24"/>
  <c r="P144" i="24"/>
  <c r="C145" i="24"/>
  <c r="Y147" i="24"/>
  <c r="AC143" i="24"/>
  <c r="Q143" i="24"/>
  <c r="W145" i="24"/>
  <c r="AC147" i="24"/>
  <c r="F150" i="24"/>
  <c r="U143" i="24"/>
  <c r="AA145" i="24"/>
  <c r="D148" i="24"/>
  <c r="J150" i="24"/>
  <c r="L144" i="24"/>
  <c r="R146" i="24"/>
  <c r="X148" i="24"/>
  <c r="AD150" i="24"/>
  <c r="P151" i="24"/>
  <c r="AC150" i="24"/>
  <c r="M150" i="24"/>
  <c r="Z149" i="24"/>
  <c r="J149" i="24"/>
  <c r="W148" i="24"/>
  <c r="G148" i="24"/>
  <c r="T147" i="24"/>
  <c r="D147" i="24"/>
  <c r="Q146" i="24"/>
  <c r="AD145" i="24"/>
  <c r="N145" i="24"/>
  <c r="AA144" i="24"/>
  <c r="K144" i="24"/>
  <c r="X143" i="24"/>
  <c r="H143" i="24"/>
  <c r="E151" i="24"/>
  <c r="I147" i="24"/>
  <c r="B150" i="24"/>
  <c r="F146" i="24"/>
  <c r="D144" i="24"/>
  <c r="J146" i="24"/>
  <c r="P148" i="24"/>
  <c r="V150" i="24"/>
  <c r="H144" i="24"/>
  <c r="N146" i="24"/>
  <c r="T148" i="24"/>
  <c r="Z150" i="24"/>
  <c r="AB144" i="24"/>
  <c r="E147" i="24"/>
  <c r="K149" i="24"/>
  <c r="AB151" i="24"/>
  <c r="L151" i="24"/>
  <c r="Y150" i="24"/>
  <c r="I150" i="24"/>
  <c r="V149" i="24"/>
  <c r="F149" i="24"/>
  <c r="S148" i="24"/>
  <c r="C148" i="24"/>
  <c r="P147" i="24"/>
  <c r="AC146" i="24"/>
  <c r="M146" i="24"/>
  <c r="Z145" i="24"/>
  <c r="O149" i="24"/>
  <c r="M143" i="24"/>
  <c r="L148" i="24"/>
  <c r="T144" i="24"/>
  <c r="Z146" i="24"/>
  <c r="C149" i="24"/>
  <c r="I151" i="24"/>
  <c r="X144" i="24"/>
  <c r="AD146" i="24"/>
  <c r="G149" i="24"/>
  <c r="M151" i="24"/>
  <c r="I143" i="24"/>
  <c r="O145" i="24"/>
  <c r="U147" i="24"/>
  <c r="AA149" i="24"/>
  <c r="X151" i="24"/>
  <c r="H151" i="24"/>
  <c r="U150" i="24"/>
  <c r="E150" i="24"/>
  <c r="R149" i="24"/>
  <c r="B149" i="24"/>
  <c r="O148" i="24"/>
  <c r="AB147" i="24"/>
  <c r="L147" i="24"/>
  <c r="Y146" i="24"/>
  <c r="I146" i="24"/>
  <c r="V145" i="24"/>
  <c r="F145" i="24"/>
  <c r="S144" i="24"/>
  <c r="AB148" i="24"/>
  <c r="Y151" i="24"/>
  <c r="S145" i="24"/>
  <c r="G145" i="24"/>
  <c r="M147" i="24"/>
  <c r="S149" i="24"/>
  <c r="AC151" i="24"/>
  <c r="E143" i="24"/>
  <c r="K145" i="24"/>
  <c r="Q147" i="24"/>
  <c r="W149" i="24"/>
  <c r="Y143" i="24"/>
  <c r="B146" i="24"/>
  <c r="H148" i="24"/>
  <c r="N150" i="24"/>
  <c r="T151" i="24"/>
  <c r="D151" i="24"/>
  <c r="Q150" i="24"/>
  <c r="AD149" i="24"/>
  <c r="N149" i="24"/>
  <c r="AA148" i="24"/>
  <c r="K148" i="24"/>
  <c r="X147" i="24"/>
  <c r="H147" i="24"/>
  <c r="U146" i="24"/>
  <c r="E146" i="24"/>
  <c r="R145" i="24"/>
  <c r="W144" i="24"/>
  <c r="AB143" i="24"/>
  <c r="D143" i="24"/>
  <c r="O151" i="24"/>
  <c r="AB150" i="24"/>
  <c r="L150" i="24"/>
  <c r="Y149" i="24"/>
  <c r="I149" i="24"/>
  <c r="V148" i="24"/>
  <c r="F148" i="24"/>
  <c r="S147" i="24"/>
  <c r="C147" i="24"/>
  <c r="P146" i="24"/>
  <c r="AC145" i="24"/>
  <c r="M145" i="24"/>
  <c r="Z144" i="24"/>
  <c r="J144" i="24"/>
  <c r="W143" i="24"/>
  <c r="G143" i="24"/>
  <c r="R151" i="24"/>
  <c r="B151" i="24"/>
  <c r="O150" i="24"/>
  <c r="AB149" i="24"/>
  <c r="L149" i="24"/>
  <c r="Y148" i="24"/>
  <c r="I148" i="24"/>
  <c r="V147" i="24"/>
  <c r="F147" i="24"/>
  <c r="S146" i="24"/>
  <c r="P145" i="24"/>
  <c r="Z143" i="24"/>
  <c r="O144" i="24"/>
  <c r="T143" i="24"/>
  <c r="AA151" i="24"/>
  <c r="K151" i="24"/>
  <c r="X150" i="24"/>
  <c r="H150" i="24"/>
  <c r="U149" i="24"/>
  <c r="E149" i="24"/>
  <c r="R148" i="24"/>
  <c r="B148" i="24"/>
  <c r="O147" i="24"/>
  <c r="AB146" i="24"/>
  <c r="L146" i="24"/>
  <c r="Y145" i="24"/>
  <c r="I145" i="24"/>
  <c r="V144" i="24"/>
  <c r="F144" i="24"/>
  <c r="S143" i="24"/>
  <c r="C143" i="24"/>
  <c r="AD151" i="24"/>
  <c r="N151" i="24"/>
  <c r="AA150" i="24"/>
  <c r="K150" i="24"/>
  <c r="X149" i="24"/>
  <c r="H149" i="24"/>
  <c r="U148" i="24"/>
  <c r="E148" i="24"/>
  <c r="R147" i="24"/>
  <c r="B147" i="24"/>
  <c r="O146" i="24"/>
  <c r="AB145" i="24"/>
  <c r="L145" i="24"/>
  <c r="Y144" i="24"/>
  <c r="I144" i="24"/>
  <c r="J145" i="24"/>
  <c r="G144" i="24"/>
  <c r="P143" i="24"/>
  <c r="W151" i="24"/>
  <c r="G151" i="24"/>
  <c r="T150" i="24"/>
  <c r="D150" i="24"/>
  <c r="Q149" i="24"/>
  <c r="AD148" i="24"/>
  <c r="N148" i="24"/>
  <c r="AA147" i="24"/>
  <c r="K147" i="24"/>
  <c r="X146" i="24"/>
  <c r="H146" i="24"/>
  <c r="U145" i="24"/>
  <c r="E145" i="24"/>
  <c r="R144" i="24"/>
  <c r="B144" i="24"/>
  <c r="O143" i="24"/>
  <c r="Z151" i="24"/>
  <c r="J151" i="24"/>
  <c r="W150" i="24"/>
  <c r="G150" i="24"/>
  <c r="T149" i="24"/>
  <c r="D149" i="24"/>
  <c r="Q148" i="24"/>
  <c r="AD147" i="24"/>
  <c r="N147" i="24"/>
  <c r="AA146" i="24"/>
  <c r="K146" i="24"/>
  <c r="X145" i="24"/>
  <c r="H145" i="24"/>
  <c r="U144" i="24"/>
  <c r="E144" i="24"/>
  <c r="R143" i="24"/>
  <c r="B143" i="24"/>
  <c r="Q151" i="24"/>
  <c r="AC144" i="24"/>
  <c r="J143" i="24"/>
  <c r="V143" i="24"/>
  <c r="B145" i="24"/>
  <c r="C144" i="24"/>
  <c r="L143" i="24"/>
  <c r="S151" i="24"/>
  <c r="C151" i="24"/>
  <c r="P150" i="24"/>
  <c r="AC149" i="24"/>
  <c r="M149" i="24"/>
  <c r="Z148" i="24"/>
  <c r="J148" i="24"/>
  <c r="W147" i="24"/>
  <c r="G147" i="24"/>
  <c r="T146" i="24"/>
  <c r="D146" i="24"/>
  <c r="Q145" i="24"/>
  <c r="AD144" i="24"/>
  <c r="N144" i="24"/>
  <c r="AA143" i="24"/>
  <c r="K143" i="24"/>
  <c r="V151" i="24"/>
  <c r="F151" i="24"/>
  <c r="S150" i="24"/>
  <c r="C150" i="24"/>
  <c r="P149" i="24"/>
  <c r="AC148" i="24"/>
  <c r="M148" i="24"/>
  <c r="Z147" i="24"/>
  <c r="J147" i="24"/>
  <c r="W146" i="24"/>
  <c r="G146" i="24"/>
  <c r="T145" i="24"/>
  <c r="D145" i="24"/>
  <c r="Q144" i="24"/>
  <c r="AD143" i="24"/>
  <c r="N143" i="24"/>
  <c r="C146" i="24"/>
  <c r="M144" i="24"/>
  <c r="F143" i="24"/>
  <c r="AD124" i="24"/>
  <c r="Y122" i="24"/>
  <c r="I122" i="24"/>
  <c r="V121" i="24"/>
  <c r="N121" i="24"/>
  <c r="F121" i="24"/>
  <c r="AA120" i="24"/>
  <c r="S120" i="24"/>
  <c r="K120" i="24"/>
  <c r="C120" i="24"/>
  <c r="X119" i="24"/>
  <c r="P119" i="24"/>
  <c r="I119" i="24"/>
  <c r="D119" i="24"/>
  <c r="AB118" i="24"/>
  <c r="V118" i="24"/>
  <c r="Q118" i="24"/>
  <c r="L118" i="24"/>
  <c r="F118" i="24"/>
  <c r="AD117" i="24"/>
  <c r="Y117" i="24"/>
  <c r="U117" i="24"/>
  <c r="Q117" i="24"/>
  <c r="M117" i="24"/>
  <c r="I117" i="24"/>
  <c r="E117" i="24"/>
  <c r="K123" i="24"/>
  <c r="Z121" i="24"/>
  <c r="AB120" i="24"/>
  <c r="D120" i="24"/>
  <c r="K119" i="24"/>
  <c r="R118" i="24"/>
  <c r="H118" i="24"/>
  <c r="V117" i="24"/>
  <c r="J117" i="24"/>
  <c r="N124" i="24"/>
  <c r="U122" i="24"/>
  <c r="E122" i="24"/>
  <c r="S121" i="24"/>
  <c r="K121" i="24"/>
  <c r="C121" i="24"/>
  <c r="X120" i="24"/>
  <c r="P120" i="24"/>
  <c r="H120" i="24"/>
  <c r="AC119" i="24"/>
  <c r="U119" i="24"/>
  <c r="M119" i="24"/>
  <c r="H119" i="24"/>
  <c r="C119" i="24"/>
  <c r="Z118" i="24"/>
  <c r="U118" i="24"/>
  <c r="P118" i="24"/>
  <c r="J118" i="24"/>
  <c r="E118" i="24"/>
  <c r="AC117" i="24"/>
  <c r="X117" i="24"/>
  <c r="T117" i="24"/>
  <c r="P117" i="24"/>
  <c r="L117" i="24"/>
  <c r="H117" i="24"/>
  <c r="D117" i="24"/>
  <c r="M122" i="24"/>
  <c r="G121" i="24"/>
  <c r="L120" i="24"/>
  <c r="Q119" i="24"/>
  <c r="AC118" i="24"/>
  <c r="M118" i="24"/>
  <c r="Z117" i="24"/>
  <c r="N117" i="24"/>
  <c r="B117" i="24"/>
  <c r="AA123" i="24"/>
  <c r="Q122" i="24"/>
  <c r="AD121" i="24"/>
  <c r="R121" i="24"/>
  <c r="J121" i="24"/>
  <c r="B121" i="24"/>
  <c r="W120" i="24"/>
  <c r="O120" i="24"/>
  <c r="G120" i="24"/>
  <c r="AB119" i="24"/>
  <c r="T119" i="24"/>
  <c r="L119" i="24"/>
  <c r="G119" i="24"/>
  <c r="AD118" i="24"/>
  <c r="Y118" i="24"/>
  <c r="T118" i="24"/>
  <c r="N118" i="24"/>
  <c r="I118" i="24"/>
  <c r="D118" i="24"/>
  <c r="AA117" i="24"/>
  <c r="W117" i="24"/>
  <c r="S117" i="24"/>
  <c r="O117" i="24"/>
  <c r="K117" i="24"/>
  <c r="G117" i="24"/>
  <c r="C117" i="24"/>
  <c r="Q125" i="24"/>
  <c r="O121" i="24"/>
  <c r="T120" i="24"/>
  <c r="Y119" i="24"/>
  <c r="E119" i="24"/>
  <c r="X118" i="24"/>
  <c r="B118" i="24"/>
  <c r="R117" i="24"/>
  <c r="F117" i="24"/>
  <c r="B122" i="24"/>
  <c r="R122" i="24"/>
  <c r="B124" i="24"/>
  <c r="K118" i="24"/>
  <c r="AA118" i="24"/>
  <c r="N119" i="24"/>
  <c r="AD119" i="24"/>
  <c r="Q120" i="24"/>
  <c r="D121" i="24"/>
  <c r="T121" i="24"/>
  <c r="G122" i="24"/>
  <c r="W122" i="24"/>
  <c r="V124" i="24"/>
  <c r="S119" i="24"/>
  <c r="F120" i="24"/>
  <c r="V120" i="24"/>
  <c r="I121" i="24"/>
  <c r="Y121" i="24"/>
  <c r="L122" i="24"/>
  <c r="G123" i="24"/>
  <c r="M125" i="24"/>
  <c r="D123" i="24"/>
  <c r="T123" i="24"/>
  <c r="G124" i="24"/>
  <c r="W124" i="24"/>
  <c r="J125" i="24"/>
  <c r="Z125" i="24"/>
  <c r="Z122" i="24"/>
  <c r="M123" i="24"/>
  <c r="AC123" i="24"/>
  <c r="P124" i="24"/>
  <c r="C125" i="24"/>
  <c r="S125" i="24"/>
  <c r="J123" i="24"/>
  <c r="Z123" i="24"/>
  <c r="M124" i="24"/>
  <c r="AC124" i="24"/>
  <c r="P125" i="24"/>
  <c r="T125" i="24"/>
  <c r="O123" i="24"/>
  <c r="J119" i="24"/>
  <c r="AC120" i="24"/>
  <c r="S122" i="24"/>
  <c r="O119" i="24"/>
  <c r="R120" i="24"/>
  <c r="H122" i="24"/>
  <c r="Z124" i="24"/>
  <c r="P123" i="24"/>
  <c r="S124" i="24"/>
  <c r="V125" i="24"/>
  <c r="Y123" i="24"/>
  <c r="AB124" i="24"/>
  <c r="F123" i="24"/>
  <c r="I124" i="24"/>
  <c r="AB125" i="24"/>
  <c r="F122" i="24"/>
  <c r="V122" i="24"/>
  <c r="R124" i="24"/>
  <c r="AB117" i="24"/>
  <c r="O118" i="24"/>
  <c r="B119" i="24"/>
  <c r="R119" i="24"/>
  <c r="E120" i="24"/>
  <c r="U120" i="24"/>
  <c r="H121" i="24"/>
  <c r="X121" i="24"/>
  <c r="K122" i="24"/>
  <c r="C123" i="24"/>
  <c r="I125" i="24"/>
  <c r="W119" i="24"/>
  <c r="J120" i="24"/>
  <c r="Z120" i="24"/>
  <c r="M121" i="24"/>
  <c r="AC121" i="24"/>
  <c r="P122" i="24"/>
  <c r="W123" i="24"/>
  <c r="AC125" i="24"/>
  <c r="H123" i="24"/>
  <c r="X123" i="24"/>
  <c r="K124" i="24"/>
  <c r="AA124" i="24"/>
  <c r="N125" i="24"/>
  <c r="AD125" i="24"/>
  <c r="AD122" i="24"/>
  <c r="Q123" i="24"/>
  <c r="D124" i="24"/>
  <c r="T124" i="24"/>
  <c r="G125" i="24"/>
  <c r="W125" i="24"/>
  <c r="AA122" i="24"/>
  <c r="N123" i="24"/>
  <c r="AD123" i="24"/>
  <c r="Q124" i="24"/>
  <c r="D125" i="24"/>
  <c r="U125" i="24"/>
  <c r="M120" i="24"/>
  <c r="C122" i="24"/>
  <c r="B120" i="24"/>
  <c r="U121" i="24"/>
  <c r="W121" i="24"/>
  <c r="J122" i="24"/>
  <c r="AB122" i="24"/>
  <c r="E125" i="24"/>
  <c r="C118" i="24"/>
  <c r="S118" i="24"/>
  <c r="F119" i="24"/>
  <c r="V119" i="24"/>
  <c r="I120" i="24"/>
  <c r="Y120" i="24"/>
  <c r="L121" i="24"/>
  <c r="AB121" i="24"/>
  <c r="O122" i="24"/>
  <c r="S123" i="24"/>
  <c r="Y125" i="24"/>
  <c r="AA119" i="24"/>
  <c r="N120" i="24"/>
  <c r="AD120" i="24"/>
  <c r="Q121" i="24"/>
  <c r="D122" i="24"/>
  <c r="T122" i="24"/>
  <c r="J124" i="24"/>
  <c r="L123" i="24"/>
  <c r="AB123" i="24"/>
  <c r="O124" i="24"/>
  <c r="B125" i="24"/>
  <c r="R125" i="24"/>
  <c r="E123" i="24"/>
  <c r="U123" i="24"/>
  <c r="H124" i="24"/>
  <c r="X124" i="24"/>
  <c r="K125" i="24"/>
  <c r="AA125" i="24"/>
  <c r="B123" i="24"/>
  <c r="R123" i="24"/>
  <c r="E124" i="24"/>
  <c r="U124" i="24"/>
  <c r="H125" i="24"/>
  <c r="X125" i="24"/>
  <c r="AA121" i="24"/>
  <c r="N122" i="24"/>
  <c r="G118" i="24"/>
  <c r="W118" i="24"/>
  <c r="Z119" i="24"/>
  <c r="P121" i="24"/>
  <c r="F124" i="24"/>
  <c r="E121" i="24"/>
  <c r="X122" i="24"/>
  <c r="AC122" i="24"/>
  <c r="C124" i="24"/>
  <c r="F125" i="24"/>
  <c r="I123" i="24"/>
  <c r="L124" i="24"/>
  <c r="O125" i="24"/>
  <c r="V123" i="24"/>
  <c r="Y124" i="24"/>
  <c r="L125" i="24"/>
  <c r="D21" i="24"/>
  <c r="C28" i="24"/>
  <c r="D62" i="24"/>
  <c r="C87" i="24"/>
  <c r="D92" i="24"/>
  <c r="C104" i="24"/>
  <c r="C19" i="24"/>
  <c r="D20" i="24"/>
  <c r="B22" i="24"/>
  <c r="C23" i="24"/>
  <c r="D24" i="24"/>
  <c r="B26" i="24"/>
  <c r="C27" i="24"/>
  <c r="D28" i="24"/>
  <c r="B54" i="24"/>
  <c r="C55" i="24"/>
  <c r="D56" i="24"/>
  <c r="D58" i="24"/>
  <c r="B78" i="24"/>
  <c r="C79" i="24"/>
  <c r="D80" i="24"/>
  <c r="B85" i="24"/>
  <c r="C86" i="24"/>
  <c r="D87" i="24"/>
  <c r="B89" i="24"/>
  <c r="C90" i="24"/>
  <c r="D91" i="24"/>
  <c r="B93" i="24"/>
  <c r="C94" i="24"/>
  <c r="D95" i="24"/>
  <c r="B102" i="24"/>
  <c r="C103" i="24"/>
  <c r="D104" i="24"/>
  <c r="B106" i="24"/>
  <c r="D63" i="24"/>
  <c r="D19" i="24"/>
  <c r="B21" i="24"/>
  <c r="C22" i="24"/>
  <c r="D23" i="24"/>
  <c r="B25" i="24"/>
  <c r="C26" i="24"/>
  <c r="D27" i="24"/>
  <c r="B53" i="24"/>
  <c r="C54" i="24"/>
  <c r="D55" i="24"/>
  <c r="B57" i="24"/>
  <c r="B60" i="24"/>
  <c r="C78" i="24"/>
  <c r="D79" i="24"/>
  <c r="B84" i="24"/>
  <c r="C85" i="24"/>
  <c r="D86" i="24"/>
  <c r="B88" i="24"/>
  <c r="C89" i="24"/>
  <c r="D90" i="24"/>
  <c r="B92" i="24"/>
  <c r="C93" i="24"/>
  <c r="D94" i="24"/>
  <c r="C102" i="24"/>
  <c r="D103" i="24"/>
  <c r="B105" i="24"/>
  <c r="C106" i="24"/>
  <c r="C20" i="24"/>
  <c r="C24" i="24"/>
  <c r="B27" i="24"/>
  <c r="D53" i="24"/>
  <c r="C56" i="24"/>
  <c r="B79" i="24"/>
  <c r="B86" i="24"/>
  <c r="D88" i="24"/>
  <c r="B94" i="24"/>
  <c r="B19" i="24"/>
  <c r="B20" i="24"/>
  <c r="C21" i="24"/>
  <c r="D22" i="24"/>
  <c r="B24" i="24"/>
  <c r="C25" i="24"/>
  <c r="D26" i="24"/>
  <c r="B28" i="24"/>
  <c r="C53" i="24"/>
  <c r="D54" i="24"/>
  <c r="B56" i="24"/>
  <c r="C57" i="24"/>
  <c r="C61" i="24"/>
  <c r="D78" i="24"/>
  <c r="B80" i="24"/>
  <c r="C84" i="24"/>
  <c r="D85" i="24"/>
  <c r="B87" i="24"/>
  <c r="C88" i="24"/>
  <c r="D89" i="24"/>
  <c r="B91" i="24"/>
  <c r="C92" i="24"/>
  <c r="D93" i="24"/>
  <c r="B95" i="24"/>
  <c r="D102" i="24"/>
  <c r="B104" i="24"/>
  <c r="C105" i="24"/>
  <c r="D106" i="24"/>
  <c r="B23" i="24"/>
  <c r="D25" i="24"/>
  <c r="B55" i="24"/>
  <c r="D57" i="24"/>
  <c r="C80" i="24"/>
  <c r="D84" i="24"/>
  <c r="B90" i="24"/>
  <c r="C91" i="24"/>
  <c r="C95" i="24"/>
  <c r="B103" i="24"/>
  <c r="H4" i="15"/>
  <c r="D104" i="9"/>
  <c r="D81" i="2"/>
  <c r="H4" i="12"/>
  <c r="B59" i="24"/>
  <c r="C60" i="24"/>
  <c r="D61" i="24"/>
  <c r="B63" i="24"/>
  <c r="B58" i="24"/>
  <c r="C59" i="24"/>
  <c r="D60" i="24"/>
  <c r="B62" i="24"/>
  <c r="C63" i="24"/>
  <c r="C58" i="24"/>
  <c r="D59" i="24"/>
  <c r="B61" i="24"/>
  <c r="C62" i="24"/>
  <c r="D50" i="24" l="1"/>
  <c r="D75" i="24"/>
  <c r="D99" i="24"/>
  <c r="D81" i="24"/>
  <c r="D200" i="24"/>
  <c r="D107" i="24"/>
  <c r="D29" i="24"/>
  <c r="D64" i="24"/>
  <c r="O12" i="18"/>
  <c r="O18" i="18"/>
  <c r="O19" i="18"/>
  <c r="O20" i="18"/>
  <c r="O21" i="18"/>
  <c r="O22" i="18"/>
  <c r="O23" i="18"/>
  <c r="O17" i="18"/>
  <c r="L18" i="18"/>
  <c r="L19" i="18"/>
  <c r="L20" i="18"/>
  <c r="L21" i="18"/>
  <c r="L22" i="18"/>
  <c r="L23" i="18"/>
  <c r="L24" i="18" s="1"/>
  <c r="L17" i="18"/>
  <c r="J18" i="18"/>
  <c r="J19" i="18"/>
  <c r="J20" i="18"/>
  <c r="J21" i="18"/>
  <c r="J22" i="18"/>
  <c r="J23" i="18"/>
  <c r="J24" i="18" s="1"/>
  <c r="J17" i="18"/>
  <c r="O6" i="18"/>
  <c r="O7" i="18"/>
  <c r="O8" i="18"/>
  <c r="O9" i="18"/>
  <c r="O10" i="18"/>
  <c r="O11" i="18"/>
  <c r="O5" i="18"/>
  <c r="L6" i="18"/>
  <c r="L7" i="18"/>
  <c r="L8" i="18"/>
  <c r="L9" i="18"/>
  <c r="L10" i="18"/>
  <c r="L11" i="18"/>
  <c r="L12" i="18" s="1"/>
  <c r="L5" i="18"/>
  <c r="J6" i="18"/>
  <c r="J7" i="18"/>
  <c r="J8" i="18"/>
  <c r="J9" i="18"/>
  <c r="J10" i="18"/>
  <c r="J11" i="18"/>
  <c r="J12" i="18" s="1"/>
  <c r="J5" i="18"/>
  <c r="E6" i="18"/>
  <c r="E7" i="18"/>
  <c r="E8" i="18"/>
  <c r="E9" i="18"/>
  <c r="E10" i="18"/>
  <c r="E11" i="18"/>
  <c r="E12" i="18"/>
  <c r="E13" i="18"/>
  <c r="E5" i="18"/>
  <c r="O18" i="17"/>
  <c r="O19" i="17"/>
  <c r="O20" i="17"/>
  <c r="O21" i="17"/>
  <c r="O22" i="17"/>
  <c r="O23" i="17"/>
  <c r="O17" i="17"/>
  <c r="O6" i="17"/>
  <c r="O7" i="17"/>
  <c r="O8" i="17"/>
  <c r="O9" i="17"/>
  <c r="O10" i="17"/>
  <c r="O11" i="17"/>
  <c r="O5" i="17"/>
  <c r="L6" i="17"/>
  <c r="L7" i="17"/>
  <c r="L8" i="17"/>
  <c r="L9" i="17"/>
  <c r="L10" i="17"/>
  <c r="L11" i="17"/>
  <c r="L12" i="17" s="1"/>
  <c r="L5" i="17"/>
  <c r="L18" i="17"/>
  <c r="L19" i="17"/>
  <c r="L20" i="17"/>
  <c r="L21" i="17"/>
  <c r="L22" i="17"/>
  <c r="L23" i="17"/>
  <c r="L24" i="17" s="1"/>
  <c r="L17" i="17"/>
  <c r="J18" i="17"/>
  <c r="J19" i="17"/>
  <c r="J20" i="17"/>
  <c r="J21" i="17"/>
  <c r="J22" i="17"/>
  <c r="J23" i="17"/>
  <c r="J24" i="17" s="1"/>
  <c r="J17" i="17"/>
  <c r="O12" i="17"/>
  <c r="O13" i="17"/>
  <c r="J6" i="17"/>
  <c r="J7" i="17"/>
  <c r="J8" i="17"/>
  <c r="J9" i="17"/>
  <c r="J10" i="17"/>
  <c r="J11" i="17"/>
  <c r="J12" i="17" s="1"/>
  <c r="J13" i="17" s="1"/>
  <c r="E6" i="17"/>
  <c r="E7" i="17"/>
  <c r="E8" i="17"/>
  <c r="E9" i="17"/>
  <c r="E10" i="17"/>
  <c r="E11" i="17"/>
  <c r="E12" i="17"/>
  <c r="E13" i="17"/>
  <c r="J5" i="17"/>
  <c r="E5" i="17"/>
  <c r="B5" i="24" l="1"/>
  <c r="B11" i="24" s="1"/>
  <c r="AD138" i="24"/>
  <c r="B113" i="24" s="1"/>
  <c r="J31" i="17"/>
  <c r="D41" i="12"/>
  <c r="B6" i="24" l="1"/>
  <c r="B12" i="24" s="1"/>
  <c r="E170" i="24"/>
  <c r="E171" i="24" s="1"/>
  <c r="B1" i="12"/>
  <c r="B1" i="13"/>
  <c r="B1" i="15"/>
  <c r="D42" i="15"/>
  <c r="D42" i="13"/>
  <c r="D42" i="12"/>
  <c r="D40" i="12"/>
  <c r="G39" i="18"/>
  <c r="B39" i="18"/>
  <c r="A39" i="18"/>
  <c r="G38" i="18"/>
  <c r="B38" i="18"/>
  <c r="A38" i="18"/>
  <c r="G37" i="18"/>
  <c r="B37" i="18"/>
  <c r="A37" i="18"/>
  <c r="G36" i="18"/>
  <c r="B36" i="18"/>
  <c r="A36" i="18"/>
  <c r="G35" i="18"/>
  <c r="B35" i="18"/>
  <c r="A35" i="18"/>
  <c r="W34" i="18"/>
  <c r="G34" i="18"/>
  <c r="B34" i="18"/>
  <c r="A34" i="18"/>
  <c r="W33" i="18"/>
  <c r="G33" i="18"/>
  <c r="B33" i="18"/>
  <c r="A33" i="18"/>
  <c r="W32" i="18"/>
  <c r="G32" i="18"/>
  <c r="B32" i="18"/>
  <c r="A32" i="18"/>
  <c r="W31" i="18"/>
  <c r="G31" i="18"/>
  <c r="B31" i="18"/>
  <c r="A31" i="18"/>
  <c r="O25" i="18"/>
  <c r="F25" i="18"/>
  <c r="H25" i="18" s="1"/>
  <c r="I25" i="18" s="1"/>
  <c r="D25" i="18"/>
  <c r="C25" i="18"/>
  <c r="O24" i="18"/>
  <c r="F24" i="18"/>
  <c r="H24" i="18" s="1"/>
  <c r="I24" i="18" s="1"/>
  <c r="D24" i="18"/>
  <c r="C24" i="18"/>
  <c r="L25" i="18"/>
  <c r="K23" i="18"/>
  <c r="AA23" i="18" s="1"/>
  <c r="F23" i="18"/>
  <c r="H23" i="18" s="1"/>
  <c r="I23" i="18" s="1"/>
  <c r="D23" i="18"/>
  <c r="C23" i="18"/>
  <c r="K22" i="18"/>
  <c r="F22" i="18"/>
  <c r="H22" i="18" s="1"/>
  <c r="I22" i="18" s="1"/>
  <c r="D22" i="18"/>
  <c r="C22" i="18"/>
  <c r="K21" i="18"/>
  <c r="F21" i="18"/>
  <c r="H21" i="18" s="1"/>
  <c r="I21" i="18" s="1"/>
  <c r="D21" i="18"/>
  <c r="C21" i="18"/>
  <c r="X20" i="18"/>
  <c r="K20" i="18"/>
  <c r="AA20" i="18" s="1"/>
  <c r="F20" i="18"/>
  <c r="H20" i="18" s="1"/>
  <c r="I20" i="18" s="1"/>
  <c r="D20" i="18"/>
  <c r="C20" i="18"/>
  <c r="X19" i="18"/>
  <c r="K19" i="18"/>
  <c r="V19" i="18" s="1"/>
  <c r="F19" i="18"/>
  <c r="H19" i="18" s="1"/>
  <c r="I19" i="18" s="1"/>
  <c r="D19" i="18"/>
  <c r="C19" i="18"/>
  <c r="X18" i="18"/>
  <c r="K18" i="18"/>
  <c r="F18" i="18"/>
  <c r="H18" i="18" s="1"/>
  <c r="I18" i="18" s="1"/>
  <c r="D18" i="18"/>
  <c r="C18" i="18"/>
  <c r="X17" i="18"/>
  <c r="K17" i="18"/>
  <c r="F17" i="18"/>
  <c r="H17" i="18" s="1"/>
  <c r="I17" i="18" s="1"/>
  <c r="D17" i="18"/>
  <c r="C17" i="18"/>
  <c r="O13" i="18"/>
  <c r="E39" i="18"/>
  <c r="D13" i="18"/>
  <c r="C13" i="18"/>
  <c r="E38" i="18"/>
  <c r="D12" i="18"/>
  <c r="D38" i="18" s="1"/>
  <c r="C12" i="18"/>
  <c r="C38" i="18" s="1"/>
  <c r="L13" i="18"/>
  <c r="E37" i="18"/>
  <c r="D11" i="18"/>
  <c r="C11" i="18"/>
  <c r="E36" i="18"/>
  <c r="D10" i="18"/>
  <c r="D36" i="18" s="1"/>
  <c r="C10" i="18"/>
  <c r="C36" i="18" s="1"/>
  <c r="O35" i="18"/>
  <c r="E35" i="18"/>
  <c r="D9" i="18"/>
  <c r="C9" i="18"/>
  <c r="X8" i="18"/>
  <c r="J34" i="18"/>
  <c r="D8" i="18"/>
  <c r="C8" i="18"/>
  <c r="X7" i="18"/>
  <c r="E33" i="18"/>
  <c r="D7" i="18"/>
  <c r="C7" i="18"/>
  <c r="X6" i="18"/>
  <c r="J32" i="18"/>
  <c r="E32" i="18"/>
  <c r="D6" i="18"/>
  <c r="C6" i="18"/>
  <c r="X5" i="18"/>
  <c r="X31" i="18" s="1"/>
  <c r="O31" i="18"/>
  <c r="E31" i="18"/>
  <c r="D5" i="18"/>
  <c r="C5" i="18"/>
  <c r="G39" i="17"/>
  <c r="B39" i="17"/>
  <c r="A39" i="17"/>
  <c r="G38" i="17"/>
  <c r="B38" i="17"/>
  <c r="A38" i="17"/>
  <c r="G37" i="17"/>
  <c r="B37" i="17"/>
  <c r="A37" i="17"/>
  <c r="G36" i="17"/>
  <c r="B36" i="17"/>
  <c r="A36" i="17"/>
  <c r="G35" i="17"/>
  <c r="B35" i="17"/>
  <c r="A35" i="17"/>
  <c r="W34" i="17"/>
  <c r="G34" i="17"/>
  <c r="B34" i="17"/>
  <c r="A34" i="17"/>
  <c r="W33" i="17"/>
  <c r="G33" i="17"/>
  <c r="B33" i="17"/>
  <c r="A33" i="17"/>
  <c r="W32" i="17"/>
  <c r="G32" i="17"/>
  <c r="B32" i="17"/>
  <c r="A32" i="17"/>
  <c r="W31" i="17"/>
  <c r="G31" i="17"/>
  <c r="B31" i="17"/>
  <c r="A31" i="17"/>
  <c r="O25" i="17"/>
  <c r="O39" i="17" s="1"/>
  <c r="F25" i="17"/>
  <c r="H25" i="17" s="1"/>
  <c r="I25" i="17" s="1"/>
  <c r="D25" i="17"/>
  <c r="C25" i="17"/>
  <c r="O24" i="17"/>
  <c r="F24" i="17"/>
  <c r="H24" i="17" s="1"/>
  <c r="I24" i="17" s="1"/>
  <c r="D24" i="17"/>
  <c r="C24" i="17"/>
  <c r="L25" i="17"/>
  <c r="J25" i="17"/>
  <c r="K25" i="17" s="1"/>
  <c r="K23" i="17"/>
  <c r="F23" i="17"/>
  <c r="H23" i="17" s="1"/>
  <c r="I23" i="17" s="1"/>
  <c r="D23" i="17"/>
  <c r="C23" i="17"/>
  <c r="K22" i="17"/>
  <c r="F22" i="17"/>
  <c r="H22" i="17" s="1"/>
  <c r="I22" i="17" s="1"/>
  <c r="D22" i="17"/>
  <c r="C22" i="17"/>
  <c r="K21" i="17"/>
  <c r="F21" i="17"/>
  <c r="H21" i="17" s="1"/>
  <c r="I21" i="17" s="1"/>
  <c r="D21" i="17"/>
  <c r="C21" i="17"/>
  <c r="X20" i="17"/>
  <c r="K20" i="17"/>
  <c r="F20" i="17"/>
  <c r="H20" i="17" s="1"/>
  <c r="I20" i="17" s="1"/>
  <c r="D20" i="17"/>
  <c r="C20" i="17"/>
  <c r="X19" i="17"/>
  <c r="K19" i="17"/>
  <c r="F19" i="17"/>
  <c r="H19" i="17" s="1"/>
  <c r="I19" i="17" s="1"/>
  <c r="D19" i="17"/>
  <c r="C19" i="17"/>
  <c r="X18" i="17"/>
  <c r="K18" i="17"/>
  <c r="R18" i="17" s="1"/>
  <c r="F18" i="17"/>
  <c r="H18" i="17" s="1"/>
  <c r="I18" i="17" s="1"/>
  <c r="D18" i="17"/>
  <c r="C18" i="17"/>
  <c r="X17" i="17"/>
  <c r="K17" i="17"/>
  <c r="R17" i="17" s="1"/>
  <c r="F17" i="17"/>
  <c r="H17" i="17" s="1"/>
  <c r="I17" i="17" s="1"/>
  <c r="D17" i="17"/>
  <c r="C17" i="17"/>
  <c r="E39" i="17"/>
  <c r="D13" i="17"/>
  <c r="C13" i="17"/>
  <c r="D12" i="17"/>
  <c r="C12" i="17"/>
  <c r="L13" i="17"/>
  <c r="O37" i="17"/>
  <c r="J37" i="17"/>
  <c r="D11" i="17"/>
  <c r="D37" i="17" s="1"/>
  <c r="C11" i="17"/>
  <c r="O36" i="17"/>
  <c r="E36" i="17"/>
  <c r="D10" i="17"/>
  <c r="D36" i="17" s="1"/>
  <c r="C10" i="17"/>
  <c r="D9" i="17"/>
  <c r="D35" i="17" s="1"/>
  <c r="C9" i="17"/>
  <c r="X8" i="17"/>
  <c r="X34" i="17" s="1"/>
  <c r="O34" i="17"/>
  <c r="J34" i="17"/>
  <c r="E34" i="17"/>
  <c r="D8" i="17"/>
  <c r="C8" i="17"/>
  <c r="X7" i="17"/>
  <c r="O33" i="17"/>
  <c r="J33" i="17"/>
  <c r="E33" i="17"/>
  <c r="D7" i="17"/>
  <c r="C7" i="17"/>
  <c r="X6" i="17"/>
  <c r="X32" i="17" s="1"/>
  <c r="O32" i="17"/>
  <c r="E32" i="17"/>
  <c r="D6" i="17"/>
  <c r="C6" i="17"/>
  <c r="C32" i="17" s="1"/>
  <c r="X5" i="17"/>
  <c r="O31" i="17"/>
  <c r="E31" i="17"/>
  <c r="D5" i="17"/>
  <c r="D31" i="17" s="1"/>
  <c r="C5" i="17"/>
  <c r="O18" i="11"/>
  <c r="O19" i="11"/>
  <c r="O20" i="11"/>
  <c r="O21" i="11"/>
  <c r="O22" i="11"/>
  <c r="O23" i="11"/>
  <c r="O24" i="11"/>
  <c r="O25" i="11"/>
  <c r="L18" i="11"/>
  <c r="L19" i="11"/>
  <c r="L20" i="11"/>
  <c r="L21" i="11"/>
  <c r="L22" i="11"/>
  <c r="L23" i="11"/>
  <c r="L24" i="11" s="1"/>
  <c r="L25" i="11" s="1"/>
  <c r="L6" i="11"/>
  <c r="L7" i="11"/>
  <c r="L8" i="11"/>
  <c r="L9" i="11"/>
  <c r="L10" i="11"/>
  <c r="L11" i="11"/>
  <c r="L12" i="11" s="1"/>
  <c r="L13" i="11" s="1"/>
  <c r="J18" i="11"/>
  <c r="J19" i="11"/>
  <c r="J20" i="11"/>
  <c r="J21" i="11"/>
  <c r="J22" i="11"/>
  <c r="J23" i="11"/>
  <c r="O6" i="11"/>
  <c r="O7" i="11"/>
  <c r="O8" i="11"/>
  <c r="O9" i="11"/>
  <c r="O10" i="11"/>
  <c r="O11" i="11"/>
  <c r="O12" i="11"/>
  <c r="O13" i="11"/>
  <c r="J6" i="11"/>
  <c r="J7" i="11"/>
  <c r="J8" i="11"/>
  <c r="J9" i="11"/>
  <c r="J10" i="11"/>
  <c r="J11" i="11"/>
  <c r="J12" i="11" s="1"/>
  <c r="J13" i="11" s="1"/>
  <c r="E6" i="11"/>
  <c r="E7" i="11"/>
  <c r="E8" i="11"/>
  <c r="E9" i="11"/>
  <c r="E10" i="11"/>
  <c r="E11" i="11"/>
  <c r="E12" i="11"/>
  <c r="E13" i="11"/>
  <c r="X34" i="18" l="1"/>
  <c r="X32" i="18"/>
  <c r="C39" i="18"/>
  <c r="D37" i="18"/>
  <c r="D39" i="18"/>
  <c r="D33" i="17"/>
  <c r="C34" i="17"/>
  <c r="D39" i="17"/>
  <c r="D34" i="17"/>
  <c r="D38" i="17"/>
  <c r="X33" i="17"/>
  <c r="K23" i="11"/>
  <c r="J24" i="11"/>
  <c r="C31" i="17"/>
  <c r="X31" i="17"/>
  <c r="C36" i="17"/>
  <c r="C37" i="17"/>
  <c r="X33" i="18"/>
  <c r="D32" i="17"/>
  <c r="C33" i="17"/>
  <c r="J33" i="18"/>
  <c r="O38" i="18"/>
  <c r="O39" i="18"/>
  <c r="J36" i="18"/>
  <c r="R17" i="18"/>
  <c r="S17" i="18"/>
  <c r="T17" i="18" s="1"/>
  <c r="O37" i="18"/>
  <c r="S19" i="18"/>
  <c r="T19" i="18" s="1"/>
  <c r="O36" i="18"/>
  <c r="J37" i="18"/>
  <c r="J31" i="18"/>
  <c r="J35" i="18"/>
  <c r="F12" i="18"/>
  <c r="H12" i="18" s="1"/>
  <c r="I12" i="18" s="1"/>
  <c r="I38" i="18" s="1"/>
  <c r="F13" i="18"/>
  <c r="F39" i="18" s="1"/>
  <c r="S18" i="18"/>
  <c r="W22" i="18" s="1"/>
  <c r="X22" i="18" s="1"/>
  <c r="F7" i="18"/>
  <c r="K7" i="18" s="1"/>
  <c r="K33" i="18" s="1"/>
  <c r="F9" i="18"/>
  <c r="H9" i="18" s="1"/>
  <c r="H35" i="18" s="1"/>
  <c r="F5" i="18"/>
  <c r="H5" i="18" s="1"/>
  <c r="H31" i="18" s="1"/>
  <c r="F10" i="18"/>
  <c r="K10" i="18" s="1"/>
  <c r="R10" i="18" s="1"/>
  <c r="F11" i="18"/>
  <c r="H11" i="18" s="1"/>
  <c r="H37" i="18" s="1"/>
  <c r="C32" i="18"/>
  <c r="D33" i="18"/>
  <c r="D35" i="18"/>
  <c r="V20" i="18"/>
  <c r="D31" i="18"/>
  <c r="D32" i="18"/>
  <c r="D34" i="18"/>
  <c r="C37" i="18"/>
  <c r="E34" i="18"/>
  <c r="F8" i="18"/>
  <c r="J13" i="18"/>
  <c r="O32" i="18"/>
  <c r="C33" i="18"/>
  <c r="V17" i="18"/>
  <c r="AA17" i="18"/>
  <c r="R18" i="18"/>
  <c r="V18" i="18"/>
  <c r="AA18" i="18"/>
  <c r="R19" i="18"/>
  <c r="AA19" i="18"/>
  <c r="R20" i="18"/>
  <c r="O33" i="18"/>
  <c r="C34" i="18"/>
  <c r="S20" i="18"/>
  <c r="AA22" i="18"/>
  <c r="S22" i="18"/>
  <c r="V22" i="18"/>
  <c r="R22" i="18"/>
  <c r="AA21" i="18"/>
  <c r="S21" i="18"/>
  <c r="V21" i="18"/>
  <c r="R21" i="18"/>
  <c r="V23" i="18"/>
  <c r="R23" i="18"/>
  <c r="C31" i="18"/>
  <c r="F6" i="18"/>
  <c r="O34" i="18"/>
  <c r="C35" i="18"/>
  <c r="S23" i="18"/>
  <c r="T23" i="18" s="1"/>
  <c r="F13" i="17"/>
  <c r="F39" i="17" s="1"/>
  <c r="F5" i="17"/>
  <c r="H5" i="17" s="1"/>
  <c r="I5" i="17" s="1"/>
  <c r="I31" i="17" s="1"/>
  <c r="F6" i="17"/>
  <c r="F32" i="17" s="1"/>
  <c r="F7" i="17"/>
  <c r="F33" i="17" s="1"/>
  <c r="O35" i="17"/>
  <c r="C35" i="17"/>
  <c r="C38" i="17"/>
  <c r="C39" i="17"/>
  <c r="F8" i="17"/>
  <c r="F34" i="17" s="1"/>
  <c r="J35" i="17"/>
  <c r="J38" i="17"/>
  <c r="S17" i="17"/>
  <c r="T17" i="17" s="1"/>
  <c r="Y17" i="17" s="1"/>
  <c r="O38" i="17"/>
  <c r="F10" i="17"/>
  <c r="K10" i="17" s="1"/>
  <c r="V20" i="17"/>
  <c r="S20" i="17"/>
  <c r="R20" i="17"/>
  <c r="AA20" i="17"/>
  <c r="E35" i="17"/>
  <c r="F9" i="17"/>
  <c r="E37" i="17"/>
  <c r="F11" i="17"/>
  <c r="E38" i="17"/>
  <c r="F12" i="17"/>
  <c r="AA17" i="17"/>
  <c r="AA25" i="17"/>
  <c r="S25" i="17"/>
  <c r="T25" i="17" s="1"/>
  <c r="V25" i="17"/>
  <c r="R25" i="17"/>
  <c r="AA19" i="17"/>
  <c r="R19" i="17"/>
  <c r="V17" i="17"/>
  <c r="AA18" i="17"/>
  <c r="S18" i="17"/>
  <c r="V18" i="17"/>
  <c r="V21" i="17"/>
  <c r="AA21" i="17"/>
  <c r="S21" i="17"/>
  <c r="R21" i="17"/>
  <c r="V19" i="17"/>
  <c r="S19" i="17"/>
  <c r="AA22" i="17"/>
  <c r="S22" i="17"/>
  <c r="R22" i="17"/>
  <c r="V22" i="17"/>
  <c r="J32" i="17"/>
  <c r="K24" i="17"/>
  <c r="J36" i="17"/>
  <c r="V23" i="17"/>
  <c r="S23" i="17"/>
  <c r="T23" i="17" s="1"/>
  <c r="AA23" i="17"/>
  <c r="R23" i="17"/>
  <c r="F5" i="11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39" i="12"/>
  <c r="D38" i="12"/>
  <c r="D37" i="12"/>
  <c r="D36" i="12"/>
  <c r="D35" i="12"/>
  <c r="D34" i="12"/>
  <c r="D32" i="12"/>
  <c r="D30" i="12"/>
  <c r="D29" i="12"/>
  <c r="D31" i="12"/>
  <c r="D28" i="12"/>
  <c r="D27" i="12"/>
  <c r="D21" i="12"/>
  <c r="D43" i="15" l="1"/>
  <c r="C6" i="15" s="1"/>
  <c r="C10" i="15"/>
  <c r="C9" i="15"/>
  <c r="U17" i="18"/>
  <c r="U18" i="18" s="1"/>
  <c r="H13" i="17"/>
  <c r="H39" i="17" s="1"/>
  <c r="V10" i="18"/>
  <c r="V36" i="18" s="1"/>
  <c r="W21" i="18"/>
  <c r="X21" i="18" s="1"/>
  <c r="Y19" i="18"/>
  <c r="W23" i="18"/>
  <c r="X23" i="18" s="1"/>
  <c r="Y23" i="18" s="1"/>
  <c r="F36" i="18"/>
  <c r="I9" i="18"/>
  <c r="I35" i="18" s="1"/>
  <c r="K12" i="18"/>
  <c r="S12" i="18" s="1"/>
  <c r="T12" i="18" s="1"/>
  <c r="S10" i="18"/>
  <c r="W13" i="18" s="1"/>
  <c r="K36" i="18"/>
  <c r="F38" i="18"/>
  <c r="K9" i="18"/>
  <c r="V9" i="18" s="1"/>
  <c r="V35" i="18" s="1"/>
  <c r="AA10" i="18"/>
  <c r="AA36" i="18" s="1"/>
  <c r="F35" i="18"/>
  <c r="H10" i="18"/>
  <c r="H36" i="18" s="1"/>
  <c r="H38" i="18"/>
  <c r="H6" i="17"/>
  <c r="H32" i="17" s="1"/>
  <c r="K6" i="17"/>
  <c r="V6" i="17" s="1"/>
  <c r="V32" i="17" s="1"/>
  <c r="H31" i="17"/>
  <c r="K5" i="17"/>
  <c r="R5" i="17" s="1"/>
  <c r="F31" i="17"/>
  <c r="T18" i="18"/>
  <c r="Y18" i="18" s="1"/>
  <c r="R7" i="18"/>
  <c r="R33" i="18" s="1"/>
  <c r="V7" i="18"/>
  <c r="V33" i="18" s="1"/>
  <c r="F33" i="18"/>
  <c r="S7" i="18"/>
  <c r="S33" i="18" s="1"/>
  <c r="AA7" i="18"/>
  <c r="AA33" i="18" s="1"/>
  <c r="K13" i="18"/>
  <c r="S13" i="18" s="1"/>
  <c r="H13" i="18"/>
  <c r="H39" i="18" s="1"/>
  <c r="H7" i="18"/>
  <c r="H33" i="18" s="1"/>
  <c r="F37" i="18"/>
  <c r="K11" i="18"/>
  <c r="AA11" i="18" s="1"/>
  <c r="AA37" i="18" s="1"/>
  <c r="K5" i="18"/>
  <c r="V5" i="18" s="1"/>
  <c r="V31" i="18" s="1"/>
  <c r="I11" i="18"/>
  <c r="I37" i="18" s="1"/>
  <c r="I5" i="18"/>
  <c r="I31" i="18" s="1"/>
  <c r="F31" i="18"/>
  <c r="Y17" i="18"/>
  <c r="T20" i="18"/>
  <c r="Y20" i="18" s="1"/>
  <c r="K6" i="18"/>
  <c r="F32" i="18"/>
  <c r="H6" i="18"/>
  <c r="T21" i="18"/>
  <c r="W24" i="18"/>
  <c r="X24" i="18" s="1"/>
  <c r="J25" i="18"/>
  <c r="K25" i="18" s="1"/>
  <c r="K24" i="18"/>
  <c r="J38" i="18"/>
  <c r="F34" i="18"/>
  <c r="H8" i="18"/>
  <c r="K8" i="18"/>
  <c r="W25" i="18"/>
  <c r="X25" i="18" s="1"/>
  <c r="T22" i="18"/>
  <c r="Y22" i="18" s="1"/>
  <c r="R36" i="18"/>
  <c r="J39" i="17"/>
  <c r="H7" i="17"/>
  <c r="H33" i="17" s="1"/>
  <c r="K8" i="17"/>
  <c r="S8" i="17" s="1"/>
  <c r="W21" i="17"/>
  <c r="X21" i="17" s="1"/>
  <c r="H8" i="17"/>
  <c r="H34" i="17" s="1"/>
  <c r="K7" i="17"/>
  <c r="U17" i="17"/>
  <c r="Z17" i="17" s="1"/>
  <c r="AB17" i="17" s="1"/>
  <c r="AC17" i="17" s="1"/>
  <c r="F36" i="17"/>
  <c r="H10" i="17"/>
  <c r="T21" i="17"/>
  <c r="W24" i="17"/>
  <c r="X24" i="17" s="1"/>
  <c r="W22" i="17"/>
  <c r="X22" i="17" s="1"/>
  <c r="T18" i="17"/>
  <c r="Y18" i="17" s="1"/>
  <c r="V10" i="17"/>
  <c r="V36" i="17" s="1"/>
  <c r="R10" i="17"/>
  <c r="AA10" i="17"/>
  <c r="AA36" i="17" s="1"/>
  <c r="S10" i="17"/>
  <c r="K36" i="17"/>
  <c r="F37" i="17"/>
  <c r="H11" i="17"/>
  <c r="K11" i="17"/>
  <c r="V24" i="17"/>
  <c r="AA24" i="17"/>
  <c r="S24" i="17"/>
  <c r="T24" i="17" s="1"/>
  <c r="R24" i="17"/>
  <c r="T19" i="17"/>
  <c r="Y19" i="17" s="1"/>
  <c r="W23" i="17"/>
  <c r="X23" i="17" s="1"/>
  <c r="Y23" i="17" s="1"/>
  <c r="T20" i="17"/>
  <c r="Y20" i="17" s="1"/>
  <c r="W25" i="17"/>
  <c r="X25" i="17" s="1"/>
  <c r="Y25" i="17" s="1"/>
  <c r="T22" i="17"/>
  <c r="F38" i="17"/>
  <c r="H12" i="17"/>
  <c r="K12" i="17"/>
  <c r="F35" i="17"/>
  <c r="H9" i="17"/>
  <c r="K9" i="17"/>
  <c r="K24" i="11"/>
  <c r="J25" i="11"/>
  <c r="H5" i="11"/>
  <c r="I5" i="11" s="1"/>
  <c r="K5" i="11"/>
  <c r="D43" i="13"/>
  <c r="C4" i="15" l="1"/>
  <c r="C5" i="15"/>
  <c r="C8" i="15"/>
  <c r="C7" i="15"/>
  <c r="Z17" i="18"/>
  <c r="AB17" i="18" s="1"/>
  <c r="AC17" i="18" s="1"/>
  <c r="C12" i="15"/>
  <c r="C11" i="15"/>
  <c r="I13" i="17"/>
  <c r="I39" i="17" s="1"/>
  <c r="Y21" i="18"/>
  <c r="W11" i="18"/>
  <c r="X11" i="18" s="1"/>
  <c r="X37" i="18" s="1"/>
  <c r="I13" i="18"/>
  <c r="I39" i="18" s="1"/>
  <c r="AA12" i="18"/>
  <c r="R9" i="18"/>
  <c r="R35" i="18" s="1"/>
  <c r="K38" i="18"/>
  <c r="T10" i="18"/>
  <c r="T36" i="18" s="1"/>
  <c r="I7" i="18"/>
  <c r="I33" i="18" s="1"/>
  <c r="S36" i="18"/>
  <c r="S9" i="18"/>
  <c r="W12" i="18" s="1"/>
  <c r="AA9" i="18"/>
  <c r="AA35" i="18" s="1"/>
  <c r="U18" i="17"/>
  <c r="U19" i="17" s="1"/>
  <c r="K35" i="18"/>
  <c r="V12" i="18"/>
  <c r="K13" i="17"/>
  <c r="V13" i="17" s="1"/>
  <c r="V39" i="17" s="1"/>
  <c r="I8" i="17"/>
  <c r="I34" i="17" s="1"/>
  <c r="I10" i="18"/>
  <c r="I36" i="18" s="1"/>
  <c r="AA6" i="17"/>
  <c r="AA32" i="17" s="1"/>
  <c r="K32" i="17"/>
  <c r="S6" i="17"/>
  <c r="W10" i="17" s="1"/>
  <c r="R6" i="17"/>
  <c r="R32" i="17" s="1"/>
  <c r="I6" i="17"/>
  <c r="I32" i="17" s="1"/>
  <c r="S5" i="17"/>
  <c r="W9" i="17" s="1"/>
  <c r="R11" i="18"/>
  <c r="R37" i="18" s="1"/>
  <c r="V13" i="18"/>
  <c r="R12" i="18"/>
  <c r="K31" i="17"/>
  <c r="V5" i="17"/>
  <c r="V31" i="17" s="1"/>
  <c r="R8" i="17"/>
  <c r="R34" i="17" s="1"/>
  <c r="AA5" i="17"/>
  <c r="AA31" i="17" s="1"/>
  <c r="AA5" i="18"/>
  <c r="AA31" i="18" s="1"/>
  <c r="V8" i="17"/>
  <c r="V34" i="17" s="1"/>
  <c r="AA8" i="17"/>
  <c r="AA34" i="17" s="1"/>
  <c r="K34" i="17"/>
  <c r="I7" i="17"/>
  <c r="I33" i="17" s="1"/>
  <c r="C4" i="13"/>
  <c r="C8" i="13"/>
  <c r="C12" i="13"/>
  <c r="C10" i="13"/>
  <c r="C7" i="13"/>
  <c r="C5" i="13"/>
  <c r="C9" i="13"/>
  <c r="C6" i="13"/>
  <c r="C11" i="13"/>
  <c r="S5" i="18"/>
  <c r="S31" i="18" s="1"/>
  <c r="J39" i="18"/>
  <c r="R5" i="18"/>
  <c r="R31" i="18" s="1"/>
  <c r="K31" i="18"/>
  <c r="T7" i="18"/>
  <c r="T33" i="18" s="1"/>
  <c r="K39" i="18"/>
  <c r="AA13" i="18"/>
  <c r="R13" i="18"/>
  <c r="K37" i="18"/>
  <c r="V11" i="18"/>
  <c r="V37" i="18" s="1"/>
  <c r="S11" i="18"/>
  <c r="S37" i="18" s="1"/>
  <c r="H32" i="18"/>
  <c r="I6" i="18"/>
  <c r="I32" i="18" s="1"/>
  <c r="Z18" i="18"/>
  <c r="AB18" i="18" s="1"/>
  <c r="AC18" i="18" s="1"/>
  <c r="U19" i="18"/>
  <c r="K34" i="18"/>
  <c r="S8" i="18"/>
  <c r="AA8" i="18"/>
  <c r="AA34" i="18" s="1"/>
  <c r="V8" i="18"/>
  <c r="V34" i="18" s="1"/>
  <c r="R8" i="18"/>
  <c r="AA24" i="18"/>
  <c r="S24" i="18"/>
  <c r="T24" i="18" s="1"/>
  <c r="V24" i="18"/>
  <c r="R24" i="18"/>
  <c r="T13" i="18"/>
  <c r="H34" i="18"/>
  <c r="I8" i="18"/>
  <c r="I34" i="18" s="1"/>
  <c r="AA25" i="18"/>
  <c r="S25" i="18"/>
  <c r="T25" i="18" s="1"/>
  <c r="V25" i="18"/>
  <c r="R25" i="18"/>
  <c r="K32" i="18"/>
  <c r="S6" i="18"/>
  <c r="AA6" i="18"/>
  <c r="AA32" i="18" s="1"/>
  <c r="V6" i="18"/>
  <c r="V32" i="18" s="1"/>
  <c r="R6" i="18"/>
  <c r="W39" i="18"/>
  <c r="X13" i="18"/>
  <c r="X39" i="18" s="1"/>
  <c r="Y21" i="17"/>
  <c r="AA7" i="17"/>
  <c r="AA33" i="17" s="1"/>
  <c r="S7" i="17"/>
  <c r="K33" i="17"/>
  <c r="R7" i="17"/>
  <c r="R33" i="17" s="1"/>
  <c r="V7" i="17"/>
  <c r="V33" i="17" s="1"/>
  <c r="Y22" i="17"/>
  <c r="H36" i="17"/>
  <c r="I10" i="17"/>
  <c r="I36" i="17" s="1"/>
  <c r="H35" i="17"/>
  <c r="I9" i="17"/>
  <c r="I35" i="17" s="1"/>
  <c r="S34" i="17"/>
  <c r="T8" i="17"/>
  <c r="T34" i="17" s="1"/>
  <c r="R36" i="17"/>
  <c r="K38" i="17"/>
  <c r="AA12" i="17"/>
  <c r="AA38" i="17" s="1"/>
  <c r="S12" i="17"/>
  <c r="V12" i="17"/>
  <c r="V38" i="17" s="1"/>
  <c r="R12" i="17"/>
  <c r="K37" i="17"/>
  <c r="AA11" i="17"/>
  <c r="AA37" i="17" s="1"/>
  <c r="S11" i="17"/>
  <c r="R11" i="17"/>
  <c r="V11" i="17"/>
  <c r="V37" i="17" s="1"/>
  <c r="S36" i="17"/>
  <c r="T10" i="17"/>
  <c r="T36" i="17" s="1"/>
  <c r="W13" i="17"/>
  <c r="K35" i="17"/>
  <c r="AA9" i="17"/>
  <c r="AA35" i="17" s="1"/>
  <c r="S9" i="17"/>
  <c r="R9" i="17"/>
  <c r="V9" i="17"/>
  <c r="V35" i="17" s="1"/>
  <c r="H38" i="17"/>
  <c r="I12" i="17"/>
  <c r="I38" i="17" s="1"/>
  <c r="R31" i="17"/>
  <c r="Y24" i="17"/>
  <c r="H37" i="17"/>
  <c r="I11" i="17"/>
  <c r="I37" i="17" s="1"/>
  <c r="R5" i="11"/>
  <c r="V5" i="11"/>
  <c r="AD126" i="24" l="1"/>
  <c r="B112" i="24" s="1"/>
  <c r="T9" i="18"/>
  <c r="T35" i="18" s="1"/>
  <c r="W37" i="18"/>
  <c r="S13" i="17"/>
  <c r="S39" i="17" s="1"/>
  <c r="AA38" i="18"/>
  <c r="S32" i="17"/>
  <c r="AA39" i="18"/>
  <c r="Z18" i="17"/>
  <c r="AB18" i="17" s="1"/>
  <c r="AC18" i="17" s="1"/>
  <c r="T6" i="17"/>
  <c r="T32" i="17" s="1"/>
  <c r="Y7" i="18"/>
  <c r="Y33" i="18" s="1"/>
  <c r="R38" i="18"/>
  <c r="S35" i="18"/>
  <c r="S31" i="17"/>
  <c r="AA13" i="17"/>
  <c r="AA39" i="17" s="1"/>
  <c r="T5" i="17"/>
  <c r="R13" i="17"/>
  <c r="R39" i="17" s="1"/>
  <c r="V38" i="18"/>
  <c r="U5" i="17"/>
  <c r="Z5" i="17" s="1"/>
  <c r="K39" i="17"/>
  <c r="V39" i="18"/>
  <c r="W9" i="18"/>
  <c r="X9" i="18" s="1"/>
  <c r="X35" i="18" s="1"/>
  <c r="S39" i="18"/>
  <c r="T5" i="18"/>
  <c r="T31" i="18" s="1"/>
  <c r="U5" i="18"/>
  <c r="U31" i="18" s="1"/>
  <c r="T11" i="18"/>
  <c r="T37" i="18" s="1"/>
  <c r="Y25" i="18"/>
  <c r="Y13" i="18"/>
  <c r="U20" i="18"/>
  <c r="Z19" i="18"/>
  <c r="AB19" i="18" s="1"/>
  <c r="AC19" i="18" s="1"/>
  <c r="R32" i="18"/>
  <c r="T38" i="18"/>
  <c r="T8" i="18"/>
  <c r="T34" i="18" s="1"/>
  <c r="S34" i="18"/>
  <c r="X12" i="18"/>
  <c r="W38" i="18"/>
  <c r="S32" i="18"/>
  <c r="W10" i="18"/>
  <c r="T6" i="18"/>
  <c r="T32" i="18" s="1"/>
  <c r="S38" i="18"/>
  <c r="T39" i="18"/>
  <c r="Y24" i="18"/>
  <c r="R34" i="18"/>
  <c r="R39" i="18"/>
  <c r="Y8" i="17"/>
  <c r="Y34" i="17" s="1"/>
  <c r="S33" i="17"/>
  <c r="W11" i="17"/>
  <c r="T7" i="17"/>
  <c r="T33" i="17" s="1"/>
  <c r="U20" i="17"/>
  <c r="Z19" i="17"/>
  <c r="AB19" i="17" s="1"/>
  <c r="AC19" i="17" s="1"/>
  <c r="R35" i="17"/>
  <c r="W39" i="17"/>
  <c r="X13" i="17"/>
  <c r="X39" i="17" s="1"/>
  <c r="R37" i="17"/>
  <c r="S38" i="17"/>
  <c r="T12" i="17"/>
  <c r="T38" i="17" s="1"/>
  <c r="W35" i="17"/>
  <c r="X9" i="17"/>
  <c r="X35" i="17" s="1"/>
  <c r="R38" i="17"/>
  <c r="S35" i="17"/>
  <c r="T9" i="17"/>
  <c r="T35" i="17" s="1"/>
  <c r="W12" i="17"/>
  <c r="W36" i="17"/>
  <c r="X10" i="17"/>
  <c r="X36" i="17" s="1"/>
  <c r="S37" i="17"/>
  <c r="T11" i="17"/>
  <c r="T37" i="17" s="1"/>
  <c r="T13" i="17" l="1"/>
  <c r="T39" i="17" s="1"/>
  <c r="Y6" i="17"/>
  <c r="Y32" i="17" s="1"/>
  <c r="U6" i="17"/>
  <c r="U7" i="17" s="1"/>
  <c r="U31" i="17"/>
  <c r="T31" i="17"/>
  <c r="Y5" i="17"/>
  <c r="Y31" i="17" s="1"/>
  <c r="Z5" i="18"/>
  <c r="AB5" i="18" s="1"/>
  <c r="Y5" i="18"/>
  <c r="Y31" i="18" s="1"/>
  <c r="U6" i="18"/>
  <c r="Z6" i="18" s="1"/>
  <c r="W35" i="18"/>
  <c r="Y11" i="18"/>
  <c r="Y37" i="18" s="1"/>
  <c r="Y39" i="18"/>
  <c r="Y8" i="18"/>
  <c r="Y34" i="18" s="1"/>
  <c r="Y6" i="18"/>
  <c r="Y32" i="18" s="1"/>
  <c r="Y9" i="18"/>
  <c r="Y35" i="18" s="1"/>
  <c r="W36" i="18"/>
  <c r="X10" i="18"/>
  <c r="X38" i="18"/>
  <c r="Y12" i="18"/>
  <c r="U21" i="18"/>
  <c r="Z20" i="18"/>
  <c r="AB20" i="18" s="1"/>
  <c r="AC20" i="18" s="1"/>
  <c r="Y7" i="17"/>
  <c r="Y33" i="17" s="1"/>
  <c r="X11" i="17"/>
  <c r="X37" i="17" s="1"/>
  <c r="W37" i="17"/>
  <c r="Y9" i="17"/>
  <c r="Y35" i="17" s="1"/>
  <c r="Y10" i="17"/>
  <c r="Y36" i="17" s="1"/>
  <c r="Z31" i="17"/>
  <c r="AB5" i="17"/>
  <c r="U21" i="17"/>
  <c r="Z20" i="17"/>
  <c r="AB20" i="17" s="1"/>
  <c r="AC20" i="17" s="1"/>
  <c r="W38" i="17"/>
  <c r="X12" i="17"/>
  <c r="Y13" i="17" l="1"/>
  <c r="Y39" i="17" s="1"/>
  <c r="Z31" i="18"/>
  <c r="U32" i="17"/>
  <c r="Z6" i="17"/>
  <c r="Z32" i="17" s="1"/>
  <c r="AC5" i="18"/>
  <c r="U32" i="18"/>
  <c r="U7" i="18"/>
  <c r="U8" i="18" s="1"/>
  <c r="Y11" i="17"/>
  <c r="Y37" i="17" s="1"/>
  <c r="Y38" i="18"/>
  <c r="Z32" i="18"/>
  <c r="AB6" i="18"/>
  <c r="X36" i="18"/>
  <c r="Y10" i="18"/>
  <c r="AB31" i="18"/>
  <c r="U22" i="18"/>
  <c r="Z21" i="18"/>
  <c r="AB21" i="18" s="1"/>
  <c r="AC21" i="18" s="1"/>
  <c r="U33" i="17"/>
  <c r="U8" i="17"/>
  <c r="Z7" i="17"/>
  <c r="X38" i="17"/>
  <c r="Y12" i="17"/>
  <c r="Z21" i="17"/>
  <c r="AB21" i="17" s="1"/>
  <c r="AC21" i="17" s="1"/>
  <c r="U22" i="17"/>
  <c r="AB31" i="17"/>
  <c r="AC5" i="17"/>
  <c r="AB6" i="17" l="1"/>
  <c r="AB32" i="17" s="1"/>
  <c r="Z7" i="18"/>
  <c r="Z33" i="18" s="1"/>
  <c r="U33" i="18"/>
  <c r="U23" i="18"/>
  <c r="U24" i="18" s="1"/>
  <c r="Z22" i="18"/>
  <c r="AB22" i="18" s="1"/>
  <c r="AC22" i="18" s="1"/>
  <c r="AB32" i="18"/>
  <c r="AC6" i="18"/>
  <c r="AC32" i="18" s="1"/>
  <c r="B5" i="15" s="1"/>
  <c r="D5" i="15" s="1"/>
  <c r="U34" i="18"/>
  <c r="Z8" i="18"/>
  <c r="U9" i="18"/>
  <c r="AC31" i="18"/>
  <c r="B4" i="15" s="1"/>
  <c r="D4" i="15" s="1"/>
  <c r="Y36" i="18"/>
  <c r="Z33" i="17"/>
  <c r="AB7" i="17"/>
  <c r="U23" i="17"/>
  <c r="U24" i="17" s="1"/>
  <c r="Z22" i="17"/>
  <c r="AB22" i="17" s="1"/>
  <c r="AC22" i="17" s="1"/>
  <c r="Z8" i="17"/>
  <c r="U34" i="17"/>
  <c r="U9" i="17"/>
  <c r="AC31" i="17"/>
  <c r="B4" i="13" s="1"/>
  <c r="Y38" i="17"/>
  <c r="AC6" i="17" l="1"/>
  <c r="AC32" i="17" s="1"/>
  <c r="B5" i="13" s="1"/>
  <c r="D5" i="13" s="1"/>
  <c r="AB7" i="18"/>
  <c r="AB33" i="18" s="1"/>
  <c r="D4" i="13"/>
  <c r="E4" i="13" s="1"/>
  <c r="E4" i="15"/>
  <c r="E5" i="15"/>
  <c r="U35" i="18"/>
  <c r="U10" i="18"/>
  <c r="Z9" i="18"/>
  <c r="Z34" i="18"/>
  <c r="AB8" i="18"/>
  <c r="Z23" i="18"/>
  <c r="AB23" i="18" s="1"/>
  <c r="AC23" i="18" s="1"/>
  <c r="AB33" i="17"/>
  <c r="AC7" i="17"/>
  <c r="AC33" i="17" s="1"/>
  <c r="B6" i="13" s="1"/>
  <c r="D6" i="13" s="1"/>
  <c r="Z34" i="17"/>
  <c r="AB8" i="17"/>
  <c r="U10" i="17"/>
  <c r="U35" i="17"/>
  <c r="Z9" i="17"/>
  <c r="Z23" i="17"/>
  <c r="AB23" i="17" s="1"/>
  <c r="AC23" i="17" s="1"/>
  <c r="E5" i="13" l="1"/>
  <c r="AC7" i="18"/>
  <c r="AC33" i="18" s="1"/>
  <c r="B6" i="15" s="1"/>
  <c r="D6" i="15" s="1"/>
  <c r="E6" i="13"/>
  <c r="AB34" i="18"/>
  <c r="AC8" i="18"/>
  <c r="Z35" i="18"/>
  <c r="AB9" i="18"/>
  <c r="U36" i="18"/>
  <c r="Z10" i="18"/>
  <c r="U11" i="18"/>
  <c r="U12" i="18" s="1"/>
  <c r="U36" i="17"/>
  <c r="Z10" i="17"/>
  <c r="U11" i="17"/>
  <c r="U12" i="17" s="1"/>
  <c r="Z35" i="17"/>
  <c r="AB9" i="17"/>
  <c r="AB34" i="17"/>
  <c r="AC8" i="17"/>
  <c r="AC34" i="17" s="1"/>
  <c r="B7" i="13" s="1"/>
  <c r="D7" i="13" s="1"/>
  <c r="E6" i="15" l="1"/>
  <c r="E7" i="13"/>
  <c r="Z36" i="18"/>
  <c r="AB10" i="18"/>
  <c r="AB35" i="18"/>
  <c r="AC9" i="18"/>
  <c r="AC35" i="18" s="1"/>
  <c r="B8" i="15" s="1"/>
  <c r="D8" i="15" s="1"/>
  <c r="AC34" i="18"/>
  <c r="B7" i="15" s="1"/>
  <c r="D7" i="15" s="1"/>
  <c r="U37" i="18"/>
  <c r="Z11" i="18"/>
  <c r="U25" i="18"/>
  <c r="Z25" i="18" s="1"/>
  <c r="AB25" i="18" s="1"/>
  <c r="AC25" i="18" s="1"/>
  <c r="Z24" i="18"/>
  <c r="AB24" i="18" s="1"/>
  <c r="AC24" i="18" s="1"/>
  <c r="Z36" i="17"/>
  <c r="AB10" i="17"/>
  <c r="U37" i="17"/>
  <c r="Z11" i="17"/>
  <c r="AB35" i="17"/>
  <c r="AC9" i="17"/>
  <c r="AC35" i="17" s="1"/>
  <c r="B8" i="13" s="1"/>
  <c r="D8" i="13" s="1"/>
  <c r="U25" i="17"/>
  <c r="Z25" i="17" s="1"/>
  <c r="AB25" i="17" s="1"/>
  <c r="AC25" i="17" s="1"/>
  <c r="Z24" i="17"/>
  <c r="AB24" i="17" s="1"/>
  <c r="AC24" i="17" s="1"/>
  <c r="E7" i="15" l="1"/>
  <c r="E8" i="15"/>
  <c r="E8" i="13"/>
  <c r="AC26" i="18"/>
  <c r="AB36" i="18"/>
  <c r="AC10" i="18"/>
  <c r="AC36" i="18" s="1"/>
  <c r="B9" i="15" s="1"/>
  <c r="D9" i="15" s="1"/>
  <c r="Z37" i="18"/>
  <c r="AB11" i="18"/>
  <c r="Z37" i="17"/>
  <c r="AB11" i="17"/>
  <c r="AC26" i="17"/>
  <c r="AB36" i="17"/>
  <c r="AC10" i="17"/>
  <c r="AC36" i="17" s="1"/>
  <c r="B9" i="13" s="1"/>
  <c r="D9" i="13" s="1"/>
  <c r="AC152" i="24" l="1"/>
  <c r="B111" i="24" s="1"/>
  <c r="E9" i="15"/>
  <c r="E9" i="13"/>
  <c r="AB37" i="18"/>
  <c r="AC11" i="18"/>
  <c r="AC37" i="18" s="1"/>
  <c r="B10" i="15" s="1"/>
  <c r="D10" i="15" s="1"/>
  <c r="U38" i="18"/>
  <c r="U13" i="18"/>
  <c r="Z12" i="18"/>
  <c r="AB37" i="17"/>
  <c r="AC11" i="17"/>
  <c r="AC37" i="17" s="1"/>
  <c r="B10" i="13" s="1"/>
  <c r="D10" i="13" s="1"/>
  <c r="U13" i="17"/>
  <c r="U38" i="17"/>
  <c r="Z12" i="17"/>
  <c r="E10" i="15" l="1"/>
  <c r="E10" i="13"/>
  <c r="Z38" i="18"/>
  <c r="AB12" i="18"/>
  <c r="U39" i="18"/>
  <c r="Z13" i="18"/>
  <c r="Z38" i="17"/>
  <c r="AB12" i="17"/>
  <c r="U39" i="17"/>
  <c r="Z13" i="17"/>
  <c r="Z39" i="18" l="1"/>
  <c r="AB13" i="18"/>
  <c r="AB38" i="18"/>
  <c r="AC12" i="18"/>
  <c r="AC38" i="18" s="1"/>
  <c r="B11" i="15" s="1"/>
  <c r="D11" i="15" s="1"/>
  <c r="Z39" i="17"/>
  <c r="AB13" i="17"/>
  <c r="AB38" i="17"/>
  <c r="AC12" i="17"/>
  <c r="AC38" i="17" s="1"/>
  <c r="B11" i="13" l="1"/>
  <c r="E11" i="15"/>
  <c r="AB39" i="18"/>
  <c r="AC13" i="18"/>
  <c r="AB39" i="17"/>
  <c r="AC13" i="17"/>
  <c r="D11" i="13" l="1"/>
  <c r="E11" i="13" s="1"/>
  <c r="AC39" i="18"/>
  <c r="AC14" i="18"/>
  <c r="AC39" i="17"/>
  <c r="AC14" i="17"/>
  <c r="AC40" i="17" l="1"/>
  <c r="B12" i="13"/>
  <c r="AC40" i="18"/>
  <c r="B12" i="15"/>
  <c r="D12" i="15" s="1"/>
  <c r="E12" i="15" s="1"/>
  <c r="E13" i="15" s="1"/>
  <c r="E14" i="15" s="1"/>
  <c r="J4" i="15" s="1"/>
  <c r="D33" i="12"/>
  <c r="D26" i="12"/>
  <c r="D25" i="12"/>
  <c r="D24" i="12"/>
  <c r="D23" i="12"/>
  <c r="D22" i="12"/>
  <c r="D20" i="12"/>
  <c r="D19" i="12"/>
  <c r="D18" i="12"/>
  <c r="O39" i="11"/>
  <c r="J39" i="11"/>
  <c r="G39" i="11"/>
  <c r="E39" i="11"/>
  <c r="B39" i="11"/>
  <c r="O38" i="11"/>
  <c r="J38" i="11"/>
  <c r="G38" i="11"/>
  <c r="E38" i="11"/>
  <c r="B38" i="11"/>
  <c r="O37" i="11"/>
  <c r="J37" i="11"/>
  <c r="G37" i="11"/>
  <c r="E37" i="11"/>
  <c r="B37" i="11"/>
  <c r="O36" i="11"/>
  <c r="J36" i="11"/>
  <c r="G36" i="11"/>
  <c r="E36" i="11"/>
  <c r="B36" i="11"/>
  <c r="O35" i="11"/>
  <c r="J35" i="11"/>
  <c r="G35" i="11"/>
  <c r="E35" i="11"/>
  <c r="B35" i="11"/>
  <c r="W34" i="11"/>
  <c r="O34" i="11"/>
  <c r="J34" i="11"/>
  <c r="G34" i="11"/>
  <c r="E34" i="11"/>
  <c r="B34" i="11"/>
  <c r="W33" i="11"/>
  <c r="O33" i="11"/>
  <c r="J33" i="11"/>
  <c r="G33" i="11"/>
  <c r="E33" i="11"/>
  <c r="B33" i="11"/>
  <c r="A33" i="11"/>
  <c r="W32" i="11"/>
  <c r="O32" i="11"/>
  <c r="J32" i="11"/>
  <c r="G32" i="11"/>
  <c r="E32" i="11"/>
  <c r="B32" i="11"/>
  <c r="A32" i="11"/>
  <c r="W31" i="11"/>
  <c r="O31" i="11"/>
  <c r="J31" i="11"/>
  <c r="G31" i="11"/>
  <c r="E31" i="11"/>
  <c r="B31" i="11"/>
  <c r="A31" i="11"/>
  <c r="K25" i="11"/>
  <c r="AA25" i="11" s="1"/>
  <c r="F25" i="11"/>
  <c r="H25" i="11" s="1"/>
  <c r="I25" i="11" s="1"/>
  <c r="D25" i="11"/>
  <c r="C25" i="11"/>
  <c r="F24" i="11"/>
  <c r="H24" i="11" s="1"/>
  <c r="I24" i="11" s="1"/>
  <c r="D24" i="11"/>
  <c r="C24" i="11"/>
  <c r="AA23" i="11"/>
  <c r="F23" i="11"/>
  <c r="H23" i="11" s="1"/>
  <c r="I23" i="11" s="1"/>
  <c r="D23" i="11"/>
  <c r="C23" i="11"/>
  <c r="K22" i="11"/>
  <c r="V22" i="11" s="1"/>
  <c r="F22" i="11"/>
  <c r="H22" i="11" s="1"/>
  <c r="I22" i="11" s="1"/>
  <c r="D22" i="11"/>
  <c r="C22" i="11"/>
  <c r="K21" i="11"/>
  <c r="V21" i="11" s="1"/>
  <c r="F21" i="11"/>
  <c r="H21" i="11" s="1"/>
  <c r="I21" i="11" s="1"/>
  <c r="D21" i="11"/>
  <c r="C21" i="11"/>
  <c r="X20" i="11"/>
  <c r="K20" i="11"/>
  <c r="AA20" i="11" s="1"/>
  <c r="F20" i="11"/>
  <c r="H20" i="11" s="1"/>
  <c r="I20" i="11" s="1"/>
  <c r="D20" i="11"/>
  <c r="C20" i="11"/>
  <c r="X19" i="11"/>
  <c r="K19" i="11"/>
  <c r="AA19" i="11" s="1"/>
  <c r="F19" i="11"/>
  <c r="H19" i="11" s="1"/>
  <c r="I19" i="11" s="1"/>
  <c r="D19" i="11"/>
  <c r="C19" i="11"/>
  <c r="X18" i="11"/>
  <c r="K18" i="11"/>
  <c r="F18" i="11"/>
  <c r="H18" i="11" s="1"/>
  <c r="I18" i="11" s="1"/>
  <c r="D18" i="11"/>
  <c r="C18" i="11"/>
  <c r="X17" i="11"/>
  <c r="K17" i="11"/>
  <c r="S17" i="11" s="1"/>
  <c r="U17" i="11" s="1"/>
  <c r="F17" i="11"/>
  <c r="H17" i="11" s="1"/>
  <c r="I17" i="11" s="1"/>
  <c r="D17" i="11"/>
  <c r="C17" i="11"/>
  <c r="X8" i="11"/>
  <c r="X34" i="11" s="1"/>
  <c r="X7" i="11"/>
  <c r="X33" i="11" s="1"/>
  <c r="F7" i="11"/>
  <c r="K7" i="11" s="1"/>
  <c r="D7" i="11"/>
  <c r="C7" i="11"/>
  <c r="X6" i="11"/>
  <c r="F6" i="11"/>
  <c r="K6" i="11" s="1"/>
  <c r="D6" i="11"/>
  <c r="C6" i="11"/>
  <c r="X5" i="11"/>
  <c r="D5" i="11"/>
  <c r="C5" i="11"/>
  <c r="D12" i="13" l="1"/>
  <c r="E12" i="13" s="1"/>
  <c r="E13" i="13" s="1"/>
  <c r="E14" i="13" s="1"/>
  <c r="X31" i="11"/>
  <c r="X32" i="11"/>
  <c r="C33" i="11"/>
  <c r="D43" i="12"/>
  <c r="C4" i="12" s="1"/>
  <c r="C32" i="11"/>
  <c r="R21" i="11"/>
  <c r="S20" i="11"/>
  <c r="R23" i="11"/>
  <c r="F32" i="11"/>
  <c r="V23" i="11"/>
  <c r="D31" i="11"/>
  <c r="D32" i="11"/>
  <c r="D33" i="11"/>
  <c r="H6" i="11"/>
  <c r="H32" i="11" s="1"/>
  <c r="S6" i="11"/>
  <c r="W10" i="11" s="1"/>
  <c r="X10" i="11" s="1"/>
  <c r="V20" i="11"/>
  <c r="AA22" i="11"/>
  <c r="R24" i="11"/>
  <c r="R25" i="11"/>
  <c r="V24" i="11"/>
  <c r="S25" i="11"/>
  <c r="T25" i="11" s="1"/>
  <c r="F33" i="11"/>
  <c r="S19" i="11"/>
  <c r="R20" i="11"/>
  <c r="S22" i="11"/>
  <c r="K31" i="11"/>
  <c r="C31" i="11"/>
  <c r="F31" i="11"/>
  <c r="Z17" i="11"/>
  <c r="AA5" i="11"/>
  <c r="AA17" i="11"/>
  <c r="S5" i="11"/>
  <c r="W9" i="11" s="1"/>
  <c r="X9" i="11" s="1"/>
  <c r="V17" i="11"/>
  <c r="S18" i="11"/>
  <c r="AA18" i="11"/>
  <c r="V18" i="11"/>
  <c r="R18" i="11"/>
  <c r="T17" i="11"/>
  <c r="W21" i="11"/>
  <c r="X21" i="11" s="1"/>
  <c r="AA21" i="11"/>
  <c r="S21" i="11"/>
  <c r="H7" i="11"/>
  <c r="R17" i="11"/>
  <c r="S23" i="11"/>
  <c r="T23" i="11" s="1"/>
  <c r="S24" i="11"/>
  <c r="T24" i="11" s="1"/>
  <c r="AA24" i="11"/>
  <c r="R19" i="11"/>
  <c r="V19" i="11"/>
  <c r="R22" i="11"/>
  <c r="V25" i="11"/>
  <c r="J4" i="13" l="1"/>
  <c r="T20" i="11"/>
  <c r="Y20" i="11" s="1"/>
  <c r="Y17" i="11"/>
  <c r="S32" i="11"/>
  <c r="V6" i="11"/>
  <c r="V32" i="11" s="1"/>
  <c r="K32" i="11"/>
  <c r="R6" i="11"/>
  <c r="R32" i="11" s="1"/>
  <c r="C8" i="11"/>
  <c r="C34" i="11" s="1"/>
  <c r="D8" i="11"/>
  <c r="A34" i="11"/>
  <c r="F8" i="11"/>
  <c r="K8" i="11" s="1"/>
  <c r="I6" i="11"/>
  <c r="I32" i="11" s="1"/>
  <c r="A35" i="11"/>
  <c r="D9" i="11"/>
  <c r="C9" i="11"/>
  <c r="C35" i="11" s="1"/>
  <c r="F9" i="11"/>
  <c r="F10" i="11"/>
  <c r="K10" i="11" s="1"/>
  <c r="A36" i="11"/>
  <c r="C10" i="11"/>
  <c r="C36" i="11" s="1"/>
  <c r="D10" i="11"/>
  <c r="AA6" i="11"/>
  <c r="AA32" i="11" s="1"/>
  <c r="C7" i="12"/>
  <c r="C11" i="12"/>
  <c r="C5" i="12"/>
  <c r="C9" i="12"/>
  <c r="C8" i="12"/>
  <c r="C12" i="12"/>
  <c r="C6" i="12"/>
  <c r="C10" i="12"/>
  <c r="T6" i="11"/>
  <c r="W25" i="11"/>
  <c r="X25" i="11" s="1"/>
  <c r="Y25" i="11" s="1"/>
  <c r="T22" i="11"/>
  <c r="W23" i="11"/>
  <c r="X23" i="11" s="1"/>
  <c r="Y23" i="11" s="1"/>
  <c r="T19" i="11"/>
  <c r="Y19" i="11" s="1"/>
  <c r="T21" i="11"/>
  <c r="Y21" i="11" s="1"/>
  <c r="W24" i="11"/>
  <c r="X24" i="11" s="1"/>
  <c r="Y24" i="11" s="1"/>
  <c r="AB17" i="11"/>
  <c r="W22" i="11"/>
  <c r="T18" i="11"/>
  <c r="Y18" i="11" s="1"/>
  <c r="K33" i="11"/>
  <c r="S7" i="11"/>
  <c r="AA7" i="11"/>
  <c r="AA33" i="11" s="1"/>
  <c r="V7" i="11"/>
  <c r="V33" i="11" s="1"/>
  <c r="R7" i="11"/>
  <c r="S31" i="11"/>
  <c r="T5" i="11"/>
  <c r="T31" i="11" s="1"/>
  <c r="U5" i="11"/>
  <c r="AA31" i="11"/>
  <c r="U18" i="11"/>
  <c r="R31" i="11"/>
  <c r="H33" i="11"/>
  <c r="I7" i="11"/>
  <c r="I33" i="11" s="1"/>
  <c r="H31" i="11"/>
  <c r="I31" i="11"/>
  <c r="V31" i="11"/>
  <c r="K9" i="11" l="1"/>
  <c r="H9" i="11"/>
  <c r="Y6" i="11"/>
  <c r="Y32" i="11" s="1"/>
  <c r="AC17" i="11"/>
  <c r="H8" i="11"/>
  <c r="F34" i="11"/>
  <c r="D34" i="11"/>
  <c r="T32" i="11"/>
  <c r="D35" i="11"/>
  <c r="H10" i="11"/>
  <c r="F36" i="11"/>
  <c r="D36" i="11"/>
  <c r="F35" i="11"/>
  <c r="Y5" i="11"/>
  <c r="Y31" i="11" s="1"/>
  <c r="S33" i="11"/>
  <c r="W11" i="11"/>
  <c r="T7" i="11"/>
  <c r="T33" i="11" s="1"/>
  <c r="U19" i="11"/>
  <c r="Z18" i="11"/>
  <c r="AB18" i="11" s="1"/>
  <c r="AC18" i="11" s="1"/>
  <c r="U31" i="11"/>
  <c r="U6" i="11"/>
  <c r="Z5" i="11"/>
  <c r="R33" i="11"/>
  <c r="X22" i="11"/>
  <c r="W36" i="11"/>
  <c r="W35" i="11"/>
  <c r="H34" i="11" l="1"/>
  <c r="I8" i="11"/>
  <c r="I34" i="11" s="1"/>
  <c r="D11" i="11"/>
  <c r="F11" i="11"/>
  <c r="K11" i="11" s="1"/>
  <c r="A37" i="11"/>
  <c r="C11" i="11"/>
  <c r="C37" i="11" s="1"/>
  <c r="K34" i="11"/>
  <c r="R8" i="11"/>
  <c r="V8" i="11"/>
  <c r="V34" i="11" s="1"/>
  <c r="AA8" i="11"/>
  <c r="AA34" i="11" s="1"/>
  <c r="S8" i="11"/>
  <c r="I10" i="11"/>
  <c r="I36" i="11" s="1"/>
  <c r="H36" i="11"/>
  <c r="H35" i="11"/>
  <c r="I9" i="11"/>
  <c r="I35" i="11" s="1"/>
  <c r="AA10" i="11"/>
  <c r="AA36" i="11" s="1"/>
  <c r="K36" i="11"/>
  <c r="S10" i="11"/>
  <c r="V10" i="11"/>
  <c r="V36" i="11" s="1"/>
  <c r="R10" i="11"/>
  <c r="R36" i="11" s="1"/>
  <c r="A38" i="11"/>
  <c r="C12" i="11"/>
  <c r="C38" i="11" s="1"/>
  <c r="D12" i="11"/>
  <c r="D38" i="11" s="1"/>
  <c r="F12" i="11"/>
  <c r="K12" i="11" s="1"/>
  <c r="Y7" i="11"/>
  <c r="Y33" i="11" s="1"/>
  <c r="K35" i="11"/>
  <c r="AA9" i="11"/>
  <c r="AA35" i="11" s="1"/>
  <c r="R9" i="11"/>
  <c r="R35" i="11" s="1"/>
  <c r="V9" i="11"/>
  <c r="V35" i="11" s="1"/>
  <c r="S9" i="11"/>
  <c r="X35" i="11"/>
  <c r="X11" i="11"/>
  <c r="W37" i="11"/>
  <c r="U32" i="11"/>
  <c r="U7" i="11"/>
  <c r="Z6" i="11"/>
  <c r="U20" i="11"/>
  <c r="Z19" i="11"/>
  <c r="AB19" i="11" s="1"/>
  <c r="AC19" i="11" s="1"/>
  <c r="X36" i="11"/>
  <c r="Y22" i="11"/>
  <c r="Z31" i="11"/>
  <c r="AB5" i="11"/>
  <c r="AA12" i="11" l="1"/>
  <c r="AA38" i="11" s="1"/>
  <c r="R12" i="11"/>
  <c r="R38" i="11" s="1"/>
  <c r="V12" i="11"/>
  <c r="V38" i="11" s="1"/>
  <c r="S12" i="11"/>
  <c r="K38" i="11"/>
  <c r="F37" i="11"/>
  <c r="H11" i="11"/>
  <c r="S34" i="11"/>
  <c r="T8" i="11"/>
  <c r="T34" i="11" s="1"/>
  <c r="R34" i="11"/>
  <c r="D37" i="11"/>
  <c r="S36" i="11"/>
  <c r="W13" i="11"/>
  <c r="T10" i="11"/>
  <c r="S35" i="11"/>
  <c r="T9" i="11"/>
  <c r="T35" i="11" s="1"/>
  <c r="W12" i="11"/>
  <c r="F38" i="11"/>
  <c r="H12" i="11"/>
  <c r="U33" i="11"/>
  <c r="U8" i="11"/>
  <c r="Z8" i="11" s="1"/>
  <c r="Z7" i="11"/>
  <c r="Z32" i="11"/>
  <c r="AB6" i="11"/>
  <c r="AB31" i="11"/>
  <c r="AC5" i="11"/>
  <c r="Z20" i="11"/>
  <c r="AB20" i="11" s="1"/>
  <c r="AC20" i="11" s="1"/>
  <c r="U21" i="11"/>
  <c r="X37" i="11"/>
  <c r="T12" i="11" l="1"/>
  <c r="T38" i="11" s="1"/>
  <c r="S38" i="11"/>
  <c r="Y9" i="11"/>
  <c r="Y35" i="11" s="1"/>
  <c r="I11" i="11"/>
  <c r="I37" i="11" s="1"/>
  <c r="H37" i="11"/>
  <c r="C13" i="11"/>
  <c r="C39" i="11" s="1"/>
  <c r="F13" i="11"/>
  <c r="K13" i="11" s="1"/>
  <c r="A39" i="11"/>
  <c r="D13" i="11"/>
  <c r="D39" i="11" s="1"/>
  <c r="K37" i="11"/>
  <c r="S11" i="11"/>
  <c r="AA11" i="11"/>
  <c r="AA37" i="11" s="1"/>
  <c r="R11" i="11"/>
  <c r="V11" i="11"/>
  <c r="V37" i="11" s="1"/>
  <c r="Y8" i="11"/>
  <c r="Y34" i="11" s="1"/>
  <c r="T36" i="11"/>
  <c r="Y10" i="11"/>
  <c r="Y36" i="11" s="1"/>
  <c r="W38" i="11"/>
  <c r="X12" i="11"/>
  <c r="X13" i="11"/>
  <c r="W39" i="11"/>
  <c r="H38" i="11"/>
  <c r="I12" i="11"/>
  <c r="I38" i="11" s="1"/>
  <c r="U22" i="11"/>
  <c r="Z21" i="11"/>
  <c r="AB21" i="11" s="1"/>
  <c r="AC21" i="11" s="1"/>
  <c r="AC31" i="11"/>
  <c r="B4" i="12" s="1"/>
  <c r="AB32" i="11"/>
  <c r="AC6" i="11"/>
  <c r="AC32" i="11" s="1"/>
  <c r="B5" i="12" s="1"/>
  <c r="Z33" i="11"/>
  <c r="AB7" i="11"/>
  <c r="U34" i="11"/>
  <c r="U9" i="11"/>
  <c r="D4" i="12" l="1"/>
  <c r="E4" i="12" s="1"/>
  <c r="D5" i="12"/>
  <c r="E5" i="12" s="1"/>
  <c r="AA13" i="11"/>
  <c r="AA39" i="11" s="1"/>
  <c r="R13" i="11"/>
  <c r="R39" i="11" s="1"/>
  <c r="V13" i="11"/>
  <c r="V39" i="11" s="1"/>
  <c r="S13" i="11"/>
  <c r="K39" i="11"/>
  <c r="R37" i="11"/>
  <c r="T11" i="11"/>
  <c r="T37" i="11" s="1"/>
  <c r="S37" i="11"/>
  <c r="F39" i="11"/>
  <c r="H13" i="11"/>
  <c r="X39" i="11"/>
  <c r="X38" i="11"/>
  <c r="Y12" i="11"/>
  <c r="Y38" i="11" s="1"/>
  <c r="AB33" i="11"/>
  <c r="AC7" i="11"/>
  <c r="U35" i="11"/>
  <c r="U10" i="11"/>
  <c r="Z9" i="11"/>
  <c r="Z34" i="11"/>
  <c r="AB8" i="11"/>
  <c r="U23" i="11"/>
  <c r="U24" i="11" s="1"/>
  <c r="Z22" i="11"/>
  <c r="AB22" i="11" s="1"/>
  <c r="AC22" i="11" s="1"/>
  <c r="T13" i="11" l="1"/>
  <c r="S39" i="11"/>
  <c r="H39" i="11"/>
  <c r="I13" i="11"/>
  <c r="I39" i="11" s="1"/>
  <c r="Y11" i="11"/>
  <c r="Y37" i="11" s="1"/>
  <c r="AB34" i="11"/>
  <c r="AC8" i="11"/>
  <c r="AC34" i="11" s="1"/>
  <c r="B7" i="12" s="1"/>
  <c r="Z35" i="11"/>
  <c r="AB9" i="11"/>
  <c r="AC33" i="11"/>
  <c r="B6" i="12" s="1"/>
  <c r="Z23" i="11"/>
  <c r="AB23" i="11" s="1"/>
  <c r="AC23" i="11" s="1"/>
  <c r="U36" i="11"/>
  <c r="U11" i="11"/>
  <c r="U12" i="11" s="1"/>
  <c r="Z10" i="11"/>
  <c r="D6" i="12" l="1"/>
  <c r="E6" i="12" s="1"/>
  <c r="D7" i="12"/>
  <c r="E7" i="12" s="1"/>
  <c r="T39" i="11"/>
  <c r="Y13" i="11"/>
  <c r="Y39" i="11" s="1"/>
  <c r="Z36" i="11"/>
  <c r="AB10" i="11"/>
  <c r="AB35" i="11"/>
  <c r="AC9" i="11"/>
  <c r="U37" i="11"/>
  <c r="Z11" i="11"/>
  <c r="AB36" i="11" l="1"/>
  <c r="AC10" i="11"/>
  <c r="AC36" i="11" s="1"/>
  <c r="B9" i="12" s="1"/>
  <c r="AC35" i="11"/>
  <c r="B8" i="12" s="1"/>
  <c r="Z37" i="11"/>
  <c r="AB11" i="11"/>
  <c r="U25" i="11"/>
  <c r="Z25" i="11" s="1"/>
  <c r="AB25" i="11" s="1"/>
  <c r="AC25" i="11" s="1"/>
  <c r="Z24" i="11"/>
  <c r="AB24" i="11" s="1"/>
  <c r="AC24" i="11" s="1"/>
  <c r="D9" i="12" l="1"/>
  <c r="E9" i="12" s="1"/>
  <c r="D8" i="12"/>
  <c r="E8" i="12" s="1"/>
  <c r="AC26" i="11"/>
  <c r="U38" i="11"/>
  <c r="U13" i="11"/>
  <c r="Z12" i="11"/>
  <c r="AB37" i="11"/>
  <c r="AC11" i="11"/>
  <c r="AC37" i="11" s="1"/>
  <c r="B10" i="12" s="1"/>
  <c r="D10" i="12" l="1"/>
  <c r="E10" i="12" s="1"/>
  <c r="Z38" i="11"/>
  <c r="AB12" i="11"/>
  <c r="U39" i="11"/>
  <c r="Z13" i="11"/>
  <c r="Z39" i="11" l="1"/>
  <c r="AB13" i="11"/>
  <c r="AB38" i="11"/>
  <c r="AC12" i="11"/>
  <c r="AC38" i="11" s="1"/>
  <c r="B11" i="12" s="1"/>
  <c r="D11" i="12" l="1"/>
  <c r="E11" i="12" s="1"/>
  <c r="AB39" i="11"/>
  <c r="AC13" i="11"/>
  <c r="AC39" i="11" l="1"/>
  <c r="AC14" i="11"/>
  <c r="AC40" i="11" l="1"/>
  <c r="B12" i="12"/>
  <c r="D12" i="12" s="1"/>
  <c r="E12" i="12" s="1"/>
  <c r="E13" i="12" s="1"/>
  <c r="E14" i="12" s="1"/>
  <c r="J4" i="12" l="1"/>
  <c r="K4" i="13" l="1"/>
  <c r="K4" i="12"/>
  <c r="K4" i="15"/>
</calcChain>
</file>

<file path=xl/sharedStrings.xml><?xml version="1.0" encoding="utf-8"?>
<sst xmlns="http://schemas.openxmlformats.org/spreadsheetml/2006/main" count="4623" uniqueCount="268">
  <si>
    <t>Мебель</t>
  </si>
  <si>
    <t>Курс</t>
  </si>
  <si>
    <t>Школа</t>
  </si>
  <si>
    <t>Кол-во кабинетов</t>
  </si>
  <si>
    <t>WeDo 2.0</t>
  </si>
  <si>
    <t>1-2</t>
  </si>
  <si>
    <t>Школа, или своё арендованое помещение</t>
  </si>
  <si>
    <t>Бизнес</t>
  </si>
  <si>
    <t>Платинум</t>
  </si>
  <si>
    <t>Переноски</t>
  </si>
  <si>
    <t>Учебные стулья</t>
  </si>
  <si>
    <t>Другое</t>
  </si>
  <si>
    <t>Принтер</t>
  </si>
  <si>
    <t>Заказ печатных материалов</t>
  </si>
  <si>
    <t>Проектор</t>
  </si>
  <si>
    <t>Штатив под проектор</t>
  </si>
  <si>
    <t>Стол для администратора</t>
  </si>
  <si>
    <t>Стул для администратора</t>
  </si>
  <si>
    <t>Гарнитура для ноутбука и IP телефона</t>
  </si>
  <si>
    <t>IP телефон</t>
  </si>
  <si>
    <t>Мусорное ведро</t>
  </si>
  <si>
    <t>2 вешалки</t>
  </si>
  <si>
    <t>СРМ-система. 1 аккаунт (1000 рублей на 12 мес)</t>
  </si>
  <si>
    <t>Услуги телефонии (первые 2 мес - бесплатно)</t>
  </si>
  <si>
    <t>3 карточки для телефонии</t>
  </si>
  <si>
    <t>Наименование</t>
  </si>
  <si>
    <t>Учебный набор WeDo</t>
  </si>
  <si>
    <t>Стоимость единицы (грн.)</t>
  </si>
  <si>
    <t>Кол-во (шт.)</t>
  </si>
  <si>
    <t>Общая стоимость (грн.)</t>
  </si>
  <si>
    <t>Ноутбуки для детей</t>
  </si>
  <si>
    <t>Ноутбук  для администратора</t>
  </si>
  <si>
    <t>Мышки для детей</t>
  </si>
  <si>
    <t>Мышка для администратора</t>
  </si>
  <si>
    <t>Затраты на интернет-системы</t>
  </si>
  <si>
    <t>Ремонтные работы</t>
  </si>
  <si>
    <t xml:space="preserve">Маркетинг </t>
  </si>
  <si>
    <t>Аренда первый и последний мес</t>
  </si>
  <si>
    <t>Бейджики</t>
  </si>
  <si>
    <t>Маркерная доска</t>
  </si>
  <si>
    <t>Вывеска</t>
  </si>
  <si>
    <t>Услуги юриста</t>
  </si>
  <si>
    <t>Услуги бухгалтера</t>
  </si>
  <si>
    <t>Итого</t>
  </si>
  <si>
    <t>Размещение вакансий</t>
  </si>
  <si>
    <t>Другие расходы</t>
  </si>
  <si>
    <t>Летний лагерь*</t>
  </si>
  <si>
    <t>Пуфики</t>
  </si>
  <si>
    <t>Настольные игры</t>
  </si>
  <si>
    <t>Спортинвентарь</t>
  </si>
  <si>
    <t>Вентилятор</t>
  </si>
  <si>
    <t>Швабры, ведра, тряпки</t>
  </si>
  <si>
    <t>Пазлы, разрисовки</t>
  </si>
  <si>
    <t>Техника (общая)</t>
  </si>
  <si>
    <t>Техника (каб. WeDo 2.0)</t>
  </si>
  <si>
    <t>Учебный набор EV3 Education (45544)</t>
  </si>
  <si>
    <t>Учебный ресурсный набор к EV3 (45560)</t>
  </si>
  <si>
    <t>Инфракрасный датчик (45509)</t>
  </si>
  <si>
    <t>Инфракрасный пульт (45508)</t>
  </si>
  <si>
    <t>Зарядка (45517)</t>
  </si>
  <si>
    <t>Датчик цвета (45506)</t>
  </si>
  <si>
    <t>Датчик температуры (9749)</t>
  </si>
  <si>
    <t>Ноутбук для преподавателя</t>
  </si>
  <si>
    <t>Мышка для преподавателя</t>
  </si>
  <si>
    <t>Итого:</t>
  </si>
  <si>
    <t>Батарейки</t>
  </si>
  <si>
    <t>WiFi роутер</t>
  </si>
  <si>
    <t>Куллер</t>
  </si>
  <si>
    <t>Переходник под гарнитуру на IP телефон</t>
  </si>
  <si>
    <t>Услуги брокера</t>
  </si>
  <si>
    <t>Пошлины за оформление документов (открытие ФОП)</t>
  </si>
  <si>
    <t>Канцтовары (ручки, бумага, ножницы, степлеры, фломастеры, стерки для досок)</t>
  </si>
  <si>
    <t>Охранная система</t>
  </si>
  <si>
    <t>Учебные парты для учеников</t>
  </si>
  <si>
    <t>Учебная парта для преподавателя</t>
  </si>
  <si>
    <t>*затраты на летний период (произойдут в мае)</t>
  </si>
  <si>
    <t>Плечики (10 шт в 1 наборе)</t>
  </si>
  <si>
    <t>Грн.</t>
  </si>
  <si>
    <t>Долл.</t>
  </si>
  <si>
    <t>грн.</t>
  </si>
  <si>
    <t>долл.</t>
  </si>
  <si>
    <t>Техника (каб. EV3+Arduino)</t>
  </si>
  <si>
    <t>Учебный набор Arduino</t>
  </si>
  <si>
    <t>2 года</t>
  </si>
  <si>
    <t>Инвестиции (долл.)</t>
  </si>
  <si>
    <t>Сумма инвестиций:</t>
  </si>
  <si>
    <t>Паушальный взнос:</t>
  </si>
  <si>
    <t>Общая сумма:</t>
  </si>
  <si>
    <t>Курс валют:</t>
  </si>
  <si>
    <t>Помещение</t>
  </si>
  <si>
    <t>Стоимость абонемента на 18 уроков</t>
  </si>
  <si>
    <t>лидов от промов</t>
  </si>
  <si>
    <t>Среднее кол-во контактов, кот приносит 1 промоутер</t>
  </si>
  <si>
    <t>Сколько раз 1 промоутер должен выйти в мес на работу, чтобы принести предыдущее кол-во контактов</t>
  </si>
  <si>
    <t>% конверсии в БПУ</t>
  </si>
  <si>
    <t>Людей прийдет на БПУ</t>
  </si>
  <si>
    <t>Среднее кол-во людей, которое приходит на 1 БПУ</t>
  </si>
  <si>
    <t>Сколько нужно провести в мес БПУ для этого</t>
  </si>
  <si>
    <t>БПУ в неделю нужно проводить исходя из предыдущей колонки</t>
  </si>
  <si>
    <t>% конверсии в 2ТУ</t>
  </si>
  <si>
    <t>Людей запишется на 2ТУ по 400 грн</t>
  </si>
  <si>
    <t>Конверсия в абонемент 5490 первый с 2ТУ</t>
  </si>
  <si>
    <t>Конверсия в абонемент 5490 второй</t>
  </si>
  <si>
    <t>мес</t>
  </si>
  <si>
    <t>Стоимость клиента купившего 2 занятия</t>
  </si>
  <si>
    <t>Стоимость 2 занятий интенсива</t>
  </si>
  <si>
    <t>выручка от клиентов новых по 400 грн</t>
  </si>
  <si>
    <t>клиентов новых 5490</t>
  </si>
  <si>
    <t>Доходов от новых абонементов 5490 на 18 уроков новых</t>
  </si>
  <si>
    <t>клиентов накопительно становится 5490</t>
  </si>
  <si>
    <t>расходов на маркетинг</t>
  </si>
  <si>
    <t>кол-во клиентов купивших 2ой раз 5490 (кот 4 мес отходили уже)</t>
  </si>
  <si>
    <t>Выручка от клиентов купивших 2ой раз 5490</t>
  </si>
  <si>
    <t>Итого выручка (без расходов на маркетинг и зарплат)</t>
  </si>
  <si>
    <t>Примерно групп понадобится на период в неделю</t>
  </si>
  <si>
    <t>ЗП за мес на преподов</t>
  </si>
  <si>
    <t>Итого по выручке (с учетом маркетинга и зарплат педагогов)</t>
  </si>
  <si>
    <t>сент</t>
  </si>
  <si>
    <t>окт</t>
  </si>
  <si>
    <t>ноя</t>
  </si>
  <si>
    <t>дек</t>
  </si>
  <si>
    <t>янв</t>
  </si>
  <si>
    <t>*этот месяц когда оплатчики 5490 отходили 4 месяца</t>
  </si>
  <si>
    <t>фев</t>
  </si>
  <si>
    <t>март</t>
  </si>
  <si>
    <t>апр</t>
  </si>
  <si>
    <t>май</t>
  </si>
  <si>
    <t>лидов (всего)</t>
  </si>
  <si>
    <t>% конверсии в 2ТУ (среднее, подсчет от этой цифры не происходит)</t>
  </si>
  <si>
    <t>Конверсия в абонемент 5490 первый с 2ТУ (среднее, подсчет от этой цифры не происходит)</t>
  </si>
  <si>
    <t>*цветные поля НЕ ДЛЯ ВНЕСЕНИЯ. Значения вносить ТОЛЬКО в белые ячейки</t>
  </si>
  <si>
    <t>Промоутеры</t>
  </si>
  <si>
    <t>ФБ/Инстаграмм</t>
  </si>
  <si>
    <t>Итого (промоутеры+ФБ/инстаграмм)</t>
  </si>
  <si>
    <t>Кол-во промоутеров, которое должно работать 5 раз в неделю, чтобы приводить кол-во людей в колонке А</t>
  </si>
  <si>
    <t>Примерно групп понадобится в неделю (Абонементы 5490)</t>
  </si>
  <si>
    <t>Примерно групп понадобится в неделю для интенсивщиков (2ТУ)</t>
  </si>
  <si>
    <t>Старт</t>
  </si>
  <si>
    <t>лидов от ФБ/инста</t>
  </si>
  <si>
    <t>Пакет "ПЛАТИНУМ" (2 кабинета - WeDo 2.0, EV3 и Arduino)</t>
  </si>
  <si>
    <t>Пакет "БИЗНЕС" (1-2 кабинета - WeDo 2.0, EV3)</t>
  </si>
  <si>
    <t>Пакет "СТАРТ" (1 кабинет - WeDo 2.0)</t>
  </si>
  <si>
    <t>Вид пакета</t>
  </si>
  <si>
    <t>Срок программы</t>
  </si>
  <si>
    <t>Месяц</t>
  </si>
  <si>
    <t>сентябрь</t>
  </si>
  <si>
    <t>октябрь</t>
  </si>
  <si>
    <t>ноябрь</t>
  </si>
  <si>
    <t>декабрь</t>
  </si>
  <si>
    <t>январь</t>
  </si>
  <si>
    <t>февраль</t>
  </si>
  <si>
    <t>апрель</t>
  </si>
  <si>
    <t>*за вычетом себестоимости (маркетинга и з/п преподавателей)</t>
  </si>
  <si>
    <t>Валовая прибыль грн.*</t>
  </si>
  <si>
    <t>Переменные расходы</t>
  </si>
  <si>
    <t>Стоимость (грн.)</t>
  </si>
  <si>
    <t>Аренда</t>
  </si>
  <si>
    <t>Комунальные услуги</t>
  </si>
  <si>
    <t>Установка терминала</t>
  </si>
  <si>
    <t>Комиссия эквайринга</t>
  </si>
  <si>
    <t>З/п МРК</t>
  </si>
  <si>
    <t>З/п уборщица</t>
  </si>
  <si>
    <t>Налоги ФОП</t>
  </si>
  <si>
    <t>Налоги зарплатные</t>
  </si>
  <si>
    <t>Фиксированая ставка по эквайрингу</t>
  </si>
  <si>
    <t>Связь (пополнение счета)</t>
  </si>
  <si>
    <t xml:space="preserve">Услуги бинотел </t>
  </si>
  <si>
    <t>Интернет</t>
  </si>
  <si>
    <t>Вода в офис</t>
  </si>
  <si>
    <t>Канцтовары</t>
  </si>
  <si>
    <t>Альфа смс (в срм-системе)</t>
  </si>
  <si>
    <t>Печать рекламных материалов</t>
  </si>
  <si>
    <t>Чай/кофе</t>
  </si>
  <si>
    <t>Бытовая химия и прочее</t>
  </si>
  <si>
    <t>Приобретение мелких комплектующих</t>
  </si>
  <si>
    <t>Ремонт тех комплектующих</t>
  </si>
  <si>
    <t>Приобретение деталей лего</t>
  </si>
  <si>
    <t>Итого за уч. год:</t>
  </si>
  <si>
    <t>Итого расходов</t>
  </si>
  <si>
    <t>Паушальный взнос (долл.)</t>
  </si>
  <si>
    <t>*грн</t>
  </si>
  <si>
    <t>*долл</t>
  </si>
  <si>
    <t>Оптимистичный вариант</t>
  </si>
  <si>
    <t>Стандартный вариант</t>
  </si>
  <si>
    <t>Пессиместичный вариант</t>
  </si>
  <si>
    <t>Доходы "СТАРТ"</t>
  </si>
  <si>
    <t>Лидов</t>
  </si>
  <si>
    <t>Конверсия в БПУ</t>
  </si>
  <si>
    <t>Конверсия в 2ТУ (после МК)</t>
  </si>
  <si>
    <t>Конверсия в 2ТУ (сразу по телефону)</t>
  </si>
  <si>
    <t xml:space="preserve">Конверсия в абонемент 5490 </t>
  </si>
  <si>
    <t>Стоимость 2ТУшника (промоутеры)</t>
  </si>
  <si>
    <t>Стоимость 2ТУшника (фб/инстаграмм)</t>
  </si>
  <si>
    <t>Итоговая прибыль</t>
  </si>
  <si>
    <t>Окупаемость (мес)</t>
  </si>
  <si>
    <t>4 года</t>
  </si>
  <si>
    <t>6 лет</t>
  </si>
  <si>
    <t>Возрастные группы (лет)</t>
  </si>
  <si>
    <t>5-6, 7-8</t>
  </si>
  <si>
    <t>5-6, 7-8, 9-14</t>
  </si>
  <si>
    <t>5-6, 7-8, 9-14, 12-16</t>
  </si>
  <si>
    <t>WeDo 2.0 + EV3</t>
  </si>
  <si>
    <t>WeDo 2.0 + EV3 + Arduino</t>
  </si>
  <si>
    <t>Инвесиции в пакет (долл.)</t>
  </si>
  <si>
    <t>Паушальный взнос в пакет (долл.)</t>
  </si>
  <si>
    <t>Прибыль за 9 мес (долл.)</t>
  </si>
  <si>
    <t>Маркетинговые отчисления</t>
  </si>
  <si>
    <t>Роялти (от выручки)</t>
  </si>
  <si>
    <t>Расходы переменные</t>
  </si>
  <si>
    <t>Роялти</t>
  </si>
  <si>
    <t>Итоговая Прибыль</t>
  </si>
  <si>
    <t>Итоговый результат:</t>
  </si>
  <si>
    <t>Вариант развитя событий:</t>
  </si>
  <si>
    <t>*выпадающий спискок. Используется так же для листа "Прибыль"</t>
  </si>
  <si>
    <t>*можно изменить в листе "Доходы"</t>
  </si>
  <si>
    <t>Инвестиции в пакет (долл.)</t>
  </si>
  <si>
    <t>Сравнение пакетов</t>
  </si>
  <si>
    <t>Пакет</t>
  </si>
  <si>
    <t>Оккупаемость</t>
  </si>
  <si>
    <t>*на 12.06.19</t>
  </si>
  <si>
    <t>Вариант развития событий*</t>
  </si>
  <si>
    <t>Доходы "БИЗНЕС"</t>
  </si>
  <si>
    <t>Доходы "ПЛАТИНУМ"</t>
  </si>
  <si>
    <t>Гироскопический датчик (45505)</t>
  </si>
  <si>
    <t>Датчик ультразвука (45504)</t>
  </si>
  <si>
    <t>Статьи расходов франчайзера, которые включены в роялти</t>
  </si>
  <si>
    <t>Ведение бух. Учета</t>
  </si>
  <si>
    <t>Услуги СММ-щика</t>
  </si>
  <si>
    <t>Продвижение единого сайта</t>
  </si>
  <si>
    <t>Контроль качества, в том числе методом "тайный покупатель", не более 1 раза в квартал</t>
  </si>
  <si>
    <t>Оплата сверх установленного лимита, грн./ед.</t>
  </si>
  <si>
    <t>3500-5500</t>
  </si>
  <si>
    <t>Включены в 8%</t>
  </si>
  <si>
    <t>-</t>
  </si>
  <si>
    <t>Продвижение торговой марки в социальных сетях (Ваш рекламный бюджет - отдельная статья расходов)</t>
  </si>
  <si>
    <t>Настройка и проверка технического оборудования (1 раз в мес)</t>
  </si>
  <si>
    <t>СТАРТ</t>
  </si>
  <si>
    <t>Инвестиции</t>
  </si>
  <si>
    <t>Вспомогательный</t>
  </si>
  <si>
    <t>Инвестиции по статьям ( чтобы посмотреть нажмите "+" слева):</t>
  </si>
  <si>
    <t>Выберите пакет (из выпадающего списка):</t>
  </si>
  <si>
    <t>Выберите вариант развития событий (из выпадающего списка):</t>
  </si>
  <si>
    <t>Доход:</t>
  </si>
  <si>
    <t>Чтобы посмотреть детально, нажмите "+" слева</t>
  </si>
  <si>
    <t>Прибыль:</t>
  </si>
  <si>
    <t>Вспопогательній</t>
  </si>
  <si>
    <t>Статьи постоянных расходов</t>
  </si>
  <si>
    <t>Ежемесячный размер расходов (грн.)</t>
  </si>
  <si>
    <t>Рыночная ежемесячная стоимость (грн.)</t>
  </si>
  <si>
    <t>Создание программ и методических материалов</t>
  </si>
  <si>
    <t>Услуги рекламного специалиста (таргетолога)</t>
  </si>
  <si>
    <t>Обучение персонала, не более 6 чел в учебный год</t>
  </si>
  <si>
    <t>1000 грн./чел.</t>
  </si>
  <si>
    <t>Итого экономии (грн.)</t>
  </si>
  <si>
    <t>Статьи единоразовых/переменных расходов</t>
  </si>
  <si>
    <t>Периодовый размер расходов</t>
  </si>
  <si>
    <t>Рыночная стоимость</t>
  </si>
  <si>
    <t>Комментарий</t>
  </si>
  <si>
    <t>Создание и эксплуатация единого сайта (*единоразовый расход)</t>
  </si>
  <si>
    <t>Входят в паушальный взнос</t>
  </si>
  <si>
    <t>от 26000 грн.</t>
  </si>
  <si>
    <t>*для регионов вне Киева (один день проживания франчайзера при обучении франчайзи)</t>
  </si>
  <si>
    <t>Необходимые инвестиции (долл.)</t>
  </si>
  <si>
    <t>Прибыль за уч. год (долл)</t>
  </si>
  <si>
    <t>Выберите вариант из выпадающего списка</t>
  </si>
  <si>
    <t>Переходник под гарнитуру на ноутбук</t>
  </si>
  <si>
    <t>Роялти ежемесячный</t>
  </si>
  <si>
    <t>Маркетинговый взнос ежемесячный (грн.)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</si>
</sst>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₴_-;\-* #,##0.00_₴_-;_-* &quot;-&quot;??_₴_-;_-@_-"/>
    <numFmt numFmtId="165" formatCode="0.0"/>
    <numFmt numFmtId="166" formatCode="_-* #,##0_₴_-;\-* #,##0_₴_-;_-* &quot;-&quot;??_₴_-;_-@_-"/>
    <numFmt numFmtId="167" formatCode="#,##0\ [$₴-422];\-#,##0\ [$₴-422]"/>
    <numFmt numFmtId="168" formatCode="[$$-C09]#,##0"/>
  </numFmts>
  <fonts count="24" x14ac:knownFonts="1"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0" tint="-0.34998626667073579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i/>
      <sz val="12"/>
      <color theme="0" tint="-0.249977111117893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22"/>
      <color rgb="FFFF000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6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6" fillId="0" borderId="0" xfId="0" applyFont="1"/>
    <xf numFmtId="1" fontId="0" fillId="0" borderId="0" xfId="0" applyNumberFormat="1"/>
    <xf numFmtId="0" fontId="0" fillId="5" borderId="6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2" xfId="0" applyFill="1" applyBorder="1"/>
    <xf numFmtId="0" fontId="0" fillId="5" borderId="7" xfId="0" applyFill="1" applyBorder="1" applyAlignment="1">
      <alignment horizontal="right"/>
    </xf>
    <xf numFmtId="0" fontId="0" fillId="5" borderId="5" xfId="0" applyFill="1" applyBorder="1"/>
    <xf numFmtId="0" fontId="0" fillId="0" borderId="0" xfId="0" applyBorder="1"/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" xfId="0" applyBorder="1"/>
    <xf numFmtId="0" fontId="2" fillId="0" borderId="8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7" borderId="10" xfId="0" applyFill="1" applyBorder="1"/>
    <xf numFmtId="0" fontId="0" fillId="7" borderId="0" xfId="0" applyFill="1" applyBorder="1"/>
    <xf numFmtId="0" fontId="0" fillId="7" borderId="11" xfId="0" applyFill="1" applyBorder="1"/>
    <xf numFmtId="9" fontId="0" fillId="7" borderId="10" xfId="0" applyNumberFormat="1" applyFill="1" applyBorder="1"/>
    <xf numFmtId="1" fontId="0" fillId="7" borderId="0" xfId="0" applyNumberFormat="1" applyFill="1" applyBorder="1"/>
    <xf numFmtId="9" fontId="0" fillId="7" borderId="0" xfId="0" applyNumberFormat="1" applyFill="1" applyBorder="1"/>
    <xf numFmtId="0" fontId="0" fillId="2" borderId="10" xfId="0" applyFill="1" applyBorder="1"/>
    <xf numFmtId="0" fontId="0" fillId="2" borderId="0" xfId="0" applyFill="1" applyBorder="1"/>
    <xf numFmtId="0" fontId="0" fillId="2" borderId="11" xfId="0" applyFill="1" applyBorder="1"/>
    <xf numFmtId="0" fontId="7" fillId="7" borderId="0" xfId="0" applyFont="1" applyFill="1" applyBorder="1"/>
    <xf numFmtId="9" fontId="7" fillId="7" borderId="10" xfId="0" applyNumberFormat="1" applyFont="1" applyFill="1" applyBorder="1"/>
    <xf numFmtId="1" fontId="7" fillId="7" borderId="0" xfId="0" applyNumberFormat="1" applyFont="1" applyFill="1" applyBorder="1"/>
    <xf numFmtId="0" fontId="7" fillId="2" borderId="10" xfId="0" applyFont="1" applyFill="1" applyBorder="1"/>
    <xf numFmtId="0" fontId="7" fillId="2" borderId="0" xfId="0" applyFont="1" applyFill="1" applyBorder="1"/>
    <xf numFmtId="0" fontId="7" fillId="2" borderId="11" xfId="0" applyFont="1" applyFill="1" applyBorder="1"/>
    <xf numFmtId="0" fontId="7" fillId="0" borderId="0" xfId="0" applyFont="1" applyFill="1"/>
    <xf numFmtId="0" fontId="0" fillId="7" borderId="4" xfId="0" applyFill="1" applyBorder="1"/>
    <xf numFmtId="0" fontId="0" fillId="7" borderId="7" xfId="0" applyFill="1" applyBorder="1"/>
    <xf numFmtId="0" fontId="0" fillId="7" borderId="5" xfId="0" applyFill="1" applyBorder="1"/>
    <xf numFmtId="9" fontId="0" fillId="7" borderId="4" xfId="0" applyNumberFormat="1" applyFill="1" applyBorder="1"/>
    <xf numFmtId="1" fontId="0" fillId="7" borderId="7" xfId="0" applyNumberFormat="1" applyFill="1" applyBorder="1"/>
    <xf numFmtId="9" fontId="0" fillId="7" borderId="7" xfId="0" applyNumberFormat="1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5" xfId="0" applyFill="1" applyBorder="1"/>
    <xf numFmtId="165" fontId="0" fillId="7" borderId="0" xfId="0" applyNumberFormat="1" applyFill="1" applyBorder="1"/>
    <xf numFmtId="9" fontId="0" fillId="7" borderId="2" xfId="0" applyNumberFormat="1" applyFill="1" applyBorder="1"/>
    <xf numFmtId="1" fontId="0" fillId="7" borderId="6" xfId="0" applyNumberFormat="1" applyFill="1" applyBorder="1"/>
    <xf numFmtId="165" fontId="0" fillId="7" borderId="6" xfId="0" applyNumberFormat="1" applyFill="1" applyBorder="1"/>
    <xf numFmtId="9" fontId="0" fillId="7" borderId="6" xfId="0" applyNumberFormat="1" applyFill="1" applyBorder="1"/>
    <xf numFmtId="165" fontId="0" fillId="7" borderId="7" xfId="0" applyNumberFormat="1" applyFill="1" applyBorder="1"/>
    <xf numFmtId="1" fontId="0" fillId="0" borderId="15" xfId="0" applyNumberFormat="1" applyBorder="1"/>
    <xf numFmtId="0" fontId="9" fillId="0" borderId="7" xfId="0" applyFont="1" applyBorder="1" applyAlignment="1">
      <alignment horizontal="center"/>
    </xf>
    <xf numFmtId="9" fontId="0" fillId="7" borderId="10" xfId="1" applyFont="1" applyFill="1" applyBorder="1"/>
    <xf numFmtId="9" fontId="0" fillId="7" borderId="0" xfId="1" applyFont="1" applyFill="1" applyBorder="1"/>
    <xf numFmtId="9" fontId="0" fillId="7" borderId="4" xfId="1" applyFont="1" applyFill="1" applyBorder="1"/>
    <xf numFmtId="9" fontId="0" fillId="7" borderId="7" xfId="1" applyFont="1" applyFill="1" applyBorder="1"/>
    <xf numFmtId="0" fontId="0" fillId="12" borderId="14" xfId="0" applyFill="1" applyBorder="1"/>
    <xf numFmtId="0" fontId="0" fillId="12" borderId="15" xfId="0" applyFill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/>
    <xf numFmtId="0" fontId="1" fillId="0" borderId="0" xfId="0" applyFont="1" applyBorder="1"/>
    <xf numFmtId="0" fontId="0" fillId="14" borderId="4" xfId="0" applyFill="1" applyBorder="1" applyAlignment="1">
      <alignment horizontal="right"/>
    </xf>
    <xf numFmtId="0" fontId="0" fillId="0" borderId="0" xfId="0" applyAlignment="1">
      <alignment wrapText="1"/>
    </xf>
    <xf numFmtId="9" fontId="0" fillId="0" borderId="0" xfId="0" applyNumberFormat="1"/>
    <xf numFmtId="9" fontId="0" fillId="7" borderId="3" xfId="0" applyNumberFormat="1" applyFill="1" applyBorder="1"/>
    <xf numFmtId="9" fontId="0" fillId="7" borderId="11" xfId="0" applyNumberFormat="1" applyFill="1" applyBorder="1"/>
    <xf numFmtId="9" fontId="7" fillId="7" borderId="11" xfId="0" applyNumberFormat="1" applyFont="1" applyFill="1" applyBorder="1"/>
    <xf numFmtId="9" fontId="0" fillId="7" borderId="5" xfId="0" applyNumberFormat="1" applyFill="1" applyBorder="1"/>
    <xf numFmtId="9" fontId="8" fillId="7" borderId="10" xfId="0" applyNumberFormat="1" applyFont="1" applyFill="1" applyBorder="1"/>
    <xf numFmtId="165" fontId="8" fillId="7" borderId="0" xfId="0" applyNumberFormat="1" applyFont="1" applyFill="1" applyBorder="1"/>
    <xf numFmtId="9" fontId="8" fillId="7" borderId="0" xfId="0" applyNumberFormat="1" applyFont="1" applyFill="1" applyBorder="1"/>
    <xf numFmtId="0" fontId="8" fillId="2" borderId="0" xfId="0" applyFont="1" applyFill="1" applyBorder="1"/>
    <xf numFmtId="0" fontId="0" fillId="2" borderId="2" xfId="0" applyFill="1" applyBorder="1"/>
    <xf numFmtId="0" fontId="0" fillId="2" borderId="6" xfId="0" applyFill="1" applyBorder="1"/>
    <xf numFmtId="0" fontId="0" fillId="2" borderId="3" xfId="0" applyFill="1" applyBorder="1"/>
    <xf numFmtId="1" fontId="8" fillId="7" borderId="0" xfId="0" applyNumberFormat="1" applyFont="1" applyFill="1" applyBorder="1"/>
    <xf numFmtId="0" fontId="8" fillId="7" borderId="0" xfId="0" applyFont="1" applyFill="1" applyBorder="1"/>
    <xf numFmtId="0" fontId="8" fillId="7" borderId="11" xfId="0" applyFont="1" applyFill="1" applyBorder="1"/>
    <xf numFmtId="1" fontId="0" fillId="0" borderId="5" xfId="0" applyNumberFormat="1" applyBorder="1"/>
    <xf numFmtId="0" fontId="1" fillId="15" borderId="1" xfId="0" applyFont="1" applyFill="1" applyBorder="1" applyAlignment="1">
      <alignment horizontal="center" vertical="center" wrapText="1"/>
    </xf>
    <xf numFmtId="0" fontId="0" fillId="11" borderId="14" xfId="0" applyFill="1" applyBorder="1"/>
    <xf numFmtId="0" fontId="0" fillId="11" borderId="15" xfId="0" applyFill="1" applyBorder="1"/>
    <xf numFmtId="9" fontId="0" fillId="11" borderId="15" xfId="0" applyNumberFormat="1" applyFill="1" applyBorder="1"/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16" borderId="0" xfId="0" applyFont="1" applyFill="1"/>
    <xf numFmtId="0" fontId="0" fillId="16" borderId="0" xfId="0" applyFill="1" applyAlignment="1">
      <alignment horizontal="right"/>
    </xf>
    <xf numFmtId="0" fontId="0" fillId="13" borderId="12" xfId="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8" fillId="0" borderId="1" xfId="0" applyFont="1" applyBorder="1" applyAlignment="1">
      <alignment horizontal="center" vertical="center" wrapText="1"/>
    </xf>
    <xf numFmtId="9" fontId="7" fillId="7" borderId="0" xfId="0" applyNumberFormat="1" applyFont="1" applyFill="1" applyBorder="1"/>
    <xf numFmtId="0" fontId="8" fillId="7" borderId="10" xfId="0" applyFont="1" applyFill="1" applyBorder="1"/>
    <xf numFmtId="9" fontId="8" fillId="7" borderId="10" xfId="1" applyFont="1" applyFill="1" applyBorder="1"/>
    <xf numFmtId="9" fontId="8" fillId="7" borderId="0" xfId="1" applyFont="1" applyFill="1" applyBorder="1"/>
    <xf numFmtId="0" fontId="8" fillId="2" borderId="10" xfId="0" applyFont="1" applyFill="1" applyBorder="1"/>
    <xf numFmtId="0" fontId="8" fillId="2" borderId="11" xfId="0" applyFont="1" applyFill="1" applyBorder="1"/>
    <xf numFmtId="0" fontId="0" fillId="4" borderId="0" xfId="0" applyFill="1" applyBorder="1"/>
    <xf numFmtId="0" fontId="0" fillId="4" borderId="7" xfId="0" applyFill="1" applyBorder="1"/>
    <xf numFmtId="0" fontId="0" fillId="0" borderId="0" xfId="0" applyAlignment="1">
      <alignment vertical="top" wrapText="1"/>
    </xf>
    <xf numFmtId="0" fontId="8" fillId="10" borderId="1" xfId="0" applyFont="1" applyFill="1" applyBorder="1"/>
    <xf numFmtId="0" fontId="8" fillId="10" borderId="12" xfId="0" applyFont="1" applyFill="1" applyBorder="1" applyAlignment="1">
      <alignment vertical="top" wrapText="1"/>
    </xf>
    <xf numFmtId="0" fontId="8" fillId="10" borderId="9" xfId="0" applyFont="1" applyFill="1" applyBorder="1" applyAlignment="1">
      <alignment vertical="top" wrapText="1"/>
    </xf>
    <xf numFmtId="0" fontId="8" fillId="7" borderId="1" xfId="0" applyFont="1" applyFill="1" applyBorder="1"/>
    <xf numFmtId="0" fontId="8" fillId="7" borderId="12" xfId="0" applyFont="1" applyFill="1" applyBorder="1" applyAlignment="1">
      <alignment vertical="top" wrapText="1"/>
    </xf>
    <xf numFmtId="0" fontId="8" fillId="7" borderId="9" xfId="0" applyFont="1" applyFill="1" applyBorder="1" applyAlignment="1">
      <alignment vertical="top" wrapText="1"/>
    </xf>
    <xf numFmtId="0" fontId="8" fillId="17" borderId="1" xfId="0" applyFont="1" applyFill="1" applyBorder="1"/>
    <xf numFmtId="0" fontId="8" fillId="17" borderId="12" xfId="0" applyFont="1" applyFill="1" applyBorder="1" applyAlignment="1">
      <alignment vertical="top" wrapText="1"/>
    </xf>
    <xf numFmtId="0" fontId="8" fillId="17" borderId="9" xfId="0" applyFont="1" applyFill="1" applyBorder="1" applyAlignment="1">
      <alignment vertical="top" wrapText="1"/>
    </xf>
    <xf numFmtId="166" fontId="0" fillId="0" borderId="0" xfId="2" applyNumberFormat="1" applyFont="1"/>
    <xf numFmtId="166" fontId="0" fillId="0" borderId="0" xfId="2" applyNumberFormat="1" applyFont="1" applyFill="1"/>
    <xf numFmtId="166" fontId="0" fillId="4" borderId="8" xfId="2" applyNumberFormat="1" applyFont="1" applyFill="1" applyBorder="1" applyAlignment="1">
      <alignment horizontal="right"/>
    </xf>
    <xf numFmtId="166" fontId="0" fillId="4" borderId="9" xfId="2" applyNumberFormat="1" applyFont="1" applyFill="1" applyBorder="1"/>
    <xf numFmtId="166" fontId="0" fillId="0" borderId="0" xfId="2" applyNumberFormat="1" applyFont="1" applyAlignment="1">
      <alignment horizontal="left" vertical="center" indent="1"/>
    </xf>
    <xf numFmtId="166" fontId="0" fillId="4" borderId="4" xfId="2" applyNumberFormat="1" applyFont="1" applyFill="1" applyBorder="1" applyAlignment="1">
      <alignment horizontal="right"/>
    </xf>
    <xf numFmtId="166" fontId="0" fillId="4" borderId="5" xfId="2" applyNumberFormat="1" applyFont="1" applyFill="1" applyBorder="1"/>
    <xf numFmtId="166" fontId="0" fillId="0" borderId="0" xfId="2" applyNumberFormat="1" applyFont="1" applyFill="1" applyAlignment="1">
      <alignment horizontal="left" vertical="center" indent="1"/>
    </xf>
    <xf numFmtId="166" fontId="0" fillId="0" borderId="0" xfId="2" applyNumberFormat="1" applyFont="1" applyFill="1" applyAlignment="1">
      <alignment horizontal="right"/>
    </xf>
    <xf numFmtId="166" fontId="6" fillId="0" borderId="0" xfId="2" applyNumberFormat="1" applyFont="1"/>
    <xf numFmtId="166" fontId="0" fillId="3" borderId="3" xfId="2" applyNumberFormat="1" applyFont="1" applyFill="1" applyBorder="1"/>
    <xf numFmtId="166" fontId="0" fillId="3" borderId="5" xfId="2" applyNumberFormat="1" applyFont="1" applyFill="1" applyBorder="1"/>
    <xf numFmtId="166" fontId="0" fillId="9" borderId="11" xfId="2" applyNumberFormat="1" applyFont="1" applyFill="1" applyBorder="1"/>
    <xf numFmtId="166" fontId="0" fillId="9" borderId="5" xfId="2" applyNumberFormat="1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2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166" fontId="2" fillId="4" borderId="1" xfId="2" applyNumberFormat="1" applyFont="1" applyFill="1" applyBorder="1" applyAlignment="1">
      <alignment vertical="center"/>
    </xf>
    <xf numFmtId="166" fontId="0" fillId="11" borderId="14" xfId="2" applyNumberFormat="1" applyFont="1" applyFill="1" applyBorder="1"/>
    <xf numFmtId="166" fontId="0" fillId="11" borderId="15" xfId="2" applyNumberFormat="1" applyFont="1" applyFill="1" applyBorder="1"/>
    <xf numFmtId="166" fontId="0" fillId="14" borderId="5" xfId="2" applyNumberFormat="1" applyFont="1" applyFill="1" applyBorder="1"/>
    <xf numFmtId="166" fontId="0" fillId="11" borderId="11" xfId="2" applyNumberFormat="1" applyFont="1" applyFill="1" applyBorder="1"/>
    <xf numFmtId="166" fontId="0" fillId="11" borderId="5" xfId="2" applyNumberFormat="1" applyFont="1" applyFill="1" applyBorder="1"/>
    <xf numFmtId="0" fontId="1" fillId="4" borderId="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166" fontId="2" fillId="4" borderId="8" xfId="2" applyNumberFormat="1" applyFont="1" applyFill="1" applyBorder="1" applyAlignment="1">
      <alignment vertical="center"/>
    </xf>
    <xf numFmtId="166" fontId="0" fillId="9" borderId="3" xfId="2" applyNumberFormat="1" applyFont="1" applyFill="1" applyBorder="1"/>
    <xf numFmtId="166" fontId="2" fillId="4" borderId="1" xfId="2" applyNumberFormat="1" applyFont="1" applyFill="1" applyBorder="1" applyAlignment="1">
      <alignment vertical="center" wrapText="1"/>
    </xf>
    <xf numFmtId="0" fontId="8" fillId="15" borderId="1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 wrapText="1"/>
    </xf>
    <xf numFmtId="0" fontId="0" fillId="15" borderId="0" xfId="0" applyFill="1"/>
    <xf numFmtId="0" fontId="8" fillId="15" borderId="0" xfId="0" applyFont="1" applyFill="1"/>
    <xf numFmtId="0" fontId="14" fillId="5" borderId="14" xfId="0" applyFont="1" applyFill="1" applyBorder="1"/>
    <xf numFmtId="0" fontId="0" fillId="5" borderId="0" xfId="0" applyFill="1" applyBorder="1"/>
    <xf numFmtId="9" fontId="0" fillId="5" borderId="0" xfId="0" applyNumberFormat="1" applyFill="1" applyBorder="1"/>
    <xf numFmtId="0" fontId="0" fillId="5" borderId="11" xfId="0" applyFill="1" applyBorder="1"/>
    <xf numFmtId="0" fontId="14" fillId="5" borderId="15" xfId="0" applyFont="1" applyFill="1" applyBorder="1"/>
    <xf numFmtId="0" fontId="0" fillId="5" borderId="7" xfId="0" applyFill="1" applyBorder="1"/>
    <xf numFmtId="9" fontId="0" fillId="5" borderId="7" xfId="0" applyNumberFormat="1" applyFill="1" applyBorder="1"/>
    <xf numFmtId="0" fontId="0" fillId="5" borderId="13" xfId="0" applyFill="1" applyBorder="1"/>
    <xf numFmtId="0" fontId="0" fillId="5" borderId="14" xfId="0" applyFill="1" applyBorder="1"/>
    <xf numFmtId="17" fontId="0" fillId="5" borderId="14" xfId="0" applyNumberFormat="1" applyFill="1" applyBorder="1"/>
    <xf numFmtId="49" fontId="0" fillId="5" borderId="14" xfId="0" applyNumberFormat="1" applyFill="1" applyBorder="1" applyAlignment="1">
      <alignment horizontal="right"/>
    </xf>
    <xf numFmtId="0" fontId="0" fillId="5" borderId="15" xfId="0" applyFill="1" applyBorder="1"/>
    <xf numFmtId="0" fontId="0" fillId="5" borderId="10" xfId="0" applyFill="1" applyBorder="1"/>
    <xf numFmtId="166" fontId="0" fillId="5" borderId="0" xfId="2" applyNumberFormat="1" applyFont="1" applyFill="1" applyBorder="1"/>
    <xf numFmtId="1" fontId="0" fillId="5" borderId="11" xfId="0" applyNumberFormat="1" applyFill="1" applyBorder="1"/>
    <xf numFmtId="166" fontId="0" fillId="5" borderId="7" xfId="2" applyNumberFormat="1" applyFont="1" applyFill="1" applyBorder="1"/>
    <xf numFmtId="1" fontId="0" fillId="5" borderId="5" xfId="0" applyNumberFormat="1" applyFill="1" applyBorder="1"/>
    <xf numFmtId="0" fontId="0" fillId="5" borderId="20" xfId="0" applyFill="1" applyBorder="1"/>
    <xf numFmtId="0" fontId="0" fillId="5" borderId="16" xfId="0" applyFill="1" applyBorder="1"/>
    <xf numFmtId="166" fontId="0" fillId="5" borderId="16" xfId="2" applyNumberFormat="1" applyFont="1" applyFill="1" applyBorder="1"/>
    <xf numFmtId="0" fontId="0" fillId="5" borderId="21" xfId="0" applyFill="1" applyBorder="1"/>
    <xf numFmtId="0" fontId="0" fillId="5" borderId="22" xfId="0" applyFill="1" applyBorder="1"/>
    <xf numFmtId="0" fontId="0" fillId="5" borderId="23" xfId="0" applyFill="1" applyBorder="1"/>
    <xf numFmtId="166" fontId="0" fillId="5" borderId="23" xfId="2" applyNumberFormat="1" applyFont="1" applyFill="1" applyBorder="1"/>
    <xf numFmtId="0" fontId="0" fillId="5" borderId="24" xfId="0" applyFill="1" applyBorder="1"/>
    <xf numFmtId="166" fontId="0" fillId="5" borderId="13" xfId="2" applyNumberFormat="1" applyFont="1" applyFill="1" applyBorder="1"/>
    <xf numFmtId="166" fontId="0" fillId="5" borderId="14" xfId="2" applyNumberFormat="1" applyFont="1" applyFill="1" applyBorder="1"/>
    <xf numFmtId="166" fontId="0" fillId="5" borderId="15" xfId="2" applyNumberFormat="1" applyFont="1" applyFill="1" applyBorder="1" applyAlignment="1">
      <alignment horizontal="left" vertical="center"/>
    </xf>
    <xf numFmtId="166" fontId="0" fillId="5" borderId="15" xfId="2" applyNumberFormat="1" applyFont="1" applyFill="1" applyBorder="1"/>
    <xf numFmtId="166" fontId="0" fillId="5" borderId="13" xfId="2" applyNumberFormat="1" applyFont="1" applyFill="1" applyBorder="1" applyAlignment="1">
      <alignment horizontal="left" vertical="center"/>
    </xf>
    <xf numFmtId="166" fontId="0" fillId="5" borderId="14" xfId="2" applyNumberFormat="1" applyFont="1" applyFill="1" applyBorder="1" applyAlignment="1">
      <alignment horizontal="left" vertical="center"/>
    </xf>
    <xf numFmtId="0" fontId="0" fillId="5" borderId="14" xfId="0" applyFill="1" applyBorder="1" applyAlignment="1">
      <alignment horizontal="left"/>
    </xf>
    <xf numFmtId="166" fontId="0" fillId="5" borderId="2" xfId="2" applyNumberFormat="1" applyFont="1" applyFill="1" applyBorder="1"/>
    <xf numFmtId="166" fontId="0" fillId="5" borderId="10" xfId="2" applyNumberFormat="1" applyFont="1" applyFill="1" applyBorder="1"/>
    <xf numFmtId="0" fontId="0" fillId="5" borderId="15" xfId="0" applyFill="1" applyBorder="1" applyAlignment="1">
      <alignment horizontal="left"/>
    </xf>
    <xf numFmtId="166" fontId="0" fillId="5" borderId="4" xfId="2" applyNumberFormat="1" applyFont="1" applyFill="1" applyBorder="1"/>
    <xf numFmtId="0" fontId="0" fillId="5" borderId="14" xfId="0" applyFill="1" applyBorder="1" applyAlignment="1">
      <alignment horizontal="left" vertical="center"/>
    </xf>
    <xf numFmtId="0" fontId="0" fillId="5" borderId="13" xfId="0" applyFill="1" applyBorder="1" applyAlignment="1">
      <alignment horizontal="left"/>
    </xf>
    <xf numFmtId="166" fontId="0" fillId="5" borderId="11" xfId="2" applyNumberFormat="1" applyFont="1" applyFill="1" applyBorder="1"/>
    <xf numFmtId="166" fontId="0" fillId="5" borderId="3" xfId="2" applyNumberFormat="1" applyFont="1" applyFill="1" applyBorder="1"/>
    <xf numFmtId="166" fontId="0" fillId="5" borderId="5" xfId="2" applyNumberFormat="1" applyFont="1" applyFill="1" applyBorder="1"/>
    <xf numFmtId="0" fontId="0" fillId="5" borderId="10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17" fillId="13" borderId="7" xfId="0" applyFont="1" applyFill="1" applyBorder="1" applyAlignment="1">
      <alignment horizontal="left" vertical="center"/>
    </xf>
    <xf numFmtId="0" fontId="15" fillId="13" borderId="0" xfId="0" applyFont="1" applyFill="1"/>
    <xf numFmtId="0" fontId="8" fillId="5" borderId="13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66" fontId="0" fillId="11" borderId="2" xfId="2" applyNumberFormat="1" applyFont="1" applyFill="1" applyBorder="1"/>
    <xf numFmtId="166" fontId="0" fillId="11" borderId="6" xfId="2" applyNumberFormat="1" applyFont="1" applyFill="1" applyBorder="1"/>
    <xf numFmtId="166" fontId="0" fillId="11" borderId="3" xfId="2" applyNumberFormat="1" applyFont="1" applyFill="1" applyBorder="1"/>
    <xf numFmtId="166" fontId="0" fillId="11" borderId="10" xfId="2" applyNumberFormat="1" applyFont="1" applyFill="1" applyBorder="1"/>
    <xf numFmtId="166" fontId="0" fillId="11" borderId="0" xfId="2" applyNumberFormat="1" applyFont="1" applyFill="1" applyBorder="1"/>
    <xf numFmtId="166" fontId="7" fillId="11" borderId="10" xfId="2" applyNumberFormat="1" applyFont="1" applyFill="1" applyBorder="1"/>
    <xf numFmtId="166" fontId="7" fillId="11" borderId="0" xfId="2" applyNumberFormat="1" applyFont="1" applyFill="1" applyBorder="1"/>
    <xf numFmtId="166" fontId="8" fillId="11" borderId="0" xfId="2" applyNumberFormat="1" applyFont="1" applyFill="1" applyBorder="1"/>
    <xf numFmtId="166" fontId="7" fillId="11" borderId="11" xfId="2" applyNumberFormat="1" applyFont="1" applyFill="1" applyBorder="1"/>
    <xf numFmtId="166" fontId="7" fillId="11" borderId="4" xfId="2" applyNumberFormat="1" applyFont="1" applyFill="1" applyBorder="1"/>
    <xf numFmtId="166" fontId="0" fillId="11" borderId="7" xfId="2" applyNumberFormat="1" applyFont="1" applyFill="1" applyBorder="1"/>
    <xf numFmtId="166" fontId="0" fillId="9" borderId="4" xfId="2" applyNumberFormat="1" applyFont="1" applyFill="1" applyBorder="1" applyAlignment="1">
      <alignment horizontal="right"/>
    </xf>
    <xf numFmtId="166" fontId="0" fillId="2" borderId="6" xfId="2" applyNumberFormat="1" applyFont="1" applyFill="1" applyBorder="1"/>
    <xf numFmtId="166" fontId="0" fillId="2" borderId="3" xfId="2" applyNumberFormat="1" applyFont="1" applyFill="1" applyBorder="1"/>
    <xf numFmtId="166" fontId="0" fillId="10" borderId="6" xfId="2" applyNumberFormat="1" applyFont="1" applyFill="1" applyBorder="1"/>
    <xf numFmtId="166" fontId="0" fillId="8" borderId="13" xfId="2" applyNumberFormat="1" applyFont="1" applyFill="1" applyBorder="1"/>
    <xf numFmtId="166" fontId="0" fillId="2" borderId="0" xfId="2" applyNumberFormat="1" applyFont="1" applyFill="1" applyBorder="1"/>
    <xf numFmtId="166" fontId="0" fillId="2" borderId="11" xfId="2" applyNumberFormat="1" applyFont="1" applyFill="1" applyBorder="1"/>
    <xf numFmtId="166" fontId="0" fillId="10" borderId="0" xfId="2" applyNumberFormat="1" applyFont="1" applyFill="1" applyBorder="1"/>
    <xf numFmtId="166" fontId="0" fillId="8" borderId="14" xfId="2" applyNumberFormat="1" applyFont="1" applyFill="1" applyBorder="1"/>
    <xf numFmtId="166" fontId="8" fillId="2" borderId="0" xfId="2" applyNumberFormat="1" applyFont="1" applyFill="1" applyBorder="1"/>
    <xf numFmtId="166" fontId="7" fillId="2" borderId="0" xfId="2" applyNumberFormat="1" applyFont="1" applyFill="1" applyBorder="1"/>
    <xf numFmtId="166" fontId="7" fillId="2" borderId="11" xfId="2" applyNumberFormat="1" applyFont="1" applyFill="1" applyBorder="1"/>
    <xf numFmtId="166" fontId="7" fillId="10" borderId="0" xfId="2" applyNumberFormat="1" applyFont="1" applyFill="1" applyBorder="1"/>
    <xf numFmtId="166" fontId="7" fillId="8" borderId="14" xfId="2" applyNumberFormat="1" applyFont="1" applyFill="1" applyBorder="1"/>
    <xf numFmtId="166" fontId="5" fillId="10" borderId="0" xfId="2" applyNumberFormat="1" applyFont="1" applyFill="1" applyBorder="1"/>
    <xf numFmtId="166" fontId="0" fillId="4" borderId="0" xfId="2" applyNumberFormat="1" applyFont="1" applyFill="1" applyBorder="1"/>
    <xf numFmtId="166" fontId="0" fillId="4" borderId="7" xfId="2" applyNumberFormat="1" applyFont="1" applyFill="1" applyBorder="1"/>
    <xf numFmtId="166" fontId="0" fillId="2" borderId="7" xfId="2" applyNumberFormat="1" applyFont="1" applyFill="1" applyBorder="1"/>
    <xf numFmtId="166" fontId="0" fillId="2" borderId="5" xfId="2" applyNumberFormat="1" applyFont="1" applyFill="1" applyBorder="1"/>
    <xf numFmtId="166" fontId="0" fillId="10" borderId="7" xfId="2" applyNumberFormat="1" applyFont="1" applyFill="1" applyBorder="1"/>
    <xf numFmtId="166" fontId="5" fillId="10" borderId="7" xfId="2" applyNumberFormat="1" applyFont="1" applyFill="1" applyBorder="1"/>
    <xf numFmtId="166" fontId="0" fillId="8" borderId="15" xfId="2" applyNumberFormat="1" applyFont="1" applyFill="1" applyBorder="1"/>
    <xf numFmtId="166" fontId="0" fillId="8" borderId="10" xfId="2" applyNumberFormat="1" applyFont="1" applyFill="1" applyBorder="1"/>
    <xf numFmtId="166" fontId="7" fillId="8" borderId="10" xfId="2" applyNumberFormat="1" applyFont="1" applyFill="1" applyBorder="1"/>
    <xf numFmtId="166" fontId="0" fillId="8" borderId="4" xfId="2" applyNumberFormat="1" applyFont="1" applyFill="1" applyBorder="1"/>
    <xf numFmtId="166" fontId="8" fillId="2" borderId="11" xfId="2" applyNumberFormat="1" applyFont="1" applyFill="1" applyBorder="1"/>
    <xf numFmtId="166" fontId="8" fillId="10" borderId="0" xfId="2" applyNumberFormat="1" applyFont="1" applyFill="1" applyBorder="1"/>
    <xf numFmtId="166" fontId="8" fillId="8" borderId="14" xfId="2" applyNumberFormat="1" applyFont="1" applyFill="1" applyBorder="1"/>
    <xf numFmtId="166" fontId="8" fillId="11" borderId="10" xfId="2" applyNumberFormat="1" applyFont="1" applyFill="1" applyBorder="1"/>
    <xf numFmtId="166" fontId="8" fillId="11" borderId="11" xfId="2" applyNumberFormat="1" applyFont="1" applyFill="1" applyBorder="1"/>
    <xf numFmtId="166" fontId="0" fillId="11" borderId="4" xfId="2" applyNumberFormat="1" applyFont="1" applyFill="1" applyBorder="1"/>
    <xf numFmtId="166" fontId="7" fillId="0" borderId="0" xfId="2" applyNumberFormat="1" applyFont="1" applyFill="1"/>
    <xf numFmtId="166" fontId="0" fillId="0" borderId="0" xfId="2" applyNumberFormat="1" applyFont="1" applyAlignment="1">
      <alignment horizontal="center" vertical="center" wrapText="1"/>
    </xf>
    <xf numFmtId="166" fontId="8" fillId="5" borderId="6" xfId="2" applyNumberFormat="1" applyFont="1" applyFill="1" applyBorder="1" applyAlignment="1">
      <alignment horizontal="center" vertical="center" wrapText="1"/>
    </xf>
    <xf numFmtId="166" fontId="8" fillId="5" borderId="3" xfId="2" applyNumberFormat="1" applyFont="1" applyFill="1" applyBorder="1" applyAlignment="1">
      <alignment horizontal="center" vertical="center" wrapText="1"/>
    </xf>
    <xf numFmtId="166" fontId="8" fillId="5" borderId="12" xfId="2" applyNumberFormat="1" applyFont="1" applyFill="1" applyBorder="1" applyAlignment="1">
      <alignment horizontal="center" vertical="center" wrapText="1"/>
    </xf>
    <xf numFmtId="166" fontId="8" fillId="6" borderId="12" xfId="2" applyNumberFormat="1" applyFont="1" applyFill="1" applyBorder="1" applyAlignment="1">
      <alignment horizontal="center" vertical="center" wrapText="1"/>
    </xf>
    <xf numFmtId="166" fontId="8" fillId="5" borderId="1" xfId="2" applyNumberFormat="1" applyFont="1" applyFill="1" applyBorder="1" applyAlignment="1">
      <alignment horizontal="center" vertical="center" wrapText="1"/>
    </xf>
    <xf numFmtId="166" fontId="8" fillId="5" borderId="9" xfId="2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6" fontId="8" fillId="0" borderId="12" xfId="2" applyNumberFormat="1" applyFont="1" applyBorder="1" applyAlignment="1">
      <alignment horizontal="center" vertical="center" wrapText="1"/>
    </xf>
    <xf numFmtId="166" fontId="8" fillId="0" borderId="6" xfId="2" applyNumberFormat="1" applyFont="1" applyBorder="1" applyAlignment="1">
      <alignment horizontal="center" vertical="center" wrapText="1"/>
    </xf>
    <xf numFmtId="166" fontId="8" fillId="0" borderId="3" xfId="2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6" fontId="16" fillId="0" borderId="0" xfId="2" applyNumberFormat="1" applyFont="1" applyFill="1"/>
    <xf numFmtId="166" fontId="20" fillId="0" borderId="0" xfId="2" applyNumberFormat="1" applyFont="1"/>
    <xf numFmtId="0" fontId="16" fillId="0" borderId="0" xfId="0" applyFont="1" applyFill="1"/>
    <xf numFmtId="0" fontId="19" fillId="0" borderId="0" xfId="0" applyFont="1"/>
    <xf numFmtId="0" fontId="1" fillId="4" borderId="8" xfId="0" applyFont="1" applyFill="1" applyBorder="1" applyAlignment="1">
      <alignment wrapText="1"/>
    </xf>
    <xf numFmtId="0" fontId="16" fillId="0" borderId="0" xfId="0" applyFont="1" applyBorder="1"/>
    <xf numFmtId="166" fontId="0" fillId="0" borderId="0" xfId="0" applyNumberFormat="1"/>
    <xf numFmtId="0" fontId="18" fillId="5" borderId="2" xfId="0" applyFont="1" applyFill="1" applyBorder="1"/>
    <xf numFmtId="0" fontId="18" fillId="5" borderId="6" xfId="0" applyFont="1" applyFill="1" applyBorder="1"/>
    <xf numFmtId="0" fontId="18" fillId="5" borderId="3" xfId="0" applyFont="1" applyFill="1" applyBorder="1"/>
    <xf numFmtId="0" fontId="18" fillId="5" borderId="4" xfId="0" applyFont="1" applyFill="1" applyBorder="1"/>
    <xf numFmtId="0" fontId="18" fillId="5" borderId="7" xfId="0" applyFont="1" applyFill="1" applyBorder="1" applyAlignment="1">
      <alignment horizontal="right"/>
    </xf>
    <xf numFmtId="0" fontId="18" fillId="5" borderId="5" xfId="0" applyFont="1" applyFill="1" applyBorder="1"/>
    <xf numFmtId="0" fontId="8" fillId="10" borderId="17" xfId="0" applyFont="1" applyFill="1" applyBorder="1" applyAlignment="1">
      <alignment horizontal="center" vertical="center" wrapText="1"/>
    </xf>
    <xf numFmtId="0" fontId="8" fillId="10" borderId="18" xfId="0" applyFont="1" applyFill="1" applyBorder="1" applyAlignment="1">
      <alignment horizontal="center" vertical="center" wrapText="1"/>
    </xf>
    <xf numFmtId="166" fontId="8" fillId="10" borderId="18" xfId="2" applyNumberFormat="1" applyFont="1" applyFill="1" applyBorder="1" applyAlignment="1">
      <alignment horizontal="center" vertical="center" wrapText="1"/>
    </xf>
    <xf numFmtId="0" fontId="8" fillId="10" borderId="19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9" borderId="8" xfId="0" applyFill="1" applyBorder="1" applyAlignment="1">
      <alignment horizontal="center" vertical="center"/>
    </xf>
    <xf numFmtId="166" fontId="0" fillId="9" borderId="9" xfId="2" applyNumberFormat="1" applyFont="1" applyFill="1" applyBorder="1" applyAlignment="1">
      <alignment horizontal="center" vertical="center"/>
    </xf>
    <xf numFmtId="0" fontId="0" fillId="5" borderId="22" xfId="0" applyFill="1" applyBorder="1" applyAlignment="1">
      <alignment wrapText="1"/>
    </xf>
    <xf numFmtId="0" fontId="0" fillId="5" borderId="23" xfId="0" applyFill="1" applyBorder="1" applyAlignment="1">
      <alignment wrapText="1"/>
    </xf>
    <xf numFmtId="166" fontId="0" fillId="5" borderId="23" xfId="2" applyNumberFormat="1" applyFont="1" applyFill="1" applyBorder="1" applyAlignment="1">
      <alignment wrapText="1"/>
    </xf>
    <xf numFmtId="0" fontId="0" fillId="5" borderId="24" xfId="0" applyFill="1" applyBorder="1" applyAlignment="1">
      <alignment wrapText="1"/>
    </xf>
    <xf numFmtId="166" fontId="14" fillId="5" borderId="15" xfId="2" applyNumberFormat="1" applyFont="1" applyFill="1" applyBorder="1" applyAlignment="1">
      <alignment horizontal="left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/>
    </xf>
    <xf numFmtId="166" fontId="0" fillId="5" borderId="6" xfId="2" applyNumberFormat="1" applyFont="1" applyFill="1" applyBorder="1"/>
    <xf numFmtId="167" fontId="20" fillId="7" borderId="3" xfId="2" applyNumberFormat="1" applyFont="1" applyFill="1" applyBorder="1"/>
    <xf numFmtId="168" fontId="20" fillId="7" borderId="5" xfId="2" applyNumberFormat="1" applyFont="1" applyFill="1" applyBorder="1"/>
    <xf numFmtId="167" fontId="21" fillId="7" borderId="3" xfId="2" applyNumberFormat="1" applyFont="1" applyFill="1" applyBorder="1"/>
    <xf numFmtId="168" fontId="21" fillId="7" borderId="5" xfId="2" applyNumberFormat="1" applyFont="1" applyFill="1" applyBorder="1"/>
    <xf numFmtId="0" fontId="16" fillId="18" borderId="1" xfId="0" applyFont="1" applyFill="1" applyBorder="1"/>
    <xf numFmtId="166" fontId="21" fillId="18" borderId="2" xfId="2" applyNumberFormat="1" applyFont="1" applyFill="1" applyBorder="1"/>
    <xf numFmtId="167" fontId="21" fillId="18" borderId="3" xfId="2" applyNumberFormat="1" applyFont="1" applyFill="1" applyBorder="1"/>
    <xf numFmtId="166" fontId="20" fillId="18" borderId="10" xfId="2" applyNumberFormat="1" applyFont="1" applyFill="1" applyBorder="1"/>
    <xf numFmtId="167" fontId="20" fillId="18" borderId="11" xfId="2" applyNumberFormat="1" applyFont="1" applyFill="1" applyBorder="1"/>
    <xf numFmtId="167" fontId="20" fillId="18" borderId="5" xfId="2" applyNumberFormat="1" applyFont="1" applyFill="1" applyBorder="1"/>
    <xf numFmtId="0" fontId="16" fillId="9" borderId="1" xfId="0" applyFont="1" applyFill="1" applyBorder="1"/>
    <xf numFmtId="0" fontId="16" fillId="9" borderId="13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 wrapText="1"/>
    </xf>
    <xf numFmtId="166" fontId="22" fillId="9" borderId="15" xfId="2" applyNumberFormat="1" applyFont="1" applyFill="1" applyBorder="1"/>
    <xf numFmtId="166" fontId="22" fillId="9" borderId="5" xfId="2" applyNumberFormat="1" applyFont="1" applyFill="1" applyBorder="1"/>
    <xf numFmtId="166" fontId="20" fillId="18" borderId="4" xfId="2" applyNumberFormat="1" applyFont="1" applyFill="1" applyBorder="1" applyAlignment="1">
      <alignment wrapText="1"/>
    </xf>
    <xf numFmtId="0" fontId="0" fillId="5" borderId="1" xfId="0" applyFill="1" applyBorder="1"/>
    <xf numFmtId="166" fontId="0" fillId="5" borderId="1" xfId="2" applyNumberFormat="1" applyFont="1" applyFill="1" applyBorder="1"/>
    <xf numFmtId="0" fontId="23" fillId="0" borderId="0" xfId="0" applyFont="1"/>
    <xf numFmtId="0" fontId="23" fillId="0" borderId="0" xfId="0" applyFont="1" applyAlignment="1"/>
    <xf numFmtId="9" fontId="0" fillId="5" borderId="1" xfId="1" applyFont="1" applyFill="1" applyBorder="1"/>
    <xf numFmtId="0" fontId="3" fillId="0" borderId="7" xfId="0" applyFont="1" applyBorder="1" applyAlignment="1">
      <alignment horizontal="center"/>
    </xf>
    <xf numFmtId="166" fontId="2" fillId="15" borderId="8" xfId="2" applyNumberFormat="1" applyFont="1" applyFill="1" applyBorder="1" applyAlignment="1">
      <alignment horizontal="center"/>
    </xf>
    <xf numFmtId="166" fontId="2" fillId="15" borderId="12" xfId="2" applyNumberFormat="1" applyFont="1" applyFill="1" applyBorder="1" applyAlignment="1">
      <alignment horizontal="center"/>
    </xf>
    <xf numFmtId="166" fontId="2" fillId="15" borderId="9" xfId="2" applyNumberFormat="1" applyFont="1" applyFill="1" applyBorder="1" applyAlignment="1">
      <alignment horizontal="center"/>
    </xf>
    <xf numFmtId="0" fontId="0" fillId="9" borderId="10" xfId="0" applyFill="1" applyBorder="1" applyAlignment="1">
      <alignment horizontal="center" wrapText="1"/>
    </xf>
    <xf numFmtId="0" fontId="0" fillId="9" borderId="4" xfId="0" applyFill="1" applyBorder="1" applyAlignment="1">
      <alignment horizontal="center" wrapText="1"/>
    </xf>
    <xf numFmtId="166" fontId="2" fillId="15" borderId="8" xfId="2" applyNumberFormat="1" applyFont="1" applyFill="1" applyBorder="1" applyAlignment="1">
      <alignment horizontal="center" vertical="center"/>
    </xf>
    <xf numFmtId="166" fontId="2" fillId="15" borderId="12" xfId="2" applyNumberFormat="1" applyFont="1" applyFill="1" applyBorder="1" applyAlignment="1">
      <alignment horizontal="center" vertical="center"/>
    </xf>
    <xf numFmtId="166" fontId="2" fillId="15" borderId="9" xfId="2" applyNumberFormat="1" applyFont="1" applyFill="1" applyBorder="1" applyAlignment="1">
      <alignment horizontal="center" vertical="center"/>
    </xf>
    <xf numFmtId="166" fontId="16" fillId="7" borderId="2" xfId="2" applyNumberFormat="1" applyFont="1" applyFill="1" applyBorder="1" applyAlignment="1">
      <alignment horizontal="center" vertical="center" wrapText="1"/>
    </xf>
    <xf numFmtId="166" fontId="16" fillId="7" borderId="4" xfId="2" applyNumberFormat="1" applyFont="1" applyFill="1" applyBorder="1" applyAlignment="1">
      <alignment horizontal="center" vertical="center" wrapText="1"/>
    </xf>
    <xf numFmtId="166" fontId="21" fillId="7" borderId="2" xfId="2" applyNumberFormat="1" applyFont="1" applyFill="1" applyBorder="1" applyAlignment="1">
      <alignment horizontal="right" vertical="center" wrapText="1"/>
    </xf>
    <xf numFmtId="166" fontId="21" fillId="7" borderId="4" xfId="2" applyNumberFormat="1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15" borderId="2" xfId="0" applyFont="1" applyFill="1" applyBorder="1" applyAlignment="1">
      <alignment horizontal="center"/>
    </xf>
    <xf numFmtId="0" fontId="2" fillId="15" borderId="6" xfId="0" applyFont="1" applyFill="1" applyBorder="1" applyAlignment="1">
      <alignment horizontal="center"/>
    </xf>
    <xf numFmtId="0" fontId="2" fillId="15" borderId="3" xfId="0" applyFont="1" applyFill="1" applyBorder="1" applyAlignment="1">
      <alignment horizontal="center"/>
    </xf>
    <xf numFmtId="166" fontId="2" fillId="15" borderId="2" xfId="2" applyNumberFormat="1" applyFont="1" applyFill="1" applyBorder="1" applyAlignment="1">
      <alignment horizontal="center" vertical="center"/>
    </xf>
    <xf numFmtId="166" fontId="2" fillId="15" borderId="6" xfId="2" applyNumberFormat="1" applyFont="1" applyFill="1" applyBorder="1" applyAlignment="1">
      <alignment horizontal="center" vertical="center"/>
    </xf>
    <xf numFmtId="166" fontId="2" fillId="15" borderId="3" xfId="2" applyNumberFormat="1" applyFont="1" applyFill="1" applyBorder="1" applyAlignment="1">
      <alignment horizontal="center" vertical="center"/>
    </xf>
    <xf numFmtId="166" fontId="2" fillId="15" borderId="8" xfId="2" applyNumberFormat="1" applyFont="1" applyFill="1" applyBorder="1" applyAlignment="1">
      <alignment horizontal="center" wrapText="1"/>
    </xf>
    <xf numFmtId="166" fontId="2" fillId="15" borderId="12" xfId="2" applyNumberFormat="1" applyFont="1" applyFill="1" applyBorder="1" applyAlignment="1">
      <alignment horizontal="center" wrapText="1"/>
    </xf>
    <xf numFmtId="166" fontId="2" fillId="15" borderId="9" xfId="2" applyNumberFormat="1" applyFont="1" applyFill="1" applyBorder="1" applyAlignment="1">
      <alignment horizontal="center" wrapText="1"/>
    </xf>
    <xf numFmtId="166" fontId="0" fillId="3" borderId="2" xfId="2" applyNumberFormat="1" applyFont="1" applyFill="1" applyBorder="1" applyAlignment="1">
      <alignment horizontal="right" vertical="center" wrapText="1"/>
    </xf>
    <xf numFmtId="166" fontId="0" fillId="3" borderId="4" xfId="2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/>
    </xf>
    <xf numFmtId="0" fontId="2" fillId="15" borderId="12" xfId="0" applyFont="1" applyFill="1" applyBorder="1" applyAlignment="1">
      <alignment horizontal="center"/>
    </xf>
    <xf numFmtId="0" fontId="2" fillId="15" borderId="9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166" fontId="0" fillId="9" borderId="2" xfId="2" applyNumberFormat="1" applyFont="1" applyFill="1" applyBorder="1" applyAlignment="1">
      <alignment horizontal="center" wrapText="1"/>
    </xf>
    <xf numFmtId="166" fontId="0" fillId="9" borderId="4" xfId="2" applyNumberFormat="1" applyFont="1" applyFill="1" applyBorder="1" applyAlignment="1">
      <alignment horizontal="center" wrapText="1"/>
    </xf>
    <xf numFmtId="166" fontId="8" fillId="15" borderId="2" xfId="2" applyNumberFormat="1" applyFont="1" applyFill="1" applyBorder="1" applyAlignment="1">
      <alignment horizontal="center" vertical="center"/>
    </xf>
    <xf numFmtId="166" fontId="8" fillId="15" borderId="6" xfId="2" applyNumberFormat="1" applyFont="1" applyFill="1" applyBorder="1" applyAlignment="1">
      <alignment horizontal="center" vertical="center"/>
    </xf>
    <xf numFmtId="166" fontId="8" fillId="15" borderId="3" xfId="2" applyNumberFormat="1" applyFont="1" applyFill="1" applyBorder="1" applyAlignment="1">
      <alignment horizontal="center" vertical="center"/>
    </xf>
    <xf numFmtId="166" fontId="8" fillId="15" borderId="2" xfId="2" applyNumberFormat="1" applyFont="1" applyFill="1" applyBorder="1" applyAlignment="1">
      <alignment horizontal="center" wrapText="1"/>
    </xf>
    <xf numFmtId="166" fontId="8" fillId="15" borderId="6" xfId="2" applyNumberFormat="1" applyFont="1" applyFill="1" applyBorder="1" applyAlignment="1">
      <alignment horizontal="center" wrapText="1"/>
    </xf>
    <xf numFmtId="166" fontId="8" fillId="15" borderId="3" xfId="2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8" fillId="15" borderId="8" xfId="0" applyFont="1" applyFill="1" applyBorder="1" applyAlignment="1">
      <alignment horizontal="center"/>
    </xf>
    <xf numFmtId="0" fontId="8" fillId="15" borderId="12" xfId="0" applyFont="1" applyFill="1" applyBorder="1" applyAlignment="1">
      <alignment horizontal="center"/>
    </xf>
    <xf numFmtId="0" fontId="8" fillId="15" borderId="9" xfId="0" applyFont="1" applyFill="1" applyBorder="1" applyAlignment="1">
      <alignment horizontal="center"/>
    </xf>
    <xf numFmtId="166" fontId="8" fillId="15" borderId="8" xfId="2" applyNumberFormat="1" applyFont="1" applyFill="1" applyBorder="1" applyAlignment="1">
      <alignment horizontal="center"/>
    </xf>
    <xf numFmtId="166" fontId="8" fillId="15" borderId="12" xfId="2" applyNumberFormat="1" applyFont="1" applyFill="1" applyBorder="1" applyAlignment="1">
      <alignment horizontal="center"/>
    </xf>
    <xf numFmtId="166" fontId="8" fillId="15" borderId="9" xfId="2" applyNumberFormat="1" applyFont="1" applyFill="1" applyBorder="1" applyAlignment="1">
      <alignment horizontal="center"/>
    </xf>
    <xf numFmtId="166" fontId="8" fillId="15" borderId="8" xfId="2" applyNumberFormat="1" applyFont="1" applyFill="1" applyBorder="1" applyAlignment="1">
      <alignment horizontal="center" vertical="center"/>
    </xf>
    <xf numFmtId="166" fontId="8" fillId="15" borderId="12" xfId="2" applyNumberFormat="1" applyFont="1" applyFill="1" applyBorder="1" applyAlignment="1">
      <alignment horizontal="center" vertical="center"/>
    </xf>
    <xf numFmtId="166" fontId="8" fillId="15" borderId="9" xfId="2" applyNumberFormat="1" applyFont="1" applyFill="1" applyBorder="1" applyAlignment="1">
      <alignment horizontal="center" vertic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266700</xdr:colOff>
      <xdr:row>0</xdr:row>
      <xdr:rowOff>1</xdr:rowOff>
    </xdr:from>
    <xdr:to>
      <xdr:col>11</xdr:col>
      <xdr:colOff>438150</xdr:colOff>
      <xdr:row>5</xdr:row>
      <xdr:rowOff>169546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30050" y="1"/>
          <a:ext cx="1543050" cy="15430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447675</xdr:colOff>
      <xdr:row>1</xdr:row>
      <xdr:rowOff>142875</xdr:rowOff>
    </xdr:from>
    <xdr:to>
      <xdr:col>16</xdr:col>
      <xdr:colOff>476250</xdr:colOff>
      <xdr:row>9</xdr:row>
      <xdr:rowOff>57150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300" y="342900"/>
          <a:ext cx="2085975" cy="20859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47626</xdr:colOff>
      <xdr:row>0</xdr:row>
      <xdr:rowOff>333375</xdr:rowOff>
    </xdr:from>
    <xdr:to>
      <xdr:col>20</xdr:col>
      <xdr:colOff>835820</xdr:colOff>
      <xdr:row>12</xdr:row>
      <xdr:rowOff>204788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35751" y="333375"/>
          <a:ext cx="2502694" cy="2502694"/>
        </a:xfrm>
        <a:prstGeom prst="rect">
          <a:avLst/>
        </a:prstGeom>
      </xdr:spPr>
    </xdr:pic>
    <xdr:clientData/>
  </xdr:twoCellAnchor>
  <xdr:twoCellAnchor editAs="oneCell">
    <xdr:from>
      <xdr:col>4</xdr:col>
      <xdr:colOff>333376</xdr:colOff>
      <xdr:row>0</xdr:row>
      <xdr:rowOff>0</xdr:rowOff>
    </xdr:from>
    <xdr:to>
      <xdr:col>7</xdr:col>
      <xdr:colOff>635795</xdr:colOff>
      <xdr:row>11</xdr:row>
      <xdr:rowOff>71438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6236" y="0"/>
          <a:ext cx="2496979" cy="243363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317500</xdr:colOff>
      <xdr:row>1</xdr:row>
      <xdr:rowOff>0</xdr:rowOff>
    </xdr:from>
    <xdr:to>
      <xdr:col>32</xdr:col>
      <xdr:colOff>355600</xdr:colOff>
      <xdr:row>3</xdr:row>
      <xdr:rowOff>1323975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9000" y="254000"/>
          <a:ext cx="2085975" cy="20859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1200150</xdr:colOff>
      <xdr:row>6</xdr:row>
      <xdr:rowOff>156210</xdr:rowOff>
    </xdr:from>
    <xdr:to>
      <xdr:col>11</xdr:col>
      <xdr:colOff>70485</xdr:colOff>
      <xdr:row>16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6170" y="1969770"/>
          <a:ext cx="2040255" cy="20783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325328</xdr:colOff>
      <xdr:row>1</xdr:row>
      <xdr:rowOff>38101</xdr:rowOff>
    </xdr:from>
    <xdr:to>
      <xdr:col>7</xdr:col>
      <xdr:colOff>485775</xdr:colOff>
      <xdr:row>7</xdr:row>
      <xdr:rowOff>104776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6078" y="238126"/>
          <a:ext cx="1532047" cy="1676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492125</xdr:colOff>
      <xdr:row>0</xdr:row>
      <xdr:rowOff>190500</xdr:rowOff>
    </xdr:from>
    <xdr:to>
      <xdr:col>15</xdr:col>
      <xdr:colOff>781051</xdr:colOff>
      <xdr:row>5</xdr:row>
      <xdr:rowOff>73159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0625" y="190500"/>
          <a:ext cx="2860676" cy="25496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22860</xdr:colOff>
      <xdr:row>0</xdr:row>
      <xdr:rowOff>0</xdr:rowOff>
    </xdr:from>
    <xdr:to>
      <xdr:col>12</xdr:col>
      <xdr:colOff>108585</xdr:colOff>
      <xdr:row>5</xdr:row>
      <xdr:rowOff>619125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8280" y="0"/>
          <a:ext cx="2097405" cy="21278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514350</xdr:colOff>
      <xdr:row>0</xdr:row>
      <xdr:rowOff>209550</xdr:rowOff>
    </xdr:from>
    <xdr:to>
      <xdr:col>16</xdr:col>
      <xdr:colOff>85725</xdr:colOff>
      <xdr:row>10</xdr:row>
      <xdr:rowOff>114300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1825" y="209550"/>
          <a:ext cx="2143125" cy="2143125"/>
        </a:xfrm>
        <a:prstGeom prst="rect">
          <a:avLst/>
        </a:prstGeom>
      </xdr:spPr>
    </xdr:pic>
    <xdr:clientData/>
  </xdr:twoCellAnchor>
  <xdr:twoCellAnchor editAs="oneCell">
    <xdr:from>
      <xdr:col>4</xdr:col>
      <xdr:colOff>468630</xdr:colOff>
      <xdr:row>0</xdr:row>
      <xdr:rowOff>0</xdr:rowOff>
    </xdr:from>
    <xdr:to>
      <xdr:col>7</xdr:col>
      <xdr:colOff>405765</xdr:colOff>
      <xdr:row>9</xdr:row>
      <xdr:rowOff>102870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3390" y="0"/>
          <a:ext cx="2131695" cy="209931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63500</xdr:colOff>
      <xdr:row>0</xdr:row>
      <xdr:rowOff>111125</xdr:rowOff>
    </xdr:from>
    <xdr:to>
      <xdr:col>31</xdr:col>
      <xdr:colOff>460375</xdr:colOff>
      <xdr:row>3</xdr:row>
      <xdr:rowOff>841375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92375" y="111125"/>
          <a:ext cx="1762125" cy="17621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1295400</xdr:colOff>
      <xdr:row>6</xdr:row>
      <xdr:rowOff>72390</xdr:rowOff>
    </xdr:from>
    <xdr:to>
      <xdr:col>11</xdr:col>
      <xdr:colOff>43815</xdr:colOff>
      <xdr:row>16</xdr:row>
      <xdr:rowOff>70485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2880" y="1832610"/>
          <a:ext cx="2040255" cy="20707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500063</xdr:colOff>
      <xdr:row>0</xdr:row>
      <xdr:rowOff>321469</xdr:rowOff>
    </xdr:from>
    <xdr:to>
      <xdr:col>21</xdr:col>
      <xdr:colOff>14288</xdr:colOff>
      <xdr:row>10</xdr:row>
      <xdr:rowOff>145256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88188" y="321469"/>
          <a:ext cx="2085975" cy="2085975"/>
        </a:xfrm>
        <a:prstGeom prst="rect">
          <a:avLst/>
        </a:prstGeom>
      </xdr:spPr>
    </xdr:pic>
    <xdr:clientData/>
  </xdr:twoCellAnchor>
  <xdr:twoCellAnchor editAs="oneCell">
    <xdr:from>
      <xdr:col>4</xdr:col>
      <xdr:colOff>471488</xdr:colOff>
      <xdr:row>0</xdr:row>
      <xdr:rowOff>76200</xdr:rowOff>
    </xdr:from>
    <xdr:to>
      <xdr:col>7</xdr:col>
      <xdr:colOff>357188</xdr:colOff>
      <xdr:row>9</xdr:row>
      <xdr:rowOff>100012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4348" y="76200"/>
          <a:ext cx="2080260" cy="202025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63500</xdr:colOff>
      <xdr:row>1</xdr:row>
      <xdr:rowOff>222250</xdr:rowOff>
    </xdr:from>
    <xdr:to>
      <xdr:col>43</xdr:col>
      <xdr:colOff>101600</xdr:colOff>
      <xdr:row>3</xdr:row>
      <xdr:rowOff>1546225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01250" y="476250"/>
          <a:ext cx="2085975" cy="2085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0;&#1085;&#1084;&#1086;&#1076;&#1077;&#1083;&#1100;%20&#1085;&#1072;&#1096;&#1072;%20(&#1082;&#1088;&#1072;&#1089;&#1080;&#1074;&#1072;&#1103;%2013.0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лавный лист"/>
      <sheetName val="Варианты пакетов"/>
      <sheetName val="Почему Франшиза"/>
      <sheetName val="Инвестиции. &quot;СТАРТ&quot;"/>
      <sheetName val="Доходы. &quot;СТАРТ&quot;"/>
      <sheetName val="Прибыль. &quot;СТАРТ&quot;"/>
      <sheetName val="Инвестиции. &quot;БИЗНЕС&quot;"/>
      <sheetName val="Доходы. &quot;БИЗНЕС&quot;"/>
      <sheetName val="Прибыль. &quot;БИЗНЕС&quot;"/>
      <sheetName val="Инвестиции &quot;ПЛАТИНУМ&quot;"/>
      <sheetName val="Доходы. &quot;ПЛАТИНУМ&quot;"/>
      <sheetName val="Прибыль &quot;ПЛАТИНУМ&quot;"/>
      <sheetName val="Технический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7">
          <cell r="C17">
            <v>26.6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H12"/>
  <sheetViews>
    <sheetView showGridLines="0" tabSelected="1" workbookViewId="0">
      <selection activeCell="I8" sqref="I8"/>
    </sheetView>
  </sheetViews>
  <sheetFormatPr defaultRowHeight="15.6" x14ac:dyDescent="0.3"/>
  <cols>
    <col min="1" max="1" width="9.3984375" customWidth="1"/>
    <col min="2" max="2" width="24.59765625" customWidth="1"/>
    <col min="3" max="3" width="22.09765625" customWidth="1"/>
    <col min="4" max="4" width="15" customWidth="1"/>
    <col min="5" max="5" width="17.19921875" customWidth="1"/>
    <col min="6" max="6" width="22.59765625" customWidth="1"/>
    <col min="7" max="7" width="15.09765625" customWidth="1"/>
    <col min="8" max="8" width="16.59765625" customWidth="1"/>
  </cols>
  <sheetData>
    <row r="1" spans="1:8" s="67" customFormat="1" ht="42.6" thickBot="1" x14ac:dyDescent="0.35">
      <c r="A1" s="84" t="s">
        <v>142</v>
      </c>
      <c r="B1" s="84" t="s">
        <v>1</v>
      </c>
      <c r="C1" s="84" t="s">
        <v>197</v>
      </c>
      <c r="D1" s="84" t="s">
        <v>143</v>
      </c>
      <c r="E1" s="84" t="s">
        <v>89</v>
      </c>
      <c r="F1" s="84" t="s">
        <v>3</v>
      </c>
      <c r="G1" s="84" t="s">
        <v>84</v>
      </c>
      <c r="H1" s="84" t="s">
        <v>179</v>
      </c>
    </row>
    <row r="2" spans="1:8" ht="16.2" thickBot="1" x14ac:dyDescent="0.35">
      <c r="A2" s="308" t="s">
        <v>137</v>
      </c>
      <c r="B2" s="308" t="str">
        <f>VLOOKUP($A2,'вар пакетов доп'!$L$1:$S$4,2,0)</f>
        <v>WeDo 2.0</v>
      </c>
      <c r="C2" s="308" t="str">
        <f>VLOOKUP($A2,'вар пакетов доп'!$L$1:$S$4,3,0)</f>
        <v>5-6, 7-8</v>
      </c>
      <c r="D2" s="308" t="str">
        <f>VLOOKUP($A2,'вар пакетов доп'!$L$1:$S$4,4,0)</f>
        <v>2 года</v>
      </c>
      <c r="E2" s="308" t="str">
        <f>VLOOKUP($A2,'вар пакетов доп'!$L$1:$S$4,5,0)</f>
        <v>Школа</v>
      </c>
      <c r="F2" s="308">
        <f>VLOOKUP($A2,'вар пакетов доп'!$L$1:$S$4,6,0)</f>
        <v>1</v>
      </c>
      <c r="G2" s="309">
        <f>VLOOKUP($A2,'вар пакетов доп'!$L$1:$S$4,7,0)</f>
        <v>10520.300751879699</v>
      </c>
      <c r="H2" s="309">
        <f>VLOOKUP($A2,'вар пакетов доп'!$L$1:$S$4,8,0)</f>
        <v>4000</v>
      </c>
    </row>
    <row r="3" spans="1:8" ht="16.2" thickBot="1" x14ac:dyDescent="0.35">
      <c r="A3" s="308" t="s">
        <v>7</v>
      </c>
      <c r="B3" s="308" t="str">
        <f>VLOOKUP($A3,'вар пакетов доп'!$L$1:$S$4,2,0)</f>
        <v>WeDo 2.0 + EV3</v>
      </c>
      <c r="C3" s="308" t="str">
        <f>VLOOKUP($A3,'вар пакетов доп'!$L$1:$S$4,3,0)</f>
        <v>5-6, 7-8, 9-14</v>
      </c>
      <c r="D3" s="308" t="str">
        <f>VLOOKUP($A3,'вар пакетов доп'!$L$1:$S$4,4,0)</f>
        <v>4 года</v>
      </c>
      <c r="E3" s="308" t="str">
        <f>VLOOKUP($A3,'вар пакетов доп'!$L$1:$S$4,5,0)</f>
        <v>Школа</v>
      </c>
      <c r="F3" s="308" t="str">
        <f>VLOOKUP($A3,'вар пакетов доп'!$L$1:$S$4,6,0)</f>
        <v>1-2</v>
      </c>
      <c r="G3" s="309">
        <f>VLOOKUP($A3,'вар пакетов доп'!$L$1:$S$4,7,0)</f>
        <v>20323.496240601504</v>
      </c>
      <c r="H3" s="309">
        <f>VLOOKUP($A3,'вар пакетов доп'!$L$1:$S$4,8,0)</f>
        <v>6000</v>
      </c>
    </row>
    <row r="4" spans="1:8" ht="16.2" thickBot="1" x14ac:dyDescent="0.35">
      <c r="A4" s="308" t="s">
        <v>8</v>
      </c>
      <c r="B4" s="308" t="str">
        <f>VLOOKUP($A4,'вар пакетов доп'!$L$1:$S$4,2,0)</f>
        <v>WeDo 2.0 + EV3 + Arduino</v>
      </c>
      <c r="C4" s="308" t="str">
        <f>VLOOKUP($A4,'вар пакетов доп'!$L$1:$S$4,3,0)</f>
        <v>5-6, 7-8, 9-14, 12-16</v>
      </c>
      <c r="D4" s="308" t="str">
        <f>VLOOKUP($A4,'вар пакетов доп'!$L$1:$S$4,4,0)</f>
        <v>6 лет</v>
      </c>
      <c r="E4" s="308" t="str">
        <f>VLOOKUP($A4,'вар пакетов доп'!$L$1:$S$4,5,0)</f>
        <v>Школа, или своё арендованое помещение</v>
      </c>
      <c r="F4" s="308">
        <f>VLOOKUP($A4,'вар пакетов доп'!$L$1:$S$4,6,0)</f>
        <v>2</v>
      </c>
      <c r="G4" s="309">
        <f>VLOOKUP($A4,'вар пакетов доп'!$L$1:$S$4,7,0)</f>
        <v>21664.774436090225</v>
      </c>
      <c r="H4" s="309">
        <f>VLOOKUP($A4,'вар пакетов доп'!$L$1:$S$4,8,0)</f>
        <v>8000</v>
      </c>
    </row>
    <row r="5" spans="1:8" x14ac:dyDescent="0.3">
      <c r="A5" s="310" t="s">
        <v>264</v>
      </c>
    </row>
    <row r="7" spans="1:8" ht="26.4" thickBot="1" x14ac:dyDescent="0.55000000000000004">
      <c r="A7" s="313" t="s">
        <v>216</v>
      </c>
      <c r="B7" s="313"/>
      <c r="C7" s="313"/>
      <c r="D7" s="313"/>
      <c r="E7" s="313"/>
      <c r="F7" s="313"/>
      <c r="G7" s="313"/>
      <c r="H7" s="313"/>
    </row>
    <row r="8" spans="1:8" ht="31.8" thickBot="1" x14ac:dyDescent="0.35">
      <c r="A8" s="145" t="s">
        <v>217</v>
      </c>
      <c r="B8" s="146" t="s">
        <v>220</v>
      </c>
      <c r="C8" s="146" t="s">
        <v>262</v>
      </c>
      <c r="D8" s="146" t="s">
        <v>179</v>
      </c>
      <c r="E8" s="146" t="s">
        <v>266</v>
      </c>
      <c r="F8" s="146" t="s">
        <v>267</v>
      </c>
      <c r="G8" s="146" t="s">
        <v>263</v>
      </c>
      <c r="H8" s="146" t="s">
        <v>218</v>
      </c>
    </row>
    <row r="9" spans="1:8" ht="16.2" thickBot="1" x14ac:dyDescent="0.35">
      <c r="A9" s="308" t="s">
        <v>8</v>
      </c>
      <c r="B9" s="308" t="s">
        <v>183</v>
      </c>
      <c r="C9" s="309">
        <f>VLOOKUP($A9&amp;$B9,'вар пакетов доп'!$C$1:$I$9,2,0)</f>
        <v>21664.774436090225</v>
      </c>
      <c r="D9" s="309">
        <f>VLOOKUP($A9&amp;$B9,'вар пакетов доп'!$C$1:$I$9,3,0)</f>
        <v>8000</v>
      </c>
      <c r="E9" s="312">
        <f>VLOOKUP($A9&amp;$B9,'вар пакетов доп'!$C$1:$I$9,4,0)</f>
        <v>0.08</v>
      </c>
      <c r="F9" s="309">
        <f>VLOOKUP($A9&amp;$B9,'вар пакетов доп'!$C$1:$I$9,5,0)</f>
        <v>5500</v>
      </c>
      <c r="G9" s="309">
        <f>VLOOKUP($A9&amp;$B9,'вар пакетов доп'!$C$1:$I$9,6,0)</f>
        <v>20059.624060150378</v>
      </c>
      <c r="H9" s="309">
        <f>VLOOKUP($A9&amp;$B9,'вар пакетов доп'!$C$1:$I$9,7,0)</f>
        <v>15</v>
      </c>
    </row>
    <row r="10" spans="1:8" ht="16.2" thickBot="1" x14ac:dyDescent="0.35">
      <c r="A10" s="308" t="s">
        <v>7</v>
      </c>
      <c r="B10" s="308" t="s">
        <v>183</v>
      </c>
      <c r="C10" s="309">
        <f>VLOOKUP($A10&amp;$B10,'вар пакетов доп'!$C$1:$I$9,2,0)</f>
        <v>20323.496240601504</v>
      </c>
      <c r="D10" s="309">
        <f>VLOOKUP($A10&amp;$B10,'вар пакетов доп'!$C$1:$I$9,3,0)</f>
        <v>6000</v>
      </c>
      <c r="E10" s="312">
        <f>VLOOKUP($A10&amp;$B10,'вар пакетов доп'!$C$1:$I$9,4,0)</f>
        <v>0.08</v>
      </c>
      <c r="F10" s="309">
        <f>VLOOKUP($A10&amp;$B10,'вар пакетов доп'!$C$1:$I$9,5,0)</f>
        <v>4500</v>
      </c>
      <c r="G10" s="309">
        <f>VLOOKUP($A10&amp;$B10,'вар пакетов доп'!$C$1:$I$9,6,0)</f>
        <v>18089.729323308267</v>
      </c>
      <c r="H10" s="309">
        <f>VLOOKUP($A10&amp;$B10,'вар пакетов доп'!$C$1:$I$9,7,0)</f>
        <v>15</v>
      </c>
    </row>
    <row r="11" spans="1:8" ht="16.2" thickBot="1" x14ac:dyDescent="0.35">
      <c r="A11" s="308" t="s">
        <v>137</v>
      </c>
      <c r="B11" s="308" t="s">
        <v>183</v>
      </c>
      <c r="C11" s="309">
        <f>VLOOKUP($A11&amp;$B11,'вар пакетов доп'!$C$1:$I$9,2,0)</f>
        <v>10520.300751879699</v>
      </c>
      <c r="D11" s="309">
        <f>VLOOKUP($A11&amp;$B11,'вар пакетов доп'!$C$1:$I$9,3,0)</f>
        <v>4000</v>
      </c>
      <c r="E11" s="312">
        <f>VLOOKUP($A11&amp;$B11,'вар пакетов доп'!$C$1:$I$9,4,0)</f>
        <v>0.08</v>
      </c>
      <c r="F11" s="309">
        <f>VLOOKUP($A11&amp;$B11,'вар пакетов доп'!$C$1:$I$9,5,0)</f>
        <v>3500</v>
      </c>
      <c r="G11" s="309">
        <f>VLOOKUP($A11&amp;$B11,'вар пакетов доп'!$C$1:$I$9,6,0)</f>
        <v>14158.691729323307</v>
      </c>
      <c r="H11" s="309">
        <f>VLOOKUP($A11&amp;$B11,'вар пакетов доп'!$C$1:$I$9,7,0)</f>
        <v>11</v>
      </c>
    </row>
    <row r="12" spans="1:8" x14ac:dyDescent="0.3">
      <c r="A12" s="311" t="s">
        <v>264</v>
      </c>
    </row>
  </sheetData>
  <mergeCells count="1">
    <mergeCell ref="A7:H7"/>
  </mergeCells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Доход!$A$345:$A$347</xm:f>
          </x14:formula1>
          <xm:sqref>A2:A4 A9:A11</xm:sqref>
        </x14:dataValidation>
        <x14:dataValidation type="list" allowBlank="1" showInputMessage="1" showErrorMessage="1">
          <x14:formula1>
            <xm:f>Прибыль!$Y$23:$Y$25</xm:f>
          </x14:formula1>
          <xm:sqref>B9:B11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D43"/>
  <sheetViews>
    <sheetView showGridLines="0" zoomScale="60" zoomScaleNormal="60" workbookViewId="0">
      <selection activeCell="D2" sqref="D2"/>
    </sheetView>
  </sheetViews>
  <sheetFormatPr defaultRowHeight="15.6" x14ac:dyDescent="0.3"/>
  <cols>
    <col min="1" max="1" width="23.5" customWidth="1"/>
    <col min="2" max="2" width="10.19921875" customWidth="1"/>
    <col min="3" max="4" width="21.8984375" customWidth="1"/>
    <col min="5" max="5" width="10.69921875" customWidth="1"/>
    <col min="7" max="7" width="11.19921875" customWidth="1"/>
    <col min="9" max="9" width="19.69921875" customWidth="1"/>
    <col min="10" max="10" width="11.8984375" customWidth="1"/>
    <col min="11" max="11" width="9.59765625" customWidth="1"/>
    <col min="12" max="12" width="12.69921875" customWidth="1"/>
    <col min="13" max="13" width="11.69921875" customWidth="1"/>
    <col min="14" max="14" width="4.19921875" customWidth="1"/>
    <col min="15" max="16" width="11.19921875" customWidth="1"/>
    <col min="17" max="17" width="11.3984375" customWidth="1"/>
    <col min="18" max="18" width="11.59765625" customWidth="1"/>
    <col min="19" max="19" width="7.8984375" customWidth="1"/>
    <col min="20" max="20" width="11.69921875" customWidth="1"/>
    <col min="21" max="21" width="12.09765625" customWidth="1"/>
    <col min="22" max="22" width="8.8984375" customWidth="1"/>
    <col min="23" max="23" width="16.5" customWidth="1"/>
    <col min="24" max="24" width="11.69921875" customWidth="1"/>
    <col min="25" max="25" width="16.19921875" customWidth="1"/>
    <col min="26" max="27" width="10.19921875" customWidth="1"/>
    <col min="28" max="28" width="12" bestFit="1" customWidth="1"/>
    <col min="29" max="29" width="14.69921875" bestFit="1" customWidth="1"/>
  </cols>
  <sheetData>
    <row r="1" spans="1:30" s="11" customFormat="1" ht="21.6" thickBot="1" x14ac:dyDescent="0.45">
      <c r="A1" s="340" t="s">
        <v>130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</row>
    <row r="2" spans="1:30" s="11" customFormat="1" ht="37.200000000000003" customHeight="1" thickBot="1" x14ac:dyDescent="0.35">
      <c r="A2" s="341" t="s">
        <v>212</v>
      </c>
      <c r="B2" s="342"/>
      <c r="C2" s="342"/>
      <c r="D2" s="92" t="s">
        <v>184</v>
      </c>
      <c r="E2" s="343" t="s">
        <v>213</v>
      </c>
      <c r="F2" s="343"/>
      <c r="G2" s="343"/>
      <c r="H2" s="344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</row>
    <row r="3" spans="1:30" ht="24" thickBot="1" x14ac:dyDescent="0.35">
      <c r="A3" s="192" t="s">
        <v>131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62"/>
      <c r="X3" s="62"/>
      <c r="Y3" s="62"/>
      <c r="Z3" s="62"/>
      <c r="AA3" s="62"/>
      <c r="AB3" s="62"/>
      <c r="AC3" s="62"/>
    </row>
    <row r="4" spans="1:30" s="22" customFormat="1" ht="127.95" customHeight="1" thickBot="1" x14ac:dyDescent="0.35">
      <c r="A4" s="194" t="s">
        <v>91</v>
      </c>
      <c r="B4" s="195" t="s">
        <v>92</v>
      </c>
      <c r="C4" s="196" t="s">
        <v>93</v>
      </c>
      <c r="D4" s="197" t="s">
        <v>134</v>
      </c>
      <c r="E4" s="198" t="s">
        <v>94</v>
      </c>
      <c r="F4" s="199" t="s">
        <v>95</v>
      </c>
      <c r="G4" s="200" t="s">
        <v>96</v>
      </c>
      <c r="H4" s="200" t="s">
        <v>97</v>
      </c>
      <c r="I4" s="200" t="s">
        <v>98</v>
      </c>
      <c r="J4" s="200" t="s">
        <v>99</v>
      </c>
      <c r="K4" s="199" t="s">
        <v>100</v>
      </c>
      <c r="L4" s="200" t="s">
        <v>101</v>
      </c>
      <c r="M4" s="200" t="s">
        <v>102</v>
      </c>
      <c r="N4" s="195" t="s">
        <v>103</v>
      </c>
      <c r="O4" s="196" t="s">
        <v>104</v>
      </c>
      <c r="P4" s="196" t="s">
        <v>105</v>
      </c>
      <c r="Q4" s="197" t="s">
        <v>90</v>
      </c>
      <c r="R4" s="196" t="s">
        <v>106</v>
      </c>
      <c r="S4" s="202" t="s">
        <v>107</v>
      </c>
      <c r="T4" s="196" t="s">
        <v>108</v>
      </c>
      <c r="U4" s="202" t="s">
        <v>109</v>
      </c>
      <c r="V4" s="203" t="s">
        <v>110</v>
      </c>
      <c r="W4" s="200" t="s">
        <v>111</v>
      </c>
      <c r="X4" s="200" t="s">
        <v>112</v>
      </c>
      <c r="Y4" s="200" t="s">
        <v>113</v>
      </c>
      <c r="Z4" s="200" t="s">
        <v>135</v>
      </c>
      <c r="AA4" s="200" t="s">
        <v>136</v>
      </c>
      <c r="AB4" s="200" t="s">
        <v>115</v>
      </c>
      <c r="AC4" s="201" t="s">
        <v>116</v>
      </c>
    </row>
    <row r="5" spans="1:30" x14ac:dyDescent="0.3">
      <c r="A5" s="17">
        <v>150</v>
      </c>
      <c r="B5" s="24">
        <v>10</v>
      </c>
      <c r="C5" s="24">
        <f>A5/B5</f>
        <v>15</v>
      </c>
      <c r="D5" s="24">
        <f>A5/(B5*5)</f>
        <v>3</v>
      </c>
      <c r="E5" s="49">
        <f>VLOOKUP($D$2,'Технический лист'!$A$2:$P$4,3,0)</f>
        <v>0.17</v>
      </c>
      <c r="F5" s="50">
        <f>A5*E5</f>
        <v>25.500000000000004</v>
      </c>
      <c r="G5" s="50">
        <v>10</v>
      </c>
      <c r="H5" s="50">
        <f>F5/G5</f>
        <v>2.5500000000000003</v>
      </c>
      <c r="I5" s="51">
        <f>H5/4.2</f>
        <v>0.60714285714285721</v>
      </c>
      <c r="J5" s="52">
        <f>VLOOKUP('Доходы. "СТАРТ"'!$D$2,'Технический лист'!$A$2:$P$4,4,0)</f>
        <v>0.42</v>
      </c>
      <c r="K5" s="50">
        <f>ROUNDDOWN(F5*J5,0)</f>
        <v>10</v>
      </c>
      <c r="L5" s="52">
        <f>VLOOKUP($D$2,'Технический лист'!$A$2:$P$4,6,0)</f>
        <v>0.27</v>
      </c>
      <c r="M5" s="69">
        <v>0.5</v>
      </c>
      <c r="N5" s="77" t="s">
        <v>117</v>
      </c>
      <c r="O5" s="78">
        <f>VLOOKUP($D$2,'Технический лист'!$A$2:$G$4,7,0)</f>
        <v>450</v>
      </c>
      <c r="P5" s="78">
        <v>400</v>
      </c>
      <c r="Q5" s="79">
        <v>5490</v>
      </c>
      <c r="R5" s="218">
        <f>K5*P5</f>
        <v>4000</v>
      </c>
      <c r="S5" s="218">
        <f t="shared" ref="S5:S13" si="0">ROUNDUP(K5*L5,0)</f>
        <v>3</v>
      </c>
      <c r="T5" s="218">
        <f t="shared" ref="T5:T13" si="1">S5*Q5</f>
        <v>16470</v>
      </c>
      <c r="U5" s="218">
        <f>ROUNDUP(S5,0)</f>
        <v>3</v>
      </c>
      <c r="V5" s="219">
        <f>K5*O5</f>
        <v>4500</v>
      </c>
      <c r="W5" s="204">
        <v>0</v>
      </c>
      <c r="X5" s="205">
        <f t="shared" ref="X5:X13" si="2">W5*Q5</f>
        <v>0</v>
      </c>
      <c r="Y5" s="205">
        <f>R5+T5+X5</f>
        <v>20470</v>
      </c>
      <c r="Z5" s="205">
        <f>ROUNDUP(U5/6.6,0)</f>
        <v>1</v>
      </c>
      <c r="AA5" s="205">
        <f>ROUNDDOWN(K5/2/4.3,0)</f>
        <v>1</v>
      </c>
      <c r="AB5" s="205">
        <f>ROUNDUP((Z5+AA5)*4.3*400,0)</f>
        <v>3440</v>
      </c>
      <c r="AC5" s="206">
        <f>Y5-AB5-V5</f>
        <v>12530</v>
      </c>
    </row>
    <row r="6" spans="1:30" x14ac:dyDescent="0.3">
      <c r="A6" s="18">
        <v>150</v>
      </c>
      <c r="B6" s="24">
        <v>10</v>
      </c>
      <c r="C6" s="24">
        <f t="shared" ref="C6:C13" si="3">A6/B6</f>
        <v>15</v>
      </c>
      <c r="D6" s="24">
        <f t="shared" ref="D6:D13" si="4">A6/(B6*5)</f>
        <v>3</v>
      </c>
      <c r="E6" s="26">
        <f>VLOOKUP($D$2,'Технический лист'!$A$2:$P$4,3,0)</f>
        <v>0.17</v>
      </c>
      <c r="F6" s="27">
        <f t="shared" ref="F6:F13" si="5">A6*E6</f>
        <v>25.500000000000004</v>
      </c>
      <c r="G6" s="27">
        <v>10</v>
      </c>
      <c r="H6" s="27">
        <f t="shared" ref="H6:H13" si="6">F6/G6</f>
        <v>2.5500000000000003</v>
      </c>
      <c r="I6" s="48">
        <f t="shared" ref="I6:I13" si="7">H6/4.2</f>
        <v>0.60714285714285721</v>
      </c>
      <c r="J6" s="28">
        <f>VLOOKUP('Доходы. "СТАРТ"'!$D$2,'Технический лист'!$A$2:$P$4,4,0)</f>
        <v>0.42</v>
      </c>
      <c r="K6" s="27">
        <f t="shared" ref="K6:K13" si="8">ROUNDDOWN(F6*J6,0)</f>
        <v>10</v>
      </c>
      <c r="L6" s="28">
        <f>VLOOKUP($D$2,'Технический лист'!$A$2:$P$4,6,0)</f>
        <v>0.27</v>
      </c>
      <c r="M6" s="70">
        <v>0.5</v>
      </c>
      <c r="N6" s="29" t="s">
        <v>118</v>
      </c>
      <c r="O6" s="30">
        <f>VLOOKUP($D$2,'Технический лист'!$A$2:$G$4,7,0)</f>
        <v>450</v>
      </c>
      <c r="P6" s="30">
        <v>400</v>
      </c>
      <c r="Q6" s="31">
        <v>5490</v>
      </c>
      <c r="R6" s="222">
        <f t="shared" ref="R6:R13" si="9">K6*P6</f>
        <v>4000</v>
      </c>
      <c r="S6" s="222">
        <f t="shared" si="0"/>
        <v>3</v>
      </c>
      <c r="T6" s="222">
        <f t="shared" si="1"/>
        <v>16470</v>
      </c>
      <c r="U6" s="222">
        <f>ROUNDUP(U5+S6,0)</f>
        <v>6</v>
      </c>
      <c r="V6" s="223">
        <f t="shared" ref="V6:V13" si="10">K6*O6</f>
        <v>4500</v>
      </c>
      <c r="W6" s="207">
        <v>0</v>
      </c>
      <c r="X6" s="208">
        <f t="shared" si="2"/>
        <v>0</v>
      </c>
      <c r="Y6" s="208">
        <f>R6+T6+X6</f>
        <v>20470</v>
      </c>
      <c r="Z6" s="208">
        <f t="shared" ref="Z6:Z13" si="11">ROUNDUP(U6/6.6,0)</f>
        <v>1</v>
      </c>
      <c r="AA6" s="208">
        <f t="shared" ref="AA6:AA13" si="12">ROUNDDOWN(K6/2/4.3,0)</f>
        <v>1</v>
      </c>
      <c r="AB6" s="208">
        <f t="shared" ref="AB6:AB13" si="13">ROUNDUP((Z6+AA6)*4.3*400,0)</f>
        <v>3440</v>
      </c>
      <c r="AC6" s="138">
        <f t="shared" ref="AC6:AC13" si="14">Y6-AB6</f>
        <v>17030</v>
      </c>
    </row>
    <row r="7" spans="1:30" x14ac:dyDescent="0.3">
      <c r="A7" s="18">
        <v>150</v>
      </c>
      <c r="B7" s="24">
        <v>10</v>
      </c>
      <c r="C7" s="24">
        <f t="shared" si="3"/>
        <v>15</v>
      </c>
      <c r="D7" s="24">
        <f t="shared" si="4"/>
        <v>3</v>
      </c>
      <c r="E7" s="26">
        <f>VLOOKUP($D$2,'Технический лист'!$A$2:$P$4,3,0)</f>
        <v>0.17</v>
      </c>
      <c r="F7" s="27">
        <f t="shared" si="5"/>
        <v>25.500000000000004</v>
      </c>
      <c r="G7" s="27">
        <v>10</v>
      </c>
      <c r="H7" s="27">
        <f t="shared" si="6"/>
        <v>2.5500000000000003</v>
      </c>
      <c r="I7" s="48">
        <f t="shared" si="7"/>
        <v>0.60714285714285721</v>
      </c>
      <c r="J7" s="28">
        <f>VLOOKUP('Доходы. "СТАРТ"'!$D$2,'Технический лист'!$A$2:$P$4,4,0)</f>
        <v>0.42</v>
      </c>
      <c r="K7" s="27">
        <f t="shared" si="8"/>
        <v>10</v>
      </c>
      <c r="L7" s="28">
        <f>VLOOKUP($D$2,'Технический лист'!$A$2:$P$4,6,0)</f>
        <v>0.27</v>
      </c>
      <c r="M7" s="70">
        <v>0.5</v>
      </c>
      <c r="N7" s="29" t="s">
        <v>119</v>
      </c>
      <c r="O7" s="30">
        <f>VLOOKUP($D$2,'Технический лист'!$A$2:$G$4,7,0)</f>
        <v>450</v>
      </c>
      <c r="P7" s="30">
        <v>400</v>
      </c>
      <c r="Q7" s="31">
        <v>5490</v>
      </c>
      <c r="R7" s="222">
        <f t="shared" si="9"/>
        <v>4000</v>
      </c>
      <c r="S7" s="222">
        <f t="shared" si="0"/>
        <v>3</v>
      </c>
      <c r="T7" s="222">
        <f t="shared" si="1"/>
        <v>16470</v>
      </c>
      <c r="U7" s="222">
        <f>ROUNDUP(U6+S7,0)</f>
        <v>9</v>
      </c>
      <c r="V7" s="223">
        <f t="shared" si="10"/>
        <v>4500</v>
      </c>
      <c r="W7" s="207">
        <v>0</v>
      </c>
      <c r="X7" s="208">
        <f t="shared" si="2"/>
        <v>0</v>
      </c>
      <c r="Y7" s="208">
        <f t="shared" ref="Y7:Y13" si="15">R7+T7+X7</f>
        <v>20470</v>
      </c>
      <c r="Z7" s="208">
        <f t="shared" si="11"/>
        <v>2</v>
      </c>
      <c r="AA7" s="208">
        <f t="shared" si="12"/>
        <v>1</v>
      </c>
      <c r="AB7" s="208">
        <f t="shared" si="13"/>
        <v>5160</v>
      </c>
      <c r="AC7" s="138">
        <f t="shared" si="14"/>
        <v>15310</v>
      </c>
    </row>
    <row r="8" spans="1:30" x14ac:dyDescent="0.3">
      <c r="A8" s="18">
        <v>150</v>
      </c>
      <c r="B8" s="24">
        <v>10</v>
      </c>
      <c r="C8" s="24">
        <f t="shared" si="3"/>
        <v>15</v>
      </c>
      <c r="D8" s="24">
        <f t="shared" si="4"/>
        <v>3</v>
      </c>
      <c r="E8" s="26">
        <f>VLOOKUP($D$2,'Технический лист'!$A$2:$P$4,3,0)</f>
        <v>0.17</v>
      </c>
      <c r="F8" s="27">
        <f t="shared" si="5"/>
        <v>25.500000000000004</v>
      </c>
      <c r="G8" s="27">
        <v>10</v>
      </c>
      <c r="H8" s="27">
        <f t="shared" si="6"/>
        <v>2.5500000000000003</v>
      </c>
      <c r="I8" s="48">
        <f t="shared" si="7"/>
        <v>0.60714285714285721</v>
      </c>
      <c r="J8" s="28">
        <f>VLOOKUP('Доходы. "СТАРТ"'!$D$2,'Технический лист'!$A$2:$P$4,4,0)</f>
        <v>0.42</v>
      </c>
      <c r="K8" s="27">
        <f t="shared" si="8"/>
        <v>10</v>
      </c>
      <c r="L8" s="28">
        <f>VLOOKUP($D$2,'Технический лист'!$A$2:$P$4,6,0)</f>
        <v>0.27</v>
      </c>
      <c r="M8" s="70">
        <v>0.5</v>
      </c>
      <c r="N8" s="29" t="s">
        <v>120</v>
      </c>
      <c r="O8" s="30">
        <f>VLOOKUP($D$2,'Технический лист'!$A$2:$G$4,7,0)</f>
        <v>450</v>
      </c>
      <c r="P8" s="30">
        <v>400</v>
      </c>
      <c r="Q8" s="31">
        <v>5490</v>
      </c>
      <c r="R8" s="222">
        <f t="shared" si="9"/>
        <v>4000</v>
      </c>
      <c r="S8" s="222">
        <f t="shared" si="0"/>
        <v>3</v>
      </c>
      <c r="T8" s="222">
        <f t="shared" si="1"/>
        <v>16470</v>
      </c>
      <c r="U8" s="222">
        <f>ROUNDUP(U7+S8,0)</f>
        <v>12</v>
      </c>
      <c r="V8" s="223">
        <f t="shared" si="10"/>
        <v>4500</v>
      </c>
      <c r="W8" s="207">
        <v>0</v>
      </c>
      <c r="X8" s="208">
        <f t="shared" si="2"/>
        <v>0</v>
      </c>
      <c r="Y8" s="208">
        <f t="shared" si="15"/>
        <v>20470</v>
      </c>
      <c r="Z8" s="208">
        <f>ROUNDUP(U8/6.6,0)</f>
        <v>2</v>
      </c>
      <c r="AA8" s="208">
        <f t="shared" si="12"/>
        <v>1</v>
      </c>
      <c r="AB8" s="208">
        <f t="shared" si="13"/>
        <v>5160</v>
      </c>
      <c r="AC8" s="138">
        <f t="shared" si="14"/>
        <v>15310</v>
      </c>
    </row>
    <row r="9" spans="1:30" s="38" customFormat="1" x14ac:dyDescent="0.3">
      <c r="A9" s="18">
        <v>150</v>
      </c>
      <c r="B9" s="32">
        <v>10</v>
      </c>
      <c r="C9" s="32">
        <f t="shared" si="3"/>
        <v>15</v>
      </c>
      <c r="D9" s="32">
        <f t="shared" si="4"/>
        <v>3</v>
      </c>
      <c r="E9" s="73">
        <f>VLOOKUP($D$2,'Технический лист'!$A$2:$P$4,3,0)</f>
        <v>0.17</v>
      </c>
      <c r="F9" s="34">
        <f t="shared" si="5"/>
        <v>25.500000000000004</v>
      </c>
      <c r="G9" s="34">
        <v>10</v>
      </c>
      <c r="H9" s="34">
        <f t="shared" si="6"/>
        <v>2.5500000000000003</v>
      </c>
      <c r="I9" s="74">
        <f t="shared" si="7"/>
        <v>0.60714285714285721</v>
      </c>
      <c r="J9" s="75">
        <f>VLOOKUP('Доходы. "СТАРТ"'!$D$2,'Технический лист'!$A$2:$P$4,4,0)</f>
        <v>0.42</v>
      </c>
      <c r="K9" s="80">
        <f t="shared" si="8"/>
        <v>10</v>
      </c>
      <c r="L9" s="75">
        <f>VLOOKUP($D$2,'Технический лист'!$A$2:$P$4,6,0)</f>
        <v>0.27</v>
      </c>
      <c r="M9" s="71">
        <v>0.5</v>
      </c>
      <c r="N9" s="35" t="s">
        <v>121</v>
      </c>
      <c r="O9" s="76">
        <f>VLOOKUP($D$2,'Технический лист'!$A$2:$G$4,7,0)</f>
        <v>450</v>
      </c>
      <c r="P9" s="36">
        <v>400</v>
      </c>
      <c r="Q9" s="37">
        <v>5490</v>
      </c>
      <c r="R9" s="227">
        <f t="shared" si="9"/>
        <v>4000</v>
      </c>
      <c r="S9" s="227">
        <f t="shared" si="0"/>
        <v>3</v>
      </c>
      <c r="T9" s="227">
        <f t="shared" si="1"/>
        <v>16470</v>
      </c>
      <c r="U9" s="227">
        <f t="shared" ref="U9:U11" si="16">ROUNDUP(U8-S5*M9+S9,0)</f>
        <v>14</v>
      </c>
      <c r="V9" s="228">
        <f t="shared" si="10"/>
        <v>4500</v>
      </c>
      <c r="W9" s="209">
        <f>ROUNDDOWN(S5*M9,)</f>
        <v>1</v>
      </c>
      <c r="X9" s="210">
        <f>W9*Q9</f>
        <v>5490</v>
      </c>
      <c r="Y9" s="211">
        <f t="shared" si="15"/>
        <v>25960</v>
      </c>
      <c r="Z9" s="211">
        <f t="shared" si="11"/>
        <v>3</v>
      </c>
      <c r="AA9" s="211">
        <f t="shared" si="12"/>
        <v>1</v>
      </c>
      <c r="AB9" s="211">
        <f t="shared" si="13"/>
        <v>6880</v>
      </c>
      <c r="AC9" s="212">
        <f t="shared" si="14"/>
        <v>19080</v>
      </c>
      <c r="AD9" s="38" t="s">
        <v>122</v>
      </c>
    </row>
    <row r="10" spans="1:30" x14ac:dyDescent="0.3">
      <c r="A10" s="18">
        <v>150</v>
      </c>
      <c r="B10" s="24">
        <v>10</v>
      </c>
      <c r="C10" s="24">
        <f t="shared" si="3"/>
        <v>15</v>
      </c>
      <c r="D10" s="24">
        <f t="shared" si="4"/>
        <v>3</v>
      </c>
      <c r="E10" s="26">
        <f>VLOOKUP($D$2,'Технический лист'!$A$2:$P$4,3,0)</f>
        <v>0.17</v>
      </c>
      <c r="F10" s="27">
        <f t="shared" si="5"/>
        <v>25.500000000000004</v>
      </c>
      <c r="G10" s="27">
        <v>10</v>
      </c>
      <c r="H10" s="27">
        <f t="shared" si="6"/>
        <v>2.5500000000000003</v>
      </c>
      <c r="I10" s="48">
        <f t="shared" si="7"/>
        <v>0.60714285714285721</v>
      </c>
      <c r="J10" s="28">
        <f>VLOOKUP('Доходы. "СТАРТ"'!$D$2,'Технический лист'!$A$2:$P$4,4,0)</f>
        <v>0.42</v>
      </c>
      <c r="K10" s="27">
        <f t="shared" si="8"/>
        <v>10</v>
      </c>
      <c r="L10" s="28">
        <f>VLOOKUP($D$2,'Технический лист'!$A$2:$P$4,6,0)</f>
        <v>0.27</v>
      </c>
      <c r="M10" s="70">
        <v>0.5</v>
      </c>
      <c r="N10" s="29" t="s">
        <v>123</v>
      </c>
      <c r="O10" s="30">
        <f>VLOOKUP($D$2,'Технический лист'!$A$2:$G$4,7,0)</f>
        <v>450</v>
      </c>
      <c r="P10" s="30">
        <v>400</v>
      </c>
      <c r="Q10" s="31">
        <v>5490</v>
      </c>
      <c r="R10" s="222">
        <f t="shared" si="9"/>
        <v>4000</v>
      </c>
      <c r="S10" s="229">
        <f t="shared" si="0"/>
        <v>3</v>
      </c>
      <c r="T10" s="222">
        <f t="shared" si="1"/>
        <v>16470</v>
      </c>
      <c r="U10" s="222">
        <f t="shared" si="16"/>
        <v>16</v>
      </c>
      <c r="V10" s="223">
        <f t="shared" si="10"/>
        <v>4500</v>
      </c>
      <c r="W10" s="209">
        <f t="shared" ref="W10:W11" si="17">ROUNDDOWN(S6*M10,)</f>
        <v>1</v>
      </c>
      <c r="X10" s="208">
        <f t="shared" si="2"/>
        <v>5490</v>
      </c>
      <c r="Y10" s="208">
        <f t="shared" si="15"/>
        <v>25960</v>
      </c>
      <c r="Z10" s="208">
        <f t="shared" si="11"/>
        <v>3</v>
      </c>
      <c r="AA10" s="208">
        <f t="shared" si="12"/>
        <v>1</v>
      </c>
      <c r="AB10" s="208">
        <f t="shared" si="13"/>
        <v>6880</v>
      </c>
      <c r="AC10" s="138">
        <f t="shared" si="14"/>
        <v>19080</v>
      </c>
    </row>
    <row r="11" spans="1:30" x14ac:dyDescent="0.3">
      <c r="A11" s="18">
        <v>150</v>
      </c>
      <c r="B11" s="24">
        <v>10</v>
      </c>
      <c r="C11" s="24">
        <f t="shared" si="3"/>
        <v>15</v>
      </c>
      <c r="D11" s="24">
        <f t="shared" si="4"/>
        <v>3</v>
      </c>
      <c r="E11" s="26">
        <f>VLOOKUP($D$2,'Технический лист'!$A$2:$P$4,3,0)</f>
        <v>0.17</v>
      </c>
      <c r="F11" s="27">
        <f t="shared" si="5"/>
        <v>25.500000000000004</v>
      </c>
      <c r="G11" s="27">
        <v>10</v>
      </c>
      <c r="H11" s="27">
        <f t="shared" si="6"/>
        <v>2.5500000000000003</v>
      </c>
      <c r="I11" s="48">
        <f t="shared" si="7"/>
        <v>0.60714285714285721</v>
      </c>
      <c r="J11" s="28">
        <f>VLOOKUP('Доходы. "СТАРТ"'!$D$2,'Технический лист'!$A$2:$P$4,4,0)</f>
        <v>0.42</v>
      </c>
      <c r="K11" s="27">
        <f t="shared" si="8"/>
        <v>10</v>
      </c>
      <c r="L11" s="28">
        <f>VLOOKUP($D$2,'Технический лист'!$A$2:$P$4,6,0)</f>
        <v>0.27</v>
      </c>
      <c r="M11" s="70">
        <v>0.5</v>
      </c>
      <c r="N11" s="29" t="s">
        <v>124</v>
      </c>
      <c r="O11" s="30">
        <f>VLOOKUP($D$2,'Технический лист'!$A$2:$G$4,7,0)</f>
        <v>450</v>
      </c>
      <c r="P11" s="30">
        <v>400</v>
      </c>
      <c r="Q11" s="31">
        <v>5490</v>
      </c>
      <c r="R11" s="222">
        <f t="shared" si="9"/>
        <v>4000</v>
      </c>
      <c r="S11" s="229">
        <f t="shared" si="0"/>
        <v>3</v>
      </c>
      <c r="T11" s="222">
        <f t="shared" si="1"/>
        <v>16470</v>
      </c>
      <c r="U11" s="222">
        <f t="shared" si="16"/>
        <v>18</v>
      </c>
      <c r="V11" s="223">
        <f t="shared" si="10"/>
        <v>4500</v>
      </c>
      <c r="W11" s="209">
        <f t="shared" si="17"/>
        <v>1</v>
      </c>
      <c r="X11" s="208">
        <f t="shared" si="2"/>
        <v>5490</v>
      </c>
      <c r="Y11" s="208">
        <f t="shared" si="15"/>
        <v>25960</v>
      </c>
      <c r="Z11" s="208">
        <f t="shared" si="11"/>
        <v>3</v>
      </c>
      <c r="AA11" s="208">
        <f t="shared" si="12"/>
        <v>1</v>
      </c>
      <c r="AB11" s="208">
        <f t="shared" si="13"/>
        <v>6880</v>
      </c>
      <c r="AC11" s="138">
        <f t="shared" si="14"/>
        <v>19080</v>
      </c>
    </row>
    <row r="12" spans="1:30" x14ac:dyDescent="0.3">
      <c r="A12" s="18">
        <v>150</v>
      </c>
      <c r="B12" s="24">
        <v>10</v>
      </c>
      <c r="C12" s="24">
        <f t="shared" si="3"/>
        <v>15</v>
      </c>
      <c r="D12" s="24">
        <f t="shared" si="4"/>
        <v>3</v>
      </c>
      <c r="E12" s="26">
        <f>VLOOKUP($D$2,'Технический лист'!$A$2:$P$4,3,0)</f>
        <v>0.17</v>
      </c>
      <c r="F12" s="27">
        <f t="shared" si="5"/>
        <v>25.500000000000004</v>
      </c>
      <c r="G12" s="27">
        <v>10</v>
      </c>
      <c r="H12" s="27">
        <f t="shared" si="6"/>
        <v>2.5500000000000003</v>
      </c>
      <c r="I12" s="48">
        <f t="shared" si="7"/>
        <v>0.60714285714285721</v>
      </c>
      <c r="J12" s="28">
        <f>J11-10%</f>
        <v>0.31999999999999995</v>
      </c>
      <c r="K12" s="27">
        <f t="shared" si="8"/>
        <v>8</v>
      </c>
      <c r="L12" s="28">
        <f>L11-10%</f>
        <v>0.17</v>
      </c>
      <c r="M12" s="70">
        <v>0.35</v>
      </c>
      <c r="N12" s="29" t="s">
        <v>125</v>
      </c>
      <c r="O12" s="30">
        <f>VLOOKUP($D$2,'Технический лист'!$A$2:$G$4,7,0)</f>
        <v>450</v>
      </c>
      <c r="P12" s="30">
        <v>400</v>
      </c>
      <c r="Q12" s="31">
        <v>5490</v>
      </c>
      <c r="R12" s="222">
        <f t="shared" si="9"/>
        <v>3200</v>
      </c>
      <c r="S12" s="229">
        <f t="shared" si="0"/>
        <v>2</v>
      </c>
      <c r="T12" s="222">
        <f t="shared" si="1"/>
        <v>10980</v>
      </c>
      <c r="U12" s="222">
        <f>ROUNDUP(U11-S9*M12+S12,0)</f>
        <v>19</v>
      </c>
      <c r="V12" s="223">
        <f t="shared" si="10"/>
        <v>3600</v>
      </c>
      <c r="W12" s="209">
        <f>ROUNDDOWN(S9*M12,)</f>
        <v>1</v>
      </c>
      <c r="X12" s="208">
        <f t="shared" si="2"/>
        <v>5490</v>
      </c>
      <c r="Y12" s="208">
        <f t="shared" si="15"/>
        <v>19670</v>
      </c>
      <c r="Z12" s="208">
        <f t="shared" si="11"/>
        <v>3</v>
      </c>
      <c r="AA12" s="208">
        <f t="shared" si="12"/>
        <v>0</v>
      </c>
      <c r="AB12" s="208">
        <f t="shared" si="13"/>
        <v>5160</v>
      </c>
      <c r="AC12" s="138">
        <f t="shared" si="14"/>
        <v>14510</v>
      </c>
    </row>
    <row r="13" spans="1:30" ht="16.2" thickBot="1" x14ac:dyDescent="0.35">
      <c r="A13" s="19">
        <v>150</v>
      </c>
      <c r="B13" s="40">
        <v>10</v>
      </c>
      <c r="C13" s="40">
        <f t="shared" si="3"/>
        <v>15</v>
      </c>
      <c r="D13" s="40">
        <f t="shared" si="4"/>
        <v>3</v>
      </c>
      <c r="E13" s="42">
        <f>VLOOKUP($D$2,'Технический лист'!$A$2:$P$4,3,0)</f>
        <v>0.17</v>
      </c>
      <c r="F13" s="43">
        <f t="shared" si="5"/>
        <v>25.500000000000004</v>
      </c>
      <c r="G13" s="43">
        <v>10</v>
      </c>
      <c r="H13" s="43">
        <f t="shared" si="6"/>
        <v>2.5500000000000003</v>
      </c>
      <c r="I13" s="53">
        <f t="shared" si="7"/>
        <v>0.60714285714285721</v>
      </c>
      <c r="J13" s="44">
        <f>J12-10%</f>
        <v>0.21999999999999995</v>
      </c>
      <c r="K13" s="43">
        <f t="shared" si="8"/>
        <v>5</v>
      </c>
      <c r="L13" s="44">
        <f>L12-10%</f>
        <v>7.0000000000000007E-2</v>
      </c>
      <c r="M13" s="72">
        <v>0.2</v>
      </c>
      <c r="N13" s="45" t="s">
        <v>126</v>
      </c>
      <c r="O13" s="46">
        <f>VLOOKUP($D$2,'Технический лист'!$A$2:$G$4,7,0)</f>
        <v>450</v>
      </c>
      <c r="P13" s="46">
        <v>400</v>
      </c>
      <c r="Q13" s="47">
        <v>5490</v>
      </c>
      <c r="R13" s="234">
        <f t="shared" si="9"/>
        <v>2000</v>
      </c>
      <c r="S13" s="235">
        <f t="shared" si="0"/>
        <v>1</v>
      </c>
      <c r="T13" s="234">
        <f t="shared" si="1"/>
        <v>5490</v>
      </c>
      <c r="U13" s="234">
        <f>ROUNDUP(U12-S10*M13+S13,0)</f>
        <v>20</v>
      </c>
      <c r="V13" s="236">
        <f t="shared" si="10"/>
        <v>2250</v>
      </c>
      <c r="W13" s="213">
        <f>ROUNDDOWN(S10*M13,)</f>
        <v>0</v>
      </c>
      <c r="X13" s="214">
        <f t="shared" si="2"/>
        <v>0</v>
      </c>
      <c r="Y13" s="214">
        <f t="shared" si="15"/>
        <v>7490</v>
      </c>
      <c r="Z13" s="214">
        <f t="shared" si="11"/>
        <v>4</v>
      </c>
      <c r="AA13" s="214">
        <f t="shared" si="12"/>
        <v>0</v>
      </c>
      <c r="AB13" s="214">
        <f t="shared" si="13"/>
        <v>6880</v>
      </c>
      <c r="AC13" s="139">
        <f t="shared" si="14"/>
        <v>610</v>
      </c>
    </row>
    <row r="14" spans="1:30" ht="16.2" thickBot="1" x14ac:dyDescent="0.35"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215" t="s">
        <v>64</v>
      </c>
      <c r="AC14" s="127">
        <f>SUM(AC5:AC13)</f>
        <v>132540</v>
      </c>
    </row>
    <row r="15" spans="1:30" ht="24" thickBot="1" x14ac:dyDescent="0.5">
      <c r="A15" s="193" t="s">
        <v>132</v>
      </c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</row>
    <row r="16" spans="1:30" s="22" customFormat="1" ht="130.19999999999999" customHeight="1" thickBot="1" x14ac:dyDescent="0.35">
      <c r="A16" s="194" t="s">
        <v>138</v>
      </c>
      <c r="B16" s="195" t="s">
        <v>92</v>
      </c>
      <c r="C16" s="196" t="s">
        <v>93</v>
      </c>
      <c r="D16" s="197" t="s">
        <v>134</v>
      </c>
      <c r="E16" s="198" t="s">
        <v>94</v>
      </c>
      <c r="F16" s="199" t="s">
        <v>95</v>
      </c>
      <c r="G16" s="200" t="s">
        <v>96</v>
      </c>
      <c r="H16" s="200" t="s">
        <v>97</v>
      </c>
      <c r="I16" s="200" t="s">
        <v>98</v>
      </c>
      <c r="J16" s="200" t="s">
        <v>99</v>
      </c>
      <c r="K16" s="199" t="s">
        <v>100</v>
      </c>
      <c r="L16" s="200" t="s">
        <v>101</v>
      </c>
      <c r="M16" s="200" t="s">
        <v>102</v>
      </c>
      <c r="N16" s="198" t="s">
        <v>103</v>
      </c>
      <c r="O16" s="200" t="s">
        <v>104</v>
      </c>
      <c r="P16" s="200" t="s">
        <v>105</v>
      </c>
      <c r="Q16" s="201" t="s">
        <v>90</v>
      </c>
      <c r="R16" s="250" t="s">
        <v>106</v>
      </c>
      <c r="S16" s="251" t="s">
        <v>107</v>
      </c>
      <c r="T16" s="250" t="s">
        <v>108</v>
      </c>
      <c r="U16" s="251" t="s">
        <v>109</v>
      </c>
      <c r="V16" s="252" t="s">
        <v>110</v>
      </c>
      <c r="W16" s="248" t="s">
        <v>111</v>
      </c>
      <c r="X16" s="248" t="s">
        <v>112</v>
      </c>
      <c r="Y16" s="248" t="s">
        <v>113</v>
      </c>
      <c r="Z16" s="248" t="s">
        <v>114</v>
      </c>
      <c r="AA16" s="248" t="s">
        <v>136</v>
      </c>
      <c r="AB16" s="248" t="s">
        <v>115</v>
      </c>
      <c r="AC16" s="249" t="s">
        <v>116</v>
      </c>
    </row>
    <row r="17" spans="1:30" x14ac:dyDescent="0.3">
      <c r="A17" s="17">
        <v>150</v>
      </c>
      <c r="B17" s="24">
        <v>0</v>
      </c>
      <c r="C17" s="24">
        <f>IFERROR(A17/B17,0)</f>
        <v>0</v>
      </c>
      <c r="D17" s="25">
        <f>IFERROR(A17/(B17*5),0)</f>
        <v>0</v>
      </c>
      <c r="E17" s="49">
        <v>0</v>
      </c>
      <c r="F17" s="50">
        <f t="shared" ref="F17:F25" si="18">A17*E17</f>
        <v>0</v>
      </c>
      <c r="G17" s="50">
        <v>0</v>
      </c>
      <c r="H17" s="50">
        <f>IFERROR(F17/G17,0)</f>
        <v>0</v>
      </c>
      <c r="I17" s="50">
        <f>H17/4.2</f>
        <v>0</v>
      </c>
      <c r="J17" s="52">
        <f>VLOOKUP('Доходы. "СТАРТ"'!$D$2,'Технический лист'!$A$2:$P$4,5,0)</f>
        <v>0.23</v>
      </c>
      <c r="K17" s="50">
        <f>A17*J17</f>
        <v>34.5</v>
      </c>
      <c r="L17" s="52">
        <f>VLOOKUP($D$2,'Технический лист'!$A$2:$P$4,6,0)</f>
        <v>0.27</v>
      </c>
      <c r="M17" s="69">
        <v>0.5</v>
      </c>
      <c r="N17" s="77" t="s">
        <v>117</v>
      </c>
      <c r="O17" s="78">
        <f>VLOOKUP($D$2,'Технический лист'!$A$2:$P$4,8,0)</f>
        <v>750</v>
      </c>
      <c r="P17" s="78">
        <v>400</v>
      </c>
      <c r="Q17" s="79">
        <v>5490</v>
      </c>
      <c r="R17" s="222">
        <f t="shared" ref="R17:R25" si="19">K17*P17</f>
        <v>13800</v>
      </c>
      <c r="S17" s="222">
        <f t="shared" ref="S17:S25" si="20">ROUNDUP(K17*L17,0)</f>
        <v>10</v>
      </c>
      <c r="T17" s="222">
        <f t="shared" ref="T17:T25" si="21">S17*Q17</f>
        <v>54900</v>
      </c>
      <c r="U17" s="222">
        <f>ROUNDUP(S17,0)</f>
        <v>10</v>
      </c>
      <c r="V17" s="237">
        <f t="shared" ref="V17:V25" si="22">K17*O17</f>
        <v>25875</v>
      </c>
      <c r="W17" s="204">
        <v>0</v>
      </c>
      <c r="X17" s="205">
        <f t="shared" ref="X17:X25" si="23">W17*Q17</f>
        <v>0</v>
      </c>
      <c r="Y17" s="205">
        <f>R17+T17+X17</f>
        <v>68700</v>
      </c>
      <c r="Z17" s="205">
        <f>ROUNDUP(U17/6.6,0)</f>
        <v>2</v>
      </c>
      <c r="AA17" s="205">
        <f>ROUNDDOWN(K17/2/4.3,0)</f>
        <v>4</v>
      </c>
      <c r="AB17" s="205">
        <f>ROUNDUP((Z17+AA17)*4.3*400,0)</f>
        <v>10320</v>
      </c>
      <c r="AC17" s="206">
        <f>Y17-AB17-V17</f>
        <v>32505</v>
      </c>
    </row>
    <row r="18" spans="1:30" x14ac:dyDescent="0.3">
      <c r="A18" s="18">
        <v>150</v>
      </c>
      <c r="B18" s="24">
        <v>0</v>
      </c>
      <c r="C18" s="24">
        <f t="shared" ref="C18:C25" si="24">IFERROR(A18/B18,0)</f>
        <v>0</v>
      </c>
      <c r="D18" s="25">
        <f t="shared" ref="D18:D25" si="25">IFERROR(A18/(B18*5),0)</f>
        <v>0</v>
      </c>
      <c r="E18" s="26">
        <v>0</v>
      </c>
      <c r="F18" s="27">
        <f t="shared" si="18"/>
        <v>0</v>
      </c>
      <c r="G18" s="27">
        <v>0</v>
      </c>
      <c r="H18" s="27">
        <f t="shared" ref="H18:H25" si="26">IFERROR(F18/G18,0)</f>
        <v>0</v>
      </c>
      <c r="I18" s="27">
        <f t="shared" ref="I18:I25" si="27">H18/4.2</f>
        <v>0</v>
      </c>
      <c r="J18" s="28">
        <f>VLOOKUP('Доходы. "СТАРТ"'!$D$2,'Технический лист'!$A$2:$P$4,5,0)</f>
        <v>0.23</v>
      </c>
      <c r="K18" s="27">
        <f t="shared" ref="K18:K25" si="28">A18*J18</f>
        <v>34.5</v>
      </c>
      <c r="L18" s="28">
        <f>VLOOKUP($D$2,'Технический лист'!$A$2:$P$4,6,0)</f>
        <v>0.27</v>
      </c>
      <c r="M18" s="70">
        <v>0.5</v>
      </c>
      <c r="N18" s="29" t="s">
        <v>118</v>
      </c>
      <c r="O18" s="30">
        <f>VLOOKUP($D$2,'Технический лист'!$A$2:$P$4,8,0)</f>
        <v>750</v>
      </c>
      <c r="P18" s="30">
        <v>400</v>
      </c>
      <c r="Q18" s="31">
        <v>5490</v>
      </c>
      <c r="R18" s="222">
        <f t="shared" si="19"/>
        <v>13800</v>
      </c>
      <c r="S18" s="222">
        <f t="shared" si="20"/>
        <v>10</v>
      </c>
      <c r="T18" s="222">
        <f t="shared" si="21"/>
        <v>54900</v>
      </c>
      <c r="U18" s="222">
        <f>ROUNDUP(U17+S18,0)</f>
        <v>20</v>
      </c>
      <c r="V18" s="237">
        <f t="shared" si="22"/>
        <v>25875</v>
      </c>
      <c r="W18" s="207">
        <v>0</v>
      </c>
      <c r="X18" s="208">
        <f t="shared" si="23"/>
        <v>0</v>
      </c>
      <c r="Y18" s="208">
        <f>R18+T18+X18</f>
        <v>68700</v>
      </c>
      <c r="Z18" s="208">
        <f t="shared" ref="Z18:Z25" si="29">ROUNDUP(U18/6.6,0)</f>
        <v>4</v>
      </c>
      <c r="AA18" s="208">
        <f t="shared" ref="AA18:AA25" si="30">ROUNDDOWN(K18/2/4.3,0)</f>
        <v>4</v>
      </c>
      <c r="AB18" s="208">
        <f t="shared" ref="AB18:AB25" si="31">ROUNDUP((Z18+AA18)*4.3*400,0)</f>
        <v>13760</v>
      </c>
      <c r="AC18" s="138">
        <f t="shared" ref="AC18:AC25" si="32">Y18-AB18</f>
        <v>54940</v>
      </c>
    </row>
    <row r="19" spans="1:30" x14ac:dyDescent="0.3">
      <c r="A19" s="18">
        <v>150</v>
      </c>
      <c r="B19" s="24">
        <v>0</v>
      </c>
      <c r="C19" s="24">
        <f t="shared" si="24"/>
        <v>0</v>
      </c>
      <c r="D19" s="25">
        <f t="shared" si="25"/>
        <v>0</v>
      </c>
      <c r="E19" s="26">
        <v>0</v>
      </c>
      <c r="F19" s="27">
        <f t="shared" si="18"/>
        <v>0</v>
      </c>
      <c r="G19" s="27">
        <v>0</v>
      </c>
      <c r="H19" s="27">
        <f t="shared" si="26"/>
        <v>0</v>
      </c>
      <c r="I19" s="27">
        <f t="shared" si="27"/>
        <v>0</v>
      </c>
      <c r="J19" s="28">
        <f>VLOOKUP('Доходы. "СТАРТ"'!$D$2,'Технический лист'!$A$2:$P$4,5,0)</f>
        <v>0.23</v>
      </c>
      <c r="K19" s="27">
        <f t="shared" si="28"/>
        <v>34.5</v>
      </c>
      <c r="L19" s="28">
        <f>VLOOKUP($D$2,'Технический лист'!$A$2:$P$4,6,0)</f>
        <v>0.27</v>
      </c>
      <c r="M19" s="70">
        <v>0.5</v>
      </c>
      <c r="N19" s="29" t="s">
        <v>119</v>
      </c>
      <c r="O19" s="30">
        <f>VLOOKUP($D$2,'Технический лист'!$A$2:$P$4,8,0)</f>
        <v>750</v>
      </c>
      <c r="P19" s="30">
        <v>400</v>
      </c>
      <c r="Q19" s="31">
        <v>5490</v>
      </c>
      <c r="R19" s="222">
        <f t="shared" si="19"/>
        <v>13800</v>
      </c>
      <c r="S19" s="222">
        <f t="shared" si="20"/>
        <v>10</v>
      </c>
      <c r="T19" s="222">
        <f t="shared" si="21"/>
        <v>54900</v>
      </c>
      <c r="U19" s="222">
        <f>ROUNDUP(U18+S19,0)</f>
        <v>30</v>
      </c>
      <c r="V19" s="237">
        <f t="shared" si="22"/>
        <v>25875</v>
      </c>
      <c r="W19" s="207">
        <v>0</v>
      </c>
      <c r="X19" s="208">
        <f t="shared" si="23"/>
        <v>0</v>
      </c>
      <c r="Y19" s="208">
        <f t="shared" ref="Y19:Y25" si="33">R19+T19+X19</f>
        <v>68700</v>
      </c>
      <c r="Z19" s="208">
        <f t="shared" si="29"/>
        <v>5</v>
      </c>
      <c r="AA19" s="208">
        <f t="shared" si="30"/>
        <v>4</v>
      </c>
      <c r="AB19" s="208">
        <f t="shared" si="31"/>
        <v>15480</v>
      </c>
      <c r="AC19" s="138">
        <f t="shared" si="32"/>
        <v>53220</v>
      </c>
    </row>
    <row r="20" spans="1:30" x14ac:dyDescent="0.3">
      <c r="A20" s="18">
        <v>150</v>
      </c>
      <c r="B20" s="24">
        <v>0</v>
      </c>
      <c r="C20" s="24">
        <f t="shared" si="24"/>
        <v>0</v>
      </c>
      <c r="D20" s="25">
        <f t="shared" si="25"/>
        <v>0</v>
      </c>
      <c r="E20" s="26">
        <v>0</v>
      </c>
      <c r="F20" s="27">
        <f t="shared" si="18"/>
        <v>0</v>
      </c>
      <c r="G20" s="27">
        <v>0</v>
      </c>
      <c r="H20" s="27">
        <f t="shared" si="26"/>
        <v>0</v>
      </c>
      <c r="I20" s="27">
        <f t="shared" si="27"/>
        <v>0</v>
      </c>
      <c r="J20" s="28">
        <f>VLOOKUP('Доходы. "СТАРТ"'!$D$2,'Технический лист'!$A$2:$P$4,5,0)</f>
        <v>0.23</v>
      </c>
      <c r="K20" s="27">
        <f t="shared" si="28"/>
        <v>34.5</v>
      </c>
      <c r="L20" s="28">
        <f>VLOOKUP($D$2,'Технический лист'!$A$2:$P$4,6,0)</f>
        <v>0.27</v>
      </c>
      <c r="M20" s="70">
        <v>0.5</v>
      </c>
      <c r="N20" s="29" t="s">
        <v>120</v>
      </c>
      <c r="O20" s="30">
        <f>VLOOKUP($D$2,'Технический лист'!$A$2:$P$4,8,0)</f>
        <v>750</v>
      </c>
      <c r="P20" s="30">
        <v>400</v>
      </c>
      <c r="Q20" s="31">
        <v>5490</v>
      </c>
      <c r="R20" s="222">
        <f t="shared" si="19"/>
        <v>13800</v>
      </c>
      <c r="S20" s="222">
        <f t="shared" si="20"/>
        <v>10</v>
      </c>
      <c r="T20" s="222">
        <f t="shared" si="21"/>
        <v>54900</v>
      </c>
      <c r="U20" s="222">
        <f>ROUNDUP(U19+S20,0)</f>
        <v>40</v>
      </c>
      <c r="V20" s="237">
        <f t="shared" si="22"/>
        <v>25875</v>
      </c>
      <c r="W20" s="207">
        <v>0</v>
      </c>
      <c r="X20" s="208">
        <f t="shared" si="23"/>
        <v>0</v>
      </c>
      <c r="Y20" s="208">
        <f t="shared" si="33"/>
        <v>68700</v>
      </c>
      <c r="Z20" s="208">
        <f t="shared" si="29"/>
        <v>7</v>
      </c>
      <c r="AA20" s="208">
        <f t="shared" si="30"/>
        <v>4</v>
      </c>
      <c r="AB20" s="208">
        <f t="shared" si="31"/>
        <v>18920</v>
      </c>
      <c r="AC20" s="138">
        <f t="shared" si="32"/>
        <v>49780</v>
      </c>
    </row>
    <row r="21" spans="1:30" s="38" customFormat="1" x14ac:dyDescent="0.3">
      <c r="A21" s="18">
        <v>150</v>
      </c>
      <c r="B21" s="32">
        <v>0</v>
      </c>
      <c r="C21" s="81">
        <f t="shared" si="24"/>
        <v>0</v>
      </c>
      <c r="D21" s="82">
        <f t="shared" si="25"/>
        <v>0</v>
      </c>
      <c r="E21" s="33">
        <v>0</v>
      </c>
      <c r="F21" s="34">
        <f t="shared" si="18"/>
        <v>0</v>
      </c>
      <c r="G21" s="34">
        <v>0</v>
      </c>
      <c r="H21" s="80">
        <f t="shared" si="26"/>
        <v>0</v>
      </c>
      <c r="I21" s="34">
        <f t="shared" si="27"/>
        <v>0</v>
      </c>
      <c r="J21" s="75">
        <f>VLOOKUP('Доходы. "СТАРТ"'!$D$2,'Технический лист'!$A$2:$P$4,5,0)</f>
        <v>0.23</v>
      </c>
      <c r="K21" s="34">
        <f>A21*J21</f>
        <v>34.5</v>
      </c>
      <c r="L21" s="75">
        <f>VLOOKUP($D$2,'Технический лист'!$A$2:$P$4,6,0)</f>
        <v>0.27</v>
      </c>
      <c r="M21" s="71">
        <v>0.5</v>
      </c>
      <c r="N21" s="35" t="s">
        <v>121</v>
      </c>
      <c r="O21" s="76">
        <f>VLOOKUP($D$2,'Технический лист'!$A$2:$P$4,8,0)</f>
        <v>750</v>
      </c>
      <c r="P21" s="36">
        <v>400</v>
      </c>
      <c r="Q21" s="37">
        <v>5490</v>
      </c>
      <c r="R21" s="227">
        <f t="shared" si="19"/>
        <v>13800</v>
      </c>
      <c r="S21" s="227">
        <f t="shared" si="20"/>
        <v>10</v>
      </c>
      <c r="T21" s="227">
        <f t="shared" si="21"/>
        <v>54900</v>
      </c>
      <c r="U21" s="227">
        <f t="shared" ref="U21:U23" si="34">ROUNDUP(U20-S17*M21+S21,0)</f>
        <v>45</v>
      </c>
      <c r="V21" s="238">
        <f t="shared" si="22"/>
        <v>25875</v>
      </c>
      <c r="W21" s="209">
        <f t="shared" ref="W21:W23" si="35">ROUNDDOWN(S17*M21,0)</f>
        <v>5</v>
      </c>
      <c r="X21" s="210">
        <f t="shared" si="23"/>
        <v>27450</v>
      </c>
      <c r="Y21" s="211">
        <f t="shared" si="33"/>
        <v>96150</v>
      </c>
      <c r="Z21" s="211">
        <f t="shared" si="29"/>
        <v>7</v>
      </c>
      <c r="AA21" s="211">
        <f t="shared" si="30"/>
        <v>4</v>
      </c>
      <c r="AB21" s="211">
        <f t="shared" si="31"/>
        <v>18920</v>
      </c>
      <c r="AC21" s="212">
        <f t="shared" si="32"/>
        <v>77230</v>
      </c>
      <c r="AD21" s="38" t="s">
        <v>122</v>
      </c>
    </row>
    <row r="22" spans="1:30" x14ac:dyDescent="0.3">
      <c r="A22" s="18">
        <v>150</v>
      </c>
      <c r="B22" s="24">
        <v>0</v>
      </c>
      <c r="C22" s="24">
        <f t="shared" si="24"/>
        <v>0</v>
      </c>
      <c r="D22" s="25">
        <f t="shared" si="25"/>
        <v>0</v>
      </c>
      <c r="E22" s="26">
        <v>0</v>
      </c>
      <c r="F22" s="27">
        <f t="shared" si="18"/>
        <v>0</v>
      </c>
      <c r="G22" s="27">
        <v>0</v>
      </c>
      <c r="H22" s="27">
        <f t="shared" si="26"/>
        <v>0</v>
      </c>
      <c r="I22" s="27">
        <f t="shared" si="27"/>
        <v>0</v>
      </c>
      <c r="J22" s="28">
        <f>VLOOKUP('Доходы. "СТАРТ"'!$D$2,'Технический лист'!$A$2:$P$4,5,0)</f>
        <v>0.23</v>
      </c>
      <c r="K22" s="27">
        <f t="shared" si="28"/>
        <v>34.5</v>
      </c>
      <c r="L22" s="28">
        <f>VLOOKUP($D$2,'Технический лист'!$A$2:$P$4,6,0)</f>
        <v>0.27</v>
      </c>
      <c r="M22" s="70">
        <v>0.5</v>
      </c>
      <c r="N22" s="29" t="s">
        <v>123</v>
      </c>
      <c r="O22" s="30">
        <f>VLOOKUP($D$2,'Технический лист'!$A$2:$P$4,8,0)</f>
        <v>750</v>
      </c>
      <c r="P22" s="30">
        <v>400</v>
      </c>
      <c r="Q22" s="31">
        <v>5490</v>
      </c>
      <c r="R22" s="222">
        <f t="shared" si="19"/>
        <v>13800</v>
      </c>
      <c r="S22" s="229">
        <f t="shared" si="20"/>
        <v>10</v>
      </c>
      <c r="T22" s="222">
        <f t="shared" si="21"/>
        <v>54900</v>
      </c>
      <c r="U22" s="222">
        <f t="shared" si="34"/>
        <v>50</v>
      </c>
      <c r="V22" s="237">
        <f t="shared" si="22"/>
        <v>25875</v>
      </c>
      <c r="W22" s="209">
        <f t="shared" si="35"/>
        <v>5</v>
      </c>
      <c r="X22" s="208">
        <f t="shared" si="23"/>
        <v>27450</v>
      </c>
      <c r="Y22" s="208">
        <f t="shared" si="33"/>
        <v>96150</v>
      </c>
      <c r="Z22" s="208">
        <f t="shared" si="29"/>
        <v>8</v>
      </c>
      <c r="AA22" s="208">
        <f t="shared" si="30"/>
        <v>4</v>
      </c>
      <c r="AB22" s="208">
        <f t="shared" si="31"/>
        <v>20640</v>
      </c>
      <c r="AC22" s="138">
        <f t="shared" si="32"/>
        <v>75510</v>
      </c>
    </row>
    <row r="23" spans="1:30" x14ac:dyDescent="0.3">
      <c r="A23" s="18">
        <v>150</v>
      </c>
      <c r="B23" s="24">
        <v>0</v>
      </c>
      <c r="C23" s="24">
        <f t="shared" si="24"/>
        <v>0</v>
      </c>
      <c r="D23" s="25">
        <f t="shared" si="25"/>
        <v>0</v>
      </c>
      <c r="E23" s="26">
        <v>0</v>
      </c>
      <c r="F23" s="27">
        <f t="shared" si="18"/>
        <v>0</v>
      </c>
      <c r="G23" s="27">
        <v>0</v>
      </c>
      <c r="H23" s="27">
        <f t="shared" si="26"/>
        <v>0</v>
      </c>
      <c r="I23" s="27">
        <f t="shared" si="27"/>
        <v>0</v>
      </c>
      <c r="J23" s="28">
        <f>VLOOKUP('Доходы. "СТАРТ"'!$D$2,'Технический лист'!$A$2:$P$4,5,0)</f>
        <v>0.23</v>
      </c>
      <c r="K23" s="27">
        <f>A23*J23</f>
        <v>34.5</v>
      </c>
      <c r="L23" s="28">
        <f>VLOOKUP($D$2,'Технический лист'!$A$2:$P$4,6,0)</f>
        <v>0.27</v>
      </c>
      <c r="M23" s="70">
        <v>0.5</v>
      </c>
      <c r="N23" s="29" t="s">
        <v>124</v>
      </c>
      <c r="O23" s="30">
        <f>VLOOKUP($D$2,'Технический лист'!$A$2:$P$4,8,0)</f>
        <v>750</v>
      </c>
      <c r="P23" s="30">
        <v>400</v>
      </c>
      <c r="Q23" s="31">
        <v>5490</v>
      </c>
      <c r="R23" s="222">
        <f t="shared" si="19"/>
        <v>13800</v>
      </c>
      <c r="S23" s="229">
        <f t="shared" si="20"/>
        <v>10</v>
      </c>
      <c r="T23" s="222">
        <f t="shared" si="21"/>
        <v>54900</v>
      </c>
      <c r="U23" s="222">
        <f t="shared" si="34"/>
        <v>55</v>
      </c>
      <c r="V23" s="237">
        <f t="shared" si="22"/>
        <v>25875</v>
      </c>
      <c r="W23" s="209">
        <f t="shared" si="35"/>
        <v>5</v>
      </c>
      <c r="X23" s="208">
        <f t="shared" si="23"/>
        <v>27450</v>
      </c>
      <c r="Y23" s="208">
        <f t="shared" si="33"/>
        <v>96150</v>
      </c>
      <c r="Z23" s="208">
        <f t="shared" si="29"/>
        <v>9</v>
      </c>
      <c r="AA23" s="208">
        <f t="shared" si="30"/>
        <v>4</v>
      </c>
      <c r="AB23" s="208">
        <f t="shared" si="31"/>
        <v>22360</v>
      </c>
      <c r="AC23" s="138">
        <f t="shared" si="32"/>
        <v>73790</v>
      </c>
    </row>
    <row r="24" spans="1:30" x14ac:dyDescent="0.3">
      <c r="A24" s="18">
        <v>150</v>
      </c>
      <c r="B24" s="24">
        <v>0</v>
      </c>
      <c r="C24" s="24">
        <f t="shared" si="24"/>
        <v>0</v>
      </c>
      <c r="D24" s="25">
        <f t="shared" si="25"/>
        <v>0</v>
      </c>
      <c r="E24" s="26">
        <v>0</v>
      </c>
      <c r="F24" s="27">
        <f t="shared" si="18"/>
        <v>0</v>
      </c>
      <c r="G24" s="27">
        <v>0</v>
      </c>
      <c r="H24" s="27">
        <f t="shared" si="26"/>
        <v>0</v>
      </c>
      <c r="I24" s="27">
        <f t="shared" si="27"/>
        <v>0</v>
      </c>
      <c r="J24" s="28">
        <f>J23-5%</f>
        <v>0.18</v>
      </c>
      <c r="K24" s="27">
        <f>A24*J24</f>
        <v>27</v>
      </c>
      <c r="L24" s="28">
        <f>L23-5%</f>
        <v>0.22000000000000003</v>
      </c>
      <c r="M24" s="70">
        <v>0.35</v>
      </c>
      <c r="N24" s="29" t="s">
        <v>125</v>
      </c>
      <c r="O24" s="102">
        <f>VLOOKUP($D$2,'Технический лист'!$A$2:$P$4,8,0)</f>
        <v>750</v>
      </c>
      <c r="P24" s="30">
        <v>400</v>
      </c>
      <c r="Q24" s="31">
        <v>5490</v>
      </c>
      <c r="R24" s="222">
        <f t="shared" si="19"/>
        <v>10800</v>
      </c>
      <c r="S24" s="229">
        <f t="shared" si="20"/>
        <v>6</v>
      </c>
      <c r="T24" s="222">
        <f t="shared" si="21"/>
        <v>32940</v>
      </c>
      <c r="U24" s="222">
        <f>ROUNDUP(U23-S21*M24+S24,0)</f>
        <v>58</v>
      </c>
      <c r="V24" s="237">
        <f t="shared" si="22"/>
        <v>20250</v>
      </c>
      <c r="W24" s="209">
        <f>ROUNDDOWN(S21*M24,0)</f>
        <v>3</v>
      </c>
      <c r="X24" s="208">
        <f t="shared" si="23"/>
        <v>16470</v>
      </c>
      <c r="Y24" s="208">
        <f t="shared" si="33"/>
        <v>60210</v>
      </c>
      <c r="Z24" s="208">
        <f t="shared" si="29"/>
        <v>9</v>
      </c>
      <c r="AA24" s="208">
        <f t="shared" si="30"/>
        <v>3</v>
      </c>
      <c r="AB24" s="208">
        <f t="shared" si="31"/>
        <v>20640</v>
      </c>
      <c r="AC24" s="138">
        <f t="shared" si="32"/>
        <v>39570</v>
      </c>
    </row>
    <row r="25" spans="1:30" ht="16.2" thickBot="1" x14ac:dyDescent="0.35">
      <c r="A25" s="19">
        <v>150</v>
      </c>
      <c r="B25" s="40">
        <v>0</v>
      </c>
      <c r="C25" s="40">
        <f t="shared" si="24"/>
        <v>0</v>
      </c>
      <c r="D25" s="41">
        <f t="shared" si="25"/>
        <v>0</v>
      </c>
      <c r="E25" s="42">
        <v>0</v>
      </c>
      <c r="F25" s="43">
        <f t="shared" si="18"/>
        <v>0</v>
      </c>
      <c r="G25" s="43">
        <v>0</v>
      </c>
      <c r="H25" s="43">
        <f t="shared" si="26"/>
        <v>0</v>
      </c>
      <c r="I25" s="43">
        <f t="shared" si="27"/>
        <v>0</v>
      </c>
      <c r="J25" s="44">
        <f>J24-5%</f>
        <v>0.13</v>
      </c>
      <c r="K25" s="43">
        <f t="shared" si="28"/>
        <v>19.5</v>
      </c>
      <c r="L25" s="44">
        <f>L24-5%</f>
        <v>0.17000000000000004</v>
      </c>
      <c r="M25" s="72">
        <v>0.2</v>
      </c>
      <c r="N25" s="45" t="s">
        <v>126</v>
      </c>
      <c r="O25" s="103">
        <f>VLOOKUP($D$2,'Технический лист'!$A$2:$P$4,8,0)</f>
        <v>750</v>
      </c>
      <c r="P25" s="46">
        <v>400</v>
      </c>
      <c r="Q25" s="47">
        <v>5490</v>
      </c>
      <c r="R25" s="234">
        <f t="shared" si="19"/>
        <v>7800</v>
      </c>
      <c r="S25" s="235">
        <f t="shared" si="20"/>
        <v>4</v>
      </c>
      <c r="T25" s="234">
        <f t="shared" si="21"/>
        <v>21960</v>
      </c>
      <c r="U25" s="234">
        <f>ROUNDUP(U24-S22*M25+S25,0)</f>
        <v>60</v>
      </c>
      <c r="V25" s="239">
        <f t="shared" si="22"/>
        <v>14625</v>
      </c>
      <c r="W25" s="213">
        <f>ROUNDDOWN(S22*M25,0)</f>
        <v>2</v>
      </c>
      <c r="X25" s="214">
        <f t="shared" si="23"/>
        <v>10980</v>
      </c>
      <c r="Y25" s="214">
        <f t="shared" si="33"/>
        <v>40740</v>
      </c>
      <c r="Z25" s="214">
        <f t="shared" si="29"/>
        <v>10</v>
      </c>
      <c r="AA25" s="214">
        <f t="shared" si="30"/>
        <v>2</v>
      </c>
      <c r="AB25" s="214">
        <f t="shared" si="31"/>
        <v>20640</v>
      </c>
      <c r="AC25" s="139">
        <f t="shared" si="32"/>
        <v>20100</v>
      </c>
    </row>
    <row r="26" spans="1:30" ht="16.2" thickBot="1" x14ac:dyDescent="0.35"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215" t="s">
        <v>64</v>
      </c>
      <c r="AC26" s="127">
        <f>SUM(AC17:AC25)</f>
        <v>476645</v>
      </c>
    </row>
    <row r="27" spans="1:30" x14ac:dyDescent="0.3"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</row>
    <row r="28" spans="1:30" x14ac:dyDescent="0.3"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</row>
    <row r="29" spans="1:30" ht="24" thickBot="1" x14ac:dyDescent="0.5">
      <c r="A29" s="193" t="s">
        <v>133</v>
      </c>
      <c r="K29" s="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</row>
    <row r="30" spans="1:30" s="22" customFormat="1" ht="156.6" customHeight="1" thickBot="1" x14ac:dyDescent="0.35">
      <c r="A30" s="95" t="s">
        <v>127</v>
      </c>
      <c r="B30" s="195" t="s">
        <v>92</v>
      </c>
      <c r="C30" s="196" t="s">
        <v>93</v>
      </c>
      <c r="D30" s="197" t="s">
        <v>134</v>
      </c>
      <c r="E30" s="195" t="s">
        <v>94</v>
      </c>
      <c r="F30" s="202" t="s">
        <v>95</v>
      </c>
      <c r="G30" s="196" t="s">
        <v>96</v>
      </c>
      <c r="H30" s="196" t="s">
        <v>97</v>
      </c>
      <c r="I30" s="196" t="s">
        <v>98</v>
      </c>
      <c r="J30" s="196" t="s">
        <v>128</v>
      </c>
      <c r="K30" s="202" t="s">
        <v>100</v>
      </c>
      <c r="L30" s="196" t="s">
        <v>129</v>
      </c>
      <c r="M30" s="196" t="s">
        <v>102</v>
      </c>
      <c r="N30" s="195" t="s">
        <v>103</v>
      </c>
      <c r="O30" s="196" t="s">
        <v>104</v>
      </c>
      <c r="P30" s="196" t="s">
        <v>105</v>
      </c>
      <c r="Q30" s="197" t="s">
        <v>90</v>
      </c>
      <c r="R30" s="250" t="s">
        <v>106</v>
      </c>
      <c r="S30" s="251" t="s">
        <v>107</v>
      </c>
      <c r="T30" s="250" t="s">
        <v>108</v>
      </c>
      <c r="U30" s="251" t="s">
        <v>109</v>
      </c>
      <c r="V30" s="252" t="s">
        <v>110</v>
      </c>
      <c r="W30" s="248" t="s">
        <v>111</v>
      </c>
      <c r="X30" s="248" t="s">
        <v>112</v>
      </c>
      <c r="Y30" s="248" t="s">
        <v>113</v>
      </c>
      <c r="Z30" s="248" t="s">
        <v>114</v>
      </c>
      <c r="AA30" s="248" t="s">
        <v>136</v>
      </c>
      <c r="AB30" s="248" t="s">
        <v>115</v>
      </c>
      <c r="AC30" s="249" t="s">
        <v>116</v>
      </c>
    </row>
    <row r="31" spans="1:30" x14ac:dyDescent="0.3">
      <c r="A31" s="60">
        <f t="shared" ref="A31:I31" si="36">A5+A17</f>
        <v>300</v>
      </c>
      <c r="B31" s="23">
        <f t="shared" si="36"/>
        <v>10</v>
      </c>
      <c r="C31" s="24">
        <f t="shared" si="36"/>
        <v>15</v>
      </c>
      <c r="D31" s="25">
        <f t="shared" si="36"/>
        <v>3</v>
      </c>
      <c r="E31" s="56">
        <f t="shared" si="36"/>
        <v>0.17</v>
      </c>
      <c r="F31" s="27">
        <f t="shared" si="36"/>
        <v>25.500000000000004</v>
      </c>
      <c r="G31" s="27">
        <f t="shared" si="36"/>
        <v>10</v>
      </c>
      <c r="H31" s="27">
        <f t="shared" si="36"/>
        <v>2.5500000000000003</v>
      </c>
      <c r="I31" s="48">
        <f t="shared" si="36"/>
        <v>0.60714285714285721</v>
      </c>
      <c r="J31" s="57">
        <f t="shared" ref="J31:J39" si="37">(J5+J17)/2</f>
        <v>0.32500000000000001</v>
      </c>
      <c r="K31" s="27">
        <f t="shared" ref="K31:K39" si="38">K5+K17</f>
        <v>44.5</v>
      </c>
      <c r="L31" s="57">
        <v>0.35</v>
      </c>
      <c r="M31" s="57">
        <v>0.5</v>
      </c>
      <c r="N31" s="29" t="s">
        <v>117</v>
      </c>
      <c r="O31" s="30">
        <f t="shared" ref="O31:O39" si="39">(O5+O17)/2</f>
        <v>600</v>
      </c>
      <c r="P31" s="30">
        <v>400</v>
      </c>
      <c r="Q31" s="31">
        <v>5490</v>
      </c>
      <c r="R31" s="218">
        <f t="shared" ref="R31:AC31" si="40">R5+R17</f>
        <v>17800</v>
      </c>
      <c r="S31" s="218">
        <f t="shared" si="40"/>
        <v>13</v>
      </c>
      <c r="T31" s="218">
        <f t="shared" si="40"/>
        <v>71370</v>
      </c>
      <c r="U31" s="218">
        <f t="shared" si="40"/>
        <v>13</v>
      </c>
      <c r="V31" s="219">
        <f t="shared" si="40"/>
        <v>30375</v>
      </c>
      <c r="W31" s="204">
        <f t="shared" si="40"/>
        <v>0</v>
      </c>
      <c r="X31" s="205">
        <f t="shared" si="40"/>
        <v>0</v>
      </c>
      <c r="Y31" s="205">
        <f t="shared" si="40"/>
        <v>89170</v>
      </c>
      <c r="Z31" s="205">
        <f t="shared" si="40"/>
        <v>3</v>
      </c>
      <c r="AA31" s="205">
        <f t="shared" si="40"/>
        <v>5</v>
      </c>
      <c r="AB31" s="205">
        <f t="shared" si="40"/>
        <v>13760</v>
      </c>
      <c r="AC31" s="206">
        <f t="shared" si="40"/>
        <v>45035</v>
      </c>
    </row>
    <row r="32" spans="1:30" x14ac:dyDescent="0.3">
      <c r="A32" s="60">
        <f t="shared" ref="A32:I32" si="41">A6+A18</f>
        <v>300</v>
      </c>
      <c r="B32" s="23">
        <f t="shared" si="41"/>
        <v>10</v>
      </c>
      <c r="C32" s="24">
        <f t="shared" si="41"/>
        <v>15</v>
      </c>
      <c r="D32" s="25">
        <f t="shared" si="41"/>
        <v>3</v>
      </c>
      <c r="E32" s="56">
        <f t="shared" si="41"/>
        <v>0.17</v>
      </c>
      <c r="F32" s="24">
        <f t="shared" si="41"/>
        <v>25.500000000000004</v>
      </c>
      <c r="G32" s="24">
        <f t="shared" si="41"/>
        <v>10</v>
      </c>
      <c r="H32" s="27">
        <f t="shared" si="41"/>
        <v>2.5500000000000003</v>
      </c>
      <c r="I32" s="48">
        <f t="shared" si="41"/>
        <v>0.60714285714285721</v>
      </c>
      <c r="J32" s="57">
        <f t="shared" si="37"/>
        <v>0.32500000000000001</v>
      </c>
      <c r="K32" s="27">
        <f t="shared" si="38"/>
        <v>44.5</v>
      </c>
      <c r="L32" s="57">
        <v>0.35</v>
      </c>
      <c r="M32" s="57">
        <v>0.5</v>
      </c>
      <c r="N32" s="29" t="s">
        <v>118</v>
      </c>
      <c r="O32" s="30">
        <f t="shared" si="39"/>
        <v>600</v>
      </c>
      <c r="P32" s="30">
        <v>400</v>
      </c>
      <c r="Q32" s="31">
        <v>5490</v>
      </c>
      <c r="R32" s="222">
        <f t="shared" ref="R32:AC32" si="42">R6+R18</f>
        <v>17800</v>
      </c>
      <c r="S32" s="222">
        <f t="shared" si="42"/>
        <v>13</v>
      </c>
      <c r="T32" s="222">
        <f t="shared" si="42"/>
        <v>71370</v>
      </c>
      <c r="U32" s="222">
        <f t="shared" si="42"/>
        <v>26</v>
      </c>
      <c r="V32" s="223">
        <f t="shared" si="42"/>
        <v>30375</v>
      </c>
      <c r="W32" s="207">
        <f t="shared" si="42"/>
        <v>0</v>
      </c>
      <c r="X32" s="208">
        <f t="shared" si="42"/>
        <v>0</v>
      </c>
      <c r="Y32" s="208">
        <f t="shared" si="42"/>
        <v>89170</v>
      </c>
      <c r="Z32" s="208">
        <f t="shared" si="42"/>
        <v>5</v>
      </c>
      <c r="AA32" s="208">
        <f t="shared" si="42"/>
        <v>5</v>
      </c>
      <c r="AB32" s="208">
        <f t="shared" si="42"/>
        <v>17200</v>
      </c>
      <c r="AC32" s="138">
        <f t="shared" si="42"/>
        <v>71970</v>
      </c>
    </row>
    <row r="33" spans="1:29" x14ac:dyDescent="0.3">
      <c r="A33" s="60">
        <f t="shared" ref="A33:I33" si="43">A7+A19</f>
        <v>300</v>
      </c>
      <c r="B33" s="23">
        <f t="shared" si="43"/>
        <v>10</v>
      </c>
      <c r="C33" s="24">
        <f t="shared" si="43"/>
        <v>15</v>
      </c>
      <c r="D33" s="25">
        <f t="shared" si="43"/>
        <v>3</v>
      </c>
      <c r="E33" s="56">
        <f t="shared" si="43"/>
        <v>0.17</v>
      </c>
      <c r="F33" s="24">
        <f t="shared" si="43"/>
        <v>25.500000000000004</v>
      </c>
      <c r="G33" s="24">
        <f t="shared" si="43"/>
        <v>10</v>
      </c>
      <c r="H33" s="27">
        <f t="shared" si="43"/>
        <v>2.5500000000000003</v>
      </c>
      <c r="I33" s="48">
        <f t="shared" si="43"/>
        <v>0.60714285714285721</v>
      </c>
      <c r="J33" s="57">
        <f t="shared" si="37"/>
        <v>0.32500000000000001</v>
      </c>
      <c r="K33" s="27">
        <f t="shared" si="38"/>
        <v>44.5</v>
      </c>
      <c r="L33" s="57">
        <v>0.35</v>
      </c>
      <c r="M33" s="57">
        <v>0.5</v>
      </c>
      <c r="N33" s="29" t="s">
        <v>119</v>
      </c>
      <c r="O33" s="30">
        <f t="shared" si="39"/>
        <v>600</v>
      </c>
      <c r="P33" s="30">
        <v>400</v>
      </c>
      <c r="Q33" s="31">
        <v>5490</v>
      </c>
      <c r="R33" s="222">
        <f t="shared" ref="R33:AC33" si="44">R7+R19</f>
        <v>17800</v>
      </c>
      <c r="S33" s="222">
        <f t="shared" si="44"/>
        <v>13</v>
      </c>
      <c r="T33" s="222">
        <f t="shared" si="44"/>
        <v>71370</v>
      </c>
      <c r="U33" s="222">
        <f t="shared" si="44"/>
        <v>39</v>
      </c>
      <c r="V33" s="223">
        <f t="shared" si="44"/>
        <v>30375</v>
      </c>
      <c r="W33" s="207">
        <f t="shared" si="44"/>
        <v>0</v>
      </c>
      <c r="X33" s="208">
        <f t="shared" si="44"/>
        <v>0</v>
      </c>
      <c r="Y33" s="208">
        <f t="shared" si="44"/>
        <v>89170</v>
      </c>
      <c r="Z33" s="208">
        <f t="shared" si="44"/>
        <v>7</v>
      </c>
      <c r="AA33" s="208">
        <f t="shared" si="44"/>
        <v>5</v>
      </c>
      <c r="AB33" s="208">
        <f t="shared" si="44"/>
        <v>20640</v>
      </c>
      <c r="AC33" s="138">
        <f t="shared" si="44"/>
        <v>68530</v>
      </c>
    </row>
    <row r="34" spans="1:29" x14ac:dyDescent="0.3">
      <c r="A34" s="60">
        <f t="shared" ref="A34:I34" si="45">A8+A20</f>
        <v>300</v>
      </c>
      <c r="B34" s="23">
        <f t="shared" si="45"/>
        <v>10</v>
      </c>
      <c r="C34" s="24">
        <f t="shared" si="45"/>
        <v>15</v>
      </c>
      <c r="D34" s="25">
        <f t="shared" si="45"/>
        <v>3</v>
      </c>
      <c r="E34" s="56">
        <f t="shared" si="45"/>
        <v>0.17</v>
      </c>
      <c r="F34" s="24">
        <f t="shared" si="45"/>
        <v>25.500000000000004</v>
      </c>
      <c r="G34" s="24">
        <f t="shared" si="45"/>
        <v>10</v>
      </c>
      <c r="H34" s="27">
        <f t="shared" si="45"/>
        <v>2.5500000000000003</v>
      </c>
      <c r="I34" s="48">
        <f t="shared" si="45"/>
        <v>0.60714285714285721</v>
      </c>
      <c r="J34" s="57">
        <f t="shared" si="37"/>
        <v>0.32500000000000001</v>
      </c>
      <c r="K34" s="27">
        <f t="shared" si="38"/>
        <v>44.5</v>
      </c>
      <c r="L34" s="57">
        <v>0.35</v>
      </c>
      <c r="M34" s="57">
        <v>0.5</v>
      </c>
      <c r="N34" s="29" t="s">
        <v>120</v>
      </c>
      <c r="O34" s="30">
        <f t="shared" si="39"/>
        <v>600</v>
      </c>
      <c r="P34" s="30">
        <v>400</v>
      </c>
      <c r="Q34" s="31">
        <v>5490</v>
      </c>
      <c r="R34" s="222">
        <f t="shared" ref="R34:AC34" si="46">R8+R20</f>
        <v>17800</v>
      </c>
      <c r="S34" s="222">
        <f t="shared" si="46"/>
        <v>13</v>
      </c>
      <c r="T34" s="222">
        <f t="shared" si="46"/>
        <v>71370</v>
      </c>
      <c r="U34" s="222">
        <f t="shared" si="46"/>
        <v>52</v>
      </c>
      <c r="V34" s="223">
        <f t="shared" si="46"/>
        <v>30375</v>
      </c>
      <c r="W34" s="207">
        <f t="shared" si="46"/>
        <v>0</v>
      </c>
      <c r="X34" s="208">
        <f t="shared" si="46"/>
        <v>0</v>
      </c>
      <c r="Y34" s="208">
        <f t="shared" si="46"/>
        <v>89170</v>
      </c>
      <c r="Z34" s="208">
        <f t="shared" si="46"/>
        <v>9</v>
      </c>
      <c r="AA34" s="208">
        <f t="shared" si="46"/>
        <v>5</v>
      </c>
      <c r="AB34" s="208">
        <f t="shared" si="46"/>
        <v>24080</v>
      </c>
      <c r="AC34" s="138">
        <f t="shared" si="46"/>
        <v>65090</v>
      </c>
    </row>
    <row r="35" spans="1:29" x14ac:dyDescent="0.3">
      <c r="A35" s="60">
        <f t="shared" ref="A35:I35" si="47">A9+A21</f>
        <v>300</v>
      </c>
      <c r="B35" s="23">
        <f t="shared" si="47"/>
        <v>10</v>
      </c>
      <c r="C35" s="24">
        <f t="shared" si="47"/>
        <v>15</v>
      </c>
      <c r="D35" s="25">
        <f t="shared" si="47"/>
        <v>3</v>
      </c>
      <c r="E35" s="98">
        <f t="shared" si="47"/>
        <v>0.17</v>
      </c>
      <c r="F35" s="81">
        <f t="shared" si="47"/>
        <v>25.500000000000004</v>
      </c>
      <c r="G35" s="81">
        <f t="shared" si="47"/>
        <v>10</v>
      </c>
      <c r="H35" s="80">
        <f t="shared" si="47"/>
        <v>2.5500000000000003</v>
      </c>
      <c r="I35" s="74">
        <f t="shared" si="47"/>
        <v>0.60714285714285721</v>
      </c>
      <c r="J35" s="99">
        <f t="shared" si="37"/>
        <v>0.32500000000000001</v>
      </c>
      <c r="K35" s="80">
        <f t="shared" si="38"/>
        <v>44.5</v>
      </c>
      <c r="L35" s="99">
        <v>0.35</v>
      </c>
      <c r="M35" s="99">
        <v>0.5</v>
      </c>
      <c r="N35" s="100" t="s">
        <v>121</v>
      </c>
      <c r="O35" s="76">
        <f t="shared" si="39"/>
        <v>600</v>
      </c>
      <c r="P35" s="76">
        <v>400</v>
      </c>
      <c r="Q35" s="101">
        <v>5490</v>
      </c>
      <c r="R35" s="241">
        <f t="shared" ref="R35:AC35" si="48">R9+R21</f>
        <v>17800</v>
      </c>
      <c r="S35" s="241">
        <f t="shared" si="48"/>
        <v>13</v>
      </c>
      <c r="T35" s="241">
        <f t="shared" si="48"/>
        <v>71370</v>
      </c>
      <c r="U35" s="241">
        <f t="shared" si="48"/>
        <v>59</v>
      </c>
      <c r="V35" s="242">
        <f t="shared" si="48"/>
        <v>30375</v>
      </c>
      <c r="W35" s="243">
        <f t="shared" si="48"/>
        <v>6</v>
      </c>
      <c r="X35" s="211">
        <f t="shared" si="48"/>
        <v>32940</v>
      </c>
      <c r="Y35" s="211">
        <f t="shared" si="48"/>
        <v>122110</v>
      </c>
      <c r="Z35" s="211">
        <f t="shared" si="48"/>
        <v>10</v>
      </c>
      <c r="AA35" s="211">
        <f t="shared" si="48"/>
        <v>5</v>
      </c>
      <c r="AB35" s="211">
        <f t="shared" si="48"/>
        <v>25800</v>
      </c>
      <c r="AC35" s="244">
        <f t="shared" si="48"/>
        <v>96310</v>
      </c>
    </row>
    <row r="36" spans="1:29" x14ac:dyDescent="0.3">
      <c r="A36" s="60">
        <f t="shared" ref="A36:I36" si="49">A10+A22</f>
        <v>300</v>
      </c>
      <c r="B36" s="23">
        <f t="shared" si="49"/>
        <v>10</v>
      </c>
      <c r="C36" s="24">
        <f t="shared" si="49"/>
        <v>15</v>
      </c>
      <c r="D36" s="25">
        <f t="shared" si="49"/>
        <v>3</v>
      </c>
      <c r="E36" s="56">
        <f t="shared" si="49"/>
        <v>0.17</v>
      </c>
      <c r="F36" s="24">
        <f t="shared" si="49"/>
        <v>25.500000000000004</v>
      </c>
      <c r="G36" s="24">
        <f t="shared" si="49"/>
        <v>10</v>
      </c>
      <c r="H36" s="27">
        <f t="shared" si="49"/>
        <v>2.5500000000000003</v>
      </c>
      <c r="I36" s="48">
        <f t="shared" si="49"/>
        <v>0.60714285714285721</v>
      </c>
      <c r="J36" s="57">
        <f t="shared" si="37"/>
        <v>0.32500000000000001</v>
      </c>
      <c r="K36" s="27">
        <f t="shared" si="38"/>
        <v>44.5</v>
      </c>
      <c r="L36" s="57">
        <v>0.35</v>
      </c>
      <c r="M36" s="57">
        <v>0.5</v>
      </c>
      <c r="N36" s="29" t="s">
        <v>123</v>
      </c>
      <c r="O36" s="30">
        <f t="shared" si="39"/>
        <v>600</v>
      </c>
      <c r="P36" s="30">
        <v>400</v>
      </c>
      <c r="Q36" s="31">
        <v>5490</v>
      </c>
      <c r="R36" s="222">
        <f t="shared" ref="R36:AC36" si="50">R10+R22</f>
        <v>17800</v>
      </c>
      <c r="S36" s="222">
        <f t="shared" si="50"/>
        <v>13</v>
      </c>
      <c r="T36" s="222">
        <f t="shared" si="50"/>
        <v>71370</v>
      </c>
      <c r="U36" s="222">
        <f t="shared" si="50"/>
        <v>66</v>
      </c>
      <c r="V36" s="223">
        <f t="shared" si="50"/>
        <v>30375</v>
      </c>
      <c r="W36" s="207">
        <f t="shared" si="50"/>
        <v>6</v>
      </c>
      <c r="X36" s="208">
        <f t="shared" si="50"/>
        <v>32940</v>
      </c>
      <c r="Y36" s="208">
        <f t="shared" si="50"/>
        <v>122110</v>
      </c>
      <c r="Z36" s="208">
        <f t="shared" si="50"/>
        <v>11</v>
      </c>
      <c r="AA36" s="208">
        <f t="shared" si="50"/>
        <v>5</v>
      </c>
      <c r="AB36" s="208">
        <f t="shared" si="50"/>
        <v>27520</v>
      </c>
      <c r="AC36" s="138">
        <f t="shared" si="50"/>
        <v>94590</v>
      </c>
    </row>
    <row r="37" spans="1:29" x14ac:dyDescent="0.3">
      <c r="A37" s="60">
        <f t="shared" ref="A37:I37" si="51">A11+A23</f>
        <v>300</v>
      </c>
      <c r="B37" s="23">
        <f t="shared" si="51"/>
        <v>10</v>
      </c>
      <c r="C37" s="24">
        <f t="shared" si="51"/>
        <v>15</v>
      </c>
      <c r="D37" s="25">
        <f t="shared" si="51"/>
        <v>3</v>
      </c>
      <c r="E37" s="56">
        <f t="shared" si="51"/>
        <v>0.17</v>
      </c>
      <c r="F37" s="24">
        <f t="shared" si="51"/>
        <v>25.500000000000004</v>
      </c>
      <c r="G37" s="24">
        <f t="shared" si="51"/>
        <v>10</v>
      </c>
      <c r="H37" s="27">
        <f t="shared" si="51"/>
        <v>2.5500000000000003</v>
      </c>
      <c r="I37" s="48">
        <f t="shared" si="51"/>
        <v>0.60714285714285721</v>
      </c>
      <c r="J37" s="57">
        <f t="shared" si="37"/>
        <v>0.32500000000000001</v>
      </c>
      <c r="K37" s="27">
        <f t="shared" si="38"/>
        <v>44.5</v>
      </c>
      <c r="L37" s="57">
        <v>0.35</v>
      </c>
      <c r="M37" s="57">
        <v>0.5</v>
      </c>
      <c r="N37" s="29" t="s">
        <v>124</v>
      </c>
      <c r="O37" s="30">
        <f t="shared" si="39"/>
        <v>600</v>
      </c>
      <c r="P37" s="30">
        <v>400</v>
      </c>
      <c r="Q37" s="31">
        <v>5490</v>
      </c>
      <c r="R37" s="222">
        <f t="shared" ref="R37:AC37" si="52">R11+R23</f>
        <v>17800</v>
      </c>
      <c r="S37" s="222">
        <f t="shared" si="52"/>
        <v>13</v>
      </c>
      <c r="T37" s="222">
        <f t="shared" si="52"/>
        <v>71370</v>
      </c>
      <c r="U37" s="222">
        <f t="shared" si="52"/>
        <v>73</v>
      </c>
      <c r="V37" s="223">
        <f t="shared" si="52"/>
        <v>30375</v>
      </c>
      <c r="W37" s="207">
        <f t="shared" si="52"/>
        <v>6</v>
      </c>
      <c r="X37" s="208">
        <f t="shared" si="52"/>
        <v>32940</v>
      </c>
      <c r="Y37" s="208">
        <f t="shared" si="52"/>
        <v>122110</v>
      </c>
      <c r="Z37" s="208">
        <f t="shared" si="52"/>
        <v>12</v>
      </c>
      <c r="AA37" s="208">
        <f t="shared" si="52"/>
        <v>5</v>
      </c>
      <c r="AB37" s="208">
        <f t="shared" si="52"/>
        <v>29240</v>
      </c>
      <c r="AC37" s="138">
        <f t="shared" si="52"/>
        <v>92870</v>
      </c>
    </row>
    <row r="38" spans="1:29" x14ac:dyDescent="0.3">
      <c r="A38" s="60">
        <f t="shared" ref="A38:I38" si="53">A12+A24</f>
        <v>300</v>
      </c>
      <c r="B38" s="23">
        <f t="shared" si="53"/>
        <v>10</v>
      </c>
      <c r="C38" s="24">
        <f t="shared" si="53"/>
        <v>15</v>
      </c>
      <c r="D38" s="25">
        <f t="shared" si="53"/>
        <v>3</v>
      </c>
      <c r="E38" s="56">
        <f t="shared" si="53"/>
        <v>0.17</v>
      </c>
      <c r="F38" s="24">
        <f t="shared" si="53"/>
        <v>25.500000000000004</v>
      </c>
      <c r="G38" s="24">
        <f t="shared" si="53"/>
        <v>10</v>
      </c>
      <c r="H38" s="27">
        <f t="shared" si="53"/>
        <v>2.5500000000000003</v>
      </c>
      <c r="I38" s="48">
        <f t="shared" si="53"/>
        <v>0.60714285714285721</v>
      </c>
      <c r="J38" s="57">
        <f t="shared" si="37"/>
        <v>0.24999999999999997</v>
      </c>
      <c r="K38" s="27">
        <f t="shared" si="38"/>
        <v>35</v>
      </c>
      <c r="L38" s="57">
        <v>0.35</v>
      </c>
      <c r="M38" s="57">
        <v>0.35</v>
      </c>
      <c r="N38" s="29" t="s">
        <v>125</v>
      </c>
      <c r="O38" s="102">
        <f t="shared" si="39"/>
        <v>600</v>
      </c>
      <c r="P38" s="30">
        <v>400</v>
      </c>
      <c r="Q38" s="31">
        <v>5490</v>
      </c>
      <c r="R38" s="222">
        <f t="shared" ref="R38:AC38" si="54">R12+R24</f>
        <v>14000</v>
      </c>
      <c r="S38" s="222">
        <f t="shared" si="54"/>
        <v>8</v>
      </c>
      <c r="T38" s="222">
        <f t="shared" si="54"/>
        <v>43920</v>
      </c>
      <c r="U38" s="222">
        <f t="shared" si="54"/>
        <v>77</v>
      </c>
      <c r="V38" s="223">
        <f t="shared" si="54"/>
        <v>23850</v>
      </c>
      <c r="W38" s="207">
        <f t="shared" si="54"/>
        <v>4</v>
      </c>
      <c r="X38" s="208">
        <f t="shared" si="54"/>
        <v>21960</v>
      </c>
      <c r="Y38" s="208">
        <f t="shared" si="54"/>
        <v>79880</v>
      </c>
      <c r="Z38" s="208">
        <f t="shared" si="54"/>
        <v>12</v>
      </c>
      <c r="AA38" s="208">
        <f t="shared" si="54"/>
        <v>3</v>
      </c>
      <c r="AB38" s="208">
        <f t="shared" si="54"/>
        <v>25800</v>
      </c>
      <c r="AC38" s="138">
        <f t="shared" si="54"/>
        <v>54080</v>
      </c>
    </row>
    <row r="39" spans="1:29" ht="16.2" thickBot="1" x14ac:dyDescent="0.35">
      <c r="A39" s="61">
        <f t="shared" ref="A39:I39" si="55">A13+A25</f>
        <v>300</v>
      </c>
      <c r="B39" s="39">
        <f t="shared" si="55"/>
        <v>10</v>
      </c>
      <c r="C39" s="40">
        <f t="shared" si="55"/>
        <v>15</v>
      </c>
      <c r="D39" s="41">
        <f t="shared" si="55"/>
        <v>3</v>
      </c>
      <c r="E39" s="58">
        <f t="shared" si="55"/>
        <v>0.17</v>
      </c>
      <c r="F39" s="40">
        <f t="shared" si="55"/>
        <v>25.500000000000004</v>
      </c>
      <c r="G39" s="40">
        <f t="shared" si="55"/>
        <v>10</v>
      </c>
      <c r="H39" s="43">
        <f t="shared" si="55"/>
        <v>2.5500000000000003</v>
      </c>
      <c r="I39" s="53">
        <f t="shared" si="55"/>
        <v>0.60714285714285721</v>
      </c>
      <c r="J39" s="59">
        <f t="shared" si="37"/>
        <v>0.17499999999999999</v>
      </c>
      <c r="K39" s="43">
        <f t="shared" si="38"/>
        <v>24.5</v>
      </c>
      <c r="L39" s="59">
        <v>0.2</v>
      </c>
      <c r="M39" s="59">
        <v>0.2</v>
      </c>
      <c r="N39" s="45" t="s">
        <v>126</v>
      </c>
      <c r="O39" s="103">
        <f t="shared" si="39"/>
        <v>600</v>
      </c>
      <c r="P39" s="46">
        <v>400</v>
      </c>
      <c r="Q39" s="47">
        <v>5490</v>
      </c>
      <c r="R39" s="234">
        <f t="shared" ref="R39:AC39" si="56">R13+R25</f>
        <v>9800</v>
      </c>
      <c r="S39" s="234">
        <f t="shared" si="56"/>
        <v>5</v>
      </c>
      <c r="T39" s="234">
        <f t="shared" si="56"/>
        <v>27450</v>
      </c>
      <c r="U39" s="234">
        <f t="shared" si="56"/>
        <v>80</v>
      </c>
      <c r="V39" s="236">
        <f t="shared" si="56"/>
        <v>16875</v>
      </c>
      <c r="W39" s="245">
        <f t="shared" si="56"/>
        <v>2</v>
      </c>
      <c r="X39" s="214">
        <f t="shared" si="56"/>
        <v>10980</v>
      </c>
      <c r="Y39" s="214">
        <f t="shared" si="56"/>
        <v>48230</v>
      </c>
      <c r="Z39" s="214">
        <f t="shared" si="56"/>
        <v>14</v>
      </c>
      <c r="AA39" s="214">
        <f t="shared" si="56"/>
        <v>2</v>
      </c>
      <c r="AB39" s="214">
        <f t="shared" si="56"/>
        <v>27520</v>
      </c>
      <c r="AC39" s="139">
        <f t="shared" si="56"/>
        <v>20710</v>
      </c>
    </row>
    <row r="40" spans="1:29" ht="16.2" thickBot="1" x14ac:dyDescent="0.35"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215" t="s">
        <v>64</v>
      </c>
      <c r="AC40" s="127">
        <f>SUM(AC31:AC39)</f>
        <v>609185</v>
      </c>
    </row>
    <row r="41" spans="1:29" x14ac:dyDescent="0.3"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</row>
    <row r="42" spans="1:29" x14ac:dyDescent="0.3"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</row>
    <row r="43" spans="1:29" x14ac:dyDescent="0.3"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</row>
  </sheetData>
  <mergeCells count="3">
    <mergeCell ref="A1:AC1"/>
    <mergeCell ref="A2:C2"/>
    <mergeCell ref="E2:H2"/>
  </mergeCells>
  <pageMargins left="0.7" right="0.7" top="0.75" bottom="0.75" header="0.3" footer="0.3"/>
  <pageSetup paperSize="9" orientation="portrait" horizontalDpi="4294967293" r:id="rId1"/>
  <ignoredErrors>
    <ignoredError sqref="K24:K25 K12:K13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'Технический лист'!$A$2:$A$4</xm:f>
          </x14:formula1>
          <xm:sqref>D2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K43"/>
  <sheetViews>
    <sheetView showGridLines="0" topLeftCell="A4" workbookViewId="0">
      <selection activeCell="A3" sqref="A3:E3"/>
    </sheetView>
  </sheetViews>
  <sheetFormatPr defaultRowHeight="15.6" x14ac:dyDescent="0.3"/>
  <cols>
    <col min="1" max="1" width="32.8984375" customWidth="1"/>
    <col min="2" max="2" width="28.3984375" customWidth="1"/>
    <col min="3" max="3" width="16.3984375" customWidth="1"/>
    <col min="4" max="4" width="12.09765625" customWidth="1"/>
    <col min="5" max="5" width="12.69921875" customWidth="1"/>
    <col min="7" max="7" width="8.69921875" customWidth="1"/>
    <col min="8" max="8" width="15.3984375" customWidth="1"/>
    <col min="9" max="9" width="17.69921875" customWidth="1"/>
    <col min="10" max="10" width="13.5" customWidth="1"/>
    <col min="11" max="11" width="12" customWidth="1"/>
  </cols>
  <sheetData>
    <row r="1" spans="1:11" x14ac:dyDescent="0.3">
      <c r="A1" s="91" t="s">
        <v>211</v>
      </c>
      <c r="B1" s="90" t="str">
        <f>'Доходы. "СТАРТ"'!D2</f>
        <v>Пессиместичный вариант</v>
      </c>
      <c r="C1" s="64" t="s">
        <v>214</v>
      </c>
    </row>
    <row r="2" spans="1:11" s="1" customFormat="1" ht="16.2" thickBot="1" x14ac:dyDescent="0.35">
      <c r="A2" s="2"/>
      <c r="B2" s="94"/>
    </row>
    <row r="3" spans="1:11" s="67" customFormat="1" ht="59.4" customHeight="1" thickBot="1" x14ac:dyDescent="0.35">
      <c r="A3" s="128" t="s">
        <v>144</v>
      </c>
      <c r="B3" s="128" t="s">
        <v>153</v>
      </c>
      <c r="C3" s="128" t="s">
        <v>208</v>
      </c>
      <c r="D3" s="128" t="s">
        <v>209</v>
      </c>
      <c r="E3" s="128" t="s">
        <v>193</v>
      </c>
      <c r="H3" s="88" t="s">
        <v>215</v>
      </c>
      <c r="I3" s="88" t="s">
        <v>204</v>
      </c>
      <c r="J3" s="88" t="s">
        <v>205</v>
      </c>
      <c r="K3" s="89" t="s">
        <v>194</v>
      </c>
    </row>
    <row r="4" spans="1:11" ht="16.2" thickBot="1" x14ac:dyDescent="0.35">
      <c r="A4" s="180" t="s">
        <v>145</v>
      </c>
      <c r="B4" s="175">
        <f>'Доходы. "СТАРТ"'!AC31</f>
        <v>45035</v>
      </c>
      <c r="C4" s="181">
        <f t="shared" ref="C4:C12" si="0">$D$43</f>
        <v>36850</v>
      </c>
      <c r="D4" s="181">
        <f>B4*0.08</f>
        <v>3602.8</v>
      </c>
      <c r="E4" s="174">
        <f>B4-C4-D4</f>
        <v>4582.2</v>
      </c>
      <c r="H4" s="54">
        <f>'Инвестиции. "СТАРТ"'!D75</f>
        <v>10520.300751879699</v>
      </c>
      <c r="I4" s="54">
        <f>'Инвестиции. "СТАРТ"'!D78</f>
        <v>4000</v>
      </c>
      <c r="J4" s="54">
        <f>E14</f>
        <v>8601.5112781954886</v>
      </c>
      <c r="K4" s="83">
        <f>ROUNDUP((H4+I4)/J4*10,0)</f>
        <v>17</v>
      </c>
    </row>
    <row r="5" spans="1:11" x14ac:dyDescent="0.3">
      <c r="A5" s="180" t="s">
        <v>146</v>
      </c>
      <c r="B5" s="175">
        <f>'Доходы. "СТАРТ"'!AC32</f>
        <v>71970</v>
      </c>
      <c r="C5" s="182">
        <f t="shared" si="0"/>
        <v>36850</v>
      </c>
      <c r="D5" s="182">
        <f t="shared" ref="D5:D12" si="1">B5*0.08</f>
        <v>5757.6</v>
      </c>
      <c r="E5" s="175">
        <f t="shared" ref="E5:E12" si="2">B5-C5-D5</f>
        <v>29362.400000000001</v>
      </c>
    </row>
    <row r="6" spans="1:11" x14ac:dyDescent="0.3">
      <c r="A6" s="180" t="s">
        <v>147</v>
      </c>
      <c r="B6" s="175">
        <f>'Доходы. "СТАРТ"'!AC33</f>
        <v>68530</v>
      </c>
      <c r="C6" s="182">
        <f t="shared" si="0"/>
        <v>36850</v>
      </c>
      <c r="D6" s="182">
        <f t="shared" si="1"/>
        <v>5482.4000000000005</v>
      </c>
      <c r="E6" s="175">
        <f t="shared" si="2"/>
        <v>26197.599999999999</v>
      </c>
    </row>
    <row r="7" spans="1:11" x14ac:dyDescent="0.3">
      <c r="A7" s="180" t="s">
        <v>148</v>
      </c>
      <c r="B7" s="175">
        <f>'Доходы. "СТАРТ"'!AC34</f>
        <v>65090</v>
      </c>
      <c r="C7" s="182">
        <f t="shared" si="0"/>
        <v>36850</v>
      </c>
      <c r="D7" s="182">
        <f t="shared" si="1"/>
        <v>5207.2</v>
      </c>
      <c r="E7" s="175">
        <f t="shared" si="2"/>
        <v>23032.799999999999</v>
      </c>
    </row>
    <row r="8" spans="1:11" x14ac:dyDescent="0.3">
      <c r="A8" s="180" t="s">
        <v>149</v>
      </c>
      <c r="B8" s="175">
        <f>'Доходы. "СТАРТ"'!AC35</f>
        <v>96310</v>
      </c>
      <c r="C8" s="182">
        <f t="shared" si="0"/>
        <v>36850</v>
      </c>
      <c r="D8" s="182">
        <f t="shared" si="1"/>
        <v>7704.8</v>
      </c>
      <c r="E8" s="175">
        <f t="shared" si="2"/>
        <v>51755.199999999997</v>
      </c>
    </row>
    <row r="9" spans="1:11" x14ac:dyDescent="0.3">
      <c r="A9" s="180" t="s">
        <v>150</v>
      </c>
      <c r="B9" s="175">
        <f>'Доходы. "СТАРТ"'!AC36</f>
        <v>94590</v>
      </c>
      <c r="C9" s="182">
        <f t="shared" si="0"/>
        <v>36850</v>
      </c>
      <c r="D9" s="182">
        <f t="shared" si="1"/>
        <v>7567.2</v>
      </c>
      <c r="E9" s="175">
        <f t="shared" si="2"/>
        <v>50172.800000000003</v>
      </c>
    </row>
    <row r="10" spans="1:11" x14ac:dyDescent="0.3">
      <c r="A10" s="180" t="s">
        <v>124</v>
      </c>
      <c r="B10" s="175">
        <f>'Доходы. "СТАРТ"'!AC37</f>
        <v>92870</v>
      </c>
      <c r="C10" s="182">
        <f t="shared" si="0"/>
        <v>36850</v>
      </c>
      <c r="D10" s="182">
        <f t="shared" si="1"/>
        <v>7429.6</v>
      </c>
      <c r="E10" s="175">
        <f t="shared" si="2"/>
        <v>48590.400000000001</v>
      </c>
      <c r="F10" s="64"/>
    </row>
    <row r="11" spans="1:11" x14ac:dyDescent="0.3">
      <c r="A11" s="180" t="s">
        <v>151</v>
      </c>
      <c r="B11" s="175">
        <f>'Доходы. "СТАРТ"'!AC38</f>
        <v>54080</v>
      </c>
      <c r="C11" s="182">
        <f t="shared" si="0"/>
        <v>36850</v>
      </c>
      <c r="D11" s="182">
        <f t="shared" si="1"/>
        <v>4326.3999999999996</v>
      </c>
      <c r="E11" s="175">
        <f t="shared" si="2"/>
        <v>12903.6</v>
      </c>
    </row>
    <row r="12" spans="1:11" ht="16.2" thickBot="1" x14ac:dyDescent="0.35">
      <c r="A12" s="183" t="s">
        <v>126</v>
      </c>
      <c r="B12" s="177">
        <f>'Доходы. "СТАРТ"'!AC39</f>
        <v>20710</v>
      </c>
      <c r="C12" s="184">
        <f t="shared" si="0"/>
        <v>36850</v>
      </c>
      <c r="D12" s="184">
        <f t="shared" si="1"/>
        <v>1656.8</v>
      </c>
      <c r="E12" s="177">
        <f t="shared" si="2"/>
        <v>-17796.8</v>
      </c>
    </row>
    <row r="13" spans="1:11" x14ac:dyDescent="0.3">
      <c r="A13" s="64" t="s">
        <v>152</v>
      </c>
      <c r="D13" s="317" t="s">
        <v>177</v>
      </c>
      <c r="E13" s="126">
        <f>SUM(E4:E12)</f>
        <v>228800.2</v>
      </c>
      <c r="F13" s="64" t="s">
        <v>180</v>
      </c>
    </row>
    <row r="14" spans="1:11" ht="16.2" thickBot="1" x14ac:dyDescent="0.35">
      <c r="D14" s="318"/>
      <c r="E14" s="127">
        <f>E13/'Технический лист'!$C$17</f>
        <v>8601.5112781954886</v>
      </c>
      <c r="F14" s="64" t="s">
        <v>181</v>
      </c>
    </row>
    <row r="15" spans="1:11" x14ac:dyDescent="0.3">
      <c r="I15" s="11"/>
    </row>
    <row r="16" spans="1:11" ht="21.6" thickBot="1" x14ac:dyDescent="0.45">
      <c r="A16" s="65" t="s">
        <v>154</v>
      </c>
    </row>
    <row r="17" spans="1:5" ht="54.6" thickBot="1" x14ac:dyDescent="0.35">
      <c r="A17" s="131" t="s">
        <v>25</v>
      </c>
      <c r="B17" s="134" t="s">
        <v>155</v>
      </c>
      <c r="C17" s="132" t="s">
        <v>28</v>
      </c>
      <c r="D17" s="133" t="s">
        <v>29</v>
      </c>
    </row>
    <row r="18" spans="1:5" x14ac:dyDescent="0.3">
      <c r="A18" s="156" t="s">
        <v>156</v>
      </c>
      <c r="B18" s="174">
        <v>5000</v>
      </c>
      <c r="C18" s="156">
        <v>1</v>
      </c>
      <c r="D18" s="174">
        <f>B18*C18</f>
        <v>5000</v>
      </c>
      <c r="E18" s="114"/>
    </row>
    <row r="19" spans="1:5" x14ac:dyDescent="0.3">
      <c r="A19" s="157" t="s">
        <v>157</v>
      </c>
      <c r="B19" s="175">
        <v>1500</v>
      </c>
      <c r="C19" s="157">
        <v>1</v>
      </c>
      <c r="D19" s="175">
        <f t="shared" ref="D19:D42" si="3">B19*C19</f>
        <v>1500</v>
      </c>
      <c r="E19" s="114"/>
    </row>
    <row r="20" spans="1:5" x14ac:dyDescent="0.3">
      <c r="A20" s="157" t="s">
        <v>159</v>
      </c>
      <c r="B20" s="175">
        <v>1000</v>
      </c>
      <c r="C20" s="157">
        <v>1</v>
      </c>
      <c r="D20" s="175">
        <f t="shared" si="3"/>
        <v>1000</v>
      </c>
      <c r="E20" s="114"/>
    </row>
    <row r="21" spans="1:5" x14ac:dyDescent="0.3">
      <c r="A21" s="157" t="s">
        <v>164</v>
      </c>
      <c r="B21" s="175">
        <v>300</v>
      </c>
      <c r="C21" s="157">
        <v>1</v>
      </c>
      <c r="D21" s="175">
        <f t="shared" si="3"/>
        <v>300</v>
      </c>
      <c r="E21" s="114"/>
    </row>
    <row r="22" spans="1:5" x14ac:dyDescent="0.3">
      <c r="A22" s="157" t="s">
        <v>160</v>
      </c>
      <c r="B22" s="175">
        <v>12000</v>
      </c>
      <c r="C22" s="157">
        <v>1</v>
      </c>
      <c r="D22" s="175">
        <f t="shared" si="3"/>
        <v>12000</v>
      </c>
      <c r="E22" s="114"/>
    </row>
    <row r="23" spans="1:5" x14ac:dyDescent="0.3">
      <c r="A23" s="157" t="s">
        <v>161</v>
      </c>
      <c r="B23" s="175">
        <v>1500</v>
      </c>
      <c r="C23" s="157">
        <v>1</v>
      </c>
      <c r="D23" s="175">
        <f t="shared" si="3"/>
        <v>1500</v>
      </c>
      <c r="E23" s="114"/>
    </row>
    <row r="24" spans="1:5" x14ac:dyDescent="0.3">
      <c r="A24" s="157" t="s">
        <v>162</v>
      </c>
      <c r="B24" s="175">
        <v>1800</v>
      </c>
      <c r="C24" s="157">
        <v>1</v>
      </c>
      <c r="D24" s="175">
        <f t="shared" si="3"/>
        <v>1800</v>
      </c>
      <c r="E24" s="114"/>
    </row>
    <row r="25" spans="1:5" x14ac:dyDescent="0.3">
      <c r="A25" s="157" t="s">
        <v>163</v>
      </c>
      <c r="B25" s="175">
        <v>1000</v>
      </c>
      <c r="C25" s="157">
        <v>1</v>
      </c>
      <c r="D25" s="175">
        <f t="shared" si="3"/>
        <v>1000</v>
      </c>
      <c r="E25" s="114"/>
    </row>
    <row r="26" spans="1:5" x14ac:dyDescent="0.3">
      <c r="A26" s="157" t="s">
        <v>165</v>
      </c>
      <c r="B26" s="175">
        <v>500</v>
      </c>
      <c r="C26" s="157">
        <v>1</v>
      </c>
      <c r="D26" s="175">
        <f t="shared" si="3"/>
        <v>500</v>
      </c>
      <c r="E26" s="114"/>
    </row>
    <row r="27" spans="1:5" x14ac:dyDescent="0.3">
      <c r="A27" s="157" t="s">
        <v>166</v>
      </c>
      <c r="B27" s="175">
        <v>1200</v>
      </c>
      <c r="C27" s="157">
        <v>1</v>
      </c>
      <c r="D27" s="175">
        <f t="shared" ref="D27:D32" si="4">B27*C27</f>
        <v>1200</v>
      </c>
      <c r="E27" s="114"/>
    </row>
    <row r="28" spans="1:5" x14ac:dyDescent="0.3">
      <c r="A28" s="185" t="s">
        <v>44</v>
      </c>
      <c r="B28" s="175">
        <v>1500</v>
      </c>
      <c r="C28" s="157">
        <v>1</v>
      </c>
      <c r="D28" s="175">
        <f t="shared" si="4"/>
        <v>1500</v>
      </c>
      <c r="E28" s="114"/>
    </row>
    <row r="29" spans="1:5" x14ac:dyDescent="0.3">
      <c r="A29" s="185" t="s">
        <v>167</v>
      </c>
      <c r="B29" s="175">
        <v>250</v>
      </c>
      <c r="C29" s="157">
        <v>1</v>
      </c>
      <c r="D29" s="175">
        <f t="shared" si="4"/>
        <v>250</v>
      </c>
      <c r="E29" s="114"/>
    </row>
    <row r="30" spans="1:5" x14ac:dyDescent="0.3">
      <c r="A30" s="185" t="s">
        <v>168</v>
      </c>
      <c r="B30" s="175">
        <v>500</v>
      </c>
      <c r="C30" s="157">
        <v>1</v>
      </c>
      <c r="D30" s="175">
        <f t="shared" si="4"/>
        <v>500</v>
      </c>
      <c r="E30" s="114"/>
    </row>
    <row r="31" spans="1:5" x14ac:dyDescent="0.3">
      <c r="A31" s="157" t="s">
        <v>169</v>
      </c>
      <c r="B31" s="175">
        <v>250</v>
      </c>
      <c r="C31" s="157">
        <v>1</v>
      </c>
      <c r="D31" s="175">
        <f t="shared" si="4"/>
        <v>250</v>
      </c>
      <c r="E31" s="114"/>
    </row>
    <row r="32" spans="1:5" x14ac:dyDescent="0.3">
      <c r="A32" s="157" t="s">
        <v>65</v>
      </c>
      <c r="B32" s="175">
        <v>500</v>
      </c>
      <c r="C32" s="157">
        <v>1</v>
      </c>
      <c r="D32" s="175">
        <f t="shared" si="4"/>
        <v>500</v>
      </c>
      <c r="E32" s="114"/>
    </row>
    <row r="33" spans="1:5" x14ac:dyDescent="0.3">
      <c r="A33" s="157" t="s">
        <v>170</v>
      </c>
      <c r="B33" s="175">
        <v>300</v>
      </c>
      <c r="C33" s="157">
        <v>1</v>
      </c>
      <c r="D33" s="175">
        <f t="shared" si="3"/>
        <v>300</v>
      </c>
      <c r="E33" s="114"/>
    </row>
    <row r="34" spans="1:5" x14ac:dyDescent="0.3">
      <c r="A34" s="157" t="s">
        <v>171</v>
      </c>
      <c r="B34" s="175">
        <v>600</v>
      </c>
      <c r="C34" s="157">
        <v>1</v>
      </c>
      <c r="D34" s="175">
        <f t="shared" si="3"/>
        <v>600</v>
      </c>
      <c r="E34" s="114"/>
    </row>
    <row r="35" spans="1:5" x14ac:dyDescent="0.3">
      <c r="A35" s="157" t="s">
        <v>172</v>
      </c>
      <c r="B35" s="175">
        <v>250</v>
      </c>
      <c r="C35" s="157">
        <v>1</v>
      </c>
      <c r="D35" s="175">
        <f t="shared" si="3"/>
        <v>250</v>
      </c>
      <c r="E35" s="114"/>
    </row>
    <row r="36" spans="1:5" x14ac:dyDescent="0.3">
      <c r="A36" s="157" t="s">
        <v>173</v>
      </c>
      <c r="B36" s="175">
        <v>400</v>
      </c>
      <c r="C36" s="157">
        <v>1</v>
      </c>
      <c r="D36" s="175">
        <f t="shared" si="3"/>
        <v>400</v>
      </c>
      <c r="E36" s="114"/>
    </row>
    <row r="37" spans="1:5" x14ac:dyDescent="0.3">
      <c r="A37" s="157" t="s">
        <v>174</v>
      </c>
      <c r="B37" s="175">
        <v>500</v>
      </c>
      <c r="C37" s="157">
        <v>1</v>
      </c>
      <c r="D37" s="175">
        <f t="shared" si="3"/>
        <v>500</v>
      </c>
      <c r="E37" s="114"/>
    </row>
    <row r="38" spans="1:5" x14ac:dyDescent="0.3">
      <c r="A38" s="157" t="s">
        <v>175</v>
      </c>
      <c r="B38" s="175">
        <v>1000</v>
      </c>
      <c r="C38" s="157">
        <v>1</v>
      </c>
      <c r="D38" s="175">
        <f t="shared" si="3"/>
        <v>1000</v>
      </c>
      <c r="E38" s="114"/>
    </row>
    <row r="39" spans="1:5" x14ac:dyDescent="0.3">
      <c r="A39" s="157" t="s">
        <v>176</v>
      </c>
      <c r="B39" s="175">
        <v>500</v>
      </c>
      <c r="C39" s="157">
        <v>1</v>
      </c>
      <c r="D39" s="175">
        <f t="shared" si="3"/>
        <v>500</v>
      </c>
      <c r="E39" s="114"/>
    </row>
    <row r="40" spans="1:5" x14ac:dyDescent="0.3">
      <c r="A40" s="157" t="s">
        <v>11</v>
      </c>
      <c r="B40" s="175">
        <v>1000</v>
      </c>
      <c r="C40" s="157">
        <v>1</v>
      </c>
      <c r="D40" s="175">
        <f t="shared" si="3"/>
        <v>1000</v>
      </c>
      <c r="E40" s="114"/>
    </row>
    <row r="41" spans="1:5" x14ac:dyDescent="0.3">
      <c r="A41" s="85" t="s">
        <v>206</v>
      </c>
      <c r="B41" s="135">
        <v>3500</v>
      </c>
      <c r="C41" s="85">
        <v>1</v>
      </c>
      <c r="D41" s="135">
        <f t="shared" si="3"/>
        <v>3500</v>
      </c>
      <c r="E41" s="114"/>
    </row>
    <row r="42" spans="1:5" ht="16.2" thickBot="1" x14ac:dyDescent="0.35">
      <c r="A42" s="86" t="s">
        <v>207</v>
      </c>
      <c r="B42" s="86"/>
      <c r="C42" s="87">
        <v>0.08</v>
      </c>
      <c r="D42" s="136">
        <f t="shared" si="3"/>
        <v>0</v>
      </c>
      <c r="E42" s="114"/>
    </row>
    <row r="43" spans="1:5" ht="16.2" thickBot="1" x14ac:dyDescent="0.35">
      <c r="B43" s="1"/>
      <c r="C43" s="66" t="s">
        <v>178</v>
      </c>
      <c r="D43" s="137">
        <f>SUM(D18:D42)</f>
        <v>36850</v>
      </c>
      <c r="E43" s="114"/>
    </row>
  </sheetData>
  <mergeCells count="1">
    <mergeCell ref="D13:D14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J102"/>
  <sheetViews>
    <sheetView showGridLines="0" topLeftCell="A70" zoomScale="80" zoomScaleNormal="80" workbookViewId="0">
      <selection activeCell="A42" sqref="A42"/>
    </sheetView>
  </sheetViews>
  <sheetFormatPr defaultColWidth="11.19921875" defaultRowHeight="15.6" x14ac:dyDescent="0.3"/>
  <cols>
    <col min="1" max="1" width="29.5" customWidth="1"/>
    <col min="2" max="2" width="28.59765625" customWidth="1"/>
    <col min="3" max="3" width="17" style="1" customWidth="1"/>
    <col min="4" max="4" width="25.19921875" customWidth="1"/>
    <col min="5" max="5" width="6.3984375" customWidth="1"/>
  </cols>
  <sheetData>
    <row r="1" spans="1:9" ht="26.4" thickBot="1" x14ac:dyDescent="0.55000000000000004">
      <c r="A1" s="326" t="s">
        <v>140</v>
      </c>
      <c r="B1" s="327"/>
      <c r="C1" s="327"/>
      <c r="D1" s="328"/>
    </row>
    <row r="2" spans="1:9" ht="18.600000000000001" thickBot="1" x14ac:dyDescent="0.35">
      <c r="A2" s="15" t="s">
        <v>25</v>
      </c>
      <c r="B2" s="16" t="s">
        <v>27</v>
      </c>
      <c r="C2" s="16" t="s">
        <v>28</v>
      </c>
      <c r="D2" s="16" t="s">
        <v>29</v>
      </c>
    </row>
    <row r="3" spans="1:9" ht="18.600000000000001" thickBot="1" x14ac:dyDescent="0.4">
      <c r="A3" s="345" t="s">
        <v>54</v>
      </c>
      <c r="B3" s="346"/>
      <c r="C3" s="346"/>
      <c r="D3" s="347"/>
    </row>
    <row r="4" spans="1:9" x14ac:dyDescent="0.3">
      <c r="A4" s="174" t="s">
        <v>26</v>
      </c>
      <c r="B4" s="174">
        <v>7100</v>
      </c>
      <c r="C4" s="174">
        <v>5</v>
      </c>
      <c r="D4" s="174">
        <f>B4*C4</f>
        <v>35500</v>
      </c>
      <c r="E4" s="3"/>
      <c r="I4" s="3"/>
    </row>
    <row r="5" spans="1:9" x14ac:dyDescent="0.3">
      <c r="A5" s="175" t="s">
        <v>65</v>
      </c>
      <c r="B5" s="175">
        <v>15</v>
      </c>
      <c r="C5" s="175">
        <v>20</v>
      </c>
      <c r="D5" s="175">
        <f t="shared" ref="D5:D13" si="0">B5*C5</f>
        <v>300</v>
      </c>
    </row>
    <row r="6" spans="1:9" x14ac:dyDescent="0.3">
      <c r="A6" s="175" t="s">
        <v>30</v>
      </c>
      <c r="B6" s="175">
        <v>6000</v>
      </c>
      <c r="C6" s="175">
        <v>5</v>
      </c>
      <c r="D6" s="175">
        <f t="shared" si="0"/>
        <v>30000</v>
      </c>
    </row>
    <row r="7" spans="1:9" x14ac:dyDescent="0.3">
      <c r="A7" s="175" t="s">
        <v>62</v>
      </c>
      <c r="B7" s="175">
        <v>6000</v>
      </c>
      <c r="C7" s="175">
        <v>1</v>
      </c>
      <c r="D7" s="175">
        <f t="shared" si="0"/>
        <v>6000</v>
      </c>
    </row>
    <row r="8" spans="1:9" x14ac:dyDescent="0.3">
      <c r="A8" s="175" t="s">
        <v>32</v>
      </c>
      <c r="B8" s="175">
        <v>150</v>
      </c>
      <c r="C8" s="175">
        <v>6</v>
      </c>
      <c r="D8" s="175">
        <f t="shared" si="0"/>
        <v>900</v>
      </c>
    </row>
    <row r="9" spans="1:9" x14ac:dyDescent="0.3">
      <c r="A9" s="175" t="s">
        <v>63</v>
      </c>
      <c r="B9" s="175">
        <v>150</v>
      </c>
      <c r="C9" s="175">
        <v>1</v>
      </c>
      <c r="D9" s="175">
        <f t="shared" si="0"/>
        <v>150</v>
      </c>
    </row>
    <row r="10" spans="1:9" x14ac:dyDescent="0.3">
      <c r="A10" s="175" t="s">
        <v>9</v>
      </c>
      <c r="B10" s="175">
        <v>100</v>
      </c>
      <c r="C10" s="175">
        <v>5</v>
      </c>
      <c r="D10" s="175">
        <f t="shared" si="0"/>
        <v>500</v>
      </c>
    </row>
    <row r="11" spans="1:9" x14ac:dyDescent="0.3">
      <c r="A11" s="175" t="s">
        <v>14</v>
      </c>
      <c r="B11" s="175">
        <v>8000</v>
      </c>
      <c r="C11" s="175">
        <v>1</v>
      </c>
      <c r="D11" s="175">
        <f t="shared" si="0"/>
        <v>8000</v>
      </c>
    </row>
    <row r="12" spans="1:9" x14ac:dyDescent="0.3">
      <c r="A12" s="175" t="s">
        <v>15</v>
      </c>
      <c r="B12" s="175">
        <v>400</v>
      </c>
      <c r="C12" s="175">
        <v>1</v>
      </c>
      <c r="D12" s="175">
        <f t="shared" si="0"/>
        <v>400</v>
      </c>
    </row>
    <row r="13" spans="1:9" ht="16.2" thickBot="1" x14ac:dyDescent="0.35">
      <c r="A13" s="176" t="s">
        <v>39</v>
      </c>
      <c r="B13" s="177">
        <v>1600</v>
      </c>
      <c r="C13" s="177">
        <v>1</v>
      </c>
      <c r="D13" s="177">
        <f t="shared" si="0"/>
        <v>1600</v>
      </c>
    </row>
    <row r="14" spans="1:9" ht="16.2" thickBot="1" x14ac:dyDescent="0.35">
      <c r="A14" s="114"/>
      <c r="B14" s="115"/>
      <c r="C14" s="119" t="s">
        <v>43</v>
      </c>
      <c r="D14" s="120">
        <f>SUM(D4:D13)</f>
        <v>83350</v>
      </c>
    </row>
    <row r="15" spans="1:9" ht="16.2" thickBot="1" x14ac:dyDescent="0.35">
      <c r="A15" s="114"/>
      <c r="B15" s="115"/>
      <c r="C15" s="114"/>
      <c r="D15" s="114"/>
    </row>
    <row r="16" spans="1:9" ht="18.600000000000001" thickBot="1" x14ac:dyDescent="0.4">
      <c r="A16" s="314" t="s">
        <v>81</v>
      </c>
      <c r="B16" s="315"/>
      <c r="C16" s="315"/>
      <c r="D16" s="316"/>
    </row>
    <row r="17" spans="1:7" x14ac:dyDescent="0.3">
      <c r="A17" s="174" t="s">
        <v>55</v>
      </c>
      <c r="B17" s="174">
        <v>17074</v>
      </c>
      <c r="C17" s="174">
        <v>5</v>
      </c>
      <c r="D17" s="174">
        <f t="shared" ref="D17:D33" si="1">B17*C17</f>
        <v>85370</v>
      </c>
      <c r="E17" s="3"/>
      <c r="G17" s="3"/>
    </row>
    <row r="18" spans="1:7" x14ac:dyDescent="0.3">
      <c r="A18" s="175" t="s">
        <v>56</v>
      </c>
      <c r="B18" s="175">
        <v>4600</v>
      </c>
      <c r="C18" s="175">
        <v>3</v>
      </c>
      <c r="D18" s="175">
        <f t="shared" si="1"/>
        <v>13800</v>
      </c>
      <c r="E18" s="3"/>
      <c r="G18" s="3"/>
    </row>
    <row r="19" spans="1:7" x14ac:dyDescent="0.3">
      <c r="A19" s="175" t="s">
        <v>57</v>
      </c>
      <c r="B19" s="175">
        <v>1503</v>
      </c>
      <c r="C19" s="175">
        <v>5</v>
      </c>
      <c r="D19" s="175">
        <f t="shared" si="1"/>
        <v>7515</v>
      </c>
      <c r="E19" s="3"/>
      <c r="G19" s="3"/>
    </row>
    <row r="20" spans="1:7" x14ac:dyDescent="0.3">
      <c r="A20" s="175" t="s">
        <v>58</v>
      </c>
      <c r="B20" s="175">
        <v>1330</v>
      </c>
      <c r="C20" s="175">
        <v>5</v>
      </c>
      <c r="D20" s="175">
        <f t="shared" si="1"/>
        <v>6650</v>
      </c>
      <c r="E20" s="3"/>
      <c r="G20" s="3"/>
    </row>
    <row r="21" spans="1:7" x14ac:dyDescent="0.3">
      <c r="A21" s="175" t="s">
        <v>59</v>
      </c>
      <c r="B21" s="175">
        <v>350</v>
      </c>
      <c r="C21" s="175">
        <v>2</v>
      </c>
      <c r="D21" s="175">
        <f t="shared" si="1"/>
        <v>700</v>
      </c>
      <c r="E21" s="3"/>
      <c r="G21" s="3"/>
    </row>
    <row r="22" spans="1:7" x14ac:dyDescent="0.3">
      <c r="A22" s="175" t="s">
        <v>60</v>
      </c>
      <c r="B22" s="175">
        <v>1330</v>
      </c>
      <c r="C22" s="175">
        <v>5</v>
      </c>
      <c r="D22" s="175">
        <f t="shared" si="1"/>
        <v>6650</v>
      </c>
      <c r="E22" s="3"/>
      <c r="G22" s="3"/>
    </row>
    <row r="23" spans="1:7" x14ac:dyDescent="0.3">
      <c r="A23" s="175" t="s">
        <v>61</v>
      </c>
      <c r="B23" s="175">
        <v>1664</v>
      </c>
      <c r="C23" s="175">
        <v>5</v>
      </c>
      <c r="D23" s="175">
        <f t="shared" si="1"/>
        <v>8320</v>
      </c>
      <c r="E23" s="3"/>
      <c r="G23" s="3"/>
    </row>
    <row r="24" spans="1:7" x14ac:dyDescent="0.3">
      <c r="A24" s="175" t="s">
        <v>224</v>
      </c>
      <c r="B24" s="175">
        <v>1227</v>
      </c>
      <c r="C24" s="175">
        <v>5</v>
      </c>
      <c r="D24" s="175">
        <f t="shared" si="1"/>
        <v>6135</v>
      </c>
      <c r="E24" s="3"/>
      <c r="G24" s="3"/>
    </row>
    <row r="25" spans="1:7" x14ac:dyDescent="0.3">
      <c r="A25" s="175" t="s">
        <v>223</v>
      </c>
      <c r="B25" s="175">
        <v>1227</v>
      </c>
      <c r="C25" s="175">
        <v>5</v>
      </c>
      <c r="D25" s="175">
        <f t="shared" si="1"/>
        <v>6135</v>
      </c>
      <c r="E25" s="3"/>
      <c r="G25" s="3"/>
    </row>
    <row r="26" spans="1:7" x14ac:dyDescent="0.3">
      <c r="A26" s="175" t="s">
        <v>30</v>
      </c>
      <c r="B26" s="175">
        <v>6000</v>
      </c>
      <c r="C26" s="175">
        <v>5</v>
      </c>
      <c r="D26" s="175">
        <f t="shared" si="1"/>
        <v>30000</v>
      </c>
    </row>
    <row r="27" spans="1:7" x14ac:dyDescent="0.3">
      <c r="A27" s="175" t="s">
        <v>62</v>
      </c>
      <c r="B27" s="175">
        <v>6000</v>
      </c>
      <c r="C27" s="175">
        <v>1</v>
      </c>
      <c r="D27" s="175">
        <f t="shared" si="1"/>
        <v>6000</v>
      </c>
    </row>
    <row r="28" spans="1:7" x14ac:dyDescent="0.3">
      <c r="A28" s="175" t="s">
        <v>32</v>
      </c>
      <c r="B28" s="175">
        <v>150</v>
      </c>
      <c r="C28" s="175">
        <v>6</v>
      </c>
      <c r="D28" s="175">
        <f t="shared" si="1"/>
        <v>900</v>
      </c>
    </row>
    <row r="29" spans="1:7" x14ac:dyDescent="0.3">
      <c r="A29" s="175" t="s">
        <v>63</v>
      </c>
      <c r="B29" s="175">
        <v>150</v>
      </c>
      <c r="C29" s="175">
        <v>1</v>
      </c>
      <c r="D29" s="175">
        <f t="shared" si="1"/>
        <v>150</v>
      </c>
    </row>
    <row r="30" spans="1:7" x14ac:dyDescent="0.3">
      <c r="A30" s="175" t="s">
        <v>9</v>
      </c>
      <c r="B30" s="175">
        <v>100</v>
      </c>
      <c r="C30" s="175">
        <v>5</v>
      </c>
      <c r="D30" s="175">
        <f t="shared" si="1"/>
        <v>500</v>
      </c>
    </row>
    <row r="31" spans="1:7" x14ac:dyDescent="0.3">
      <c r="A31" s="175" t="s">
        <v>14</v>
      </c>
      <c r="B31" s="175">
        <v>8000</v>
      </c>
      <c r="C31" s="175">
        <v>1</v>
      </c>
      <c r="D31" s="175">
        <f t="shared" si="1"/>
        <v>8000</v>
      </c>
    </row>
    <row r="32" spans="1:7" x14ac:dyDescent="0.3">
      <c r="A32" s="175" t="s">
        <v>15</v>
      </c>
      <c r="B32" s="175">
        <v>400</v>
      </c>
      <c r="C32" s="175">
        <v>1</v>
      </c>
      <c r="D32" s="175">
        <f t="shared" si="1"/>
        <v>400</v>
      </c>
    </row>
    <row r="33" spans="1:10" ht="16.2" thickBot="1" x14ac:dyDescent="0.35">
      <c r="A33" s="176" t="s">
        <v>39</v>
      </c>
      <c r="B33" s="177">
        <v>1600</v>
      </c>
      <c r="C33" s="177">
        <v>1</v>
      </c>
      <c r="D33" s="177">
        <f t="shared" si="1"/>
        <v>1600</v>
      </c>
    </row>
    <row r="34" spans="1:10" ht="16.2" thickBot="1" x14ac:dyDescent="0.35">
      <c r="A34" s="114"/>
      <c r="B34" s="115"/>
      <c r="C34" s="116" t="s">
        <v>64</v>
      </c>
      <c r="D34" s="117">
        <f>SUM(D17:D33)</f>
        <v>188825</v>
      </c>
    </row>
    <row r="35" spans="1:10" ht="16.2" thickBot="1" x14ac:dyDescent="0.35">
      <c r="A35" s="114"/>
      <c r="B35" s="115"/>
      <c r="C35" s="114"/>
      <c r="D35" s="114"/>
      <c r="J35" s="20"/>
    </row>
    <row r="36" spans="1:10" ht="18.600000000000001" thickBot="1" x14ac:dyDescent="0.4">
      <c r="A36" s="314" t="s">
        <v>53</v>
      </c>
      <c r="B36" s="315"/>
      <c r="C36" s="315"/>
      <c r="D36" s="316"/>
    </row>
    <row r="37" spans="1:10" x14ac:dyDescent="0.3">
      <c r="A37" s="174" t="s">
        <v>31</v>
      </c>
      <c r="B37" s="174">
        <v>6000</v>
      </c>
      <c r="C37" s="174">
        <v>6</v>
      </c>
      <c r="D37" s="174">
        <f>B37*C37</f>
        <v>36000</v>
      </c>
    </row>
    <row r="38" spans="1:10" x14ac:dyDescent="0.3">
      <c r="A38" s="175" t="s">
        <v>33</v>
      </c>
      <c r="B38" s="175">
        <v>150</v>
      </c>
      <c r="C38" s="175">
        <v>1</v>
      </c>
      <c r="D38" s="175">
        <f>B38*C38</f>
        <v>150</v>
      </c>
    </row>
    <row r="39" spans="1:10" x14ac:dyDescent="0.3">
      <c r="A39" s="175" t="s">
        <v>19</v>
      </c>
      <c r="B39" s="175">
        <v>1000</v>
      </c>
      <c r="C39" s="175">
        <v>1</v>
      </c>
      <c r="D39" s="175">
        <f t="shared" ref="D39:D47" si="2">B39*C39</f>
        <v>1000</v>
      </c>
    </row>
    <row r="40" spans="1:10" x14ac:dyDescent="0.3">
      <c r="A40" s="175" t="s">
        <v>18</v>
      </c>
      <c r="B40" s="175">
        <v>900</v>
      </c>
      <c r="C40" s="175">
        <v>1</v>
      </c>
      <c r="D40" s="175">
        <f t="shared" si="2"/>
        <v>900</v>
      </c>
    </row>
    <row r="41" spans="1:10" x14ac:dyDescent="0.3">
      <c r="A41" s="175" t="s">
        <v>68</v>
      </c>
      <c r="B41" s="175">
        <v>200</v>
      </c>
      <c r="C41" s="175">
        <v>1</v>
      </c>
      <c r="D41" s="175">
        <f t="shared" si="2"/>
        <v>200</v>
      </c>
    </row>
    <row r="42" spans="1:10" x14ac:dyDescent="0.3">
      <c r="A42" s="175" t="s">
        <v>265</v>
      </c>
      <c r="B42" s="175">
        <v>80</v>
      </c>
      <c r="C42" s="175">
        <v>1</v>
      </c>
      <c r="D42" s="175">
        <f t="shared" si="2"/>
        <v>80</v>
      </c>
    </row>
    <row r="43" spans="1:10" x14ac:dyDescent="0.3">
      <c r="A43" s="175" t="s">
        <v>66</v>
      </c>
      <c r="B43" s="175">
        <v>700</v>
      </c>
      <c r="C43" s="175">
        <v>1</v>
      </c>
      <c r="D43" s="175">
        <f t="shared" si="2"/>
        <v>700</v>
      </c>
    </row>
    <row r="44" spans="1:10" x14ac:dyDescent="0.3">
      <c r="A44" s="175" t="s">
        <v>12</v>
      </c>
      <c r="B44" s="175">
        <v>6000</v>
      </c>
      <c r="C44" s="175">
        <v>1</v>
      </c>
      <c r="D44" s="175">
        <f t="shared" si="2"/>
        <v>6000</v>
      </c>
    </row>
    <row r="45" spans="1:10" x14ac:dyDescent="0.3">
      <c r="A45" s="175" t="s">
        <v>67</v>
      </c>
      <c r="B45" s="175">
        <v>1000</v>
      </c>
      <c r="C45" s="175">
        <v>1</v>
      </c>
      <c r="D45" s="175">
        <f t="shared" si="2"/>
        <v>1000</v>
      </c>
    </row>
    <row r="46" spans="1:10" x14ac:dyDescent="0.3">
      <c r="A46" s="175" t="s">
        <v>72</v>
      </c>
      <c r="B46" s="175">
        <v>6500</v>
      </c>
      <c r="C46" s="175">
        <v>1</v>
      </c>
      <c r="D46" s="175">
        <f t="shared" si="2"/>
        <v>6500</v>
      </c>
    </row>
    <row r="47" spans="1:10" ht="16.2" thickBot="1" x14ac:dyDescent="0.35">
      <c r="A47" s="177" t="s">
        <v>158</v>
      </c>
      <c r="B47" s="177">
        <v>0</v>
      </c>
      <c r="C47" s="177">
        <v>1</v>
      </c>
      <c r="D47" s="177">
        <f t="shared" si="2"/>
        <v>0</v>
      </c>
    </row>
    <row r="48" spans="1:10" ht="16.2" thickBot="1" x14ac:dyDescent="0.35">
      <c r="A48" s="118"/>
      <c r="B48" s="114"/>
      <c r="C48" s="119" t="s">
        <v>64</v>
      </c>
      <c r="D48" s="120">
        <f>SUM(D37:D46)</f>
        <v>52530</v>
      </c>
    </row>
    <row r="49" spans="1:4" ht="16.2" thickBot="1" x14ac:dyDescent="0.35">
      <c r="A49" s="118"/>
      <c r="B49" s="114"/>
      <c r="C49" s="115"/>
      <c r="D49" s="114"/>
    </row>
    <row r="50" spans="1:4" ht="18.600000000000001" thickBot="1" x14ac:dyDescent="0.35">
      <c r="A50" s="319" t="s">
        <v>0</v>
      </c>
      <c r="B50" s="320"/>
      <c r="C50" s="320"/>
      <c r="D50" s="321"/>
    </row>
    <row r="51" spans="1:4" x14ac:dyDescent="0.3">
      <c r="A51" s="174" t="s">
        <v>16</v>
      </c>
      <c r="B51" s="174">
        <v>1000</v>
      </c>
      <c r="C51" s="174">
        <v>1</v>
      </c>
      <c r="D51" s="174">
        <f>B51*C51</f>
        <v>1000</v>
      </c>
    </row>
    <row r="52" spans="1:4" x14ac:dyDescent="0.3">
      <c r="A52" s="175" t="s">
        <v>17</v>
      </c>
      <c r="B52" s="175">
        <v>500</v>
      </c>
      <c r="C52" s="175">
        <v>1</v>
      </c>
      <c r="D52" s="175">
        <f t="shared" ref="D52:D58" si="3">B52*C52</f>
        <v>500</v>
      </c>
    </row>
    <row r="53" spans="1:4" x14ac:dyDescent="0.3">
      <c r="A53" s="175" t="s">
        <v>73</v>
      </c>
      <c r="B53" s="175">
        <v>1000</v>
      </c>
      <c r="C53" s="175">
        <v>10</v>
      </c>
      <c r="D53" s="175">
        <f t="shared" si="3"/>
        <v>10000</v>
      </c>
    </row>
    <row r="54" spans="1:4" x14ac:dyDescent="0.3">
      <c r="A54" s="175" t="s">
        <v>74</v>
      </c>
      <c r="B54" s="175">
        <v>1000</v>
      </c>
      <c r="C54" s="175">
        <v>2</v>
      </c>
      <c r="D54" s="175">
        <f>B54*C54</f>
        <v>2000</v>
      </c>
    </row>
    <row r="55" spans="1:4" x14ac:dyDescent="0.3">
      <c r="A55" s="175" t="s">
        <v>10</v>
      </c>
      <c r="B55" s="175">
        <v>400</v>
      </c>
      <c r="C55" s="175">
        <v>30</v>
      </c>
      <c r="D55" s="175">
        <f t="shared" si="3"/>
        <v>12000</v>
      </c>
    </row>
    <row r="56" spans="1:4" x14ac:dyDescent="0.3">
      <c r="A56" s="175" t="s">
        <v>20</v>
      </c>
      <c r="B56" s="175">
        <v>50</v>
      </c>
      <c r="C56" s="175">
        <v>1</v>
      </c>
      <c r="D56" s="175">
        <f t="shared" si="3"/>
        <v>50</v>
      </c>
    </row>
    <row r="57" spans="1:4" x14ac:dyDescent="0.3">
      <c r="A57" s="175" t="s">
        <v>21</v>
      </c>
      <c r="B57" s="175">
        <v>500</v>
      </c>
      <c r="C57" s="175">
        <v>2</v>
      </c>
      <c r="D57" s="175">
        <f t="shared" si="3"/>
        <v>1000</v>
      </c>
    </row>
    <row r="58" spans="1:4" ht="16.2" thickBot="1" x14ac:dyDescent="0.35">
      <c r="A58" s="177" t="s">
        <v>76</v>
      </c>
      <c r="B58" s="177">
        <v>150</v>
      </c>
      <c r="C58" s="177">
        <v>4</v>
      </c>
      <c r="D58" s="177">
        <f t="shared" si="3"/>
        <v>600</v>
      </c>
    </row>
    <row r="59" spans="1:4" ht="16.2" thickBot="1" x14ac:dyDescent="0.35">
      <c r="A59" s="118"/>
      <c r="B59" s="114"/>
      <c r="C59" s="116" t="s">
        <v>64</v>
      </c>
      <c r="D59" s="117">
        <f>SUM(D51:D58)</f>
        <v>27150</v>
      </c>
    </row>
    <row r="60" spans="1:4" ht="16.2" thickBot="1" x14ac:dyDescent="0.35">
      <c r="A60" s="118"/>
      <c r="B60" s="114"/>
      <c r="C60" s="118"/>
      <c r="D60" s="114"/>
    </row>
    <row r="61" spans="1:4" ht="18.600000000000001" customHeight="1" thickBot="1" x14ac:dyDescent="0.4">
      <c r="A61" s="335" t="s">
        <v>34</v>
      </c>
      <c r="B61" s="336"/>
      <c r="C61" s="336"/>
      <c r="D61" s="337"/>
    </row>
    <row r="62" spans="1:4" x14ac:dyDescent="0.3">
      <c r="A62" s="174" t="s">
        <v>22</v>
      </c>
      <c r="B62" s="174">
        <v>4500</v>
      </c>
      <c r="C62" s="174">
        <v>1</v>
      </c>
      <c r="D62" s="174">
        <f>B62*C62</f>
        <v>4500</v>
      </c>
    </row>
    <row r="63" spans="1:4" x14ac:dyDescent="0.3">
      <c r="A63" s="175" t="s">
        <v>23</v>
      </c>
      <c r="B63" s="175">
        <v>0</v>
      </c>
      <c r="C63" s="175">
        <v>0</v>
      </c>
      <c r="D63" s="175">
        <f>B63*C63</f>
        <v>0</v>
      </c>
    </row>
    <row r="64" spans="1:4" ht="16.2" thickBot="1" x14ac:dyDescent="0.35">
      <c r="A64" s="177" t="s">
        <v>24</v>
      </c>
      <c r="B64" s="177">
        <v>200</v>
      </c>
      <c r="C64" s="177">
        <v>3</v>
      </c>
      <c r="D64" s="177">
        <f>B64*C64</f>
        <v>600</v>
      </c>
    </row>
    <row r="65" spans="1:4" ht="16.2" thickBot="1" x14ac:dyDescent="0.35">
      <c r="A65" s="118"/>
      <c r="B65" s="114"/>
      <c r="C65" s="116" t="s">
        <v>64</v>
      </c>
      <c r="D65" s="117">
        <f>SUM(D62:D64)</f>
        <v>5100</v>
      </c>
    </row>
    <row r="66" spans="1:4" ht="16.2" thickBot="1" x14ac:dyDescent="0.35">
      <c r="A66" s="118"/>
      <c r="B66" s="114"/>
      <c r="C66" s="115"/>
      <c r="D66" s="114"/>
    </row>
    <row r="67" spans="1:4" ht="18.600000000000001" thickBot="1" x14ac:dyDescent="0.35">
      <c r="A67" s="332" t="s">
        <v>11</v>
      </c>
      <c r="B67" s="333"/>
      <c r="C67" s="333"/>
      <c r="D67" s="334"/>
    </row>
    <row r="68" spans="1:4" x14ac:dyDescent="0.3">
      <c r="A68" s="178" t="s">
        <v>13</v>
      </c>
      <c r="B68" s="174">
        <v>3000</v>
      </c>
      <c r="C68" s="174">
        <v>1</v>
      </c>
      <c r="D68" s="174">
        <f>B68*C68</f>
        <v>3000</v>
      </c>
    </row>
    <row r="69" spans="1:4" x14ac:dyDescent="0.3">
      <c r="A69" s="179" t="s">
        <v>35</v>
      </c>
      <c r="B69" s="175">
        <v>15000</v>
      </c>
      <c r="C69" s="175">
        <v>1</v>
      </c>
      <c r="D69" s="175">
        <f t="shared" ref="D69:D80" si="4">B69*C69</f>
        <v>15000</v>
      </c>
    </row>
    <row r="70" spans="1:4" x14ac:dyDescent="0.3">
      <c r="A70" s="179" t="s">
        <v>36</v>
      </c>
      <c r="B70" s="175">
        <v>65000</v>
      </c>
      <c r="C70" s="175">
        <v>1</v>
      </c>
      <c r="D70" s="175">
        <f t="shared" si="4"/>
        <v>65000</v>
      </c>
    </row>
    <row r="71" spans="1:4" x14ac:dyDescent="0.3">
      <c r="A71" s="179" t="s">
        <v>37</v>
      </c>
      <c r="B71" s="175">
        <v>20000</v>
      </c>
      <c r="C71" s="175">
        <v>2</v>
      </c>
      <c r="D71" s="175">
        <f t="shared" si="4"/>
        <v>40000</v>
      </c>
    </row>
    <row r="72" spans="1:4" x14ac:dyDescent="0.3">
      <c r="A72" s="179" t="s">
        <v>69</v>
      </c>
      <c r="B72" s="175">
        <v>0.5</v>
      </c>
      <c r="C72" s="175">
        <v>1</v>
      </c>
      <c r="D72" s="175">
        <f>B71*B72</f>
        <v>10000</v>
      </c>
    </row>
    <row r="73" spans="1:4" x14ac:dyDescent="0.3">
      <c r="A73" s="179" t="s">
        <v>71</v>
      </c>
      <c r="B73" s="175">
        <v>4000</v>
      </c>
      <c r="C73" s="175">
        <v>1</v>
      </c>
      <c r="D73" s="175">
        <f t="shared" si="4"/>
        <v>4000</v>
      </c>
    </row>
    <row r="74" spans="1:4" x14ac:dyDescent="0.3">
      <c r="A74" s="179" t="s">
        <v>38</v>
      </c>
      <c r="B74" s="175">
        <v>350</v>
      </c>
      <c r="C74" s="175">
        <v>4</v>
      </c>
      <c r="D74" s="175">
        <f t="shared" si="4"/>
        <v>1400</v>
      </c>
    </row>
    <row r="75" spans="1:4" x14ac:dyDescent="0.3">
      <c r="A75" s="179" t="s">
        <v>40</v>
      </c>
      <c r="B75" s="175">
        <v>4000</v>
      </c>
      <c r="C75" s="175">
        <v>1</v>
      </c>
      <c r="D75" s="175">
        <f t="shared" si="4"/>
        <v>4000</v>
      </c>
    </row>
    <row r="76" spans="1:4" x14ac:dyDescent="0.3">
      <c r="A76" s="179" t="s">
        <v>41</v>
      </c>
      <c r="B76" s="175">
        <v>2000</v>
      </c>
      <c r="C76" s="175">
        <v>1</v>
      </c>
      <c r="D76" s="175">
        <f t="shared" si="4"/>
        <v>2000</v>
      </c>
    </row>
    <row r="77" spans="1:4" x14ac:dyDescent="0.3">
      <c r="A77" s="179" t="s">
        <v>42</v>
      </c>
      <c r="B77" s="175">
        <v>2000</v>
      </c>
      <c r="C77" s="175">
        <v>1</v>
      </c>
      <c r="D77" s="175">
        <f t="shared" si="4"/>
        <v>2000</v>
      </c>
    </row>
    <row r="78" spans="1:4" x14ac:dyDescent="0.3">
      <c r="A78" s="179" t="s">
        <v>70</v>
      </c>
      <c r="B78" s="175">
        <v>1500</v>
      </c>
      <c r="C78" s="175">
        <v>1</v>
      </c>
      <c r="D78" s="175">
        <f t="shared" si="4"/>
        <v>1500</v>
      </c>
    </row>
    <row r="79" spans="1:4" x14ac:dyDescent="0.3">
      <c r="A79" s="179" t="s">
        <v>44</v>
      </c>
      <c r="B79" s="175">
        <v>1500</v>
      </c>
      <c r="C79" s="175">
        <v>2</v>
      </c>
      <c r="D79" s="175">
        <f t="shared" si="4"/>
        <v>3000</v>
      </c>
    </row>
    <row r="80" spans="1:4" x14ac:dyDescent="0.3">
      <c r="A80" s="179" t="s">
        <v>51</v>
      </c>
      <c r="B80" s="175">
        <v>500</v>
      </c>
      <c r="C80" s="175">
        <v>1</v>
      </c>
      <c r="D80" s="175">
        <f t="shared" si="4"/>
        <v>500</v>
      </c>
    </row>
    <row r="81" spans="1:5" x14ac:dyDescent="0.3">
      <c r="A81" s="179" t="s">
        <v>45</v>
      </c>
      <c r="B81" s="175"/>
      <c r="C81" s="175">
        <v>0.05</v>
      </c>
      <c r="D81" s="175">
        <v>12250</v>
      </c>
    </row>
    <row r="82" spans="1:5" ht="16.2" thickBot="1" x14ac:dyDescent="0.35">
      <c r="A82" s="288" t="s">
        <v>261</v>
      </c>
      <c r="B82" s="177">
        <v>1000</v>
      </c>
      <c r="C82" s="177">
        <v>7</v>
      </c>
      <c r="D82" s="177">
        <f>B82*C82</f>
        <v>7000</v>
      </c>
    </row>
    <row r="83" spans="1:5" ht="16.2" thickBot="1" x14ac:dyDescent="0.35">
      <c r="A83" s="114"/>
      <c r="B83" s="114"/>
      <c r="C83" s="119" t="s">
        <v>64</v>
      </c>
      <c r="D83" s="120">
        <f>SUM(D68:D82)</f>
        <v>170650</v>
      </c>
    </row>
    <row r="84" spans="1:5" ht="16.2" thickBot="1" x14ac:dyDescent="0.35">
      <c r="A84" s="114"/>
      <c r="B84" s="114"/>
      <c r="C84" s="115"/>
      <c r="D84" s="114"/>
    </row>
    <row r="85" spans="1:5" ht="18.600000000000001" thickBot="1" x14ac:dyDescent="0.35">
      <c r="A85" s="319" t="s">
        <v>46</v>
      </c>
      <c r="B85" s="320"/>
      <c r="C85" s="320"/>
      <c r="D85" s="321"/>
    </row>
    <row r="86" spans="1:5" x14ac:dyDescent="0.3">
      <c r="A86" s="174" t="s">
        <v>47</v>
      </c>
      <c r="B86" s="174">
        <v>700</v>
      </c>
      <c r="C86" s="174">
        <v>10</v>
      </c>
      <c r="D86" s="174">
        <f>B86*C86</f>
        <v>7000</v>
      </c>
    </row>
    <row r="87" spans="1:5" x14ac:dyDescent="0.3">
      <c r="A87" s="175" t="s">
        <v>48</v>
      </c>
      <c r="B87" s="175">
        <v>2000</v>
      </c>
      <c r="C87" s="175">
        <v>1</v>
      </c>
      <c r="D87" s="175">
        <f>B87*C87</f>
        <v>2000</v>
      </c>
    </row>
    <row r="88" spans="1:5" x14ac:dyDescent="0.3">
      <c r="A88" s="175" t="s">
        <v>49</v>
      </c>
      <c r="B88" s="175">
        <v>2000</v>
      </c>
      <c r="C88" s="175">
        <v>1</v>
      </c>
      <c r="D88" s="175">
        <f>B88*C88</f>
        <v>2000</v>
      </c>
    </row>
    <row r="89" spans="1:5" x14ac:dyDescent="0.3">
      <c r="A89" s="175" t="s">
        <v>50</v>
      </c>
      <c r="B89" s="175">
        <v>500</v>
      </c>
      <c r="C89" s="175">
        <v>2</v>
      </c>
      <c r="D89" s="175">
        <f>B89*C89</f>
        <v>1000</v>
      </c>
    </row>
    <row r="90" spans="1:5" ht="16.2" thickBot="1" x14ac:dyDescent="0.35">
      <c r="A90" s="177" t="s">
        <v>52</v>
      </c>
      <c r="B90" s="177">
        <v>1000</v>
      </c>
      <c r="C90" s="177">
        <v>1</v>
      </c>
      <c r="D90" s="177">
        <f>B90*C90</f>
        <v>1000</v>
      </c>
    </row>
    <row r="91" spans="1:5" ht="16.2" thickBot="1" x14ac:dyDescent="0.35">
      <c r="A91" s="123" t="s">
        <v>75</v>
      </c>
      <c r="B91" s="114"/>
      <c r="C91" s="116" t="s">
        <v>64</v>
      </c>
      <c r="D91" s="117">
        <f>SUM(D86:D90)</f>
        <v>13000</v>
      </c>
    </row>
    <row r="92" spans="1:5" x14ac:dyDescent="0.3">
      <c r="A92" s="114"/>
      <c r="B92" s="114"/>
      <c r="C92" s="115"/>
      <c r="D92" s="114"/>
    </row>
    <row r="93" spans="1:5" x14ac:dyDescent="0.3">
      <c r="A93" s="114"/>
      <c r="B93" s="114"/>
      <c r="C93" s="115"/>
      <c r="D93" s="114"/>
    </row>
    <row r="94" spans="1:5" ht="15.6" customHeight="1" thickBot="1" x14ac:dyDescent="0.35">
      <c r="A94" s="114"/>
      <c r="B94" s="114"/>
      <c r="C94" s="115"/>
      <c r="D94" s="114"/>
    </row>
    <row r="95" spans="1:5" x14ac:dyDescent="0.3">
      <c r="A95" s="114"/>
      <c r="B95" s="114"/>
      <c r="C95" s="338" t="s">
        <v>85</v>
      </c>
      <c r="D95" s="124">
        <f>D14+D34+D48+D59+D65+D83+D91</f>
        <v>540605</v>
      </c>
      <c r="E95" s="3" t="s">
        <v>79</v>
      </c>
    </row>
    <row r="96" spans="1:5" ht="16.2" thickBot="1" x14ac:dyDescent="0.35">
      <c r="A96" s="114"/>
      <c r="B96" s="114"/>
      <c r="C96" s="339"/>
      <c r="D96" s="125">
        <f>D95/'[1]Технический лист'!$C$17</f>
        <v>20323.496240601504</v>
      </c>
      <c r="E96" s="3" t="s">
        <v>80</v>
      </c>
    </row>
    <row r="97" spans="1:5" ht="15.6" customHeight="1" thickBot="1" x14ac:dyDescent="0.35">
      <c r="A97" s="114"/>
      <c r="B97" s="114"/>
      <c r="C97" s="115"/>
      <c r="D97" s="114"/>
    </row>
    <row r="98" spans="1:5" x14ac:dyDescent="0.3">
      <c r="A98" s="114"/>
      <c r="B98" s="114"/>
      <c r="C98" s="338" t="s">
        <v>86</v>
      </c>
      <c r="D98" s="124">
        <f>D99*'[1]Технический лист'!$C$17</f>
        <v>159600</v>
      </c>
      <c r="E98" s="3" t="s">
        <v>79</v>
      </c>
    </row>
    <row r="99" spans="1:5" ht="16.2" thickBot="1" x14ac:dyDescent="0.35">
      <c r="A99" s="114"/>
      <c r="B99" s="114"/>
      <c r="C99" s="339"/>
      <c r="D99" s="125">
        <v>6000</v>
      </c>
      <c r="E99" s="3" t="s">
        <v>80</v>
      </c>
    </row>
    <row r="100" spans="1:5" ht="16.2" thickBot="1" x14ac:dyDescent="0.35">
      <c r="A100" s="114"/>
      <c r="B100" s="114"/>
      <c r="C100" s="115"/>
      <c r="D100" s="114"/>
    </row>
    <row r="101" spans="1:5" x14ac:dyDescent="0.3">
      <c r="A101" s="114"/>
      <c r="B101" s="114"/>
      <c r="C101" s="338" t="s">
        <v>87</v>
      </c>
      <c r="D101" s="124">
        <f>D95+D98</f>
        <v>700205</v>
      </c>
      <c r="E101" s="3" t="s">
        <v>79</v>
      </c>
    </row>
    <row r="102" spans="1:5" ht="16.2" thickBot="1" x14ac:dyDescent="0.35">
      <c r="A102" s="114"/>
      <c r="B102" s="114"/>
      <c r="C102" s="339"/>
      <c r="D102" s="125">
        <f>D96+D99</f>
        <v>26323.496240601504</v>
      </c>
      <c r="E102" s="3" t="s">
        <v>80</v>
      </c>
    </row>
  </sheetData>
  <mergeCells count="11">
    <mergeCell ref="A1:D1"/>
    <mergeCell ref="A3:D3"/>
    <mergeCell ref="A16:D16"/>
    <mergeCell ref="A36:D36"/>
    <mergeCell ref="A50:D50"/>
    <mergeCell ref="C101:C102"/>
    <mergeCell ref="A61:D61"/>
    <mergeCell ref="A67:D67"/>
    <mergeCell ref="A85:D85"/>
    <mergeCell ref="C95:C96"/>
    <mergeCell ref="C98:C99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E43"/>
  <sheetViews>
    <sheetView showGridLines="0" topLeftCell="D1" zoomScale="60" zoomScaleNormal="60" workbookViewId="0">
      <selection activeCell="D2" sqref="D2"/>
    </sheetView>
  </sheetViews>
  <sheetFormatPr defaultRowHeight="15.6" x14ac:dyDescent="0.3"/>
  <cols>
    <col min="1" max="1" width="23.5" customWidth="1"/>
    <col min="2" max="2" width="10.19921875" customWidth="1"/>
    <col min="3" max="4" width="21.8984375" customWidth="1"/>
    <col min="5" max="5" width="10.69921875" customWidth="1"/>
    <col min="7" max="7" width="11.19921875" customWidth="1"/>
    <col min="9" max="9" width="19.69921875" customWidth="1"/>
    <col min="10" max="10" width="11.8984375" customWidth="1"/>
    <col min="11" max="11" width="9.59765625" customWidth="1"/>
    <col min="12" max="12" width="12.69921875" customWidth="1"/>
    <col min="13" max="13" width="11.69921875" customWidth="1"/>
    <col min="14" max="14" width="4.19921875" customWidth="1"/>
    <col min="15" max="16" width="11.19921875" customWidth="1"/>
    <col min="17" max="17" width="11.3984375" customWidth="1"/>
    <col min="18" max="18" width="11.59765625" customWidth="1"/>
    <col min="19" max="19" width="7.8984375" customWidth="1"/>
    <col min="20" max="20" width="11.69921875" customWidth="1"/>
    <col min="21" max="21" width="12.09765625" customWidth="1"/>
    <col min="22" max="22" width="8.8984375" customWidth="1"/>
    <col min="23" max="23" width="16.5" customWidth="1"/>
    <col min="24" max="24" width="11.69921875" customWidth="1"/>
    <col min="25" max="25" width="16.19921875" customWidth="1"/>
    <col min="26" max="27" width="10.19921875" customWidth="1"/>
    <col min="28" max="28" width="12" bestFit="1" customWidth="1"/>
    <col min="29" max="29" width="14.69921875" bestFit="1" customWidth="1"/>
  </cols>
  <sheetData>
    <row r="1" spans="1:31" s="11" customFormat="1" ht="18.600000000000001" thickBot="1" x14ac:dyDescent="0.4">
      <c r="A1" s="348" t="s">
        <v>130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</row>
    <row r="2" spans="1:31" s="11" customFormat="1" ht="37.200000000000003" customHeight="1" thickBot="1" x14ac:dyDescent="0.35">
      <c r="A2" s="341" t="s">
        <v>212</v>
      </c>
      <c r="B2" s="342"/>
      <c r="C2" s="342"/>
      <c r="D2" s="92" t="s">
        <v>184</v>
      </c>
      <c r="E2" s="343" t="s">
        <v>213</v>
      </c>
      <c r="F2" s="343"/>
      <c r="G2" s="343"/>
      <c r="H2" s="344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</row>
    <row r="3" spans="1:31" ht="24" thickBot="1" x14ac:dyDescent="0.35">
      <c r="A3" s="192" t="s">
        <v>131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63"/>
      <c r="X3" s="63"/>
      <c r="Y3" s="63"/>
      <c r="Z3" s="63"/>
      <c r="AA3" s="63"/>
      <c r="AB3" s="63"/>
      <c r="AC3" s="63"/>
    </row>
    <row r="4" spans="1:31" s="22" customFormat="1" ht="127.95" customHeight="1" thickBot="1" x14ac:dyDescent="0.35">
      <c r="A4" s="254" t="s">
        <v>91</v>
      </c>
      <c r="B4" s="195" t="s">
        <v>92</v>
      </c>
      <c r="C4" s="196" t="s">
        <v>93</v>
      </c>
      <c r="D4" s="197" t="s">
        <v>134</v>
      </c>
      <c r="E4" s="255" t="s">
        <v>94</v>
      </c>
      <c r="F4" s="199" t="s">
        <v>95</v>
      </c>
      <c r="G4" s="256" t="s">
        <v>96</v>
      </c>
      <c r="H4" s="256" t="s">
        <v>97</v>
      </c>
      <c r="I4" s="256" t="s">
        <v>98</v>
      </c>
      <c r="J4" s="256" t="s">
        <v>99</v>
      </c>
      <c r="K4" s="199" t="s">
        <v>100</v>
      </c>
      <c r="L4" s="256" t="s">
        <v>101</v>
      </c>
      <c r="M4" s="256" t="s">
        <v>102</v>
      </c>
      <c r="N4" s="255" t="s">
        <v>103</v>
      </c>
      <c r="O4" s="256" t="s">
        <v>104</v>
      </c>
      <c r="P4" s="256" t="s">
        <v>105</v>
      </c>
      <c r="Q4" s="257" t="s">
        <v>90</v>
      </c>
      <c r="R4" s="258" t="s">
        <v>106</v>
      </c>
      <c r="S4" s="202" t="s">
        <v>107</v>
      </c>
      <c r="T4" s="258" t="s">
        <v>108</v>
      </c>
      <c r="U4" s="202" t="s">
        <v>109</v>
      </c>
      <c r="V4" s="203" t="s">
        <v>110</v>
      </c>
      <c r="W4" s="256" t="s">
        <v>111</v>
      </c>
      <c r="X4" s="256" t="s">
        <v>112</v>
      </c>
      <c r="Y4" s="256" t="s">
        <v>113</v>
      </c>
      <c r="Z4" s="256" t="s">
        <v>135</v>
      </c>
      <c r="AA4" s="256" t="s">
        <v>136</v>
      </c>
      <c r="AB4" s="256" t="s">
        <v>115</v>
      </c>
      <c r="AC4" s="257" t="s">
        <v>116</v>
      </c>
    </row>
    <row r="5" spans="1:31" x14ac:dyDescent="0.3">
      <c r="A5" s="17">
        <v>250</v>
      </c>
      <c r="B5" s="24">
        <v>10</v>
      </c>
      <c r="C5" s="24">
        <f>A5/B5</f>
        <v>25</v>
      </c>
      <c r="D5" s="24">
        <f>A5/(B5*5)</f>
        <v>5</v>
      </c>
      <c r="E5" s="49">
        <f>VLOOKUP($D$2,'Технический лист'!$A$7:$P$9,3,0)</f>
        <v>0.18</v>
      </c>
      <c r="F5" s="50">
        <f>A5*E5</f>
        <v>45</v>
      </c>
      <c r="G5" s="50">
        <v>10</v>
      </c>
      <c r="H5" s="50">
        <f>F5/G5</f>
        <v>4.5</v>
      </c>
      <c r="I5" s="51">
        <f>H5/4.2</f>
        <v>1.0714285714285714</v>
      </c>
      <c r="J5" s="52">
        <f>VLOOKUP('Доходы. "БИЗНЕС"'!$D$2,'Технический лист'!$A$7:$P$9,4,0)</f>
        <v>0.43</v>
      </c>
      <c r="K5" s="50">
        <f>ROUNDDOWN(F5*J5,0)</f>
        <v>19</v>
      </c>
      <c r="L5" s="52">
        <f>VLOOKUP($D$2,'Технический лист'!$A$7:$P$9,6,0)</f>
        <v>0.28000000000000003</v>
      </c>
      <c r="M5" s="52">
        <v>0.5</v>
      </c>
      <c r="N5" s="77" t="s">
        <v>117</v>
      </c>
      <c r="O5" s="78">
        <f>VLOOKUP($D$2,'Технический лист'!$A$7:$P$9,7,0)</f>
        <v>425</v>
      </c>
      <c r="P5" s="78">
        <v>400</v>
      </c>
      <c r="Q5" s="79">
        <v>5490</v>
      </c>
      <c r="R5" s="218">
        <f>K5*P5</f>
        <v>7600</v>
      </c>
      <c r="S5" s="218">
        <f t="shared" ref="S5:S13" si="0">ROUNDUP(K5*L5,0)</f>
        <v>6</v>
      </c>
      <c r="T5" s="218">
        <f t="shared" ref="T5:T13" si="1">S5*Q5</f>
        <v>32940</v>
      </c>
      <c r="U5" s="218">
        <f>ROUNDUP(S5,0)</f>
        <v>6</v>
      </c>
      <c r="V5" s="219">
        <f>K5*O5</f>
        <v>8075</v>
      </c>
      <c r="W5" s="204">
        <v>0</v>
      </c>
      <c r="X5" s="205">
        <f t="shared" ref="X5:X13" si="2">W5*Q5</f>
        <v>0</v>
      </c>
      <c r="Y5" s="205">
        <f>R5+T5+X5</f>
        <v>40540</v>
      </c>
      <c r="Z5" s="205">
        <f>ROUNDUP(U5/6.6,0)</f>
        <v>1</v>
      </c>
      <c r="AA5" s="205">
        <f>ROUNDDOWN(K5/2/4.3,0)</f>
        <v>2</v>
      </c>
      <c r="AB5" s="205">
        <f>ROUNDUP((Z5+AA5)*4.3*400,0)</f>
        <v>5160</v>
      </c>
      <c r="AC5" s="206">
        <f>Y5-AB5-V5</f>
        <v>27305</v>
      </c>
      <c r="AD5" s="114"/>
      <c r="AE5" s="114"/>
    </row>
    <row r="6" spans="1:31" x14ac:dyDescent="0.3">
      <c r="A6" s="18">
        <v>250</v>
      </c>
      <c r="B6" s="24">
        <v>10</v>
      </c>
      <c r="C6" s="24">
        <f t="shared" ref="C6:C13" si="3">A6/B6</f>
        <v>25</v>
      </c>
      <c r="D6" s="24">
        <f t="shared" ref="D6:D13" si="4">A6/(B6*5)</f>
        <v>5</v>
      </c>
      <c r="E6" s="26">
        <f>VLOOKUP($D$2,'Технический лист'!$A$7:$P$9,3,0)</f>
        <v>0.18</v>
      </c>
      <c r="F6" s="27">
        <f t="shared" ref="F6:F13" si="5">A6*E6</f>
        <v>45</v>
      </c>
      <c r="G6" s="27">
        <v>10</v>
      </c>
      <c r="H6" s="27">
        <f t="shared" ref="H6:H13" si="6">F6/G6</f>
        <v>4.5</v>
      </c>
      <c r="I6" s="48">
        <f t="shared" ref="I6:I13" si="7">H6/4.2</f>
        <v>1.0714285714285714</v>
      </c>
      <c r="J6" s="28">
        <f>VLOOKUP('Доходы. "БИЗНЕС"'!$D$2,'Технический лист'!$A$7:$P$9,4,0)</f>
        <v>0.43</v>
      </c>
      <c r="K6" s="27">
        <f t="shared" ref="K6:K13" si="8">ROUNDDOWN(F6*J6,0)</f>
        <v>19</v>
      </c>
      <c r="L6" s="28">
        <f>VLOOKUP($D$2,'Технический лист'!$A$7:$P$9,6,0)</f>
        <v>0.28000000000000003</v>
      </c>
      <c r="M6" s="28">
        <v>0.5</v>
      </c>
      <c r="N6" s="29" t="s">
        <v>118</v>
      </c>
      <c r="O6" s="30">
        <f>VLOOKUP($D$2,'Технический лист'!$A$7:$P$9,7,0)</f>
        <v>425</v>
      </c>
      <c r="P6" s="30">
        <v>400</v>
      </c>
      <c r="Q6" s="31">
        <v>5490</v>
      </c>
      <c r="R6" s="222">
        <f t="shared" ref="R6:R13" si="9">K6*P6</f>
        <v>7600</v>
      </c>
      <c r="S6" s="222">
        <f t="shared" si="0"/>
        <v>6</v>
      </c>
      <c r="T6" s="222">
        <f t="shared" si="1"/>
        <v>32940</v>
      </c>
      <c r="U6" s="222">
        <f>ROUNDUP(U5+S6,0)</f>
        <v>12</v>
      </c>
      <c r="V6" s="223">
        <f t="shared" ref="V6:V13" si="10">K6*O6</f>
        <v>8075</v>
      </c>
      <c r="W6" s="207">
        <v>0</v>
      </c>
      <c r="X6" s="208">
        <f t="shared" si="2"/>
        <v>0</v>
      </c>
      <c r="Y6" s="208">
        <f>R6+T6+X6</f>
        <v>40540</v>
      </c>
      <c r="Z6" s="208">
        <f t="shared" ref="Z6:Z13" si="11">ROUNDUP(U6/6.6,0)</f>
        <v>2</v>
      </c>
      <c r="AA6" s="208">
        <f t="shared" ref="AA6:AA13" si="12">ROUNDDOWN(K6/2/4.3,0)</f>
        <v>2</v>
      </c>
      <c r="AB6" s="208">
        <f t="shared" ref="AB6:AB13" si="13">ROUNDUP((Z6+AA6)*4.3*400,0)</f>
        <v>6880</v>
      </c>
      <c r="AC6" s="138">
        <f t="shared" ref="AC6:AC13" si="14">Y6-AB6</f>
        <v>33660</v>
      </c>
      <c r="AD6" s="114"/>
      <c r="AE6" s="114"/>
    </row>
    <row r="7" spans="1:31" x14ac:dyDescent="0.3">
      <c r="A7" s="18">
        <v>250</v>
      </c>
      <c r="B7" s="24">
        <v>10</v>
      </c>
      <c r="C7" s="24">
        <f t="shared" si="3"/>
        <v>25</v>
      </c>
      <c r="D7" s="24">
        <f t="shared" si="4"/>
        <v>5</v>
      </c>
      <c r="E7" s="26">
        <f>VLOOKUP($D$2,'Технический лист'!$A$7:$P$9,3,0)</f>
        <v>0.18</v>
      </c>
      <c r="F7" s="27">
        <f t="shared" si="5"/>
        <v>45</v>
      </c>
      <c r="G7" s="27">
        <v>10</v>
      </c>
      <c r="H7" s="27">
        <f t="shared" si="6"/>
        <v>4.5</v>
      </c>
      <c r="I7" s="48">
        <f t="shared" si="7"/>
        <v>1.0714285714285714</v>
      </c>
      <c r="J7" s="28">
        <f>VLOOKUP('Доходы. "БИЗНЕС"'!$D$2,'Технический лист'!$A$7:$P$9,4,0)</f>
        <v>0.43</v>
      </c>
      <c r="K7" s="27">
        <f t="shared" si="8"/>
        <v>19</v>
      </c>
      <c r="L7" s="28">
        <f>VLOOKUP($D$2,'Технический лист'!$A$7:$P$9,6,0)</f>
        <v>0.28000000000000003</v>
      </c>
      <c r="M7" s="28">
        <v>0.5</v>
      </c>
      <c r="N7" s="29" t="s">
        <v>119</v>
      </c>
      <c r="O7" s="30">
        <f>VLOOKUP($D$2,'Технический лист'!$A$7:$P$9,7,0)</f>
        <v>425</v>
      </c>
      <c r="P7" s="30">
        <v>400</v>
      </c>
      <c r="Q7" s="31">
        <v>5490</v>
      </c>
      <c r="R7" s="222">
        <f t="shared" si="9"/>
        <v>7600</v>
      </c>
      <c r="S7" s="222">
        <f t="shared" si="0"/>
        <v>6</v>
      </c>
      <c r="T7" s="222">
        <f t="shared" si="1"/>
        <v>32940</v>
      </c>
      <c r="U7" s="222">
        <f>ROUNDUP(U6+S7,0)</f>
        <v>18</v>
      </c>
      <c r="V7" s="223">
        <f t="shared" si="10"/>
        <v>8075</v>
      </c>
      <c r="W7" s="207">
        <v>0</v>
      </c>
      <c r="X7" s="208">
        <f t="shared" si="2"/>
        <v>0</v>
      </c>
      <c r="Y7" s="208">
        <f t="shared" ref="Y7:Y13" si="15">R7+T7+X7</f>
        <v>40540</v>
      </c>
      <c r="Z7" s="208">
        <f t="shared" si="11"/>
        <v>3</v>
      </c>
      <c r="AA7" s="208">
        <f t="shared" si="12"/>
        <v>2</v>
      </c>
      <c r="AB7" s="208">
        <f t="shared" si="13"/>
        <v>8600</v>
      </c>
      <c r="AC7" s="138">
        <f t="shared" si="14"/>
        <v>31940</v>
      </c>
      <c r="AD7" s="114"/>
      <c r="AE7" s="114"/>
    </row>
    <row r="8" spans="1:31" x14ac:dyDescent="0.3">
      <c r="A8" s="18">
        <v>250</v>
      </c>
      <c r="B8" s="24">
        <v>10</v>
      </c>
      <c r="C8" s="24">
        <f t="shared" si="3"/>
        <v>25</v>
      </c>
      <c r="D8" s="24">
        <f t="shared" si="4"/>
        <v>5</v>
      </c>
      <c r="E8" s="26">
        <f>VLOOKUP($D$2,'Технический лист'!$A$7:$P$9,3,0)</f>
        <v>0.18</v>
      </c>
      <c r="F8" s="27">
        <f t="shared" si="5"/>
        <v>45</v>
      </c>
      <c r="G8" s="27">
        <v>10</v>
      </c>
      <c r="H8" s="27">
        <f t="shared" si="6"/>
        <v>4.5</v>
      </c>
      <c r="I8" s="48">
        <f t="shared" si="7"/>
        <v>1.0714285714285714</v>
      </c>
      <c r="J8" s="28">
        <f>VLOOKUP('Доходы. "БИЗНЕС"'!$D$2,'Технический лист'!$A$7:$P$9,4,0)</f>
        <v>0.43</v>
      </c>
      <c r="K8" s="27">
        <f t="shared" si="8"/>
        <v>19</v>
      </c>
      <c r="L8" s="28">
        <f>VLOOKUP($D$2,'Технический лист'!$A$7:$P$9,6,0)</f>
        <v>0.28000000000000003</v>
      </c>
      <c r="M8" s="28">
        <v>0.5</v>
      </c>
      <c r="N8" s="29" t="s">
        <v>120</v>
      </c>
      <c r="O8" s="30">
        <f>VLOOKUP($D$2,'Технический лист'!$A$7:$P$9,7,0)</f>
        <v>425</v>
      </c>
      <c r="P8" s="30">
        <v>400</v>
      </c>
      <c r="Q8" s="31">
        <v>5490</v>
      </c>
      <c r="R8" s="222">
        <f t="shared" si="9"/>
        <v>7600</v>
      </c>
      <c r="S8" s="222">
        <f t="shared" si="0"/>
        <v>6</v>
      </c>
      <c r="T8" s="222">
        <f t="shared" si="1"/>
        <v>32940</v>
      </c>
      <c r="U8" s="222">
        <f>ROUNDUP(U7+S8,0)</f>
        <v>24</v>
      </c>
      <c r="V8" s="223">
        <f t="shared" si="10"/>
        <v>8075</v>
      </c>
      <c r="W8" s="207">
        <v>0</v>
      </c>
      <c r="X8" s="208">
        <f t="shared" si="2"/>
        <v>0</v>
      </c>
      <c r="Y8" s="208">
        <f t="shared" si="15"/>
        <v>40540</v>
      </c>
      <c r="Z8" s="208">
        <f>ROUNDUP(U8/6.6,0)</f>
        <v>4</v>
      </c>
      <c r="AA8" s="208">
        <f t="shared" si="12"/>
        <v>2</v>
      </c>
      <c r="AB8" s="208">
        <f t="shared" si="13"/>
        <v>10320</v>
      </c>
      <c r="AC8" s="138">
        <f t="shared" si="14"/>
        <v>30220</v>
      </c>
      <c r="AD8" s="114"/>
      <c r="AE8" s="114"/>
    </row>
    <row r="9" spans="1:31" s="38" customFormat="1" x14ac:dyDescent="0.3">
      <c r="A9" s="18">
        <v>250</v>
      </c>
      <c r="B9" s="32">
        <v>10</v>
      </c>
      <c r="C9" s="32">
        <f t="shared" si="3"/>
        <v>25</v>
      </c>
      <c r="D9" s="32">
        <f t="shared" si="4"/>
        <v>5</v>
      </c>
      <c r="E9" s="73">
        <f>VLOOKUP($D$2,'Технический лист'!$A$7:$P$9,3,0)</f>
        <v>0.18</v>
      </c>
      <c r="F9" s="34">
        <f t="shared" si="5"/>
        <v>45</v>
      </c>
      <c r="G9" s="34">
        <v>10</v>
      </c>
      <c r="H9" s="34">
        <f t="shared" si="6"/>
        <v>4.5</v>
      </c>
      <c r="I9" s="74">
        <f t="shared" si="7"/>
        <v>1.0714285714285714</v>
      </c>
      <c r="J9" s="75">
        <f>VLOOKUP('Доходы. "БИЗНЕС"'!$D$2,'Технический лист'!$A$7:$P$9,4,0)</f>
        <v>0.43</v>
      </c>
      <c r="K9" s="80">
        <f t="shared" si="8"/>
        <v>19</v>
      </c>
      <c r="L9" s="75">
        <f>VLOOKUP($D$2,'Технический лист'!$A$7:$P$9,6,0)</f>
        <v>0.28000000000000003</v>
      </c>
      <c r="M9" s="96">
        <v>0.5</v>
      </c>
      <c r="N9" s="35" t="s">
        <v>121</v>
      </c>
      <c r="O9" s="76">
        <f>VLOOKUP($D$2,'Технический лист'!$A$7:$P$9,7,0)</f>
        <v>425</v>
      </c>
      <c r="P9" s="36">
        <v>400</v>
      </c>
      <c r="Q9" s="37">
        <v>5490</v>
      </c>
      <c r="R9" s="227">
        <f t="shared" si="9"/>
        <v>7600</v>
      </c>
      <c r="S9" s="227">
        <f t="shared" si="0"/>
        <v>6</v>
      </c>
      <c r="T9" s="227">
        <f t="shared" si="1"/>
        <v>32940</v>
      </c>
      <c r="U9" s="227">
        <f t="shared" ref="U9:U11" si="16">ROUNDUP(U8-S5*M9+S9,0)</f>
        <v>27</v>
      </c>
      <c r="V9" s="228">
        <f t="shared" si="10"/>
        <v>8075</v>
      </c>
      <c r="W9" s="209">
        <f>ROUNDDOWN(S5*M9,)</f>
        <v>3</v>
      </c>
      <c r="X9" s="210">
        <f>W9*Q9</f>
        <v>16470</v>
      </c>
      <c r="Y9" s="211">
        <f t="shared" si="15"/>
        <v>57010</v>
      </c>
      <c r="Z9" s="211">
        <f t="shared" si="11"/>
        <v>5</v>
      </c>
      <c r="AA9" s="211">
        <f t="shared" si="12"/>
        <v>2</v>
      </c>
      <c r="AB9" s="211">
        <f t="shared" si="13"/>
        <v>12040</v>
      </c>
      <c r="AC9" s="212">
        <f t="shared" si="14"/>
        <v>44970</v>
      </c>
      <c r="AD9" s="246" t="s">
        <v>122</v>
      </c>
      <c r="AE9" s="246"/>
    </row>
    <row r="10" spans="1:31" x14ac:dyDescent="0.3">
      <c r="A10" s="18">
        <v>250</v>
      </c>
      <c r="B10" s="24">
        <v>10</v>
      </c>
      <c r="C10" s="24">
        <f t="shared" si="3"/>
        <v>25</v>
      </c>
      <c r="D10" s="24">
        <f t="shared" si="4"/>
        <v>5</v>
      </c>
      <c r="E10" s="26">
        <f>VLOOKUP($D$2,'Технический лист'!$A$7:$P$9,3,0)</f>
        <v>0.18</v>
      </c>
      <c r="F10" s="27">
        <f t="shared" si="5"/>
        <v>45</v>
      </c>
      <c r="G10" s="27">
        <v>10</v>
      </c>
      <c r="H10" s="27">
        <f t="shared" si="6"/>
        <v>4.5</v>
      </c>
      <c r="I10" s="48">
        <f t="shared" si="7"/>
        <v>1.0714285714285714</v>
      </c>
      <c r="J10" s="28">
        <f>VLOOKUP('Доходы. "БИЗНЕС"'!$D$2,'Технический лист'!$A$7:$P$9,4,0)</f>
        <v>0.43</v>
      </c>
      <c r="K10" s="27">
        <f t="shared" si="8"/>
        <v>19</v>
      </c>
      <c r="L10" s="28">
        <f>VLOOKUP($D$2,'Технический лист'!$A$7:$P$9,6,0)</f>
        <v>0.28000000000000003</v>
      </c>
      <c r="M10" s="28">
        <v>0.5</v>
      </c>
      <c r="N10" s="29" t="s">
        <v>123</v>
      </c>
      <c r="O10" s="30">
        <f>VLOOKUP($D$2,'Технический лист'!$A$7:$P$9,7,0)</f>
        <v>425</v>
      </c>
      <c r="P10" s="30">
        <v>400</v>
      </c>
      <c r="Q10" s="31">
        <v>5490</v>
      </c>
      <c r="R10" s="222">
        <f t="shared" si="9"/>
        <v>7600</v>
      </c>
      <c r="S10" s="229">
        <f t="shared" si="0"/>
        <v>6</v>
      </c>
      <c r="T10" s="222">
        <f t="shared" si="1"/>
        <v>32940</v>
      </c>
      <c r="U10" s="222">
        <f t="shared" si="16"/>
        <v>30</v>
      </c>
      <c r="V10" s="223">
        <f t="shared" si="10"/>
        <v>8075</v>
      </c>
      <c r="W10" s="209">
        <f t="shared" ref="W10:W11" si="17">ROUNDDOWN(S6*M10,)</f>
        <v>3</v>
      </c>
      <c r="X10" s="208">
        <f t="shared" si="2"/>
        <v>16470</v>
      </c>
      <c r="Y10" s="208">
        <f t="shared" si="15"/>
        <v>57010</v>
      </c>
      <c r="Z10" s="208">
        <f t="shared" si="11"/>
        <v>5</v>
      </c>
      <c r="AA10" s="208">
        <f t="shared" si="12"/>
        <v>2</v>
      </c>
      <c r="AB10" s="208">
        <f t="shared" si="13"/>
        <v>12040</v>
      </c>
      <c r="AC10" s="138">
        <f t="shared" si="14"/>
        <v>44970</v>
      </c>
      <c r="AD10" s="114"/>
      <c r="AE10" s="114"/>
    </row>
    <row r="11" spans="1:31" x14ac:dyDescent="0.3">
      <c r="A11" s="18">
        <v>250</v>
      </c>
      <c r="B11" s="24">
        <v>10</v>
      </c>
      <c r="C11" s="24">
        <f t="shared" si="3"/>
        <v>25</v>
      </c>
      <c r="D11" s="24">
        <f t="shared" si="4"/>
        <v>5</v>
      </c>
      <c r="E11" s="26">
        <f>VLOOKUP($D$2,'Технический лист'!$A$7:$P$9,3,0)</f>
        <v>0.18</v>
      </c>
      <c r="F11" s="27">
        <f t="shared" si="5"/>
        <v>45</v>
      </c>
      <c r="G11" s="27">
        <v>10</v>
      </c>
      <c r="H11" s="27">
        <f t="shared" si="6"/>
        <v>4.5</v>
      </c>
      <c r="I11" s="48">
        <f t="shared" si="7"/>
        <v>1.0714285714285714</v>
      </c>
      <c r="J11" s="28">
        <f>VLOOKUP('Доходы. "БИЗНЕС"'!$D$2,'Технический лист'!$A$7:$P$9,4,0)</f>
        <v>0.43</v>
      </c>
      <c r="K11" s="27">
        <f t="shared" si="8"/>
        <v>19</v>
      </c>
      <c r="L11" s="28">
        <f>VLOOKUP($D$2,'Технический лист'!$A$7:$P$9,6,0)</f>
        <v>0.28000000000000003</v>
      </c>
      <c r="M11" s="28">
        <v>0.5</v>
      </c>
      <c r="N11" s="29" t="s">
        <v>124</v>
      </c>
      <c r="O11" s="30">
        <f>VLOOKUP($D$2,'Технический лист'!$A$7:$P$9,7,0)</f>
        <v>425</v>
      </c>
      <c r="P11" s="30">
        <v>400</v>
      </c>
      <c r="Q11" s="31">
        <v>5490</v>
      </c>
      <c r="R11" s="222">
        <f t="shared" si="9"/>
        <v>7600</v>
      </c>
      <c r="S11" s="229">
        <f t="shared" si="0"/>
        <v>6</v>
      </c>
      <c r="T11" s="222">
        <f t="shared" si="1"/>
        <v>32940</v>
      </c>
      <c r="U11" s="222">
        <f t="shared" si="16"/>
        <v>33</v>
      </c>
      <c r="V11" s="223">
        <f t="shared" si="10"/>
        <v>8075</v>
      </c>
      <c r="W11" s="209">
        <f t="shared" si="17"/>
        <v>3</v>
      </c>
      <c r="X11" s="208">
        <f t="shared" si="2"/>
        <v>16470</v>
      </c>
      <c r="Y11" s="208">
        <f t="shared" si="15"/>
        <v>57010</v>
      </c>
      <c r="Z11" s="208">
        <f t="shared" si="11"/>
        <v>5</v>
      </c>
      <c r="AA11" s="208">
        <f t="shared" si="12"/>
        <v>2</v>
      </c>
      <c r="AB11" s="208">
        <f t="shared" si="13"/>
        <v>12040</v>
      </c>
      <c r="AC11" s="138">
        <f t="shared" si="14"/>
        <v>44970</v>
      </c>
      <c r="AD11" s="114"/>
      <c r="AE11" s="114"/>
    </row>
    <row r="12" spans="1:31" x14ac:dyDescent="0.3">
      <c r="A12" s="18">
        <v>250</v>
      </c>
      <c r="B12" s="24">
        <v>10</v>
      </c>
      <c r="C12" s="24">
        <f t="shared" si="3"/>
        <v>25</v>
      </c>
      <c r="D12" s="24">
        <f t="shared" si="4"/>
        <v>5</v>
      </c>
      <c r="E12" s="26">
        <f>VLOOKUP($D$2,'Технический лист'!$A$7:$P$9,3,0)</f>
        <v>0.18</v>
      </c>
      <c r="F12" s="27">
        <f t="shared" si="5"/>
        <v>45</v>
      </c>
      <c r="G12" s="27">
        <v>10</v>
      </c>
      <c r="H12" s="27">
        <f t="shared" si="6"/>
        <v>4.5</v>
      </c>
      <c r="I12" s="48">
        <f t="shared" si="7"/>
        <v>1.0714285714285714</v>
      </c>
      <c r="J12" s="28">
        <f>J11-10%</f>
        <v>0.32999999999999996</v>
      </c>
      <c r="K12" s="27">
        <f t="shared" si="8"/>
        <v>14</v>
      </c>
      <c r="L12" s="28">
        <f>L11-10%</f>
        <v>0.18000000000000002</v>
      </c>
      <c r="M12" s="28">
        <v>0.35</v>
      </c>
      <c r="N12" s="29" t="s">
        <v>125</v>
      </c>
      <c r="O12" s="102">
        <f>VLOOKUP($D$2,'Технический лист'!$A$2:$G$4,7,0)</f>
        <v>450</v>
      </c>
      <c r="P12" s="30">
        <v>400</v>
      </c>
      <c r="Q12" s="31">
        <v>5490</v>
      </c>
      <c r="R12" s="222">
        <f t="shared" si="9"/>
        <v>5600</v>
      </c>
      <c r="S12" s="229">
        <f t="shared" si="0"/>
        <v>3</v>
      </c>
      <c r="T12" s="222">
        <f t="shared" si="1"/>
        <v>16470</v>
      </c>
      <c r="U12" s="222">
        <f>ROUNDUP(U11-S9*M12+S12,0)</f>
        <v>34</v>
      </c>
      <c r="V12" s="223">
        <f t="shared" si="10"/>
        <v>6300</v>
      </c>
      <c r="W12" s="209">
        <f>ROUNDDOWN(S9*M12,)</f>
        <v>2</v>
      </c>
      <c r="X12" s="208">
        <f t="shared" si="2"/>
        <v>10980</v>
      </c>
      <c r="Y12" s="208">
        <f t="shared" si="15"/>
        <v>33050</v>
      </c>
      <c r="Z12" s="208">
        <f t="shared" si="11"/>
        <v>6</v>
      </c>
      <c r="AA12" s="208">
        <f t="shared" si="12"/>
        <v>1</v>
      </c>
      <c r="AB12" s="208">
        <f t="shared" si="13"/>
        <v>12040</v>
      </c>
      <c r="AC12" s="138">
        <f t="shared" si="14"/>
        <v>21010</v>
      </c>
      <c r="AD12" s="114"/>
      <c r="AE12" s="114"/>
    </row>
    <row r="13" spans="1:31" ht="16.2" thickBot="1" x14ac:dyDescent="0.35">
      <c r="A13" s="19">
        <v>250</v>
      </c>
      <c r="B13" s="40">
        <v>10</v>
      </c>
      <c r="C13" s="40">
        <f t="shared" si="3"/>
        <v>25</v>
      </c>
      <c r="D13" s="40">
        <f t="shared" si="4"/>
        <v>5</v>
      </c>
      <c r="E13" s="42">
        <f>VLOOKUP($D$2,'Технический лист'!$A$7:$P$9,3,0)</f>
        <v>0.18</v>
      </c>
      <c r="F13" s="43">
        <f t="shared" si="5"/>
        <v>45</v>
      </c>
      <c r="G13" s="43">
        <v>10</v>
      </c>
      <c r="H13" s="43">
        <f t="shared" si="6"/>
        <v>4.5</v>
      </c>
      <c r="I13" s="53">
        <f t="shared" si="7"/>
        <v>1.0714285714285714</v>
      </c>
      <c r="J13" s="44">
        <f>J12-10%</f>
        <v>0.22999999999999995</v>
      </c>
      <c r="K13" s="43">
        <f t="shared" si="8"/>
        <v>10</v>
      </c>
      <c r="L13" s="44">
        <f>L12-10%</f>
        <v>8.0000000000000016E-2</v>
      </c>
      <c r="M13" s="44">
        <v>0.2</v>
      </c>
      <c r="N13" s="45" t="s">
        <v>126</v>
      </c>
      <c r="O13" s="103">
        <f>VLOOKUP($D$2,'Технический лист'!$A$2:$G$4,7,0)</f>
        <v>450</v>
      </c>
      <c r="P13" s="46">
        <v>400</v>
      </c>
      <c r="Q13" s="47">
        <v>5490</v>
      </c>
      <c r="R13" s="234">
        <f t="shared" si="9"/>
        <v>4000</v>
      </c>
      <c r="S13" s="235">
        <f t="shared" si="0"/>
        <v>1</v>
      </c>
      <c r="T13" s="234">
        <f t="shared" si="1"/>
        <v>5490</v>
      </c>
      <c r="U13" s="234">
        <f>ROUNDUP(U12-S10*M13+S13,0)</f>
        <v>34</v>
      </c>
      <c r="V13" s="236">
        <f t="shared" si="10"/>
        <v>4500</v>
      </c>
      <c r="W13" s="213">
        <f>ROUNDDOWN(S10*M13,)</f>
        <v>1</v>
      </c>
      <c r="X13" s="214">
        <f t="shared" si="2"/>
        <v>5490</v>
      </c>
      <c r="Y13" s="214">
        <f t="shared" si="15"/>
        <v>14980</v>
      </c>
      <c r="Z13" s="214">
        <f t="shared" si="11"/>
        <v>6</v>
      </c>
      <c r="AA13" s="214">
        <f t="shared" si="12"/>
        <v>1</v>
      </c>
      <c r="AB13" s="214">
        <f t="shared" si="13"/>
        <v>12040</v>
      </c>
      <c r="AC13" s="139">
        <f t="shared" si="14"/>
        <v>2940</v>
      </c>
      <c r="AD13" s="114"/>
      <c r="AE13" s="114"/>
    </row>
    <row r="14" spans="1:31" ht="16.2" thickBot="1" x14ac:dyDescent="0.35"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215" t="s">
        <v>64</v>
      </c>
      <c r="AC14" s="127">
        <f>SUM(AC5:AC13)</f>
        <v>281985</v>
      </c>
      <c r="AD14" s="114"/>
      <c r="AE14" s="114"/>
    </row>
    <row r="15" spans="1:31" ht="24" thickBot="1" x14ac:dyDescent="0.35">
      <c r="A15" s="192" t="s">
        <v>132</v>
      </c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</row>
    <row r="16" spans="1:31" s="22" customFormat="1" ht="130.19999999999999" customHeight="1" thickBot="1" x14ac:dyDescent="0.35">
      <c r="A16" s="254" t="s">
        <v>138</v>
      </c>
      <c r="B16" s="195" t="s">
        <v>92</v>
      </c>
      <c r="C16" s="196" t="s">
        <v>93</v>
      </c>
      <c r="D16" s="197" t="s">
        <v>134</v>
      </c>
      <c r="E16" s="255" t="s">
        <v>94</v>
      </c>
      <c r="F16" s="199" t="s">
        <v>95</v>
      </c>
      <c r="G16" s="256" t="s">
        <v>96</v>
      </c>
      <c r="H16" s="256" t="s">
        <v>97</v>
      </c>
      <c r="I16" s="256" t="s">
        <v>98</v>
      </c>
      <c r="J16" s="256" t="s">
        <v>99</v>
      </c>
      <c r="K16" s="199" t="s">
        <v>100</v>
      </c>
      <c r="L16" s="256" t="s">
        <v>101</v>
      </c>
      <c r="M16" s="256" t="s">
        <v>102</v>
      </c>
      <c r="N16" s="255" t="s">
        <v>103</v>
      </c>
      <c r="O16" s="256" t="s">
        <v>104</v>
      </c>
      <c r="P16" s="256" t="s">
        <v>105</v>
      </c>
      <c r="Q16" s="257" t="s">
        <v>90</v>
      </c>
      <c r="R16" s="259" t="s">
        <v>106</v>
      </c>
      <c r="S16" s="251" t="s">
        <v>107</v>
      </c>
      <c r="T16" s="259" t="s">
        <v>108</v>
      </c>
      <c r="U16" s="251" t="s">
        <v>109</v>
      </c>
      <c r="V16" s="252" t="s">
        <v>110</v>
      </c>
      <c r="W16" s="260" t="s">
        <v>111</v>
      </c>
      <c r="X16" s="260" t="s">
        <v>112</v>
      </c>
      <c r="Y16" s="260" t="s">
        <v>113</v>
      </c>
      <c r="Z16" s="260" t="s">
        <v>114</v>
      </c>
      <c r="AA16" s="260" t="s">
        <v>136</v>
      </c>
      <c r="AB16" s="260" t="s">
        <v>115</v>
      </c>
      <c r="AC16" s="261" t="s">
        <v>116</v>
      </c>
      <c r="AD16" s="247"/>
      <c r="AE16" s="247"/>
    </row>
    <row r="17" spans="1:31" x14ac:dyDescent="0.3">
      <c r="A17" s="17">
        <v>250</v>
      </c>
      <c r="B17" s="24">
        <v>0</v>
      </c>
      <c r="C17" s="24">
        <f>IFERROR(A17/B17,0)</f>
        <v>0</v>
      </c>
      <c r="D17" s="24">
        <f>IFERROR(A17/(B17*5),0)</f>
        <v>0</v>
      </c>
      <c r="E17" s="49">
        <v>0</v>
      </c>
      <c r="F17" s="50">
        <f t="shared" ref="F17:F25" si="18">A17*E17</f>
        <v>0</v>
      </c>
      <c r="G17" s="50">
        <v>0</v>
      </c>
      <c r="H17" s="50">
        <f>IFERROR(F17/G17,0)</f>
        <v>0</v>
      </c>
      <c r="I17" s="50">
        <f>H17/4.2</f>
        <v>0</v>
      </c>
      <c r="J17" s="52">
        <f>VLOOKUP('Доходы. "БИЗНЕС"'!$D$2,'Технический лист'!$A$7:$P$9,5,0)</f>
        <v>0.23</v>
      </c>
      <c r="K17" s="50">
        <f>A17*J17</f>
        <v>57.5</v>
      </c>
      <c r="L17" s="52">
        <f>VLOOKUP($D$2,'Технический лист'!$A$7:$P$9,6,0)</f>
        <v>0.28000000000000003</v>
      </c>
      <c r="M17" s="69">
        <v>0.5</v>
      </c>
      <c r="N17" s="77" t="s">
        <v>117</v>
      </c>
      <c r="O17" s="78">
        <f>VLOOKUP($D$2,'Технический лист'!$A$7:$P$9,8,0)</f>
        <v>750</v>
      </c>
      <c r="P17" s="78">
        <v>400</v>
      </c>
      <c r="Q17" s="79">
        <v>5490</v>
      </c>
      <c r="R17" s="222">
        <f t="shared" ref="R17:R25" si="19">K17*P17</f>
        <v>23000</v>
      </c>
      <c r="S17" s="222">
        <f t="shared" ref="S17:S25" si="20">ROUNDUP(K17*L17,0)</f>
        <v>17</v>
      </c>
      <c r="T17" s="222">
        <f t="shared" ref="T17:T25" si="21">S17*Q17</f>
        <v>93330</v>
      </c>
      <c r="U17" s="222">
        <f>ROUNDUP(S17,0)</f>
        <v>17</v>
      </c>
      <c r="V17" s="237">
        <f t="shared" ref="V17:V25" si="22">K17*O17</f>
        <v>43125</v>
      </c>
      <c r="W17" s="204">
        <v>0</v>
      </c>
      <c r="X17" s="205">
        <f t="shared" ref="X17:X25" si="23">W17*Q17</f>
        <v>0</v>
      </c>
      <c r="Y17" s="205">
        <f>R17+T17+X17</f>
        <v>116330</v>
      </c>
      <c r="Z17" s="205">
        <f>ROUNDUP(U17/6.6,0)</f>
        <v>3</v>
      </c>
      <c r="AA17" s="205">
        <f>ROUNDDOWN(K17/2/4.3,0)</f>
        <v>6</v>
      </c>
      <c r="AB17" s="205">
        <f>ROUNDUP((Z17+AA17)*4.3*400,0)</f>
        <v>15480</v>
      </c>
      <c r="AC17" s="206">
        <f>Y17-AB17-V17</f>
        <v>57725</v>
      </c>
      <c r="AD17" s="114"/>
      <c r="AE17" s="114"/>
    </row>
    <row r="18" spans="1:31" x14ac:dyDescent="0.3">
      <c r="A18" s="18">
        <v>250</v>
      </c>
      <c r="B18" s="24">
        <v>0</v>
      </c>
      <c r="C18" s="24">
        <f t="shared" ref="C18:C25" si="24">IFERROR(A18/B18,0)</f>
        <v>0</v>
      </c>
      <c r="D18" s="24">
        <f t="shared" ref="D18:D25" si="25">IFERROR(A18/(B18*5),0)</f>
        <v>0</v>
      </c>
      <c r="E18" s="26">
        <v>0</v>
      </c>
      <c r="F18" s="27">
        <f t="shared" si="18"/>
        <v>0</v>
      </c>
      <c r="G18" s="27">
        <v>0</v>
      </c>
      <c r="H18" s="27">
        <f t="shared" ref="H18:H25" si="26">IFERROR(F18/G18,0)</f>
        <v>0</v>
      </c>
      <c r="I18" s="27">
        <f t="shared" ref="I18:I25" si="27">H18/4.2</f>
        <v>0</v>
      </c>
      <c r="J18" s="28">
        <f>VLOOKUP('Доходы. "БИЗНЕС"'!$D$2,'Технический лист'!$A$7:$P$9,5,0)</f>
        <v>0.23</v>
      </c>
      <c r="K18" s="27">
        <f t="shared" ref="K18:K25" si="28">A18*J18</f>
        <v>57.5</v>
      </c>
      <c r="L18" s="28">
        <f>VLOOKUP($D$2,'Технический лист'!$A$7:$P$9,6,0)</f>
        <v>0.28000000000000003</v>
      </c>
      <c r="M18" s="70">
        <v>0.5</v>
      </c>
      <c r="N18" s="29" t="s">
        <v>118</v>
      </c>
      <c r="O18" s="30">
        <f>VLOOKUP($D$2,'Технический лист'!$A$7:$P$9,8,0)</f>
        <v>750</v>
      </c>
      <c r="P18" s="30">
        <v>400</v>
      </c>
      <c r="Q18" s="31">
        <v>5490</v>
      </c>
      <c r="R18" s="222">
        <f t="shared" si="19"/>
        <v>23000</v>
      </c>
      <c r="S18" s="222">
        <f t="shared" si="20"/>
        <v>17</v>
      </c>
      <c r="T18" s="222">
        <f t="shared" si="21"/>
        <v>93330</v>
      </c>
      <c r="U18" s="222">
        <f>ROUNDUP(U17+S18,0)</f>
        <v>34</v>
      </c>
      <c r="V18" s="237">
        <f t="shared" si="22"/>
        <v>43125</v>
      </c>
      <c r="W18" s="207">
        <v>0</v>
      </c>
      <c r="X18" s="208">
        <f t="shared" si="23"/>
        <v>0</v>
      </c>
      <c r="Y18" s="208">
        <f>R18+T18+X18</f>
        <v>116330</v>
      </c>
      <c r="Z18" s="208">
        <f t="shared" ref="Z18:Z25" si="29">ROUNDUP(U18/6.6,0)</f>
        <v>6</v>
      </c>
      <c r="AA18" s="208">
        <f t="shared" ref="AA18:AA25" si="30">ROUNDDOWN(K18/2/4.3,0)</f>
        <v>6</v>
      </c>
      <c r="AB18" s="208">
        <f t="shared" ref="AB18:AB25" si="31">ROUNDUP((Z18+AA18)*4.3*400,0)</f>
        <v>20640</v>
      </c>
      <c r="AC18" s="138">
        <f t="shared" ref="AC18:AC25" si="32">Y18-AB18</f>
        <v>95690</v>
      </c>
      <c r="AD18" s="114"/>
      <c r="AE18" s="114"/>
    </row>
    <row r="19" spans="1:31" x14ac:dyDescent="0.3">
      <c r="A19" s="18">
        <v>250</v>
      </c>
      <c r="B19" s="24">
        <v>0</v>
      </c>
      <c r="C19" s="24">
        <f t="shared" si="24"/>
        <v>0</v>
      </c>
      <c r="D19" s="24">
        <f t="shared" si="25"/>
        <v>0</v>
      </c>
      <c r="E19" s="26">
        <v>0</v>
      </c>
      <c r="F19" s="27">
        <f t="shared" si="18"/>
        <v>0</v>
      </c>
      <c r="G19" s="27">
        <v>0</v>
      </c>
      <c r="H19" s="27">
        <f t="shared" si="26"/>
        <v>0</v>
      </c>
      <c r="I19" s="27">
        <f t="shared" si="27"/>
        <v>0</v>
      </c>
      <c r="J19" s="28">
        <f>VLOOKUP('Доходы. "БИЗНЕС"'!$D$2,'Технический лист'!$A$7:$P$9,5,0)</f>
        <v>0.23</v>
      </c>
      <c r="K19" s="27">
        <f t="shared" si="28"/>
        <v>57.5</v>
      </c>
      <c r="L19" s="28">
        <f>VLOOKUP($D$2,'Технический лист'!$A$7:$P$9,6,0)</f>
        <v>0.28000000000000003</v>
      </c>
      <c r="M19" s="70">
        <v>0.5</v>
      </c>
      <c r="N19" s="29" t="s">
        <v>119</v>
      </c>
      <c r="O19" s="30">
        <f>VLOOKUP($D$2,'Технический лист'!$A$7:$P$9,8,0)</f>
        <v>750</v>
      </c>
      <c r="P19" s="30">
        <v>400</v>
      </c>
      <c r="Q19" s="31">
        <v>5490</v>
      </c>
      <c r="R19" s="222">
        <f t="shared" si="19"/>
        <v>23000</v>
      </c>
      <c r="S19" s="222">
        <f t="shared" si="20"/>
        <v>17</v>
      </c>
      <c r="T19" s="222">
        <f t="shared" si="21"/>
        <v>93330</v>
      </c>
      <c r="U19" s="222">
        <f>ROUNDUP(U18+S19,0)</f>
        <v>51</v>
      </c>
      <c r="V19" s="237">
        <f t="shared" si="22"/>
        <v>43125</v>
      </c>
      <c r="W19" s="207">
        <v>0</v>
      </c>
      <c r="X19" s="208">
        <f t="shared" si="23"/>
        <v>0</v>
      </c>
      <c r="Y19" s="208">
        <f t="shared" ref="Y19:Y25" si="33">R19+T19+X19</f>
        <v>116330</v>
      </c>
      <c r="Z19" s="208">
        <f t="shared" si="29"/>
        <v>8</v>
      </c>
      <c r="AA19" s="208">
        <f t="shared" si="30"/>
        <v>6</v>
      </c>
      <c r="AB19" s="208">
        <f t="shared" si="31"/>
        <v>24080</v>
      </c>
      <c r="AC19" s="138">
        <f t="shared" si="32"/>
        <v>92250</v>
      </c>
      <c r="AD19" s="114"/>
      <c r="AE19" s="114"/>
    </row>
    <row r="20" spans="1:31" x14ac:dyDescent="0.3">
      <c r="A20" s="18">
        <v>250</v>
      </c>
      <c r="B20" s="24">
        <v>0</v>
      </c>
      <c r="C20" s="24">
        <f t="shared" si="24"/>
        <v>0</v>
      </c>
      <c r="D20" s="24">
        <f t="shared" si="25"/>
        <v>0</v>
      </c>
      <c r="E20" s="26">
        <v>0</v>
      </c>
      <c r="F20" s="27">
        <f t="shared" si="18"/>
        <v>0</v>
      </c>
      <c r="G20" s="27">
        <v>0</v>
      </c>
      <c r="H20" s="27">
        <f t="shared" si="26"/>
        <v>0</v>
      </c>
      <c r="I20" s="27">
        <f t="shared" si="27"/>
        <v>0</v>
      </c>
      <c r="J20" s="28">
        <f>VLOOKUP('Доходы. "БИЗНЕС"'!$D$2,'Технический лист'!$A$7:$P$9,5,0)</f>
        <v>0.23</v>
      </c>
      <c r="K20" s="27">
        <f t="shared" si="28"/>
        <v>57.5</v>
      </c>
      <c r="L20" s="28">
        <f>VLOOKUP($D$2,'Технический лист'!$A$7:$P$9,6,0)</f>
        <v>0.28000000000000003</v>
      </c>
      <c r="M20" s="70">
        <v>0.5</v>
      </c>
      <c r="N20" s="29" t="s">
        <v>120</v>
      </c>
      <c r="O20" s="30">
        <f>VLOOKUP($D$2,'Технический лист'!$A$7:$P$9,8,0)</f>
        <v>750</v>
      </c>
      <c r="P20" s="30">
        <v>400</v>
      </c>
      <c r="Q20" s="31">
        <v>5490</v>
      </c>
      <c r="R20" s="222">
        <f t="shared" si="19"/>
        <v>23000</v>
      </c>
      <c r="S20" s="222">
        <f t="shared" si="20"/>
        <v>17</v>
      </c>
      <c r="T20" s="222">
        <f t="shared" si="21"/>
        <v>93330</v>
      </c>
      <c r="U20" s="222">
        <f>ROUNDUP(U19+S20,0)</f>
        <v>68</v>
      </c>
      <c r="V20" s="237">
        <f t="shared" si="22"/>
        <v>43125</v>
      </c>
      <c r="W20" s="207">
        <v>0</v>
      </c>
      <c r="X20" s="208">
        <f t="shared" si="23"/>
        <v>0</v>
      </c>
      <c r="Y20" s="208">
        <f t="shared" si="33"/>
        <v>116330</v>
      </c>
      <c r="Z20" s="208">
        <f t="shared" si="29"/>
        <v>11</v>
      </c>
      <c r="AA20" s="208">
        <f t="shared" si="30"/>
        <v>6</v>
      </c>
      <c r="AB20" s="208">
        <f t="shared" si="31"/>
        <v>29240</v>
      </c>
      <c r="AC20" s="138">
        <f t="shared" si="32"/>
        <v>87090</v>
      </c>
      <c r="AD20" s="114"/>
      <c r="AE20" s="114"/>
    </row>
    <row r="21" spans="1:31" s="38" customFormat="1" x14ac:dyDescent="0.3">
      <c r="A21" s="18">
        <v>250</v>
      </c>
      <c r="B21" s="32">
        <v>0</v>
      </c>
      <c r="C21" s="81">
        <f t="shared" si="24"/>
        <v>0</v>
      </c>
      <c r="D21" s="81">
        <f t="shared" si="25"/>
        <v>0</v>
      </c>
      <c r="E21" s="33">
        <v>0</v>
      </c>
      <c r="F21" s="34">
        <f t="shared" si="18"/>
        <v>0</v>
      </c>
      <c r="G21" s="34">
        <v>0</v>
      </c>
      <c r="H21" s="80">
        <f t="shared" si="26"/>
        <v>0</v>
      </c>
      <c r="I21" s="34">
        <f t="shared" si="27"/>
        <v>0</v>
      </c>
      <c r="J21" s="75">
        <f>VLOOKUP('Доходы. "БИЗНЕС"'!$D$2,'Технический лист'!$A$7:$P$9,5,0)</f>
        <v>0.23</v>
      </c>
      <c r="K21" s="34">
        <f>A21*J21</f>
        <v>57.5</v>
      </c>
      <c r="L21" s="75">
        <f>VLOOKUP($D$2,'Технический лист'!$A$7:$P$9,6,0)</f>
        <v>0.28000000000000003</v>
      </c>
      <c r="M21" s="71">
        <v>0.5</v>
      </c>
      <c r="N21" s="35" t="s">
        <v>121</v>
      </c>
      <c r="O21" s="76">
        <f>VLOOKUP($D$2,'Технический лист'!$A$7:$P$9,8,0)</f>
        <v>750</v>
      </c>
      <c r="P21" s="36">
        <v>400</v>
      </c>
      <c r="Q21" s="37">
        <v>5490</v>
      </c>
      <c r="R21" s="227">
        <f t="shared" si="19"/>
        <v>23000</v>
      </c>
      <c r="S21" s="227">
        <f t="shared" si="20"/>
        <v>17</v>
      </c>
      <c r="T21" s="227">
        <f t="shared" si="21"/>
        <v>93330</v>
      </c>
      <c r="U21" s="227">
        <f t="shared" ref="U21:U23" si="34">ROUNDUP(U20-S17*M21+S21,0)</f>
        <v>77</v>
      </c>
      <c r="V21" s="238">
        <f t="shared" si="22"/>
        <v>43125</v>
      </c>
      <c r="W21" s="209">
        <f t="shared" ref="W21:W23" si="35">ROUNDDOWN(S17*M21,0)</f>
        <v>8</v>
      </c>
      <c r="X21" s="210">
        <f t="shared" si="23"/>
        <v>43920</v>
      </c>
      <c r="Y21" s="211">
        <f t="shared" si="33"/>
        <v>160250</v>
      </c>
      <c r="Z21" s="211">
        <f t="shared" si="29"/>
        <v>12</v>
      </c>
      <c r="AA21" s="211">
        <f t="shared" si="30"/>
        <v>6</v>
      </c>
      <c r="AB21" s="211">
        <f t="shared" si="31"/>
        <v>30960</v>
      </c>
      <c r="AC21" s="212">
        <f t="shared" si="32"/>
        <v>129290</v>
      </c>
      <c r="AD21" s="246" t="s">
        <v>122</v>
      </c>
      <c r="AE21" s="246"/>
    </row>
    <row r="22" spans="1:31" x14ac:dyDescent="0.3">
      <c r="A22" s="18">
        <v>250</v>
      </c>
      <c r="B22" s="24">
        <v>0</v>
      </c>
      <c r="C22" s="24">
        <f t="shared" si="24"/>
        <v>0</v>
      </c>
      <c r="D22" s="24">
        <f t="shared" si="25"/>
        <v>0</v>
      </c>
      <c r="E22" s="26">
        <v>0</v>
      </c>
      <c r="F22" s="27">
        <f t="shared" si="18"/>
        <v>0</v>
      </c>
      <c r="G22" s="27">
        <v>0</v>
      </c>
      <c r="H22" s="27">
        <f t="shared" si="26"/>
        <v>0</v>
      </c>
      <c r="I22" s="27">
        <f t="shared" si="27"/>
        <v>0</v>
      </c>
      <c r="J22" s="28">
        <f>VLOOKUP('Доходы. "БИЗНЕС"'!$D$2,'Технический лист'!$A$7:$P$9,5,0)</f>
        <v>0.23</v>
      </c>
      <c r="K22" s="27">
        <f t="shared" si="28"/>
        <v>57.5</v>
      </c>
      <c r="L22" s="28">
        <f>VLOOKUP($D$2,'Технический лист'!$A$7:$P$9,6,0)</f>
        <v>0.28000000000000003</v>
      </c>
      <c r="M22" s="70">
        <v>0.5</v>
      </c>
      <c r="N22" s="29" t="s">
        <v>123</v>
      </c>
      <c r="O22" s="30">
        <f>VLOOKUP($D$2,'Технический лист'!$A$7:$P$9,8,0)</f>
        <v>750</v>
      </c>
      <c r="P22" s="30">
        <v>400</v>
      </c>
      <c r="Q22" s="31">
        <v>5490</v>
      </c>
      <c r="R22" s="222">
        <f t="shared" si="19"/>
        <v>23000</v>
      </c>
      <c r="S22" s="229">
        <f t="shared" si="20"/>
        <v>17</v>
      </c>
      <c r="T22" s="222">
        <f t="shared" si="21"/>
        <v>93330</v>
      </c>
      <c r="U22" s="222">
        <f t="shared" si="34"/>
        <v>86</v>
      </c>
      <c r="V22" s="237">
        <f t="shared" si="22"/>
        <v>43125</v>
      </c>
      <c r="W22" s="209">
        <f t="shared" si="35"/>
        <v>8</v>
      </c>
      <c r="X22" s="208">
        <f t="shared" si="23"/>
        <v>43920</v>
      </c>
      <c r="Y22" s="208">
        <f t="shared" si="33"/>
        <v>160250</v>
      </c>
      <c r="Z22" s="208">
        <f t="shared" si="29"/>
        <v>14</v>
      </c>
      <c r="AA22" s="208">
        <f t="shared" si="30"/>
        <v>6</v>
      </c>
      <c r="AB22" s="208">
        <f t="shared" si="31"/>
        <v>34400</v>
      </c>
      <c r="AC22" s="138">
        <f t="shared" si="32"/>
        <v>125850</v>
      </c>
      <c r="AD22" s="114"/>
      <c r="AE22" s="114"/>
    </row>
    <row r="23" spans="1:31" x14ac:dyDescent="0.3">
      <c r="A23" s="18">
        <v>250</v>
      </c>
      <c r="B23" s="24">
        <v>0</v>
      </c>
      <c r="C23" s="24">
        <f t="shared" si="24"/>
        <v>0</v>
      </c>
      <c r="D23" s="24">
        <f t="shared" si="25"/>
        <v>0</v>
      </c>
      <c r="E23" s="26">
        <v>0</v>
      </c>
      <c r="F23" s="27">
        <f t="shared" si="18"/>
        <v>0</v>
      </c>
      <c r="G23" s="27">
        <v>0</v>
      </c>
      <c r="H23" s="27">
        <f t="shared" si="26"/>
        <v>0</v>
      </c>
      <c r="I23" s="27">
        <f t="shared" si="27"/>
        <v>0</v>
      </c>
      <c r="J23" s="28">
        <f>VLOOKUP('Доходы. "БИЗНЕС"'!$D$2,'Технический лист'!$A$7:$P$9,5,0)</f>
        <v>0.23</v>
      </c>
      <c r="K23" s="27">
        <f>A23*J23</f>
        <v>57.5</v>
      </c>
      <c r="L23" s="28">
        <f>VLOOKUP($D$2,'Технический лист'!$A$7:$P$9,6,0)</f>
        <v>0.28000000000000003</v>
      </c>
      <c r="M23" s="70">
        <v>0.5</v>
      </c>
      <c r="N23" s="29" t="s">
        <v>124</v>
      </c>
      <c r="O23" s="30">
        <f>VLOOKUP($D$2,'Технический лист'!$A$7:$P$9,8,0)</f>
        <v>750</v>
      </c>
      <c r="P23" s="30">
        <v>400</v>
      </c>
      <c r="Q23" s="31">
        <v>5490</v>
      </c>
      <c r="R23" s="222">
        <f t="shared" si="19"/>
        <v>23000</v>
      </c>
      <c r="S23" s="229">
        <f t="shared" si="20"/>
        <v>17</v>
      </c>
      <c r="T23" s="222">
        <f t="shared" si="21"/>
        <v>93330</v>
      </c>
      <c r="U23" s="222">
        <f t="shared" si="34"/>
        <v>95</v>
      </c>
      <c r="V23" s="237">
        <f t="shared" si="22"/>
        <v>43125</v>
      </c>
      <c r="W23" s="209">
        <f t="shared" si="35"/>
        <v>8</v>
      </c>
      <c r="X23" s="208">
        <f t="shared" si="23"/>
        <v>43920</v>
      </c>
      <c r="Y23" s="208">
        <f t="shared" si="33"/>
        <v>160250</v>
      </c>
      <c r="Z23" s="208">
        <f t="shared" si="29"/>
        <v>15</v>
      </c>
      <c r="AA23" s="208">
        <f t="shared" si="30"/>
        <v>6</v>
      </c>
      <c r="AB23" s="208">
        <f t="shared" si="31"/>
        <v>36120</v>
      </c>
      <c r="AC23" s="138">
        <f t="shared" si="32"/>
        <v>124130</v>
      </c>
      <c r="AD23" s="114"/>
      <c r="AE23" s="114"/>
    </row>
    <row r="24" spans="1:31" x14ac:dyDescent="0.3">
      <c r="A24" s="18">
        <v>250</v>
      </c>
      <c r="B24" s="24">
        <v>0</v>
      </c>
      <c r="C24" s="24">
        <f t="shared" si="24"/>
        <v>0</v>
      </c>
      <c r="D24" s="24">
        <f t="shared" si="25"/>
        <v>0</v>
      </c>
      <c r="E24" s="26">
        <v>0</v>
      </c>
      <c r="F24" s="27">
        <f t="shared" si="18"/>
        <v>0</v>
      </c>
      <c r="G24" s="27">
        <v>0</v>
      </c>
      <c r="H24" s="27">
        <f t="shared" si="26"/>
        <v>0</v>
      </c>
      <c r="I24" s="27">
        <f t="shared" si="27"/>
        <v>0</v>
      </c>
      <c r="J24" s="28">
        <f>J23-5%</f>
        <v>0.18</v>
      </c>
      <c r="K24" s="27">
        <f>A24*J24</f>
        <v>45</v>
      </c>
      <c r="L24" s="28">
        <f>L23-5%</f>
        <v>0.23000000000000004</v>
      </c>
      <c r="M24" s="70">
        <v>0.35</v>
      </c>
      <c r="N24" s="29" t="s">
        <v>125</v>
      </c>
      <c r="O24" s="102">
        <f>VLOOKUP($D$2,'Технический лист'!$A$2:$P$4,8,0)</f>
        <v>750</v>
      </c>
      <c r="P24" s="30">
        <v>400</v>
      </c>
      <c r="Q24" s="31">
        <v>5490</v>
      </c>
      <c r="R24" s="222">
        <f t="shared" si="19"/>
        <v>18000</v>
      </c>
      <c r="S24" s="229">
        <f t="shared" si="20"/>
        <v>11</v>
      </c>
      <c r="T24" s="222">
        <f t="shared" si="21"/>
        <v>60390</v>
      </c>
      <c r="U24" s="222">
        <f>ROUNDUP(U23-S21*M24+S24,0)</f>
        <v>101</v>
      </c>
      <c r="V24" s="237">
        <f t="shared" si="22"/>
        <v>33750</v>
      </c>
      <c r="W24" s="209">
        <f>ROUNDDOWN(S21*M24,0)</f>
        <v>5</v>
      </c>
      <c r="X24" s="208">
        <f t="shared" si="23"/>
        <v>27450</v>
      </c>
      <c r="Y24" s="208">
        <f t="shared" si="33"/>
        <v>105840</v>
      </c>
      <c r="Z24" s="208">
        <f t="shared" si="29"/>
        <v>16</v>
      </c>
      <c r="AA24" s="208">
        <f t="shared" si="30"/>
        <v>5</v>
      </c>
      <c r="AB24" s="208">
        <f t="shared" si="31"/>
        <v>36120</v>
      </c>
      <c r="AC24" s="138">
        <f t="shared" si="32"/>
        <v>69720</v>
      </c>
      <c r="AD24" s="114"/>
      <c r="AE24" s="114"/>
    </row>
    <row r="25" spans="1:31" ht="16.2" thickBot="1" x14ac:dyDescent="0.35">
      <c r="A25" s="19">
        <v>250</v>
      </c>
      <c r="B25" s="40">
        <v>0</v>
      </c>
      <c r="C25" s="40">
        <f t="shared" si="24"/>
        <v>0</v>
      </c>
      <c r="D25" s="40">
        <f t="shared" si="25"/>
        <v>0</v>
      </c>
      <c r="E25" s="42">
        <v>0</v>
      </c>
      <c r="F25" s="43">
        <f t="shared" si="18"/>
        <v>0</v>
      </c>
      <c r="G25" s="43">
        <v>0</v>
      </c>
      <c r="H25" s="43">
        <f t="shared" si="26"/>
        <v>0</v>
      </c>
      <c r="I25" s="43">
        <f t="shared" si="27"/>
        <v>0</v>
      </c>
      <c r="J25" s="44">
        <f>J24-5%</f>
        <v>0.13</v>
      </c>
      <c r="K25" s="43">
        <f t="shared" si="28"/>
        <v>32.5</v>
      </c>
      <c r="L25" s="44">
        <f>L24-5%</f>
        <v>0.18000000000000005</v>
      </c>
      <c r="M25" s="72">
        <v>0.2</v>
      </c>
      <c r="N25" s="45" t="s">
        <v>126</v>
      </c>
      <c r="O25" s="103">
        <f>VLOOKUP($D$2,'Технический лист'!$A$2:$P$4,8,0)</f>
        <v>750</v>
      </c>
      <c r="P25" s="46">
        <v>400</v>
      </c>
      <c r="Q25" s="47">
        <v>5490</v>
      </c>
      <c r="R25" s="234">
        <f t="shared" si="19"/>
        <v>13000</v>
      </c>
      <c r="S25" s="235">
        <f t="shared" si="20"/>
        <v>6</v>
      </c>
      <c r="T25" s="234">
        <f t="shared" si="21"/>
        <v>32940</v>
      </c>
      <c r="U25" s="234">
        <f>ROUNDUP(U24-S22*M25+S25,0)</f>
        <v>104</v>
      </c>
      <c r="V25" s="239">
        <f t="shared" si="22"/>
        <v>24375</v>
      </c>
      <c r="W25" s="213">
        <f>ROUNDDOWN(S22*M25,0)</f>
        <v>3</v>
      </c>
      <c r="X25" s="214">
        <f t="shared" si="23"/>
        <v>16470</v>
      </c>
      <c r="Y25" s="214">
        <f t="shared" si="33"/>
        <v>62410</v>
      </c>
      <c r="Z25" s="214">
        <f t="shared" si="29"/>
        <v>16</v>
      </c>
      <c r="AA25" s="214">
        <f t="shared" si="30"/>
        <v>3</v>
      </c>
      <c r="AB25" s="214">
        <f t="shared" si="31"/>
        <v>32680</v>
      </c>
      <c r="AC25" s="139">
        <f t="shared" si="32"/>
        <v>29730</v>
      </c>
      <c r="AD25" s="114"/>
      <c r="AE25" s="114"/>
    </row>
    <row r="26" spans="1:31" ht="16.2" thickBot="1" x14ac:dyDescent="0.35"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215" t="s">
        <v>64</v>
      </c>
      <c r="AC26" s="127">
        <f>SUM(AC17:AC25)</f>
        <v>811475</v>
      </c>
      <c r="AD26" s="114"/>
      <c r="AE26" s="114"/>
    </row>
    <row r="27" spans="1:31" x14ac:dyDescent="0.3"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x14ac:dyDescent="0.3"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</row>
    <row r="29" spans="1:31" ht="24" thickBot="1" x14ac:dyDescent="0.35">
      <c r="A29" s="192" t="s">
        <v>133</v>
      </c>
      <c r="K29" s="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</row>
    <row r="30" spans="1:31" s="22" customFormat="1" ht="156.6" customHeight="1" thickBot="1" x14ac:dyDescent="0.35">
      <c r="A30" s="95" t="s">
        <v>127</v>
      </c>
      <c r="B30" s="195" t="s">
        <v>92</v>
      </c>
      <c r="C30" s="196" t="s">
        <v>93</v>
      </c>
      <c r="D30" s="197" t="s">
        <v>134</v>
      </c>
      <c r="E30" s="262" t="s">
        <v>94</v>
      </c>
      <c r="F30" s="202" t="s">
        <v>95</v>
      </c>
      <c r="G30" s="258" t="s">
        <v>96</v>
      </c>
      <c r="H30" s="258" t="s">
        <v>97</v>
      </c>
      <c r="I30" s="258" t="s">
        <v>98</v>
      </c>
      <c r="J30" s="258" t="s">
        <v>128</v>
      </c>
      <c r="K30" s="202" t="s">
        <v>100</v>
      </c>
      <c r="L30" s="258" t="s">
        <v>129</v>
      </c>
      <c r="M30" s="258" t="s">
        <v>102</v>
      </c>
      <c r="N30" s="262" t="s">
        <v>103</v>
      </c>
      <c r="O30" s="258" t="s">
        <v>104</v>
      </c>
      <c r="P30" s="258" t="s">
        <v>105</v>
      </c>
      <c r="Q30" s="263" t="s">
        <v>90</v>
      </c>
      <c r="R30" s="259" t="s">
        <v>106</v>
      </c>
      <c r="S30" s="251" t="s">
        <v>107</v>
      </c>
      <c r="T30" s="259" t="s">
        <v>108</v>
      </c>
      <c r="U30" s="251" t="s">
        <v>109</v>
      </c>
      <c r="V30" s="252" t="s">
        <v>110</v>
      </c>
      <c r="W30" s="260" t="s">
        <v>111</v>
      </c>
      <c r="X30" s="260" t="s">
        <v>112</v>
      </c>
      <c r="Y30" s="260" t="s">
        <v>113</v>
      </c>
      <c r="Z30" s="260" t="s">
        <v>114</v>
      </c>
      <c r="AA30" s="260" t="s">
        <v>136</v>
      </c>
      <c r="AB30" s="260" t="s">
        <v>115</v>
      </c>
      <c r="AC30" s="261" t="s">
        <v>116</v>
      </c>
      <c r="AD30" s="247"/>
      <c r="AE30" s="247"/>
    </row>
    <row r="31" spans="1:31" x14ac:dyDescent="0.3">
      <c r="A31" s="60">
        <f t="shared" ref="A31:I31" si="36">A5+A17</f>
        <v>500</v>
      </c>
      <c r="B31" s="23">
        <f t="shared" si="36"/>
        <v>10</v>
      </c>
      <c r="C31" s="24">
        <f t="shared" si="36"/>
        <v>25</v>
      </c>
      <c r="D31" s="25">
        <f t="shared" si="36"/>
        <v>5</v>
      </c>
      <c r="E31" s="56">
        <f t="shared" si="36"/>
        <v>0.18</v>
      </c>
      <c r="F31" s="27">
        <f t="shared" si="36"/>
        <v>45</v>
      </c>
      <c r="G31" s="27">
        <f t="shared" si="36"/>
        <v>10</v>
      </c>
      <c r="H31" s="27">
        <f t="shared" si="36"/>
        <v>4.5</v>
      </c>
      <c r="I31" s="48">
        <f t="shared" si="36"/>
        <v>1.0714285714285714</v>
      </c>
      <c r="J31" s="57">
        <f t="shared" ref="J31:J39" si="37">(J5+J17)/2</f>
        <v>0.33</v>
      </c>
      <c r="K31" s="27">
        <f t="shared" ref="K31:K39" si="38">K5+K17</f>
        <v>76.5</v>
      </c>
      <c r="L31" s="57">
        <v>0.35</v>
      </c>
      <c r="M31" s="57">
        <v>0.5</v>
      </c>
      <c r="N31" s="29" t="s">
        <v>117</v>
      </c>
      <c r="O31" s="30">
        <f t="shared" ref="O31:O39" si="39">(O5+O17)/2</f>
        <v>587.5</v>
      </c>
      <c r="P31" s="30">
        <v>400</v>
      </c>
      <c r="Q31" s="31">
        <v>5490</v>
      </c>
      <c r="R31" s="218">
        <f t="shared" ref="R31:AC31" si="40">R5+R17</f>
        <v>30600</v>
      </c>
      <c r="S31" s="218">
        <f t="shared" si="40"/>
        <v>23</v>
      </c>
      <c r="T31" s="218">
        <f t="shared" si="40"/>
        <v>126270</v>
      </c>
      <c r="U31" s="218">
        <f t="shared" si="40"/>
        <v>23</v>
      </c>
      <c r="V31" s="219">
        <f t="shared" si="40"/>
        <v>51200</v>
      </c>
      <c r="W31" s="204">
        <f t="shared" si="40"/>
        <v>0</v>
      </c>
      <c r="X31" s="205">
        <f t="shared" si="40"/>
        <v>0</v>
      </c>
      <c r="Y31" s="205">
        <f t="shared" si="40"/>
        <v>156870</v>
      </c>
      <c r="Z31" s="205">
        <f t="shared" si="40"/>
        <v>4</v>
      </c>
      <c r="AA31" s="205">
        <f t="shared" si="40"/>
        <v>8</v>
      </c>
      <c r="AB31" s="205">
        <f t="shared" si="40"/>
        <v>20640</v>
      </c>
      <c r="AC31" s="206">
        <f t="shared" si="40"/>
        <v>85030</v>
      </c>
      <c r="AD31" s="114"/>
      <c r="AE31" s="114"/>
    </row>
    <row r="32" spans="1:31" x14ac:dyDescent="0.3">
      <c r="A32" s="60">
        <f t="shared" ref="A32:I32" si="41">A6+A18</f>
        <v>500</v>
      </c>
      <c r="B32" s="23">
        <f t="shared" si="41"/>
        <v>10</v>
      </c>
      <c r="C32" s="24">
        <f t="shared" si="41"/>
        <v>25</v>
      </c>
      <c r="D32" s="25">
        <f t="shared" si="41"/>
        <v>5</v>
      </c>
      <c r="E32" s="56">
        <f t="shared" si="41"/>
        <v>0.18</v>
      </c>
      <c r="F32" s="24">
        <f t="shared" si="41"/>
        <v>45</v>
      </c>
      <c r="G32" s="24">
        <f t="shared" si="41"/>
        <v>10</v>
      </c>
      <c r="H32" s="27">
        <f t="shared" si="41"/>
        <v>4.5</v>
      </c>
      <c r="I32" s="48">
        <f t="shared" si="41"/>
        <v>1.0714285714285714</v>
      </c>
      <c r="J32" s="57">
        <f t="shared" si="37"/>
        <v>0.33</v>
      </c>
      <c r="K32" s="27">
        <f t="shared" si="38"/>
        <v>76.5</v>
      </c>
      <c r="L32" s="57">
        <v>0.35</v>
      </c>
      <c r="M32" s="57">
        <v>0.5</v>
      </c>
      <c r="N32" s="29" t="s">
        <v>118</v>
      </c>
      <c r="O32" s="30">
        <f t="shared" si="39"/>
        <v>587.5</v>
      </c>
      <c r="P32" s="30">
        <v>400</v>
      </c>
      <c r="Q32" s="31">
        <v>5490</v>
      </c>
      <c r="R32" s="222">
        <f t="shared" ref="R32:AC32" si="42">R6+R18</f>
        <v>30600</v>
      </c>
      <c r="S32" s="222">
        <f t="shared" si="42"/>
        <v>23</v>
      </c>
      <c r="T32" s="222">
        <f t="shared" si="42"/>
        <v>126270</v>
      </c>
      <c r="U32" s="222">
        <f t="shared" si="42"/>
        <v>46</v>
      </c>
      <c r="V32" s="223">
        <f t="shared" si="42"/>
        <v>51200</v>
      </c>
      <c r="W32" s="207">
        <f t="shared" si="42"/>
        <v>0</v>
      </c>
      <c r="X32" s="208">
        <f t="shared" si="42"/>
        <v>0</v>
      </c>
      <c r="Y32" s="208">
        <f t="shared" si="42"/>
        <v>156870</v>
      </c>
      <c r="Z32" s="208">
        <f t="shared" si="42"/>
        <v>8</v>
      </c>
      <c r="AA32" s="208">
        <f t="shared" si="42"/>
        <v>8</v>
      </c>
      <c r="AB32" s="208">
        <f t="shared" si="42"/>
        <v>27520</v>
      </c>
      <c r="AC32" s="138">
        <f t="shared" si="42"/>
        <v>129350</v>
      </c>
      <c r="AD32" s="114"/>
      <c r="AE32" s="114"/>
    </row>
    <row r="33" spans="1:31" x14ac:dyDescent="0.3">
      <c r="A33" s="60">
        <f t="shared" ref="A33:I33" si="43">A7+A19</f>
        <v>500</v>
      </c>
      <c r="B33" s="23">
        <f t="shared" si="43"/>
        <v>10</v>
      </c>
      <c r="C33" s="24">
        <f t="shared" si="43"/>
        <v>25</v>
      </c>
      <c r="D33" s="25">
        <f t="shared" si="43"/>
        <v>5</v>
      </c>
      <c r="E33" s="56">
        <f t="shared" si="43"/>
        <v>0.18</v>
      </c>
      <c r="F33" s="24">
        <f t="shared" si="43"/>
        <v>45</v>
      </c>
      <c r="G33" s="24">
        <f t="shared" si="43"/>
        <v>10</v>
      </c>
      <c r="H33" s="27">
        <f t="shared" si="43"/>
        <v>4.5</v>
      </c>
      <c r="I33" s="48">
        <f t="shared" si="43"/>
        <v>1.0714285714285714</v>
      </c>
      <c r="J33" s="57">
        <f t="shared" si="37"/>
        <v>0.33</v>
      </c>
      <c r="K33" s="27">
        <f t="shared" si="38"/>
        <v>76.5</v>
      </c>
      <c r="L33" s="57">
        <v>0.35</v>
      </c>
      <c r="M33" s="57">
        <v>0.5</v>
      </c>
      <c r="N33" s="29" t="s">
        <v>119</v>
      </c>
      <c r="O33" s="30">
        <f t="shared" si="39"/>
        <v>587.5</v>
      </c>
      <c r="P33" s="30">
        <v>400</v>
      </c>
      <c r="Q33" s="31">
        <v>5490</v>
      </c>
      <c r="R33" s="222">
        <f t="shared" ref="R33:AC33" si="44">R7+R19</f>
        <v>30600</v>
      </c>
      <c r="S33" s="222">
        <f t="shared" si="44"/>
        <v>23</v>
      </c>
      <c r="T33" s="222">
        <f t="shared" si="44"/>
        <v>126270</v>
      </c>
      <c r="U33" s="222">
        <f t="shared" si="44"/>
        <v>69</v>
      </c>
      <c r="V33" s="223">
        <f t="shared" si="44"/>
        <v>51200</v>
      </c>
      <c r="W33" s="207">
        <f t="shared" si="44"/>
        <v>0</v>
      </c>
      <c r="X33" s="208">
        <f t="shared" si="44"/>
        <v>0</v>
      </c>
      <c r="Y33" s="208">
        <f t="shared" si="44"/>
        <v>156870</v>
      </c>
      <c r="Z33" s="208">
        <f t="shared" si="44"/>
        <v>11</v>
      </c>
      <c r="AA33" s="208">
        <f t="shared" si="44"/>
        <v>8</v>
      </c>
      <c r="AB33" s="208">
        <f t="shared" si="44"/>
        <v>32680</v>
      </c>
      <c r="AC33" s="138">
        <f t="shared" si="44"/>
        <v>124190</v>
      </c>
      <c r="AD33" s="114"/>
      <c r="AE33" s="114"/>
    </row>
    <row r="34" spans="1:31" x14ac:dyDescent="0.3">
      <c r="A34" s="60">
        <f t="shared" ref="A34:I34" si="45">A8+A20</f>
        <v>500</v>
      </c>
      <c r="B34" s="23">
        <f t="shared" si="45"/>
        <v>10</v>
      </c>
      <c r="C34" s="24">
        <f t="shared" si="45"/>
        <v>25</v>
      </c>
      <c r="D34" s="25">
        <f t="shared" si="45"/>
        <v>5</v>
      </c>
      <c r="E34" s="56">
        <f t="shared" si="45"/>
        <v>0.18</v>
      </c>
      <c r="F34" s="24">
        <f t="shared" si="45"/>
        <v>45</v>
      </c>
      <c r="G34" s="24">
        <f t="shared" si="45"/>
        <v>10</v>
      </c>
      <c r="H34" s="27">
        <f t="shared" si="45"/>
        <v>4.5</v>
      </c>
      <c r="I34" s="48">
        <f t="shared" si="45"/>
        <v>1.0714285714285714</v>
      </c>
      <c r="J34" s="57">
        <f t="shared" si="37"/>
        <v>0.33</v>
      </c>
      <c r="K34" s="27">
        <f t="shared" si="38"/>
        <v>76.5</v>
      </c>
      <c r="L34" s="57">
        <v>0.35</v>
      </c>
      <c r="M34" s="57">
        <v>0.5</v>
      </c>
      <c r="N34" s="29" t="s">
        <v>120</v>
      </c>
      <c r="O34" s="30">
        <f t="shared" si="39"/>
        <v>587.5</v>
      </c>
      <c r="P34" s="30">
        <v>400</v>
      </c>
      <c r="Q34" s="31">
        <v>5490</v>
      </c>
      <c r="R34" s="222">
        <f t="shared" ref="R34:AC34" si="46">R8+R20</f>
        <v>30600</v>
      </c>
      <c r="S34" s="222">
        <f t="shared" si="46"/>
        <v>23</v>
      </c>
      <c r="T34" s="222">
        <f t="shared" si="46"/>
        <v>126270</v>
      </c>
      <c r="U34" s="222">
        <f t="shared" si="46"/>
        <v>92</v>
      </c>
      <c r="V34" s="223">
        <f t="shared" si="46"/>
        <v>51200</v>
      </c>
      <c r="W34" s="207">
        <f t="shared" si="46"/>
        <v>0</v>
      </c>
      <c r="X34" s="208">
        <f t="shared" si="46"/>
        <v>0</v>
      </c>
      <c r="Y34" s="208">
        <f t="shared" si="46"/>
        <v>156870</v>
      </c>
      <c r="Z34" s="208">
        <f t="shared" si="46"/>
        <v>15</v>
      </c>
      <c r="AA34" s="208">
        <f t="shared" si="46"/>
        <v>8</v>
      </c>
      <c r="AB34" s="208">
        <f t="shared" si="46"/>
        <v>39560</v>
      </c>
      <c r="AC34" s="138">
        <f t="shared" si="46"/>
        <v>117310</v>
      </c>
      <c r="AD34" s="114"/>
      <c r="AE34" s="114"/>
    </row>
    <row r="35" spans="1:31" x14ac:dyDescent="0.3">
      <c r="A35" s="60">
        <f t="shared" ref="A35:I35" si="47">A9+A21</f>
        <v>500</v>
      </c>
      <c r="B35" s="97">
        <f t="shared" si="47"/>
        <v>10</v>
      </c>
      <c r="C35" s="81">
        <f t="shared" si="47"/>
        <v>25</v>
      </c>
      <c r="D35" s="82">
        <f t="shared" si="47"/>
        <v>5</v>
      </c>
      <c r="E35" s="98">
        <f t="shared" si="47"/>
        <v>0.18</v>
      </c>
      <c r="F35" s="81">
        <f t="shared" si="47"/>
        <v>45</v>
      </c>
      <c r="G35" s="81">
        <f t="shared" si="47"/>
        <v>10</v>
      </c>
      <c r="H35" s="80">
        <f t="shared" si="47"/>
        <v>4.5</v>
      </c>
      <c r="I35" s="74">
        <f t="shared" si="47"/>
        <v>1.0714285714285714</v>
      </c>
      <c r="J35" s="99">
        <f t="shared" si="37"/>
        <v>0.33</v>
      </c>
      <c r="K35" s="80">
        <f t="shared" si="38"/>
        <v>76.5</v>
      </c>
      <c r="L35" s="99">
        <v>0.35</v>
      </c>
      <c r="M35" s="99">
        <v>0.5</v>
      </c>
      <c r="N35" s="100" t="s">
        <v>121</v>
      </c>
      <c r="O35" s="76">
        <f t="shared" si="39"/>
        <v>587.5</v>
      </c>
      <c r="P35" s="76">
        <v>400</v>
      </c>
      <c r="Q35" s="101">
        <v>5490</v>
      </c>
      <c r="R35" s="241">
        <f t="shared" ref="R35:AC35" si="48">R9+R21</f>
        <v>30600</v>
      </c>
      <c r="S35" s="241">
        <f t="shared" si="48"/>
        <v>23</v>
      </c>
      <c r="T35" s="241">
        <f t="shared" si="48"/>
        <v>126270</v>
      </c>
      <c r="U35" s="241">
        <f t="shared" si="48"/>
        <v>104</v>
      </c>
      <c r="V35" s="242">
        <f t="shared" si="48"/>
        <v>51200</v>
      </c>
      <c r="W35" s="243">
        <f t="shared" si="48"/>
        <v>11</v>
      </c>
      <c r="X35" s="211">
        <f t="shared" si="48"/>
        <v>60390</v>
      </c>
      <c r="Y35" s="211">
        <f t="shared" si="48"/>
        <v>217260</v>
      </c>
      <c r="Z35" s="211">
        <f t="shared" si="48"/>
        <v>17</v>
      </c>
      <c r="AA35" s="211">
        <f t="shared" si="48"/>
        <v>8</v>
      </c>
      <c r="AB35" s="211">
        <f t="shared" si="48"/>
        <v>43000</v>
      </c>
      <c r="AC35" s="244">
        <f t="shared" si="48"/>
        <v>174260</v>
      </c>
      <c r="AD35" s="114"/>
      <c r="AE35" s="114"/>
    </row>
    <row r="36" spans="1:31" x14ac:dyDescent="0.3">
      <c r="A36" s="60">
        <f t="shared" ref="A36:I36" si="49">A10+A22</f>
        <v>500</v>
      </c>
      <c r="B36" s="23">
        <f t="shared" si="49"/>
        <v>10</v>
      </c>
      <c r="C36" s="24">
        <f t="shared" si="49"/>
        <v>25</v>
      </c>
      <c r="D36" s="25">
        <f t="shared" si="49"/>
        <v>5</v>
      </c>
      <c r="E36" s="56">
        <f t="shared" si="49"/>
        <v>0.18</v>
      </c>
      <c r="F36" s="24">
        <f t="shared" si="49"/>
        <v>45</v>
      </c>
      <c r="G36" s="24">
        <f t="shared" si="49"/>
        <v>10</v>
      </c>
      <c r="H36" s="27">
        <f t="shared" si="49"/>
        <v>4.5</v>
      </c>
      <c r="I36" s="48">
        <f t="shared" si="49"/>
        <v>1.0714285714285714</v>
      </c>
      <c r="J36" s="57">
        <f t="shared" si="37"/>
        <v>0.33</v>
      </c>
      <c r="K36" s="27">
        <f t="shared" si="38"/>
        <v>76.5</v>
      </c>
      <c r="L36" s="57">
        <v>0.35</v>
      </c>
      <c r="M36" s="57">
        <v>0.5</v>
      </c>
      <c r="N36" s="29" t="s">
        <v>123</v>
      </c>
      <c r="O36" s="30">
        <f t="shared" si="39"/>
        <v>587.5</v>
      </c>
      <c r="P36" s="30">
        <v>400</v>
      </c>
      <c r="Q36" s="31">
        <v>5490</v>
      </c>
      <c r="R36" s="222">
        <f t="shared" ref="R36:AC36" si="50">R10+R22</f>
        <v>30600</v>
      </c>
      <c r="S36" s="222">
        <f t="shared" si="50"/>
        <v>23</v>
      </c>
      <c r="T36" s="222">
        <f t="shared" si="50"/>
        <v>126270</v>
      </c>
      <c r="U36" s="222">
        <f t="shared" si="50"/>
        <v>116</v>
      </c>
      <c r="V36" s="223">
        <f t="shared" si="50"/>
        <v>51200</v>
      </c>
      <c r="W36" s="207">
        <f t="shared" si="50"/>
        <v>11</v>
      </c>
      <c r="X36" s="208">
        <f t="shared" si="50"/>
        <v>60390</v>
      </c>
      <c r="Y36" s="208">
        <f t="shared" si="50"/>
        <v>217260</v>
      </c>
      <c r="Z36" s="208">
        <f t="shared" si="50"/>
        <v>19</v>
      </c>
      <c r="AA36" s="208">
        <f t="shared" si="50"/>
        <v>8</v>
      </c>
      <c r="AB36" s="208">
        <f t="shared" si="50"/>
        <v>46440</v>
      </c>
      <c r="AC36" s="138">
        <f t="shared" si="50"/>
        <v>170820</v>
      </c>
      <c r="AD36" s="114"/>
      <c r="AE36" s="114"/>
    </row>
    <row r="37" spans="1:31" x14ac:dyDescent="0.3">
      <c r="A37" s="60">
        <f t="shared" ref="A37:I37" si="51">A11+A23</f>
        <v>500</v>
      </c>
      <c r="B37" s="23">
        <f t="shared" si="51"/>
        <v>10</v>
      </c>
      <c r="C37" s="24">
        <f t="shared" si="51"/>
        <v>25</v>
      </c>
      <c r="D37" s="25">
        <f t="shared" si="51"/>
        <v>5</v>
      </c>
      <c r="E37" s="56">
        <f t="shared" si="51"/>
        <v>0.18</v>
      </c>
      <c r="F37" s="24">
        <f t="shared" si="51"/>
        <v>45</v>
      </c>
      <c r="G37" s="24">
        <f t="shared" si="51"/>
        <v>10</v>
      </c>
      <c r="H37" s="27">
        <f t="shared" si="51"/>
        <v>4.5</v>
      </c>
      <c r="I37" s="48">
        <f t="shared" si="51"/>
        <v>1.0714285714285714</v>
      </c>
      <c r="J37" s="57">
        <f t="shared" si="37"/>
        <v>0.33</v>
      </c>
      <c r="K37" s="27">
        <f t="shared" si="38"/>
        <v>76.5</v>
      </c>
      <c r="L37" s="57">
        <v>0.35</v>
      </c>
      <c r="M37" s="57">
        <v>0.5</v>
      </c>
      <c r="N37" s="29" t="s">
        <v>124</v>
      </c>
      <c r="O37" s="30">
        <f t="shared" si="39"/>
        <v>587.5</v>
      </c>
      <c r="P37" s="30">
        <v>400</v>
      </c>
      <c r="Q37" s="31">
        <v>5490</v>
      </c>
      <c r="R37" s="222">
        <f t="shared" ref="R37:AC37" si="52">R11+R23</f>
        <v>30600</v>
      </c>
      <c r="S37" s="222">
        <f t="shared" si="52"/>
        <v>23</v>
      </c>
      <c r="T37" s="222">
        <f t="shared" si="52"/>
        <v>126270</v>
      </c>
      <c r="U37" s="222">
        <f t="shared" si="52"/>
        <v>128</v>
      </c>
      <c r="V37" s="223">
        <f t="shared" si="52"/>
        <v>51200</v>
      </c>
      <c r="W37" s="207">
        <f t="shared" si="52"/>
        <v>11</v>
      </c>
      <c r="X37" s="208">
        <f t="shared" si="52"/>
        <v>60390</v>
      </c>
      <c r="Y37" s="208">
        <f t="shared" si="52"/>
        <v>217260</v>
      </c>
      <c r="Z37" s="208">
        <f t="shared" si="52"/>
        <v>20</v>
      </c>
      <c r="AA37" s="208">
        <f t="shared" si="52"/>
        <v>8</v>
      </c>
      <c r="AB37" s="208">
        <f t="shared" si="52"/>
        <v>48160</v>
      </c>
      <c r="AC37" s="138">
        <f t="shared" si="52"/>
        <v>169100</v>
      </c>
      <c r="AD37" s="114"/>
      <c r="AE37" s="114"/>
    </row>
    <row r="38" spans="1:31" x14ac:dyDescent="0.3">
      <c r="A38" s="60">
        <f t="shared" ref="A38:I38" si="53">A12+A24</f>
        <v>500</v>
      </c>
      <c r="B38" s="23">
        <f t="shared" si="53"/>
        <v>10</v>
      </c>
      <c r="C38" s="24">
        <f t="shared" si="53"/>
        <v>25</v>
      </c>
      <c r="D38" s="25">
        <f t="shared" si="53"/>
        <v>5</v>
      </c>
      <c r="E38" s="56">
        <f t="shared" si="53"/>
        <v>0.18</v>
      </c>
      <c r="F38" s="24">
        <f t="shared" si="53"/>
        <v>45</v>
      </c>
      <c r="G38" s="24">
        <f t="shared" si="53"/>
        <v>10</v>
      </c>
      <c r="H38" s="27">
        <f t="shared" si="53"/>
        <v>4.5</v>
      </c>
      <c r="I38" s="48">
        <f t="shared" si="53"/>
        <v>1.0714285714285714</v>
      </c>
      <c r="J38" s="57">
        <f t="shared" si="37"/>
        <v>0.255</v>
      </c>
      <c r="K38" s="27">
        <f t="shared" si="38"/>
        <v>59</v>
      </c>
      <c r="L38" s="57">
        <v>0.35</v>
      </c>
      <c r="M38" s="57">
        <v>0.35</v>
      </c>
      <c r="N38" s="29" t="s">
        <v>125</v>
      </c>
      <c r="O38" s="30">
        <f t="shared" si="39"/>
        <v>600</v>
      </c>
      <c r="P38" s="30">
        <v>400</v>
      </c>
      <c r="Q38" s="31">
        <v>5490</v>
      </c>
      <c r="R38" s="222">
        <f t="shared" ref="R38:AC38" si="54">R12+R24</f>
        <v>23600</v>
      </c>
      <c r="S38" s="222">
        <f t="shared" si="54"/>
        <v>14</v>
      </c>
      <c r="T38" s="222">
        <f t="shared" si="54"/>
        <v>76860</v>
      </c>
      <c r="U38" s="222">
        <f t="shared" si="54"/>
        <v>135</v>
      </c>
      <c r="V38" s="223">
        <f t="shared" si="54"/>
        <v>40050</v>
      </c>
      <c r="W38" s="207">
        <f t="shared" si="54"/>
        <v>7</v>
      </c>
      <c r="X38" s="208">
        <f t="shared" si="54"/>
        <v>38430</v>
      </c>
      <c r="Y38" s="208">
        <f t="shared" si="54"/>
        <v>138890</v>
      </c>
      <c r="Z38" s="208">
        <f t="shared" si="54"/>
        <v>22</v>
      </c>
      <c r="AA38" s="208">
        <f t="shared" si="54"/>
        <v>6</v>
      </c>
      <c r="AB38" s="208">
        <f t="shared" si="54"/>
        <v>48160</v>
      </c>
      <c r="AC38" s="138">
        <f t="shared" si="54"/>
        <v>90730</v>
      </c>
      <c r="AD38" s="114"/>
      <c r="AE38" s="114"/>
    </row>
    <row r="39" spans="1:31" ht="16.2" thickBot="1" x14ac:dyDescent="0.35">
      <c r="A39" s="61">
        <f t="shared" ref="A39:I39" si="55">A13+A25</f>
        <v>500</v>
      </c>
      <c r="B39" s="39">
        <f t="shared" si="55"/>
        <v>10</v>
      </c>
      <c r="C39" s="40">
        <f t="shared" si="55"/>
        <v>25</v>
      </c>
      <c r="D39" s="41">
        <f t="shared" si="55"/>
        <v>5</v>
      </c>
      <c r="E39" s="58">
        <f t="shared" si="55"/>
        <v>0.18</v>
      </c>
      <c r="F39" s="40">
        <f t="shared" si="55"/>
        <v>45</v>
      </c>
      <c r="G39" s="40">
        <f t="shared" si="55"/>
        <v>10</v>
      </c>
      <c r="H39" s="43">
        <f t="shared" si="55"/>
        <v>4.5</v>
      </c>
      <c r="I39" s="53">
        <f t="shared" si="55"/>
        <v>1.0714285714285714</v>
      </c>
      <c r="J39" s="59">
        <f t="shared" si="37"/>
        <v>0.18</v>
      </c>
      <c r="K39" s="43">
        <f t="shared" si="38"/>
        <v>42.5</v>
      </c>
      <c r="L39" s="59">
        <v>0.2</v>
      </c>
      <c r="M39" s="59">
        <v>0.2</v>
      </c>
      <c r="N39" s="45" t="s">
        <v>126</v>
      </c>
      <c r="O39" s="46">
        <f t="shared" si="39"/>
        <v>600</v>
      </c>
      <c r="P39" s="46">
        <v>400</v>
      </c>
      <c r="Q39" s="47">
        <v>5490</v>
      </c>
      <c r="R39" s="234">
        <f t="shared" ref="R39:AC39" si="56">R13+R25</f>
        <v>17000</v>
      </c>
      <c r="S39" s="234">
        <f t="shared" si="56"/>
        <v>7</v>
      </c>
      <c r="T39" s="234">
        <f t="shared" si="56"/>
        <v>38430</v>
      </c>
      <c r="U39" s="234">
        <f t="shared" si="56"/>
        <v>138</v>
      </c>
      <c r="V39" s="236">
        <f t="shared" si="56"/>
        <v>28875</v>
      </c>
      <c r="W39" s="245">
        <f t="shared" si="56"/>
        <v>4</v>
      </c>
      <c r="X39" s="214">
        <f t="shared" si="56"/>
        <v>21960</v>
      </c>
      <c r="Y39" s="214">
        <f t="shared" si="56"/>
        <v>77390</v>
      </c>
      <c r="Z39" s="214">
        <f t="shared" si="56"/>
        <v>22</v>
      </c>
      <c r="AA39" s="214">
        <f t="shared" si="56"/>
        <v>4</v>
      </c>
      <c r="AB39" s="214">
        <f t="shared" si="56"/>
        <v>44720</v>
      </c>
      <c r="AC39" s="139">
        <f t="shared" si="56"/>
        <v>32670</v>
      </c>
      <c r="AD39" s="114"/>
      <c r="AE39" s="114"/>
    </row>
    <row r="40" spans="1:31" ht="16.2" thickBot="1" x14ac:dyDescent="0.35"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215" t="s">
        <v>64</v>
      </c>
      <c r="AC40" s="127">
        <f>SUM(AC31:AC39)</f>
        <v>1093460</v>
      </c>
      <c r="AD40" s="114"/>
      <c r="AE40" s="114"/>
    </row>
    <row r="41" spans="1:31" x14ac:dyDescent="0.3"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</row>
    <row r="42" spans="1:31" x14ac:dyDescent="0.3"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</row>
    <row r="43" spans="1:31" x14ac:dyDescent="0.3"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</row>
  </sheetData>
  <mergeCells count="3">
    <mergeCell ref="A1:AC1"/>
    <mergeCell ref="A2:C2"/>
    <mergeCell ref="E2:H2"/>
  </mergeCells>
  <pageMargins left="0.7" right="0.7" top="0.75" bottom="0.75" header="0.3" footer="0.3"/>
  <pageSetup paperSize="9" orientation="portrait" horizontalDpi="4294967293" verticalDpi="0" r:id="rId1"/>
  <ignoredErrors>
    <ignoredError sqref="K12:K13 K24:K2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'Технический лист'!$A$2:$A$4</xm:f>
          </x14:formula1>
          <xm:sqref>D2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K43"/>
  <sheetViews>
    <sheetView showGridLines="0" workbookViewId="0">
      <selection activeCell="A3" sqref="A3:E3"/>
    </sheetView>
  </sheetViews>
  <sheetFormatPr defaultRowHeight="15.6" x14ac:dyDescent="0.3"/>
  <cols>
    <col min="1" max="1" width="32.8984375" customWidth="1"/>
    <col min="2" max="2" width="28.3984375" customWidth="1"/>
    <col min="3" max="3" width="17.8984375" customWidth="1"/>
    <col min="4" max="4" width="11.8984375" customWidth="1"/>
    <col min="5" max="5" width="13.19921875" customWidth="1"/>
    <col min="6" max="6" width="8.69921875" customWidth="1"/>
    <col min="8" max="8" width="13.3984375" customWidth="1"/>
    <col min="9" max="9" width="17.69921875" customWidth="1"/>
    <col min="10" max="11" width="12.19921875" customWidth="1"/>
  </cols>
  <sheetData>
    <row r="1" spans="1:11" x14ac:dyDescent="0.3">
      <c r="A1" s="91" t="s">
        <v>211</v>
      </c>
      <c r="B1" s="90" t="str">
        <f>'Доходы. "БИЗНЕС"'!D2</f>
        <v>Пессиместичный вариант</v>
      </c>
      <c r="C1" s="64" t="s">
        <v>214</v>
      </c>
    </row>
    <row r="2" spans="1:11" s="1" customFormat="1" ht="16.2" thickBot="1" x14ac:dyDescent="0.35">
      <c r="A2" s="2"/>
      <c r="B2" s="94"/>
    </row>
    <row r="3" spans="1:11" ht="59.4" customHeight="1" thickBot="1" x14ac:dyDescent="0.35">
      <c r="A3" s="140" t="s">
        <v>144</v>
      </c>
      <c r="B3" s="140" t="s">
        <v>153</v>
      </c>
      <c r="C3" s="128" t="s">
        <v>208</v>
      </c>
      <c r="D3" s="128" t="s">
        <v>209</v>
      </c>
      <c r="E3" s="128" t="s">
        <v>210</v>
      </c>
      <c r="H3" s="88" t="s">
        <v>203</v>
      </c>
      <c r="I3" s="88" t="s">
        <v>204</v>
      </c>
      <c r="J3" s="88" t="s">
        <v>205</v>
      </c>
      <c r="K3" s="89" t="s">
        <v>194</v>
      </c>
    </row>
    <row r="4" spans="1:11" ht="16.2" thickBot="1" x14ac:dyDescent="0.35">
      <c r="A4" s="186" t="s">
        <v>145</v>
      </c>
      <c r="B4" s="174">
        <f>'Доходы. "БИЗНЕС"'!AC31</f>
        <v>85030</v>
      </c>
      <c r="C4" s="174">
        <f>$D$43</f>
        <v>73550</v>
      </c>
      <c r="D4" s="187">
        <f>B4*$C$42</f>
        <v>6802.4000000000005</v>
      </c>
      <c r="E4" s="187">
        <f>B4-C4-D4</f>
        <v>4677.5999999999995</v>
      </c>
      <c r="H4" s="54">
        <f>'Инвестиции. "БИЗНЕС"'!D96</f>
        <v>20323.496240601504</v>
      </c>
      <c r="I4" s="54">
        <f>'Инвестиции. "БИЗНЕС"'!D99</f>
        <v>6000</v>
      </c>
      <c r="J4" s="54">
        <f>E14</f>
        <v>12933.578947368418</v>
      </c>
      <c r="K4" s="83">
        <f>ROUNDUP((H4+I4)/J4*10,0)</f>
        <v>21</v>
      </c>
    </row>
    <row r="5" spans="1:11" x14ac:dyDescent="0.3">
      <c r="A5" s="180" t="s">
        <v>146</v>
      </c>
      <c r="B5" s="175">
        <f>'Доходы. "БИЗНЕС"'!AC32</f>
        <v>129350</v>
      </c>
      <c r="C5" s="175">
        <f t="shared" ref="C5:C12" si="0">$D$43</f>
        <v>73550</v>
      </c>
      <c r="D5" s="187">
        <f t="shared" ref="D5:D12" si="1">B5*$C$42</f>
        <v>10348</v>
      </c>
      <c r="E5" s="187">
        <f t="shared" ref="E5:E12" si="2">B5-C5-D5</f>
        <v>45452</v>
      </c>
    </row>
    <row r="6" spans="1:11" x14ac:dyDescent="0.3">
      <c r="A6" s="180" t="s">
        <v>147</v>
      </c>
      <c r="B6" s="175">
        <f>'Доходы. "БИЗНЕС"'!AC33</f>
        <v>124190</v>
      </c>
      <c r="C6" s="175">
        <f t="shared" si="0"/>
        <v>73550</v>
      </c>
      <c r="D6" s="187">
        <f t="shared" si="1"/>
        <v>9935.2000000000007</v>
      </c>
      <c r="E6" s="187">
        <f t="shared" si="2"/>
        <v>40704.800000000003</v>
      </c>
    </row>
    <row r="7" spans="1:11" x14ac:dyDescent="0.3">
      <c r="A7" s="180" t="s">
        <v>148</v>
      </c>
      <c r="B7" s="175">
        <f>'Доходы. "БИЗНЕС"'!AC34</f>
        <v>117310</v>
      </c>
      <c r="C7" s="175">
        <f t="shared" si="0"/>
        <v>73550</v>
      </c>
      <c r="D7" s="187">
        <f t="shared" si="1"/>
        <v>9384.8000000000011</v>
      </c>
      <c r="E7" s="187">
        <f t="shared" si="2"/>
        <v>34375.199999999997</v>
      </c>
    </row>
    <row r="8" spans="1:11" x14ac:dyDescent="0.3">
      <c r="A8" s="180" t="s">
        <v>149</v>
      </c>
      <c r="B8" s="175">
        <f>'Доходы. "БИЗНЕС"'!AC35</f>
        <v>174260</v>
      </c>
      <c r="C8" s="175">
        <f t="shared" si="0"/>
        <v>73550</v>
      </c>
      <c r="D8" s="187">
        <f t="shared" si="1"/>
        <v>13940.800000000001</v>
      </c>
      <c r="E8" s="187">
        <f t="shared" si="2"/>
        <v>86769.2</v>
      </c>
      <c r="F8" s="64"/>
    </row>
    <row r="9" spans="1:11" x14ac:dyDescent="0.3">
      <c r="A9" s="180" t="s">
        <v>150</v>
      </c>
      <c r="B9" s="175">
        <f>'Доходы. "БИЗНЕС"'!AC36</f>
        <v>170820</v>
      </c>
      <c r="C9" s="175">
        <f t="shared" si="0"/>
        <v>73550</v>
      </c>
      <c r="D9" s="187">
        <f t="shared" si="1"/>
        <v>13665.6</v>
      </c>
      <c r="E9" s="187">
        <f t="shared" si="2"/>
        <v>83604.399999999994</v>
      </c>
    </row>
    <row r="10" spans="1:11" x14ac:dyDescent="0.3">
      <c r="A10" s="180" t="s">
        <v>124</v>
      </c>
      <c r="B10" s="175">
        <f>'Доходы. "БИЗНЕС"'!AC37</f>
        <v>169100</v>
      </c>
      <c r="C10" s="175">
        <f t="shared" si="0"/>
        <v>73550</v>
      </c>
      <c r="D10" s="187">
        <f t="shared" si="1"/>
        <v>13528</v>
      </c>
      <c r="E10" s="187">
        <f t="shared" si="2"/>
        <v>82022</v>
      </c>
      <c r="F10" s="64"/>
    </row>
    <row r="11" spans="1:11" x14ac:dyDescent="0.3">
      <c r="A11" s="180" t="s">
        <v>151</v>
      </c>
      <c r="B11" s="175">
        <f>'Доходы. "БИЗНЕС"'!AC38</f>
        <v>90730</v>
      </c>
      <c r="C11" s="175">
        <f t="shared" si="0"/>
        <v>73550</v>
      </c>
      <c r="D11" s="187">
        <f t="shared" si="1"/>
        <v>7258.4000000000005</v>
      </c>
      <c r="E11" s="187">
        <f t="shared" si="2"/>
        <v>9921.5999999999985</v>
      </c>
    </row>
    <row r="12" spans="1:11" ht="16.2" thickBot="1" x14ac:dyDescent="0.35">
      <c r="A12" s="183" t="s">
        <v>126</v>
      </c>
      <c r="B12" s="177">
        <f>'Доходы. "БИЗНЕС"'!AC39</f>
        <v>32670</v>
      </c>
      <c r="C12" s="177">
        <f t="shared" si="0"/>
        <v>73550</v>
      </c>
      <c r="D12" s="187">
        <f t="shared" si="1"/>
        <v>2613.6</v>
      </c>
      <c r="E12" s="187">
        <f t="shared" si="2"/>
        <v>-43493.599999999999</v>
      </c>
    </row>
    <row r="13" spans="1:11" ht="15.6" customHeight="1" x14ac:dyDescent="0.3">
      <c r="A13" s="64" t="s">
        <v>152</v>
      </c>
      <c r="B13" s="114"/>
      <c r="D13" s="349" t="s">
        <v>177</v>
      </c>
      <c r="E13" s="143">
        <f>SUM(E4:E12)</f>
        <v>344033.19999999995</v>
      </c>
      <c r="F13" s="64" t="s">
        <v>180</v>
      </c>
    </row>
    <row r="14" spans="1:11" ht="16.2" thickBot="1" x14ac:dyDescent="0.35">
      <c r="B14" s="114"/>
      <c r="D14" s="350"/>
      <c r="E14" s="127">
        <f>E13/'Технический лист'!$C$17</f>
        <v>12933.578947368418</v>
      </c>
      <c r="F14" s="64" t="s">
        <v>181</v>
      </c>
    </row>
    <row r="15" spans="1:11" x14ac:dyDescent="0.3">
      <c r="B15" s="114"/>
      <c r="D15" s="114"/>
      <c r="I15" s="11"/>
    </row>
    <row r="16" spans="1:11" ht="21.6" thickBot="1" x14ac:dyDescent="0.45">
      <c r="A16" s="65" t="s">
        <v>154</v>
      </c>
      <c r="B16" s="114"/>
      <c r="D16" s="114"/>
    </row>
    <row r="17" spans="1:4" ht="54.6" thickBot="1" x14ac:dyDescent="0.35">
      <c r="A17" s="131" t="s">
        <v>25</v>
      </c>
      <c r="B17" s="134" t="s">
        <v>155</v>
      </c>
      <c r="C17" s="132" t="s">
        <v>28</v>
      </c>
      <c r="D17" s="144" t="s">
        <v>29</v>
      </c>
    </row>
    <row r="18" spans="1:4" x14ac:dyDescent="0.3">
      <c r="A18" s="156" t="s">
        <v>156</v>
      </c>
      <c r="B18" s="174">
        <v>20000</v>
      </c>
      <c r="C18" s="156">
        <v>1</v>
      </c>
      <c r="D18" s="188">
        <f>B18*C18</f>
        <v>20000</v>
      </c>
    </row>
    <row r="19" spans="1:4" x14ac:dyDescent="0.3">
      <c r="A19" s="157" t="s">
        <v>157</v>
      </c>
      <c r="B19" s="175">
        <v>4000</v>
      </c>
      <c r="C19" s="157">
        <v>1</v>
      </c>
      <c r="D19" s="187">
        <f t="shared" ref="D19:D42" si="3">B19*C19</f>
        <v>4000</v>
      </c>
    </row>
    <row r="20" spans="1:4" x14ac:dyDescent="0.3">
      <c r="A20" s="157" t="s">
        <v>159</v>
      </c>
      <c r="B20" s="175">
        <v>1500</v>
      </c>
      <c r="C20" s="157">
        <v>1</v>
      </c>
      <c r="D20" s="187">
        <f t="shared" si="3"/>
        <v>1500</v>
      </c>
    </row>
    <row r="21" spans="1:4" x14ac:dyDescent="0.3">
      <c r="A21" s="157" t="s">
        <v>164</v>
      </c>
      <c r="B21" s="175">
        <v>300</v>
      </c>
      <c r="C21" s="157">
        <v>1</v>
      </c>
      <c r="D21" s="187">
        <f t="shared" si="3"/>
        <v>300</v>
      </c>
    </row>
    <row r="22" spans="1:4" x14ac:dyDescent="0.3">
      <c r="A22" s="157" t="s">
        <v>160</v>
      </c>
      <c r="B22" s="175">
        <v>15000</v>
      </c>
      <c r="C22" s="157">
        <v>2</v>
      </c>
      <c r="D22" s="187">
        <f t="shared" si="3"/>
        <v>30000</v>
      </c>
    </row>
    <row r="23" spans="1:4" x14ac:dyDescent="0.3">
      <c r="A23" s="157" t="s">
        <v>161</v>
      </c>
      <c r="B23" s="175">
        <v>1500</v>
      </c>
      <c r="C23" s="157">
        <v>1</v>
      </c>
      <c r="D23" s="187">
        <f t="shared" si="3"/>
        <v>1500</v>
      </c>
    </row>
    <row r="24" spans="1:4" x14ac:dyDescent="0.3">
      <c r="A24" s="157" t="s">
        <v>162</v>
      </c>
      <c r="B24" s="175">
        <v>1800</v>
      </c>
      <c r="C24" s="157">
        <v>1</v>
      </c>
      <c r="D24" s="187">
        <f t="shared" si="3"/>
        <v>1800</v>
      </c>
    </row>
    <row r="25" spans="1:4" x14ac:dyDescent="0.3">
      <c r="A25" s="157" t="s">
        <v>163</v>
      </c>
      <c r="B25" s="175">
        <v>1000</v>
      </c>
      <c r="C25" s="157">
        <v>2</v>
      </c>
      <c r="D25" s="187">
        <f t="shared" si="3"/>
        <v>2000</v>
      </c>
    </row>
    <row r="26" spans="1:4" x14ac:dyDescent="0.3">
      <c r="A26" s="157" t="s">
        <v>165</v>
      </c>
      <c r="B26" s="175">
        <v>500</v>
      </c>
      <c r="C26" s="157">
        <v>1</v>
      </c>
      <c r="D26" s="187">
        <f t="shared" si="3"/>
        <v>500</v>
      </c>
    </row>
    <row r="27" spans="1:4" x14ac:dyDescent="0.3">
      <c r="A27" s="157" t="s">
        <v>166</v>
      </c>
      <c r="B27" s="175">
        <v>1200</v>
      </c>
      <c r="C27" s="157">
        <v>1</v>
      </c>
      <c r="D27" s="187">
        <f t="shared" si="3"/>
        <v>1200</v>
      </c>
    </row>
    <row r="28" spans="1:4" x14ac:dyDescent="0.3">
      <c r="A28" s="185" t="s">
        <v>44</v>
      </c>
      <c r="B28" s="175">
        <v>1500</v>
      </c>
      <c r="C28" s="157">
        <v>1</v>
      </c>
      <c r="D28" s="187">
        <f t="shared" si="3"/>
        <v>1500</v>
      </c>
    </row>
    <row r="29" spans="1:4" x14ac:dyDescent="0.3">
      <c r="A29" s="185" t="s">
        <v>167</v>
      </c>
      <c r="B29" s="175">
        <v>250</v>
      </c>
      <c r="C29" s="157">
        <v>1</v>
      </c>
      <c r="D29" s="187">
        <f t="shared" si="3"/>
        <v>250</v>
      </c>
    </row>
    <row r="30" spans="1:4" x14ac:dyDescent="0.3">
      <c r="A30" s="185" t="s">
        <v>168</v>
      </c>
      <c r="B30" s="175">
        <v>800</v>
      </c>
      <c r="C30" s="157">
        <v>1</v>
      </c>
      <c r="D30" s="187">
        <f t="shared" si="3"/>
        <v>800</v>
      </c>
    </row>
    <row r="31" spans="1:4" x14ac:dyDescent="0.3">
      <c r="A31" s="157" t="s">
        <v>169</v>
      </c>
      <c r="B31" s="175">
        <v>400</v>
      </c>
      <c r="C31" s="157">
        <v>1</v>
      </c>
      <c r="D31" s="187">
        <f t="shared" si="3"/>
        <v>400</v>
      </c>
    </row>
    <row r="32" spans="1:4" x14ac:dyDescent="0.3">
      <c r="A32" s="157" t="s">
        <v>65</v>
      </c>
      <c r="B32" s="175">
        <v>500</v>
      </c>
      <c r="C32" s="157">
        <v>1</v>
      </c>
      <c r="D32" s="187">
        <f t="shared" si="3"/>
        <v>500</v>
      </c>
    </row>
    <row r="33" spans="1:4" x14ac:dyDescent="0.3">
      <c r="A33" s="157" t="s">
        <v>170</v>
      </c>
      <c r="B33" s="175">
        <v>450</v>
      </c>
      <c r="C33" s="157">
        <v>1</v>
      </c>
      <c r="D33" s="187">
        <f t="shared" si="3"/>
        <v>450</v>
      </c>
    </row>
    <row r="34" spans="1:4" x14ac:dyDescent="0.3">
      <c r="A34" s="157" t="s">
        <v>171</v>
      </c>
      <c r="B34" s="175">
        <v>600</v>
      </c>
      <c r="C34" s="157">
        <v>1</v>
      </c>
      <c r="D34" s="187">
        <f t="shared" si="3"/>
        <v>600</v>
      </c>
    </row>
    <row r="35" spans="1:4" x14ac:dyDescent="0.3">
      <c r="A35" s="157" t="s">
        <v>172</v>
      </c>
      <c r="B35" s="175">
        <v>250</v>
      </c>
      <c r="C35" s="157">
        <v>1</v>
      </c>
      <c r="D35" s="187">
        <f t="shared" si="3"/>
        <v>250</v>
      </c>
    </row>
    <row r="36" spans="1:4" x14ac:dyDescent="0.3">
      <c r="A36" s="157" t="s">
        <v>173</v>
      </c>
      <c r="B36" s="175">
        <v>500</v>
      </c>
      <c r="C36" s="157">
        <v>1</v>
      </c>
      <c r="D36" s="187">
        <f t="shared" si="3"/>
        <v>500</v>
      </c>
    </row>
    <row r="37" spans="1:4" x14ac:dyDescent="0.3">
      <c r="A37" s="157" t="s">
        <v>174</v>
      </c>
      <c r="B37" s="175">
        <v>1000</v>
      </c>
      <c r="C37" s="157">
        <v>1</v>
      </c>
      <c r="D37" s="187">
        <f t="shared" si="3"/>
        <v>1000</v>
      </c>
    </row>
    <row r="38" spans="1:4" x14ac:dyDescent="0.3">
      <c r="A38" s="157" t="s">
        <v>175</v>
      </c>
      <c r="B38" s="175">
        <v>1500</v>
      </c>
      <c r="C38" s="157">
        <v>1</v>
      </c>
      <c r="D38" s="187">
        <f t="shared" si="3"/>
        <v>1500</v>
      </c>
    </row>
    <row r="39" spans="1:4" x14ac:dyDescent="0.3">
      <c r="A39" s="157" t="s">
        <v>176</v>
      </c>
      <c r="B39" s="175">
        <v>1000</v>
      </c>
      <c r="C39" s="157">
        <v>1</v>
      </c>
      <c r="D39" s="187">
        <f t="shared" si="3"/>
        <v>1000</v>
      </c>
    </row>
    <row r="40" spans="1:4" x14ac:dyDescent="0.3">
      <c r="A40" s="157" t="s">
        <v>11</v>
      </c>
      <c r="B40" s="175">
        <v>2000</v>
      </c>
      <c r="C40" s="157">
        <v>1</v>
      </c>
      <c r="D40" s="187">
        <f t="shared" si="3"/>
        <v>2000</v>
      </c>
    </row>
    <row r="41" spans="1:4" x14ac:dyDescent="0.3">
      <c r="A41" s="85" t="s">
        <v>206</v>
      </c>
      <c r="B41" s="135">
        <v>4500</v>
      </c>
      <c r="C41" s="85">
        <v>1</v>
      </c>
      <c r="D41" s="138">
        <f>B41*C41</f>
        <v>4500</v>
      </c>
    </row>
    <row r="42" spans="1:4" ht="16.2" thickBot="1" x14ac:dyDescent="0.35">
      <c r="A42" s="86" t="s">
        <v>207</v>
      </c>
      <c r="B42" s="136"/>
      <c r="C42" s="87">
        <v>0.08</v>
      </c>
      <c r="D42" s="139">
        <f t="shared" si="3"/>
        <v>0</v>
      </c>
    </row>
    <row r="43" spans="1:4" ht="16.2" thickBot="1" x14ac:dyDescent="0.35">
      <c r="B43" s="115"/>
      <c r="C43" s="66" t="s">
        <v>178</v>
      </c>
      <c r="D43" s="137">
        <f>SUM(D18:D40)</f>
        <v>73550</v>
      </c>
    </row>
  </sheetData>
  <mergeCells count="1">
    <mergeCell ref="D13:D14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I114"/>
  <sheetViews>
    <sheetView showGridLines="0" topLeftCell="A13" zoomScale="80" zoomScaleNormal="80" workbookViewId="0">
      <selection activeCell="F17" sqref="F17"/>
    </sheetView>
  </sheetViews>
  <sheetFormatPr defaultColWidth="11.19921875" defaultRowHeight="15.6" x14ac:dyDescent="0.3"/>
  <cols>
    <col min="1" max="1" width="29.5" customWidth="1"/>
    <col min="2" max="2" width="28.59765625" customWidth="1"/>
    <col min="3" max="3" width="17" style="1" customWidth="1"/>
    <col min="4" max="4" width="25.19921875" customWidth="1"/>
    <col min="5" max="5" width="6.3984375" customWidth="1"/>
  </cols>
  <sheetData>
    <row r="1" spans="1:9" ht="26.4" thickBot="1" x14ac:dyDescent="0.55000000000000004">
      <c r="A1" s="357" t="s">
        <v>139</v>
      </c>
      <c r="B1" s="358"/>
      <c r="C1" s="358"/>
      <c r="D1" s="359"/>
    </row>
    <row r="2" spans="1:9" ht="18.600000000000001" thickBot="1" x14ac:dyDescent="0.35">
      <c r="A2" s="15" t="s">
        <v>25</v>
      </c>
      <c r="B2" s="13" t="s">
        <v>27</v>
      </c>
      <c r="C2" s="16" t="s">
        <v>28</v>
      </c>
      <c r="D2" s="14" t="s">
        <v>29</v>
      </c>
    </row>
    <row r="3" spans="1:9" ht="16.2" thickBot="1" x14ac:dyDescent="0.35">
      <c r="A3" s="360" t="s">
        <v>54</v>
      </c>
      <c r="B3" s="361"/>
      <c r="C3" s="361"/>
      <c r="D3" s="362"/>
    </row>
    <row r="4" spans="1:9" x14ac:dyDescent="0.3">
      <c r="A4" s="174" t="s">
        <v>26</v>
      </c>
      <c r="B4" s="174">
        <v>7100</v>
      </c>
      <c r="C4" s="174">
        <v>5</v>
      </c>
      <c r="D4" s="187">
        <f>B4*C4</f>
        <v>35500</v>
      </c>
      <c r="E4" s="3"/>
      <c r="I4" s="3"/>
    </row>
    <row r="5" spans="1:9" x14ac:dyDescent="0.3">
      <c r="A5" s="175" t="s">
        <v>65</v>
      </c>
      <c r="B5" s="175">
        <v>15</v>
      </c>
      <c r="C5" s="175">
        <v>20</v>
      </c>
      <c r="D5" s="187">
        <f t="shared" ref="D5:D13" si="0">B5*C5</f>
        <v>300</v>
      </c>
    </row>
    <row r="6" spans="1:9" x14ac:dyDescent="0.3">
      <c r="A6" s="175" t="s">
        <v>30</v>
      </c>
      <c r="B6" s="175">
        <v>6000</v>
      </c>
      <c r="C6" s="175">
        <v>5</v>
      </c>
      <c r="D6" s="187">
        <f t="shared" si="0"/>
        <v>30000</v>
      </c>
    </row>
    <row r="7" spans="1:9" x14ac:dyDescent="0.3">
      <c r="A7" s="175" t="s">
        <v>62</v>
      </c>
      <c r="B7" s="175">
        <v>6000</v>
      </c>
      <c r="C7" s="175">
        <v>1</v>
      </c>
      <c r="D7" s="187">
        <f t="shared" si="0"/>
        <v>6000</v>
      </c>
    </row>
    <row r="8" spans="1:9" x14ac:dyDescent="0.3">
      <c r="A8" s="175" t="s">
        <v>32</v>
      </c>
      <c r="B8" s="175">
        <v>150</v>
      </c>
      <c r="C8" s="175">
        <v>6</v>
      </c>
      <c r="D8" s="187">
        <f t="shared" si="0"/>
        <v>900</v>
      </c>
    </row>
    <row r="9" spans="1:9" x14ac:dyDescent="0.3">
      <c r="A9" s="175" t="s">
        <v>63</v>
      </c>
      <c r="B9" s="175">
        <v>150</v>
      </c>
      <c r="C9" s="175">
        <v>1</v>
      </c>
      <c r="D9" s="187">
        <f t="shared" si="0"/>
        <v>150</v>
      </c>
    </row>
    <row r="10" spans="1:9" x14ac:dyDescent="0.3">
      <c r="A10" s="175" t="s">
        <v>9</v>
      </c>
      <c r="B10" s="175">
        <v>100</v>
      </c>
      <c r="C10" s="175">
        <v>5</v>
      </c>
      <c r="D10" s="187">
        <f t="shared" si="0"/>
        <v>500</v>
      </c>
    </row>
    <row r="11" spans="1:9" x14ac:dyDescent="0.3">
      <c r="A11" s="175" t="s">
        <v>14</v>
      </c>
      <c r="B11" s="175">
        <v>8000</v>
      </c>
      <c r="C11" s="175">
        <v>1</v>
      </c>
      <c r="D11" s="187">
        <f t="shared" si="0"/>
        <v>8000</v>
      </c>
    </row>
    <row r="12" spans="1:9" x14ac:dyDescent="0.3">
      <c r="A12" s="175" t="s">
        <v>15</v>
      </c>
      <c r="B12" s="175">
        <v>400</v>
      </c>
      <c r="C12" s="175">
        <v>1</v>
      </c>
      <c r="D12" s="187">
        <f t="shared" si="0"/>
        <v>400</v>
      </c>
    </row>
    <row r="13" spans="1:9" ht="16.2" thickBot="1" x14ac:dyDescent="0.35">
      <c r="A13" s="176" t="s">
        <v>39</v>
      </c>
      <c r="B13" s="177">
        <v>1600</v>
      </c>
      <c r="C13" s="177">
        <v>1</v>
      </c>
      <c r="D13" s="189">
        <f t="shared" si="0"/>
        <v>1600</v>
      </c>
    </row>
    <row r="14" spans="1:9" ht="16.2" thickBot="1" x14ac:dyDescent="0.35">
      <c r="A14" s="114"/>
      <c r="B14" s="115"/>
      <c r="C14" s="116" t="s">
        <v>43</v>
      </c>
      <c r="D14" s="117">
        <f>SUM(D4:D13)</f>
        <v>83350</v>
      </c>
    </row>
    <row r="15" spans="1:9" ht="16.2" thickBot="1" x14ac:dyDescent="0.35">
      <c r="A15" s="114"/>
      <c r="B15" s="115"/>
      <c r="C15" s="114"/>
      <c r="D15" s="114"/>
    </row>
    <row r="16" spans="1:9" ht="16.2" thickBot="1" x14ac:dyDescent="0.35">
      <c r="A16" s="363" t="s">
        <v>81</v>
      </c>
      <c r="B16" s="364"/>
      <c r="C16" s="364"/>
      <c r="D16" s="365"/>
    </row>
    <row r="17" spans="1:7" x14ac:dyDescent="0.3">
      <c r="A17" s="174" t="s">
        <v>82</v>
      </c>
      <c r="B17" s="174">
        <v>10000</v>
      </c>
      <c r="C17" s="174">
        <v>5</v>
      </c>
      <c r="D17" s="174">
        <f>B17*C17</f>
        <v>50000</v>
      </c>
      <c r="E17" s="3"/>
      <c r="F17" t="s">
        <v>55</v>
      </c>
      <c r="G17" s="3"/>
    </row>
    <row r="18" spans="1:7" x14ac:dyDescent="0.3">
      <c r="A18" s="175" t="s">
        <v>55</v>
      </c>
      <c r="B18" s="175">
        <v>12900</v>
      </c>
      <c r="C18" s="175">
        <v>5</v>
      </c>
      <c r="D18" s="175">
        <f t="shared" ref="D18:D34" si="1">B18*C18</f>
        <v>64500</v>
      </c>
      <c r="E18" s="3"/>
      <c r="F18" t="s">
        <v>56</v>
      </c>
      <c r="G18" s="3"/>
    </row>
    <row r="19" spans="1:7" x14ac:dyDescent="0.3">
      <c r="A19" s="175" t="s">
        <v>56</v>
      </c>
      <c r="B19" s="175">
        <v>3800</v>
      </c>
      <c r="C19" s="175">
        <v>3</v>
      </c>
      <c r="D19" s="175">
        <f t="shared" si="1"/>
        <v>11400</v>
      </c>
      <c r="E19" s="3"/>
      <c r="F19" t="s">
        <v>57</v>
      </c>
      <c r="G19" s="3"/>
    </row>
    <row r="20" spans="1:7" x14ac:dyDescent="0.3">
      <c r="A20" s="175" t="s">
        <v>57</v>
      </c>
      <c r="B20" s="175">
        <v>1503</v>
      </c>
      <c r="C20" s="175">
        <v>5</v>
      </c>
      <c r="D20" s="175">
        <f t="shared" si="1"/>
        <v>7515</v>
      </c>
      <c r="E20" s="3"/>
      <c r="F20" t="s">
        <v>58</v>
      </c>
      <c r="G20" s="3"/>
    </row>
    <row r="21" spans="1:7" x14ac:dyDescent="0.3">
      <c r="A21" s="175" t="s">
        <v>58</v>
      </c>
      <c r="B21" s="175">
        <v>1330</v>
      </c>
      <c r="C21" s="175">
        <v>5</v>
      </c>
      <c r="D21" s="175">
        <f t="shared" si="1"/>
        <v>6650</v>
      </c>
      <c r="E21" s="3"/>
      <c r="F21" t="s">
        <v>59</v>
      </c>
      <c r="G21" s="3"/>
    </row>
    <row r="22" spans="1:7" x14ac:dyDescent="0.3">
      <c r="A22" s="175" t="s">
        <v>59</v>
      </c>
      <c r="B22" s="175">
        <v>1224</v>
      </c>
      <c r="C22" s="175">
        <v>2</v>
      </c>
      <c r="D22" s="175">
        <f t="shared" si="1"/>
        <v>2448</v>
      </c>
      <c r="E22" s="3"/>
      <c r="F22" t="s">
        <v>60</v>
      </c>
      <c r="G22" s="3"/>
    </row>
    <row r="23" spans="1:7" x14ac:dyDescent="0.3">
      <c r="A23" s="175" t="s">
        <v>60</v>
      </c>
      <c r="B23" s="175">
        <v>1330</v>
      </c>
      <c r="C23" s="175">
        <v>5</v>
      </c>
      <c r="D23" s="175">
        <f t="shared" si="1"/>
        <v>6650</v>
      </c>
      <c r="E23" s="3"/>
      <c r="F23" t="s">
        <v>61</v>
      </c>
      <c r="G23" s="3"/>
    </row>
    <row r="24" spans="1:7" x14ac:dyDescent="0.3">
      <c r="A24" s="175" t="s">
        <v>61</v>
      </c>
      <c r="B24" s="175">
        <v>1664</v>
      </c>
      <c r="C24" s="175">
        <v>5</v>
      </c>
      <c r="D24" s="175">
        <f t="shared" si="1"/>
        <v>8320</v>
      </c>
      <c r="E24" s="3"/>
      <c r="F24" t="s">
        <v>224</v>
      </c>
      <c r="G24" s="3"/>
    </row>
    <row r="25" spans="1:7" x14ac:dyDescent="0.3">
      <c r="A25" s="175" t="s">
        <v>224</v>
      </c>
      <c r="B25" s="175">
        <v>1227</v>
      </c>
      <c r="C25" s="175">
        <v>5</v>
      </c>
      <c r="D25" s="175">
        <f t="shared" si="1"/>
        <v>6135</v>
      </c>
      <c r="E25" s="3"/>
      <c r="F25" t="s">
        <v>223</v>
      </c>
      <c r="G25" s="3"/>
    </row>
    <row r="26" spans="1:7" x14ac:dyDescent="0.3">
      <c r="A26" s="175" t="s">
        <v>223</v>
      </c>
      <c r="B26" s="175">
        <v>1227</v>
      </c>
      <c r="C26" s="175">
        <v>5</v>
      </c>
      <c r="D26" s="175">
        <f t="shared" si="1"/>
        <v>6135</v>
      </c>
      <c r="E26" s="3"/>
      <c r="F26" t="s">
        <v>30</v>
      </c>
      <c r="G26" s="3"/>
    </row>
    <row r="27" spans="1:7" x14ac:dyDescent="0.3">
      <c r="A27" s="175" t="s">
        <v>30</v>
      </c>
      <c r="B27" s="175">
        <v>6000</v>
      </c>
      <c r="C27" s="175">
        <v>5</v>
      </c>
      <c r="D27" s="175">
        <f t="shared" si="1"/>
        <v>30000</v>
      </c>
      <c r="E27" s="3"/>
      <c r="F27" t="s">
        <v>62</v>
      </c>
      <c r="G27" s="3"/>
    </row>
    <row r="28" spans="1:7" x14ac:dyDescent="0.3">
      <c r="A28" s="175" t="s">
        <v>62</v>
      </c>
      <c r="B28" s="175">
        <v>6000</v>
      </c>
      <c r="C28" s="175">
        <v>1</v>
      </c>
      <c r="D28" s="175">
        <f t="shared" si="1"/>
        <v>6000</v>
      </c>
      <c r="F28" t="s">
        <v>32</v>
      </c>
    </row>
    <row r="29" spans="1:7" x14ac:dyDescent="0.3">
      <c r="A29" s="175" t="s">
        <v>32</v>
      </c>
      <c r="B29" s="175">
        <v>150</v>
      </c>
      <c r="C29" s="175">
        <v>6</v>
      </c>
      <c r="D29" s="175">
        <f t="shared" si="1"/>
        <v>900</v>
      </c>
      <c r="F29" t="s">
        <v>63</v>
      </c>
    </row>
    <row r="30" spans="1:7" x14ac:dyDescent="0.3">
      <c r="A30" s="175" t="s">
        <v>63</v>
      </c>
      <c r="B30" s="175">
        <v>150</v>
      </c>
      <c r="C30" s="175">
        <v>1</v>
      </c>
      <c r="D30" s="175">
        <f t="shared" si="1"/>
        <v>150</v>
      </c>
      <c r="F30" t="s">
        <v>9</v>
      </c>
    </row>
    <row r="31" spans="1:7" x14ac:dyDescent="0.3">
      <c r="A31" s="175" t="s">
        <v>9</v>
      </c>
      <c r="B31" s="175">
        <v>100</v>
      </c>
      <c r="C31" s="175">
        <v>5</v>
      </c>
      <c r="D31" s="175">
        <f t="shared" si="1"/>
        <v>500</v>
      </c>
      <c r="F31" t="s">
        <v>14</v>
      </c>
    </row>
    <row r="32" spans="1:7" x14ac:dyDescent="0.3">
      <c r="A32" s="175" t="s">
        <v>14</v>
      </c>
      <c r="B32" s="175">
        <v>8000</v>
      </c>
      <c r="C32" s="175">
        <v>1</v>
      </c>
      <c r="D32" s="175">
        <f t="shared" si="1"/>
        <v>8000</v>
      </c>
      <c r="F32" t="s">
        <v>15</v>
      </c>
    </row>
    <row r="33" spans="1:6" x14ac:dyDescent="0.3">
      <c r="A33" s="175" t="s">
        <v>15</v>
      </c>
      <c r="B33" s="175">
        <v>400</v>
      </c>
      <c r="C33" s="175">
        <v>1</v>
      </c>
      <c r="D33" s="175">
        <f t="shared" si="1"/>
        <v>400</v>
      </c>
      <c r="F33" t="s">
        <v>39</v>
      </c>
    </row>
    <row r="34" spans="1:6" ht="16.2" thickBot="1" x14ac:dyDescent="0.35">
      <c r="A34" s="176" t="s">
        <v>39</v>
      </c>
      <c r="B34" s="177">
        <v>1600</v>
      </c>
      <c r="C34" s="177">
        <v>1</v>
      </c>
      <c r="D34" s="177">
        <f t="shared" si="1"/>
        <v>1600</v>
      </c>
    </row>
    <row r="35" spans="1:6" ht="16.2" thickBot="1" x14ac:dyDescent="0.35">
      <c r="A35" s="114"/>
      <c r="B35" s="115"/>
      <c r="C35" s="116" t="s">
        <v>64</v>
      </c>
      <c r="D35" s="117">
        <f>SUM(D17:D34)</f>
        <v>217303</v>
      </c>
    </row>
    <row r="36" spans="1:6" ht="16.2" thickBot="1" x14ac:dyDescent="0.35">
      <c r="A36" s="114"/>
      <c r="B36" s="115"/>
      <c r="C36" s="114"/>
      <c r="D36" s="114"/>
    </row>
    <row r="37" spans="1:6" ht="16.2" thickBot="1" x14ac:dyDescent="0.35">
      <c r="A37" s="363" t="s">
        <v>53</v>
      </c>
      <c r="B37" s="364"/>
      <c r="C37" s="364"/>
      <c r="D37" s="365"/>
    </row>
    <row r="38" spans="1:6" x14ac:dyDescent="0.3">
      <c r="A38" s="174" t="s">
        <v>31</v>
      </c>
      <c r="B38" s="174">
        <v>6000</v>
      </c>
      <c r="C38" s="174">
        <v>6</v>
      </c>
      <c r="D38" s="188">
        <f t="shared" ref="D38:D48" si="2">B38*C38</f>
        <v>36000</v>
      </c>
    </row>
    <row r="39" spans="1:6" x14ac:dyDescent="0.3">
      <c r="A39" s="175" t="s">
        <v>33</v>
      </c>
      <c r="B39" s="175">
        <v>150</v>
      </c>
      <c r="C39" s="175">
        <v>1</v>
      </c>
      <c r="D39" s="187">
        <f t="shared" si="2"/>
        <v>150</v>
      </c>
    </row>
    <row r="40" spans="1:6" x14ac:dyDescent="0.3">
      <c r="A40" s="175" t="s">
        <v>19</v>
      </c>
      <c r="B40" s="175">
        <v>1000</v>
      </c>
      <c r="C40" s="175">
        <v>1</v>
      </c>
      <c r="D40" s="187">
        <f t="shared" si="2"/>
        <v>1000</v>
      </c>
    </row>
    <row r="41" spans="1:6" x14ac:dyDescent="0.3">
      <c r="A41" s="175" t="s">
        <v>18</v>
      </c>
      <c r="B41" s="175">
        <v>900</v>
      </c>
      <c r="C41" s="175">
        <v>1</v>
      </c>
      <c r="D41" s="187">
        <f t="shared" si="2"/>
        <v>900</v>
      </c>
    </row>
    <row r="42" spans="1:6" x14ac:dyDescent="0.3">
      <c r="A42" s="175" t="s">
        <v>68</v>
      </c>
      <c r="B42" s="175">
        <v>200</v>
      </c>
      <c r="C42" s="175">
        <v>1</v>
      </c>
      <c r="D42" s="187">
        <f t="shared" si="2"/>
        <v>200</v>
      </c>
    </row>
    <row r="43" spans="1:6" x14ac:dyDescent="0.3">
      <c r="A43" s="175" t="s">
        <v>265</v>
      </c>
      <c r="B43" s="175">
        <v>80</v>
      </c>
      <c r="C43" s="175">
        <v>1</v>
      </c>
      <c r="D43" s="187">
        <f t="shared" si="2"/>
        <v>80</v>
      </c>
    </row>
    <row r="44" spans="1:6" x14ac:dyDescent="0.3">
      <c r="A44" s="175" t="s">
        <v>66</v>
      </c>
      <c r="B44" s="175">
        <v>700</v>
      </c>
      <c r="C44" s="175">
        <v>1</v>
      </c>
      <c r="D44" s="187">
        <f t="shared" si="2"/>
        <v>700</v>
      </c>
    </row>
    <row r="45" spans="1:6" x14ac:dyDescent="0.3">
      <c r="A45" s="175" t="s">
        <v>12</v>
      </c>
      <c r="B45" s="175">
        <v>6000</v>
      </c>
      <c r="C45" s="175">
        <v>1</v>
      </c>
      <c r="D45" s="187">
        <f t="shared" si="2"/>
        <v>6000</v>
      </c>
    </row>
    <row r="46" spans="1:6" x14ac:dyDescent="0.3">
      <c r="A46" s="175" t="s">
        <v>67</v>
      </c>
      <c r="B46" s="175">
        <v>1000</v>
      </c>
      <c r="C46" s="175">
        <v>1</v>
      </c>
      <c r="D46" s="187">
        <f t="shared" si="2"/>
        <v>1000</v>
      </c>
    </row>
    <row r="47" spans="1:6" x14ac:dyDescent="0.3">
      <c r="A47" s="175" t="s">
        <v>72</v>
      </c>
      <c r="B47" s="175">
        <v>6500</v>
      </c>
      <c r="C47" s="175">
        <v>1</v>
      </c>
      <c r="D47" s="187">
        <f t="shared" si="2"/>
        <v>6500</v>
      </c>
    </row>
    <row r="48" spans="1:6" ht="16.2" thickBot="1" x14ac:dyDescent="0.35">
      <c r="A48" s="177" t="s">
        <v>158</v>
      </c>
      <c r="B48" s="177">
        <v>0</v>
      </c>
      <c r="C48" s="177">
        <v>1</v>
      </c>
      <c r="D48" s="189">
        <f t="shared" si="2"/>
        <v>0</v>
      </c>
    </row>
    <row r="49" spans="1:4" ht="16.2" thickBot="1" x14ac:dyDescent="0.35">
      <c r="A49" s="118"/>
      <c r="B49" s="114"/>
      <c r="C49" s="116" t="s">
        <v>64</v>
      </c>
      <c r="D49" s="117">
        <f>SUM(D38:D48)</f>
        <v>52530</v>
      </c>
    </row>
    <row r="50" spans="1:4" ht="16.2" thickBot="1" x14ac:dyDescent="0.35">
      <c r="A50" s="118"/>
      <c r="B50" s="114"/>
      <c r="C50" s="115"/>
      <c r="D50" s="114"/>
    </row>
    <row r="51" spans="1:4" ht="16.2" thickBot="1" x14ac:dyDescent="0.35">
      <c r="A51" s="366" t="s">
        <v>0</v>
      </c>
      <c r="B51" s="367"/>
      <c r="C51" s="367"/>
      <c r="D51" s="368"/>
    </row>
    <row r="52" spans="1:4" x14ac:dyDescent="0.3">
      <c r="A52" s="174" t="s">
        <v>16</v>
      </c>
      <c r="B52" s="174">
        <v>1000</v>
      </c>
      <c r="C52" s="174">
        <v>1</v>
      </c>
      <c r="D52" s="188">
        <f>B52*C52</f>
        <v>1000</v>
      </c>
    </row>
    <row r="53" spans="1:4" x14ac:dyDescent="0.3">
      <c r="A53" s="175" t="s">
        <v>17</v>
      </c>
      <c r="B53" s="175">
        <v>500</v>
      </c>
      <c r="C53" s="175">
        <v>1</v>
      </c>
      <c r="D53" s="187">
        <f t="shared" ref="D53:D59" si="3">B53*C53</f>
        <v>500</v>
      </c>
    </row>
    <row r="54" spans="1:4" x14ac:dyDescent="0.3">
      <c r="A54" s="175" t="s">
        <v>73</v>
      </c>
      <c r="B54" s="175">
        <v>1000</v>
      </c>
      <c r="C54" s="175">
        <v>10</v>
      </c>
      <c r="D54" s="187">
        <f t="shared" si="3"/>
        <v>10000</v>
      </c>
    </row>
    <row r="55" spans="1:4" x14ac:dyDescent="0.3">
      <c r="A55" s="175" t="s">
        <v>74</v>
      </c>
      <c r="B55" s="175">
        <v>1000</v>
      </c>
      <c r="C55" s="175">
        <v>2</v>
      </c>
      <c r="D55" s="187">
        <f>B55*C55</f>
        <v>2000</v>
      </c>
    </row>
    <row r="56" spans="1:4" x14ac:dyDescent="0.3">
      <c r="A56" s="175" t="s">
        <v>10</v>
      </c>
      <c r="B56" s="175">
        <v>400</v>
      </c>
      <c r="C56" s="175">
        <v>30</v>
      </c>
      <c r="D56" s="187">
        <f t="shared" si="3"/>
        <v>12000</v>
      </c>
    </row>
    <row r="57" spans="1:4" x14ac:dyDescent="0.3">
      <c r="A57" s="175" t="s">
        <v>20</v>
      </c>
      <c r="B57" s="175">
        <v>50</v>
      </c>
      <c r="C57" s="175">
        <v>1</v>
      </c>
      <c r="D57" s="187">
        <f t="shared" si="3"/>
        <v>50</v>
      </c>
    </row>
    <row r="58" spans="1:4" x14ac:dyDescent="0.3">
      <c r="A58" s="175" t="s">
        <v>21</v>
      </c>
      <c r="B58" s="175">
        <v>500</v>
      </c>
      <c r="C58" s="175">
        <v>2</v>
      </c>
      <c r="D58" s="187">
        <f t="shared" si="3"/>
        <v>1000</v>
      </c>
    </row>
    <row r="59" spans="1:4" ht="16.2" thickBot="1" x14ac:dyDescent="0.35">
      <c r="A59" s="177" t="s">
        <v>76</v>
      </c>
      <c r="B59" s="177">
        <v>150</v>
      </c>
      <c r="C59" s="177">
        <v>4</v>
      </c>
      <c r="D59" s="189">
        <f t="shared" si="3"/>
        <v>600</v>
      </c>
    </row>
    <row r="60" spans="1:4" ht="16.2" thickBot="1" x14ac:dyDescent="0.35">
      <c r="A60" s="118"/>
      <c r="B60" s="114"/>
      <c r="C60" s="116" t="s">
        <v>64</v>
      </c>
      <c r="D60" s="117">
        <f>SUM(D52:D59)</f>
        <v>27150</v>
      </c>
    </row>
    <row r="61" spans="1:4" ht="16.2" thickBot="1" x14ac:dyDescent="0.35">
      <c r="A61" s="118"/>
      <c r="B61" s="114"/>
      <c r="C61" s="118"/>
      <c r="D61" s="114"/>
    </row>
    <row r="62" spans="1:4" ht="16.2" thickBot="1" x14ac:dyDescent="0.35">
      <c r="A62" s="354" t="s">
        <v>34</v>
      </c>
      <c r="B62" s="355"/>
      <c r="C62" s="355"/>
      <c r="D62" s="356"/>
    </row>
    <row r="63" spans="1:4" x14ac:dyDescent="0.3">
      <c r="A63" s="174" t="s">
        <v>22</v>
      </c>
      <c r="B63" s="174">
        <v>4500</v>
      </c>
      <c r="C63" s="174">
        <v>1</v>
      </c>
      <c r="D63" s="174">
        <f>B63*C63</f>
        <v>4500</v>
      </c>
    </row>
    <row r="64" spans="1:4" x14ac:dyDescent="0.3">
      <c r="A64" s="175" t="s">
        <v>23</v>
      </c>
      <c r="B64" s="175">
        <v>0</v>
      </c>
      <c r="C64" s="175">
        <v>0</v>
      </c>
      <c r="D64" s="175">
        <f>B64*C64</f>
        <v>0</v>
      </c>
    </row>
    <row r="65" spans="1:4" ht="16.2" thickBot="1" x14ac:dyDescent="0.35">
      <c r="A65" s="177" t="s">
        <v>24</v>
      </c>
      <c r="B65" s="177">
        <v>200</v>
      </c>
      <c r="C65" s="177">
        <v>3</v>
      </c>
      <c r="D65" s="177">
        <f>B65*C65</f>
        <v>600</v>
      </c>
    </row>
    <row r="66" spans="1:4" ht="16.2" thickBot="1" x14ac:dyDescent="0.35">
      <c r="A66" s="118"/>
      <c r="B66" s="114"/>
      <c r="C66" s="116" t="s">
        <v>64</v>
      </c>
      <c r="D66" s="117">
        <f>SUM(D63:D65)</f>
        <v>5100</v>
      </c>
    </row>
    <row r="67" spans="1:4" ht="16.2" thickBot="1" x14ac:dyDescent="0.35">
      <c r="A67" s="118"/>
      <c r="B67" s="114"/>
      <c r="C67" s="115"/>
      <c r="D67" s="114"/>
    </row>
    <row r="68" spans="1:4" ht="16.2" thickBot="1" x14ac:dyDescent="0.35">
      <c r="A68" s="351" t="s">
        <v>11</v>
      </c>
      <c r="B68" s="352"/>
      <c r="C68" s="352"/>
      <c r="D68" s="353"/>
    </row>
    <row r="69" spans="1:4" x14ac:dyDescent="0.3">
      <c r="A69" s="178" t="s">
        <v>13</v>
      </c>
      <c r="B69" s="174">
        <v>3000</v>
      </c>
      <c r="C69" s="174">
        <v>1</v>
      </c>
      <c r="D69" s="188">
        <f>B69*C69</f>
        <v>3000</v>
      </c>
    </row>
    <row r="70" spans="1:4" x14ac:dyDescent="0.3">
      <c r="A70" s="179" t="s">
        <v>35</v>
      </c>
      <c r="B70" s="175">
        <v>15000</v>
      </c>
      <c r="C70" s="175">
        <v>1</v>
      </c>
      <c r="D70" s="187">
        <f t="shared" ref="D70:D81" si="4">B70*C70</f>
        <v>15000</v>
      </c>
    </row>
    <row r="71" spans="1:4" x14ac:dyDescent="0.3">
      <c r="A71" s="179" t="s">
        <v>36</v>
      </c>
      <c r="B71" s="175">
        <v>75000</v>
      </c>
      <c r="C71" s="175">
        <v>1</v>
      </c>
      <c r="D71" s="187">
        <f t="shared" si="4"/>
        <v>75000</v>
      </c>
    </row>
    <row r="72" spans="1:4" x14ac:dyDescent="0.3">
      <c r="A72" s="179" t="s">
        <v>37</v>
      </c>
      <c r="B72" s="175">
        <v>20000</v>
      </c>
      <c r="C72" s="175">
        <v>2</v>
      </c>
      <c r="D72" s="187">
        <f t="shared" si="4"/>
        <v>40000</v>
      </c>
    </row>
    <row r="73" spans="1:4" x14ac:dyDescent="0.3">
      <c r="A73" s="179" t="s">
        <v>69</v>
      </c>
      <c r="B73" s="175">
        <v>0.5</v>
      </c>
      <c r="C73" s="175">
        <v>1</v>
      </c>
      <c r="D73" s="187">
        <f>B72*B73</f>
        <v>10000</v>
      </c>
    </row>
    <row r="74" spans="1:4" x14ac:dyDescent="0.3">
      <c r="A74" s="179" t="s">
        <v>71</v>
      </c>
      <c r="B74" s="175">
        <v>4000</v>
      </c>
      <c r="C74" s="175">
        <v>1</v>
      </c>
      <c r="D74" s="187">
        <f t="shared" si="4"/>
        <v>4000</v>
      </c>
    </row>
    <row r="75" spans="1:4" x14ac:dyDescent="0.3">
      <c r="A75" s="179" t="s">
        <v>38</v>
      </c>
      <c r="B75" s="175">
        <v>350</v>
      </c>
      <c r="C75" s="175">
        <v>4</v>
      </c>
      <c r="D75" s="187">
        <f t="shared" si="4"/>
        <v>1400</v>
      </c>
    </row>
    <row r="76" spans="1:4" x14ac:dyDescent="0.3">
      <c r="A76" s="179" t="s">
        <v>40</v>
      </c>
      <c r="B76" s="175">
        <v>4000</v>
      </c>
      <c r="C76" s="175">
        <v>1</v>
      </c>
      <c r="D76" s="187">
        <f t="shared" si="4"/>
        <v>4000</v>
      </c>
    </row>
    <row r="77" spans="1:4" x14ac:dyDescent="0.3">
      <c r="A77" s="179" t="s">
        <v>41</v>
      </c>
      <c r="B77" s="175">
        <v>2000</v>
      </c>
      <c r="C77" s="175">
        <v>1</v>
      </c>
      <c r="D77" s="187">
        <f t="shared" si="4"/>
        <v>2000</v>
      </c>
    </row>
    <row r="78" spans="1:4" x14ac:dyDescent="0.3">
      <c r="A78" s="179" t="s">
        <v>42</v>
      </c>
      <c r="B78" s="175">
        <v>2000</v>
      </c>
      <c r="C78" s="175">
        <v>1</v>
      </c>
      <c r="D78" s="187">
        <f t="shared" si="4"/>
        <v>2000</v>
      </c>
    </row>
    <row r="79" spans="1:4" x14ac:dyDescent="0.3">
      <c r="A79" s="179" t="s">
        <v>70</v>
      </c>
      <c r="B79" s="175">
        <v>1500</v>
      </c>
      <c r="C79" s="175">
        <v>1</v>
      </c>
      <c r="D79" s="187">
        <f t="shared" si="4"/>
        <v>1500</v>
      </c>
    </row>
    <row r="80" spans="1:4" x14ac:dyDescent="0.3">
      <c r="A80" s="179" t="s">
        <v>44</v>
      </c>
      <c r="B80" s="175">
        <v>1500</v>
      </c>
      <c r="C80" s="175">
        <v>2</v>
      </c>
      <c r="D80" s="187">
        <f t="shared" si="4"/>
        <v>3000</v>
      </c>
    </row>
    <row r="81" spans="1:4" x14ac:dyDescent="0.3">
      <c r="A81" s="179" t="s">
        <v>51</v>
      </c>
      <c r="B81" s="175">
        <v>500</v>
      </c>
      <c r="C81" s="175">
        <v>1</v>
      </c>
      <c r="D81" s="187">
        <f t="shared" si="4"/>
        <v>500</v>
      </c>
    </row>
    <row r="82" spans="1:4" x14ac:dyDescent="0.3">
      <c r="A82" s="179" t="s">
        <v>45</v>
      </c>
      <c r="B82" s="175"/>
      <c r="C82" s="175">
        <v>0.05</v>
      </c>
      <c r="D82" s="187">
        <v>12250</v>
      </c>
    </row>
    <row r="83" spans="1:4" ht="16.2" thickBot="1" x14ac:dyDescent="0.35">
      <c r="A83" s="288" t="s">
        <v>261</v>
      </c>
      <c r="B83" s="177">
        <v>1000</v>
      </c>
      <c r="C83" s="177">
        <v>7</v>
      </c>
      <c r="D83" s="189">
        <f>B83*C83</f>
        <v>7000</v>
      </c>
    </row>
    <row r="84" spans="1:4" ht="16.2" thickBot="1" x14ac:dyDescent="0.35">
      <c r="A84" s="114"/>
      <c r="B84" s="114"/>
      <c r="C84" s="119" t="s">
        <v>64</v>
      </c>
      <c r="D84" s="120">
        <f>SUM(D69:D83)</f>
        <v>180650</v>
      </c>
    </row>
    <row r="85" spans="1:4" x14ac:dyDescent="0.3">
      <c r="A85" s="114"/>
      <c r="B85" s="114"/>
      <c r="C85" s="115"/>
      <c r="D85" s="114"/>
    </row>
    <row r="86" spans="1:4" s="1" customFormat="1" ht="16.2" thickBot="1" x14ac:dyDescent="0.35">
      <c r="A86" s="115"/>
      <c r="B86" s="115"/>
      <c r="C86" s="122"/>
      <c r="D86" s="115"/>
    </row>
    <row r="87" spans="1:4" ht="16.2" thickBot="1" x14ac:dyDescent="0.35">
      <c r="A87" s="351" t="s">
        <v>46</v>
      </c>
      <c r="B87" s="352"/>
      <c r="C87" s="352"/>
      <c r="D87" s="353"/>
    </row>
    <row r="88" spans="1:4" x14ac:dyDescent="0.3">
      <c r="A88" s="174" t="s">
        <v>47</v>
      </c>
      <c r="B88" s="174">
        <v>700</v>
      </c>
      <c r="C88" s="174">
        <v>6</v>
      </c>
      <c r="D88" s="174">
        <f>B88*C88</f>
        <v>4200</v>
      </c>
    </row>
    <row r="89" spans="1:4" x14ac:dyDescent="0.3">
      <c r="A89" s="175" t="s">
        <v>48</v>
      </c>
      <c r="B89" s="175">
        <v>2000</v>
      </c>
      <c r="C89" s="175">
        <v>1</v>
      </c>
      <c r="D89" s="175">
        <f>B89*C89</f>
        <v>2000</v>
      </c>
    </row>
    <row r="90" spans="1:4" x14ac:dyDescent="0.3">
      <c r="A90" s="175" t="s">
        <v>49</v>
      </c>
      <c r="B90" s="175">
        <v>2000</v>
      </c>
      <c r="C90" s="175">
        <v>1</v>
      </c>
      <c r="D90" s="175">
        <f>B90*C90</f>
        <v>2000</v>
      </c>
    </row>
    <row r="91" spans="1:4" x14ac:dyDescent="0.3">
      <c r="A91" s="175" t="s">
        <v>50</v>
      </c>
      <c r="B91" s="175">
        <v>500</v>
      </c>
      <c r="C91" s="175">
        <v>2</v>
      </c>
      <c r="D91" s="175">
        <f>B91*C91</f>
        <v>1000</v>
      </c>
    </row>
    <row r="92" spans="1:4" ht="16.2" thickBot="1" x14ac:dyDescent="0.35">
      <c r="A92" s="177" t="s">
        <v>52</v>
      </c>
      <c r="B92" s="177">
        <v>1000</v>
      </c>
      <c r="C92" s="177">
        <v>1</v>
      </c>
      <c r="D92" s="177">
        <f>B92*C92</f>
        <v>1000</v>
      </c>
    </row>
    <row r="93" spans="1:4" ht="16.2" thickBot="1" x14ac:dyDescent="0.35">
      <c r="A93" s="123" t="s">
        <v>75</v>
      </c>
      <c r="B93" s="114"/>
      <c r="C93" s="116" t="s">
        <v>64</v>
      </c>
      <c r="D93" s="117">
        <f>SUM(D88:D92)</f>
        <v>10200</v>
      </c>
    </row>
    <row r="94" spans="1:4" x14ac:dyDescent="0.3">
      <c r="A94" s="114"/>
      <c r="B94" s="114"/>
      <c r="C94" s="115"/>
      <c r="D94" s="114"/>
    </row>
    <row r="95" spans="1:4" x14ac:dyDescent="0.3">
      <c r="A95" s="114"/>
      <c r="B95" s="114"/>
      <c r="C95" s="115"/>
      <c r="D95" s="114"/>
    </row>
    <row r="96" spans="1:4" ht="16.2" thickBot="1" x14ac:dyDescent="0.35">
      <c r="A96" s="114"/>
      <c r="B96" s="114"/>
      <c r="C96" s="115"/>
      <c r="D96" s="114"/>
    </row>
    <row r="97" spans="1:5" x14ac:dyDescent="0.3">
      <c r="A97" s="114"/>
      <c r="B97" s="114"/>
      <c r="C97" s="338" t="s">
        <v>85</v>
      </c>
      <c r="D97" s="124">
        <f>D14+D35+D49+D60+D66+D84+D93</f>
        <v>576283</v>
      </c>
      <c r="E97" s="3" t="s">
        <v>79</v>
      </c>
    </row>
    <row r="98" spans="1:5" ht="16.2" thickBot="1" x14ac:dyDescent="0.35">
      <c r="A98" s="114"/>
      <c r="B98" s="114"/>
      <c r="C98" s="339"/>
      <c r="D98" s="125">
        <f>D97/'[1]Технический лист'!$C$17</f>
        <v>21664.774436090225</v>
      </c>
      <c r="E98" s="3" t="s">
        <v>80</v>
      </c>
    </row>
    <row r="99" spans="1:5" ht="16.2" thickBot="1" x14ac:dyDescent="0.35">
      <c r="A99" s="114"/>
      <c r="B99" s="114"/>
      <c r="C99" s="115"/>
      <c r="D99" s="114"/>
    </row>
    <row r="100" spans="1:5" x14ac:dyDescent="0.3">
      <c r="A100" s="114"/>
      <c r="B100" s="114"/>
      <c r="C100" s="338" t="s">
        <v>86</v>
      </c>
      <c r="D100" s="124">
        <f>D101*'[1]Технический лист'!$C$17</f>
        <v>212800</v>
      </c>
      <c r="E100" s="3" t="s">
        <v>79</v>
      </c>
    </row>
    <row r="101" spans="1:5" ht="16.2" thickBot="1" x14ac:dyDescent="0.35">
      <c r="A101" s="114"/>
      <c r="B101" s="114"/>
      <c r="C101" s="339"/>
      <c r="D101" s="125">
        <v>8000</v>
      </c>
      <c r="E101" s="3" t="s">
        <v>80</v>
      </c>
    </row>
    <row r="102" spans="1:5" ht="16.2" thickBot="1" x14ac:dyDescent="0.35">
      <c r="A102" s="114"/>
      <c r="B102" s="114"/>
      <c r="C102" s="115"/>
      <c r="D102" s="114"/>
    </row>
    <row r="103" spans="1:5" x14ac:dyDescent="0.3">
      <c r="A103" s="114"/>
      <c r="B103" s="114"/>
      <c r="C103" s="338" t="s">
        <v>87</v>
      </c>
      <c r="D103" s="124">
        <f>D97+D100</f>
        <v>789083</v>
      </c>
      <c r="E103" s="3" t="s">
        <v>79</v>
      </c>
    </row>
    <row r="104" spans="1:5" ht="16.2" thickBot="1" x14ac:dyDescent="0.35">
      <c r="A104" s="114"/>
      <c r="B104" s="114"/>
      <c r="C104" s="339"/>
      <c r="D104" s="125">
        <f>D98+D101</f>
        <v>29664.774436090225</v>
      </c>
      <c r="E104" s="3" t="s">
        <v>80</v>
      </c>
    </row>
    <row r="105" spans="1:5" x14ac:dyDescent="0.3">
      <c r="A105" s="114"/>
      <c r="B105" s="114"/>
      <c r="C105" s="115"/>
      <c r="D105" s="114"/>
    </row>
    <row r="106" spans="1:5" x14ac:dyDescent="0.3">
      <c r="A106" s="114"/>
      <c r="B106" s="114"/>
      <c r="C106" s="115"/>
      <c r="D106" s="114"/>
    </row>
    <row r="107" spans="1:5" x14ac:dyDescent="0.3">
      <c r="A107" s="114"/>
      <c r="B107" s="114"/>
      <c r="C107" s="115"/>
      <c r="D107" s="114"/>
    </row>
    <row r="108" spans="1:5" x14ac:dyDescent="0.3">
      <c r="A108" s="114"/>
      <c r="B108" s="114"/>
      <c r="C108" s="115"/>
      <c r="D108" s="114"/>
    </row>
    <row r="109" spans="1:5" x14ac:dyDescent="0.3">
      <c r="A109" s="114"/>
      <c r="B109" s="114"/>
      <c r="C109" s="115"/>
      <c r="D109" s="114"/>
    </row>
    <row r="110" spans="1:5" x14ac:dyDescent="0.3">
      <c r="A110" s="114"/>
      <c r="B110" s="114"/>
      <c r="C110" s="115"/>
      <c r="D110" s="114"/>
    </row>
    <row r="111" spans="1:5" x14ac:dyDescent="0.3">
      <c r="A111" s="114"/>
      <c r="B111" s="114"/>
      <c r="C111" s="115"/>
      <c r="D111" s="114"/>
    </row>
    <row r="112" spans="1:5" x14ac:dyDescent="0.3">
      <c r="A112" s="114"/>
      <c r="B112" s="114"/>
      <c r="C112" s="115"/>
      <c r="D112" s="114"/>
    </row>
    <row r="113" spans="1:4" x14ac:dyDescent="0.3">
      <c r="A113" s="114"/>
      <c r="B113" s="114"/>
      <c r="C113" s="115"/>
      <c r="D113" s="114"/>
    </row>
    <row r="114" spans="1:4" x14ac:dyDescent="0.3">
      <c r="A114" s="114"/>
      <c r="B114" s="114"/>
      <c r="C114" s="115"/>
      <c r="D114" s="114"/>
    </row>
  </sheetData>
  <mergeCells count="11">
    <mergeCell ref="A62:D62"/>
    <mergeCell ref="A1:D1"/>
    <mergeCell ref="A3:D3"/>
    <mergeCell ref="A16:D16"/>
    <mergeCell ref="A37:D37"/>
    <mergeCell ref="A51:D51"/>
    <mergeCell ref="A68:D68"/>
    <mergeCell ref="A87:D87"/>
    <mergeCell ref="C97:C98"/>
    <mergeCell ref="C100:C101"/>
    <mergeCell ref="C103:C104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D42"/>
  <sheetViews>
    <sheetView showGridLines="0" topLeftCell="D17" zoomScale="60" zoomScaleNormal="60" workbookViewId="0">
      <selection activeCell="D2" sqref="D2"/>
    </sheetView>
  </sheetViews>
  <sheetFormatPr defaultRowHeight="15.6" x14ac:dyDescent="0.3"/>
  <cols>
    <col min="1" max="1" width="15.69921875" customWidth="1"/>
    <col min="2" max="2" width="10.19921875" customWidth="1"/>
    <col min="3" max="4" width="21.8984375" customWidth="1"/>
    <col min="5" max="5" width="10.69921875" customWidth="1"/>
    <col min="7" max="7" width="11.19921875" customWidth="1"/>
    <col min="9" max="9" width="19.69921875" customWidth="1"/>
    <col min="10" max="10" width="11.8984375" customWidth="1"/>
    <col min="11" max="11" width="9.59765625" customWidth="1"/>
    <col min="12" max="12" width="12.69921875" customWidth="1"/>
    <col min="13" max="13" width="11.69921875" customWidth="1"/>
    <col min="14" max="14" width="4.19921875" customWidth="1"/>
    <col min="15" max="16" width="11.19921875" customWidth="1"/>
    <col min="17" max="17" width="11.3984375" customWidth="1"/>
    <col min="18" max="18" width="11.59765625" customWidth="1"/>
    <col min="19" max="19" width="7.8984375" customWidth="1"/>
    <col min="20" max="20" width="11.69921875" customWidth="1"/>
    <col min="21" max="21" width="12.09765625" customWidth="1"/>
    <col min="22" max="22" width="8.8984375" customWidth="1"/>
    <col min="23" max="23" width="16.5" customWidth="1"/>
    <col min="24" max="24" width="11.69921875" customWidth="1"/>
    <col min="25" max="25" width="16.19921875" customWidth="1"/>
    <col min="26" max="27" width="10.19921875" customWidth="1"/>
    <col min="28" max="28" width="12.09765625" bestFit="1" customWidth="1"/>
    <col min="29" max="29" width="14.69921875" bestFit="1" customWidth="1"/>
  </cols>
  <sheetData>
    <row r="1" spans="1:30" s="11" customFormat="1" ht="18.600000000000001" thickBot="1" x14ac:dyDescent="0.4">
      <c r="A1" s="348" t="s">
        <v>130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</row>
    <row r="2" spans="1:30" s="11" customFormat="1" ht="37.200000000000003" customHeight="1" thickBot="1" x14ac:dyDescent="0.35">
      <c r="A2" s="341" t="s">
        <v>212</v>
      </c>
      <c r="B2" s="342"/>
      <c r="C2" s="342"/>
      <c r="D2" s="93" t="s">
        <v>184</v>
      </c>
      <c r="E2" s="343" t="s">
        <v>213</v>
      </c>
      <c r="F2" s="343"/>
      <c r="G2" s="343"/>
      <c r="H2" s="344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</row>
    <row r="3" spans="1:30" ht="24" thickBot="1" x14ac:dyDescent="0.35">
      <c r="A3" s="192" t="s">
        <v>131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63"/>
      <c r="X3" s="63"/>
      <c r="Y3" s="63"/>
      <c r="Z3" s="63"/>
      <c r="AA3" s="63"/>
      <c r="AB3" s="63"/>
      <c r="AC3" s="63"/>
    </row>
    <row r="4" spans="1:30" s="22" customFormat="1" ht="127.95" customHeight="1" thickBot="1" x14ac:dyDescent="0.35">
      <c r="A4" s="194" t="s">
        <v>91</v>
      </c>
      <c r="B4" s="195" t="s">
        <v>92</v>
      </c>
      <c r="C4" s="196" t="s">
        <v>93</v>
      </c>
      <c r="D4" s="197" t="s">
        <v>134</v>
      </c>
      <c r="E4" s="198" t="s">
        <v>94</v>
      </c>
      <c r="F4" s="199" t="s">
        <v>95</v>
      </c>
      <c r="G4" s="200" t="s">
        <v>96</v>
      </c>
      <c r="H4" s="200" t="s">
        <v>97</v>
      </c>
      <c r="I4" s="200" t="s">
        <v>98</v>
      </c>
      <c r="J4" s="200" t="s">
        <v>99</v>
      </c>
      <c r="K4" s="199" t="s">
        <v>100</v>
      </c>
      <c r="L4" s="200" t="s">
        <v>101</v>
      </c>
      <c r="M4" s="200" t="s">
        <v>102</v>
      </c>
      <c r="N4" s="198" t="s">
        <v>103</v>
      </c>
      <c r="O4" s="200" t="s">
        <v>104</v>
      </c>
      <c r="P4" s="200" t="s">
        <v>105</v>
      </c>
      <c r="Q4" s="201" t="s">
        <v>90</v>
      </c>
      <c r="R4" s="196" t="s">
        <v>106</v>
      </c>
      <c r="S4" s="202" t="s">
        <v>107</v>
      </c>
      <c r="T4" s="196" t="s">
        <v>108</v>
      </c>
      <c r="U4" s="202" t="s">
        <v>109</v>
      </c>
      <c r="V4" s="203" t="s">
        <v>110</v>
      </c>
      <c r="W4" s="200" t="s">
        <v>111</v>
      </c>
      <c r="X4" s="200" t="s">
        <v>112</v>
      </c>
      <c r="Y4" s="200" t="s">
        <v>113</v>
      </c>
      <c r="Z4" s="200" t="s">
        <v>135</v>
      </c>
      <c r="AA4" s="200" t="s">
        <v>136</v>
      </c>
      <c r="AB4" s="200" t="s">
        <v>115</v>
      </c>
      <c r="AC4" s="201" t="s">
        <v>116</v>
      </c>
    </row>
    <row r="5" spans="1:30" x14ac:dyDescent="0.3">
      <c r="A5" s="17">
        <v>350</v>
      </c>
      <c r="B5" s="24">
        <v>10</v>
      </c>
      <c r="C5" s="24">
        <f>A5/B5</f>
        <v>35</v>
      </c>
      <c r="D5" s="24">
        <f>A5/(B5*5)</f>
        <v>7</v>
      </c>
      <c r="E5" s="49">
        <f>VLOOKUP($D$2,'Технический лист'!$A$12:$P$14,3,0)</f>
        <v>0.15</v>
      </c>
      <c r="F5" s="50">
        <f>A5*E5</f>
        <v>52.5</v>
      </c>
      <c r="G5" s="50">
        <v>10</v>
      </c>
      <c r="H5" s="50">
        <f>F5/G5</f>
        <v>5.25</v>
      </c>
      <c r="I5" s="51">
        <f>H5/4.2</f>
        <v>1.25</v>
      </c>
      <c r="J5" s="52">
        <f>VLOOKUP('Доходы. "ПЛАТИНУМ"'!$D$2,'Технический лист'!$A$12:$P$14,4,0)</f>
        <v>0.4</v>
      </c>
      <c r="K5" s="50">
        <f>ROUNDDOWN(F5*J5,0)</f>
        <v>21</v>
      </c>
      <c r="L5" s="52">
        <f>VLOOKUP($D$2,'Технический лист'!$A$12:$P$14,6,0)</f>
        <v>0.25</v>
      </c>
      <c r="M5" s="52">
        <v>0.5</v>
      </c>
      <c r="N5" s="77" t="s">
        <v>117</v>
      </c>
      <c r="O5" s="216">
        <f>VLOOKUP($D$2,'Технический лист'!$A$12:$P$14,7,0)</f>
        <v>500</v>
      </c>
      <c r="P5" s="216">
        <v>400</v>
      </c>
      <c r="Q5" s="217">
        <v>5490</v>
      </c>
      <c r="R5" s="218">
        <f>K5*P5</f>
        <v>8400</v>
      </c>
      <c r="S5" s="218">
        <f t="shared" ref="S5:S11" si="0">ROUNDUP(K5*L5,0)</f>
        <v>6</v>
      </c>
      <c r="T5" s="218">
        <f t="shared" ref="T5:T13" si="1">S5*Q5</f>
        <v>32940</v>
      </c>
      <c r="U5" s="218">
        <f>ROUNDUP(S5,0)</f>
        <v>6</v>
      </c>
      <c r="V5" s="219">
        <f>K5*O5</f>
        <v>10500</v>
      </c>
      <c r="W5" s="204">
        <v>0</v>
      </c>
      <c r="X5" s="205">
        <f t="shared" ref="X5:X13" si="2">W5*Q5</f>
        <v>0</v>
      </c>
      <c r="Y5" s="205">
        <f>R5+T5+X5</f>
        <v>41340</v>
      </c>
      <c r="Z5" s="205">
        <f>ROUNDUP(U5/6.6,0)</f>
        <v>1</v>
      </c>
      <c r="AA5" s="205">
        <f>ROUNDDOWN(K5/2/4.3,0)</f>
        <v>2</v>
      </c>
      <c r="AB5" s="205">
        <f>ROUNDUP((Z5+AA5)*4.3*400,0)</f>
        <v>5160</v>
      </c>
      <c r="AC5" s="206">
        <f>Y5-AB5-V5</f>
        <v>25680</v>
      </c>
    </row>
    <row r="6" spans="1:30" x14ac:dyDescent="0.3">
      <c r="A6" s="18">
        <v>350</v>
      </c>
      <c r="B6" s="24">
        <v>10</v>
      </c>
      <c r="C6" s="24">
        <f t="shared" ref="C6:C13" si="3">A6/B6</f>
        <v>35</v>
      </c>
      <c r="D6" s="24">
        <f t="shared" ref="D6:D13" si="4">A6/(B6*5)</f>
        <v>7</v>
      </c>
      <c r="E6" s="26">
        <f>VLOOKUP($D$2,'Технический лист'!$A$12:$P$14,3,0)</f>
        <v>0.15</v>
      </c>
      <c r="F6" s="27">
        <f t="shared" ref="F6:F13" si="5">A6*E6</f>
        <v>52.5</v>
      </c>
      <c r="G6" s="27">
        <v>10</v>
      </c>
      <c r="H6" s="27">
        <f t="shared" ref="H6:H13" si="6">F6/G6</f>
        <v>5.25</v>
      </c>
      <c r="I6" s="48">
        <f t="shared" ref="I6:I13" si="7">H6/4.2</f>
        <v>1.25</v>
      </c>
      <c r="J6" s="28">
        <f>VLOOKUP('Доходы. "ПЛАТИНУМ"'!$D$2,'Технический лист'!$A$12:$P$14,4,0)</f>
        <v>0.4</v>
      </c>
      <c r="K6" s="27">
        <f t="shared" ref="K6:K13" si="8">ROUNDDOWN(F6*J6,0)</f>
        <v>21</v>
      </c>
      <c r="L6" s="28">
        <f>VLOOKUP($D$2,'Технический лист'!$A$12:$P$14,6,0)</f>
        <v>0.25</v>
      </c>
      <c r="M6" s="28">
        <v>0.5</v>
      </c>
      <c r="N6" s="29" t="s">
        <v>118</v>
      </c>
      <c r="O6" s="220">
        <f>VLOOKUP($D$2,'Технический лист'!$A$12:$P$14,7,0)</f>
        <v>500</v>
      </c>
      <c r="P6" s="220">
        <v>400</v>
      </c>
      <c r="Q6" s="221">
        <v>5490</v>
      </c>
      <c r="R6" s="222">
        <f t="shared" ref="R6:R13" si="9">K6*P6</f>
        <v>8400</v>
      </c>
      <c r="S6" s="222">
        <f t="shared" si="0"/>
        <v>6</v>
      </c>
      <c r="T6" s="222">
        <f t="shared" si="1"/>
        <v>32940</v>
      </c>
      <c r="U6" s="222">
        <f>ROUNDUP(U5+S6,0)</f>
        <v>12</v>
      </c>
      <c r="V6" s="223">
        <f t="shared" ref="V6:V13" si="10">K6*O6</f>
        <v>10500</v>
      </c>
      <c r="W6" s="207">
        <v>0</v>
      </c>
      <c r="X6" s="208">
        <f t="shared" si="2"/>
        <v>0</v>
      </c>
      <c r="Y6" s="208">
        <f>R6+T6+X6</f>
        <v>41340</v>
      </c>
      <c r="Z6" s="208">
        <f t="shared" ref="Z6:Z13" si="11">ROUNDUP(U6/6.6,0)</f>
        <v>2</v>
      </c>
      <c r="AA6" s="208">
        <f t="shared" ref="AA6:AA13" si="12">ROUNDDOWN(K6/2/4.3,0)</f>
        <v>2</v>
      </c>
      <c r="AB6" s="208">
        <f t="shared" ref="AB6:AB13" si="13">ROUNDUP((Z6+AA6)*4.3*400,0)</f>
        <v>6880</v>
      </c>
      <c r="AC6" s="138">
        <f t="shared" ref="AC6:AC13" si="14">Y6-AB6</f>
        <v>34460</v>
      </c>
    </row>
    <row r="7" spans="1:30" x14ac:dyDescent="0.3">
      <c r="A7" s="18">
        <v>350</v>
      </c>
      <c r="B7" s="24">
        <v>10</v>
      </c>
      <c r="C7" s="24">
        <f t="shared" si="3"/>
        <v>35</v>
      </c>
      <c r="D7" s="24">
        <f t="shared" si="4"/>
        <v>7</v>
      </c>
      <c r="E7" s="26">
        <f>VLOOKUP($D$2,'Технический лист'!$A$12:$P$14,3,0)</f>
        <v>0.15</v>
      </c>
      <c r="F7" s="27">
        <f t="shared" si="5"/>
        <v>52.5</v>
      </c>
      <c r="G7" s="27">
        <v>10</v>
      </c>
      <c r="H7" s="27">
        <f t="shared" si="6"/>
        <v>5.25</v>
      </c>
      <c r="I7" s="48">
        <f t="shared" si="7"/>
        <v>1.25</v>
      </c>
      <c r="J7" s="28">
        <f>VLOOKUP('Доходы. "ПЛАТИНУМ"'!$D$2,'Технический лист'!$A$12:$P$14,4,0)</f>
        <v>0.4</v>
      </c>
      <c r="K7" s="27">
        <f t="shared" si="8"/>
        <v>21</v>
      </c>
      <c r="L7" s="28">
        <f>VLOOKUP($D$2,'Технический лист'!$A$12:$P$14,6,0)</f>
        <v>0.25</v>
      </c>
      <c r="M7" s="28">
        <v>0.5</v>
      </c>
      <c r="N7" s="29" t="s">
        <v>119</v>
      </c>
      <c r="O7" s="220">
        <f>VLOOKUP($D$2,'Технический лист'!$A$12:$P$14,7,0)</f>
        <v>500</v>
      </c>
      <c r="P7" s="220">
        <v>400</v>
      </c>
      <c r="Q7" s="221">
        <v>5490</v>
      </c>
      <c r="R7" s="222">
        <f t="shared" si="9"/>
        <v>8400</v>
      </c>
      <c r="S7" s="222">
        <f t="shared" si="0"/>
        <v>6</v>
      </c>
      <c r="T7" s="222">
        <f t="shared" si="1"/>
        <v>32940</v>
      </c>
      <c r="U7" s="222">
        <f>ROUNDUP(U6+S7,0)</f>
        <v>18</v>
      </c>
      <c r="V7" s="223">
        <f t="shared" si="10"/>
        <v>10500</v>
      </c>
      <c r="W7" s="207">
        <v>0</v>
      </c>
      <c r="X7" s="208">
        <f t="shared" si="2"/>
        <v>0</v>
      </c>
      <c r="Y7" s="208">
        <f t="shared" ref="Y7:Y13" si="15">R7+T7+X7</f>
        <v>41340</v>
      </c>
      <c r="Z7" s="208">
        <f t="shared" si="11"/>
        <v>3</v>
      </c>
      <c r="AA7" s="208">
        <f t="shared" si="12"/>
        <v>2</v>
      </c>
      <c r="AB7" s="208">
        <f t="shared" si="13"/>
        <v>8600</v>
      </c>
      <c r="AC7" s="138">
        <f t="shared" si="14"/>
        <v>32740</v>
      </c>
    </row>
    <row r="8" spans="1:30" x14ac:dyDescent="0.3">
      <c r="A8" s="18">
        <v>350</v>
      </c>
      <c r="B8" s="24">
        <v>10</v>
      </c>
      <c r="C8" s="24">
        <f t="shared" si="3"/>
        <v>35</v>
      </c>
      <c r="D8" s="24">
        <f t="shared" si="4"/>
        <v>7</v>
      </c>
      <c r="E8" s="26">
        <f>VLOOKUP($D$2,'Технический лист'!$A$12:$P$14,3,0)</f>
        <v>0.15</v>
      </c>
      <c r="F8" s="27">
        <f t="shared" si="5"/>
        <v>52.5</v>
      </c>
      <c r="G8" s="27">
        <v>10</v>
      </c>
      <c r="H8" s="27">
        <f t="shared" si="6"/>
        <v>5.25</v>
      </c>
      <c r="I8" s="48">
        <f t="shared" si="7"/>
        <v>1.25</v>
      </c>
      <c r="J8" s="28">
        <f>VLOOKUP('Доходы. "ПЛАТИНУМ"'!$D$2,'Технический лист'!$A$12:$P$14,4,0)</f>
        <v>0.4</v>
      </c>
      <c r="K8" s="27">
        <f t="shared" si="8"/>
        <v>21</v>
      </c>
      <c r="L8" s="28">
        <f>VLOOKUP($D$2,'Технический лист'!$A$12:$P$14,6,0)</f>
        <v>0.25</v>
      </c>
      <c r="M8" s="28">
        <v>0.5</v>
      </c>
      <c r="N8" s="29" t="s">
        <v>120</v>
      </c>
      <c r="O8" s="220">
        <f>VLOOKUP($D$2,'Технический лист'!$A$12:$P$14,7,0)</f>
        <v>500</v>
      </c>
      <c r="P8" s="220">
        <v>400</v>
      </c>
      <c r="Q8" s="221">
        <v>5490</v>
      </c>
      <c r="R8" s="222">
        <f t="shared" si="9"/>
        <v>8400</v>
      </c>
      <c r="S8" s="222">
        <f t="shared" si="0"/>
        <v>6</v>
      </c>
      <c r="T8" s="222">
        <f t="shared" si="1"/>
        <v>32940</v>
      </c>
      <c r="U8" s="222">
        <f>ROUNDUP(U7+S8,0)</f>
        <v>24</v>
      </c>
      <c r="V8" s="223">
        <f t="shared" si="10"/>
        <v>10500</v>
      </c>
      <c r="W8" s="207">
        <v>0</v>
      </c>
      <c r="X8" s="208">
        <f t="shared" si="2"/>
        <v>0</v>
      </c>
      <c r="Y8" s="208">
        <f t="shared" si="15"/>
        <v>41340</v>
      </c>
      <c r="Z8" s="208">
        <f>ROUNDUP(U8/6.6,0)</f>
        <v>4</v>
      </c>
      <c r="AA8" s="208">
        <f t="shared" si="12"/>
        <v>2</v>
      </c>
      <c r="AB8" s="208">
        <f t="shared" si="13"/>
        <v>10320</v>
      </c>
      <c r="AC8" s="138">
        <f t="shared" si="14"/>
        <v>31020</v>
      </c>
    </row>
    <row r="9" spans="1:30" s="38" customFormat="1" x14ac:dyDescent="0.3">
      <c r="A9" s="18">
        <v>350</v>
      </c>
      <c r="B9" s="32">
        <v>10</v>
      </c>
      <c r="C9" s="32">
        <f t="shared" si="3"/>
        <v>35</v>
      </c>
      <c r="D9" s="32">
        <f t="shared" si="4"/>
        <v>7</v>
      </c>
      <c r="E9" s="73">
        <f>VLOOKUP($D$2,'Технический лист'!$A$12:$P$14,3,0)</f>
        <v>0.15</v>
      </c>
      <c r="F9" s="34">
        <f t="shared" si="5"/>
        <v>52.5</v>
      </c>
      <c r="G9" s="34">
        <v>10</v>
      </c>
      <c r="H9" s="34">
        <f t="shared" si="6"/>
        <v>5.25</v>
      </c>
      <c r="I9" s="74">
        <f t="shared" si="7"/>
        <v>1.25</v>
      </c>
      <c r="J9" s="75">
        <f>VLOOKUP('Доходы. "ПЛАТИНУМ"'!$D$2,'Технический лист'!$A$12:$P$14,4,0)</f>
        <v>0.4</v>
      </c>
      <c r="K9" s="80">
        <f t="shared" si="8"/>
        <v>21</v>
      </c>
      <c r="L9" s="75">
        <f>VLOOKUP($D$2,'Технический лист'!$A$12:$P$14,6,0)</f>
        <v>0.25</v>
      </c>
      <c r="M9" s="96">
        <v>0.5</v>
      </c>
      <c r="N9" s="35" t="s">
        <v>121</v>
      </c>
      <c r="O9" s="224">
        <f>VLOOKUP($D$2,'Технический лист'!$A$12:$P$14,7,0)</f>
        <v>500</v>
      </c>
      <c r="P9" s="225">
        <v>400</v>
      </c>
      <c r="Q9" s="226">
        <v>5490</v>
      </c>
      <c r="R9" s="227">
        <f t="shared" si="9"/>
        <v>8400</v>
      </c>
      <c r="S9" s="227">
        <f t="shared" si="0"/>
        <v>6</v>
      </c>
      <c r="T9" s="227">
        <f t="shared" si="1"/>
        <v>32940</v>
      </c>
      <c r="U9" s="227">
        <f t="shared" ref="U9:U11" si="16">ROUNDUP(U8-S5*M9+S9,0)</f>
        <v>27</v>
      </c>
      <c r="V9" s="228">
        <f t="shared" si="10"/>
        <v>10500</v>
      </c>
      <c r="W9" s="209">
        <f>ROUNDDOWN(S5*M9,)</f>
        <v>3</v>
      </c>
      <c r="X9" s="210">
        <f>W9*Q9</f>
        <v>16470</v>
      </c>
      <c r="Y9" s="211">
        <f t="shared" si="15"/>
        <v>57810</v>
      </c>
      <c r="Z9" s="211">
        <f t="shared" si="11"/>
        <v>5</v>
      </c>
      <c r="AA9" s="211">
        <f t="shared" si="12"/>
        <v>2</v>
      </c>
      <c r="AB9" s="211">
        <f t="shared" si="13"/>
        <v>12040</v>
      </c>
      <c r="AC9" s="212">
        <f t="shared" si="14"/>
        <v>45770</v>
      </c>
      <c r="AD9" s="38" t="s">
        <v>122</v>
      </c>
    </row>
    <row r="10" spans="1:30" x14ac:dyDescent="0.3">
      <c r="A10" s="18">
        <v>350</v>
      </c>
      <c r="B10" s="24">
        <v>10</v>
      </c>
      <c r="C10" s="24">
        <f t="shared" si="3"/>
        <v>35</v>
      </c>
      <c r="D10" s="24">
        <f t="shared" si="4"/>
        <v>7</v>
      </c>
      <c r="E10" s="26">
        <f>VLOOKUP($D$2,'Технический лист'!$A$12:$P$14,3,0)</f>
        <v>0.15</v>
      </c>
      <c r="F10" s="27">
        <f t="shared" si="5"/>
        <v>52.5</v>
      </c>
      <c r="G10" s="27">
        <v>10</v>
      </c>
      <c r="H10" s="27">
        <f t="shared" si="6"/>
        <v>5.25</v>
      </c>
      <c r="I10" s="48">
        <f t="shared" si="7"/>
        <v>1.25</v>
      </c>
      <c r="J10" s="28">
        <f>VLOOKUP('Доходы. "ПЛАТИНУМ"'!$D$2,'Технический лист'!$A$12:$P$14,4,0)</f>
        <v>0.4</v>
      </c>
      <c r="K10" s="27">
        <f t="shared" si="8"/>
        <v>21</v>
      </c>
      <c r="L10" s="28">
        <f>VLOOKUP($D$2,'Технический лист'!$A$12:$P$14,6,0)</f>
        <v>0.25</v>
      </c>
      <c r="M10" s="28">
        <v>0.5</v>
      </c>
      <c r="N10" s="29" t="s">
        <v>123</v>
      </c>
      <c r="O10" s="220">
        <f>VLOOKUP($D$2,'Технический лист'!$A$12:$P$14,7,0)</f>
        <v>500</v>
      </c>
      <c r="P10" s="220">
        <v>400</v>
      </c>
      <c r="Q10" s="221">
        <v>5490</v>
      </c>
      <c r="R10" s="222">
        <f t="shared" si="9"/>
        <v>8400</v>
      </c>
      <c r="S10" s="229">
        <f t="shared" si="0"/>
        <v>6</v>
      </c>
      <c r="T10" s="222">
        <f t="shared" si="1"/>
        <v>32940</v>
      </c>
      <c r="U10" s="222">
        <f t="shared" si="16"/>
        <v>30</v>
      </c>
      <c r="V10" s="223">
        <f t="shared" si="10"/>
        <v>10500</v>
      </c>
      <c r="W10" s="209">
        <f t="shared" ref="W10:W11" si="17">ROUNDDOWN(S6*M10,)</f>
        <v>3</v>
      </c>
      <c r="X10" s="208">
        <f t="shared" si="2"/>
        <v>16470</v>
      </c>
      <c r="Y10" s="208">
        <f t="shared" si="15"/>
        <v>57810</v>
      </c>
      <c r="Z10" s="208">
        <f t="shared" si="11"/>
        <v>5</v>
      </c>
      <c r="AA10" s="208">
        <f t="shared" si="12"/>
        <v>2</v>
      </c>
      <c r="AB10" s="208">
        <f t="shared" si="13"/>
        <v>12040</v>
      </c>
      <c r="AC10" s="138">
        <f t="shared" si="14"/>
        <v>45770</v>
      </c>
    </row>
    <row r="11" spans="1:30" x14ac:dyDescent="0.3">
      <c r="A11" s="18">
        <v>350</v>
      </c>
      <c r="B11" s="24">
        <v>10</v>
      </c>
      <c r="C11" s="24">
        <f t="shared" si="3"/>
        <v>35</v>
      </c>
      <c r="D11" s="24">
        <f t="shared" si="4"/>
        <v>7</v>
      </c>
      <c r="E11" s="26">
        <f>VLOOKUP($D$2,'Технический лист'!$A$12:$P$14,3,0)</f>
        <v>0.15</v>
      </c>
      <c r="F11" s="27">
        <f t="shared" si="5"/>
        <v>52.5</v>
      </c>
      <c r="G11" s="27">
        <v>10</v>
      </c>
      <c r="H11" s="27">
        <f t="shared" si="6"/>
        <v>5.25</v>
      </c>
      <c r="I11" s="48">
        <f t="shared" si="7"/>
        <v>1.25</v>
      </c>
      <c r="J11" s="28">
        <f>VLOOKUP('Доходы. "ПЛАТИНУМ"'!$D$2,'Технический лист'!$A$12:$P$14,4,0)</f>
        <v>0.4</v>
      </c>
      <c r="K11" s="27">
        <f t="shared" si="8"/>
        <v>21</v>
      </c>
      <c r="L11" s="28">
        <f>VLOOKUP($D$2,'Технический лист'!$A$12:$P$14,6,0)</f>
        <v>0.25</v>
      </c>
      <c r="M11" s="28">
        <v>0.5</v>
      </c>
      <c r="N11" s="29" t="s">
        <v>124</v>
      </c>
      <c r="O11" s="220">
        <f>VLOOKUP($D$2,'Технический лист'!$A$12:$P$14,7,0)</f>
        <v>500</v>
      </c>
      <c r="P11" s="220">
        <v>400</v>
      </c>
      <c r="Q11" s="221">
        <v>5490</v>
      </c>
      <c r="R11" s="222">
        <f t="shared" si="9"/>
        <v>8400</v>
      </c>
      <c r="S11" s="229">
        <f t="shared" si="0"/>
        <v>6</v>
      </c>
      <c r="T11" s="222">
        <f t="shared" si="1"/>
        <v>32940</v>
      </c>
      <c r="U11" s="222">
        <f t="shared" si="16"/>
        <v>33</v>
      </c>
      <c r="V11" s="223">
        <f t="shared" si="10"/>
        <v>10500</v>
      </c>
      <c r="W11" s="209">
        <f t="shared" si="17"/>
        <v>3</v>
      </c>
      <c r="X11" s="208">
        <f t="shared" si="2"/>
        <v>16470</v>
      </c>
      <c r="Y11" s="208">
        <f t="shared" si="15"/>
        <v>57810</v>
      </c>
      <c r="Z11" s="208">
        <f t="shared" si="11"/>
        <v>5</v>
      </c>
      <c r="AA11" s="208">
        <f t="shared" si="12"/>
        <v>2</v>
      </c>
      <c r="AB11" s="208">
        <f t="shared" si="13"/>
        <v>12040</v>
      </c>
      <c r="AC11" s="138">
        <f t="shared" si="14"/>
        <v>45770</v>
      </c>
    </row>
    <row r="12" spans="1:30" x14ac:dyDescent="0.3">
      <c r="A12" s="18">
        <v>350</v>
      </c>
      <c r="B12" s="24">
        <v>10</v>
      </c>
      <c r="C12" s="24">
        <f t="shared" si="3"/>
        <v>35</v>
      </c>
      <c r="D12" s="24">
        <f t="shared" si="4"/>
        <v>7</v>
      </c>
      <c r="E12" s="26">
        <f>VLOOKUP($D$2,'Технический лист'!$A$12:$P$14,3,0)</f>
        <v>0.15</v>
      </c>
      <c r="F12" s="27">
        <f t="shared" si="5"/>
        <v>52.5</v>
      </c>
      <c r="G12" s="27">
        <v>10</v>
      </c>
      <c r="H12" s="27">
        <f t="shared" si="6"/>
        <v>5.25</v>
      </c>
      <c r="I12" s="48">
        <f t="shared" si="7"/>
        <v>1.25</v>
      </c>
      <c r="J12" s="28">
        <f>J11-10%</f>
        <v>0.30000000000000004</v>
      </c>
      <c r="K12" s="27">
        <f t="shared" si="8"/>
        <v>15</v>
      </c>
      <c r="L12" s="28">
        <f>L11-10%</f>
        <v>0.15</v>
      </c>
      <c r="M12" s="28">
        <v>0.35</v>
      </c>
      <c r="N12" s="29" t="s">
        <v>125</v>
      </c>
      <c r="O12" s="230">
        <f>VLOOKUP($D$2,'Технический лист'!$A$2:$G$4,7,0)</f>
        <v>450</v>
      </c>
      <c r="P12" s="220">
        <v>400</v>
      </c>
      <c r="Q12" s="221">
        <v>5490</v>
      </c>
      <c r="R12" s="222">
        <f t="shared" si="9"/>
        <v>6000</v>
      </c>
      <c r="S12" s="229">
        <f>ROUNDUP(K12*L12,0)</f>
        <v>3</v>
      </c>
      <c r="T12" s="222">
        <f>S12*Q12</f>
        <v>16470</v>
      </c>
      <c r="U12" s="222">
        <f>ROUNDUP(U11-S9*M12+S12,0)</f>
        <v>34</v>
      </c>
      <c r="V12" s="223">
        <f>K12*O12</f>
        <v>6750</v>
      </c>
      <c r="W12" s="209">
        <f>ROUNDDOWN(S9*M12,)</f>
        <v>2</v>
      </c>
      <c r="X12" s="208">
        <f t="shared" si="2"/>
        <v>10980</v>
      </c>
      <c r="Y12" s="208">
        <f t="shared" si="15"/>
        <v>33450</v>
      </c>
      <c r="Z12" s="208">
        <f t="shared" si="11"/>
        <v>6</v>
      </c>
      <c r="AA12" s="208">
        <f t="shared" si="12"/>
        <v>1</v>
      </c>
      <c r="AB12" s="208">
        <f t="shared" si="13"/>
        <v>12040</v>
      </c>
      <c r="AC12" s="138">
        <f t="shared" si="14"/>
        <v>21410</v>
      </c>
    </row>
    <row r="13" spans="1:30" ht="16.2" thickBot="1" x14ac:dyDescent="0.35">
      <c r="A13" s="19">
        <v>350</v>
      </c>
      <c r="B13" s="40">
        <v>10</v>
      </c>
      <c r="C13" s="40">
        <f t="shared" si="3"/>
        <v>35</v>
      </c>
      <c r="D13" s="40">
        <f t="shared" si="4"/>
        <v>7</v>
      </c>
      <c r="E13" s="42">
        <f>VLOOKUP($D$2,'Технический лист'!$A$12:$P$14,3,0)</f>
        <v>0.15</v>
      </c>
      <c r="F13" s="43">
        <f t="shared" si="5"/>
        <v>52.5</v>
      </c>
      <c r="G13" s="43">
        <v>10</v>
      </c>
      <c r="H13" s="43">
        <f t="shared" si="6"/>
        <v>5.25</v>
      </c>
      <c r="I13" s="53">
        <f t="shared" si="7"/>
        <v>1.25</v>
      </c>
      <c r="J13" s="44">
        <f>J12-10%</f>
        <v>0.20000000000000004</v>
      </c>
      <c r="K13" s="43">
        <f t="shared" si="8"/>
        <v>10</v>
      </c>
      <c r="L13" s="44">
        <f>L12-10%</f>
        <v>4.9999999999999989E-2</v>
      </c>
      <c r="M13" s="44">
        <v>0.2</v>
      </c>
      <c r="N13" s="45" t="s">
        <v>126</v>
      </c>
      <c r="O13" s="231">
        <f>VLOOKUP($D$2,'Технический лист'!$A$2:$G$4,7,0)</f>
        <v>450</v>
      </c>
      <c r="P13" s="232">
        <v>400</v>
      </c>
      <c r="Q13" s="233">
        <v>5490</v>
      </c>
      <c r="R13" s="234">
        <f t="shared" si="9"/>
        <v>4000</v>
      </c>
      <c r="S13" s="235">
        <f>ROUNDUP(K13*L13,0)</f>
        <v>1</v>
      </c>
      <c r="T13" s="234">
        <f t="shared" si="1"/>
        <v>5490</v>
      </c>
      <c r="U13" s="234">
        <f>ROUNDUP(U12-S10*M13+S13,0)</f>
        <v>34</v>
      </c>
      <c r="V13" s="236">
        <f t="shared" si="10"/>
        <v>4500</v>
      </c>
      <c r="W13" s="213">
        <f>ROUNDDOWN(S10*M13,)</f>
        <v>1</v>
      </c>
      <c r="X13" s="214">
        <f t="shared" si="2"/>
        <v>5490</v>
      </c>
      <c r="Y13" s="214">
        <f t="shared" si="15"/>
        <v>14980</v>
      </c>
      <c r="Z13" s="214">
        <f t="shared" si="11"/>
        <v>6</v>
      </c>
      <c r="AA13" s="214">
        <f t="shared" si="12"/>
        <v>1</v>
      </c>
      <c r="AB13" s="214">
        <f t="shared" si="13"/>
        <v>12040</v>
      </c>
      <c r="AC13" s="139">
        <f t="shared" si="14"/>
        <v>2940</v>
      </c>
    </row>
    <row r="14" spans="1:30" ht="16.2" thickBot="1" x14ac:dyDescent="0.35"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215" t="s">
        <v>64</v>
      </c>
      <c r="AC14" s="127">
        <f>SUM(AC5:AC13)</f>
        <v>285560</v>
      </c>
    </row>
    <row r="15" spans="1:30" ht="24" thickBot="1" x14ac:dyDescent="0.35">
      <c r="A15" s="192" t="s">
        <v>132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</row>
    <row r="16" spans="1:30" s="22" customFormat="1" ht="160.19999999999999" customHeight="1" thickBot="1" x14ac:dyDescent="0.35">
      <c r="A16" s="194" t="s">
        <v>138</v>
      </c>
      <c r="B16" s="195" t="s">
        <v>92</v>
      </c>
      <c r="C16" s="196" t="s">
        <v>93</v>
      </c>
      <c r="D16" s="197" t="s">
        <v>134</v>
      </c>
      <c r="E16" s="198" t="s">
        <v>94</v>
      </c>
      <c r="F16" s="199" t="s">
        <v>95</v>
      </c>
      <c r="G16" s="200" t="s">
        <v>96</v>
      </c>
      <c r="H16" s="200" t="s">
        <v>97</v>
      </c>
      <c r="I16" s="200" t="s">
        <v>98</v>
      </c>
      <c r="J16" s="200" t="s">
        <v>99</v>
      </c>
      <c r="K16" s="199" t="s">
        <v>100</v>
      </c>
      <c r="L16" s="200" t="s">
        <v>101</v>
      </c>
      <c r="M16" s="200" t="s">
        <v>102</v>
      </c>
      <c r="N16" s="198" t="s">
        <v>103</v>
      </c>
      <c r="O16" s="248" t="s">
        <v>104</v>
      </c>
      <c r="P16" s="248" t="s">
        <v>105</v>
      </c>
      <c r="Q16" s="249" t="s">
        <v>90</v>
      </c>
      <c r="R16" s="250" t="s">
        <v>106</v>
      </c>
      <c r="S16" s="251" t="s">
        <v>107</v>
      </c>
      <c r="T16" s="250" t="s">
        <v>108</v>
      </c>
      <c r="U16" s="251" t="s">
        <v>109</v>
      </c>
      <c r="V16" s="252" t="s">
        <v>110</v>
      </c>
      <c r="W16" s="248" t="s">
        <v>111</v>
      </c>
      <c r="X16" s="248" t="s">
        <v>112</v>
      </c>
      <c r="Y16" s="248" t="s">
        <v>113</v>
      </c>
      <c r="Z16" s="248" t="s">
        <v>114</v>
      </c>
      <c r="AA16" s="248" t="s">
        <v>136</v>
      </c>
      <c r="AB16" s="248" t="s">
        <v>115</v>
      </c>
      <c r="AC16" s="249" t="s">
        <v>116</v>
      </c>
    </row>
    <row r="17" spans="1:30" x14ac:dyDescent="0.3">
      <c r="A17" s="17">
        <v>350</v>
      </c>
      <c r="B17" s="24">
        <v>0</v>
      </c>
      <c r="C17" s="24">
        <f>IFERROR(A17/B17,0)</f>
        <v>0</v>
      </c>
      <c r="D17" s="25">
        <f>IFERROR(A17/(B17*5),0)</f>
        <v>0</v>
      </c>
      <c r="E17" s="49">
        <v>0</v>
      </c>
      <c r="F17" s="50">
        <f t="shared" ref="F17:F25" si="18">A17*E17</f>
        <v>0</v>
      </c>
      <c r="G17" s="50">
        <v>0</v>
      </c>
      <c r="H17" s="50">
        <f>IFERROR(F17/G17,0)</f>
        <v>0</v>
      </c>
      <c r="I17" s="50">
        <f>H17/4.2</f>
        <v>0</v>
      </c>
      <c r="J17" s="52">
        <f>VLOOKUP('Доходы. "ПЛАТИНУМ"'!$D$2,'Технический лист'!$A$12:$P$14,5,0)</f>
        <v>0.2</v>
      </c>
      <c r="K17" s="50">
        <f>A17*J17</f>
        <v>70</v>
      </c>
      <c r="L17" s="52">
        <f>VLOOKUP($D$2,'Технический лист'!$A$12:$P$14,6,0)</f>
        <v>0.25</v>
      </c>
      <c r="M17" s="69">
        <v>0.5</v>
      </c>
      <c r="N17" s="77" t="s">
        <v>117</v>
      </c>
      <c r="O17" s="216">
        <f>VLOOKUP($D$2,'Технический лист'!$A$12:$P$14,8,0)</f>
        <v>750</v>
      </c>
      <c r="P17" s="216">
        <v>400</v>
      </c>
      <c r="Q17" s="217">
        <v>5490</v>
      </c>
      <c r="R17" s="222">
        <f>K17*P17</f>
        <v>28000</v>
      </c>
      <c r="S17" s="222">
        <f>ROUNDUP(K17*L17,0)</f>
        <v>18</v>
      </c>
      <c r="T17" s="222">
        <f>S17*Q17</f>
        <v>98820</v>
      </c>
      <c r="U17" s="222">
        <f>ROUNDUP(S17,0)</f>
        <v>18</v>
      </c>
      <c r="V17" s="237">
        <f t="shared" ref="V17:V25" si="19">K17*O17</f>
        <v>52500</v>
      </c>
      <c r="W17" s="204">
        <v>0</v>
      </c>
      <c r="X17" s="205">
        <f t="shared" ref="X17:X25" si="20">W17*Q17</f>
        <v>0</v>
      </c>
      <c r="Y17" s="205">
        <f>R17+T17+X17</f>
        <v>126820</v>
      </c>
      <c r="Z17" s="205">
        <f>ROUNDUP(U17/6.6,0)</f>
        <v>3</v>
      </c>
      <c r="AA17" s="205">
        <f>ROUNDDOWN(K17/2/4.3,0)</f>
        <v>8</v>
      </c>
      <c r="AB17" s="205">
        <f>ROUNDUP((Z17+AA17)*4.3*400,0)</f>
        <v>18920</v>
      </c>
      <c r="AC17" s="206">
        <f>Y17-AB17-V17</f>
        <v>55400</v>
      </c>
    </row>
    <row r="18" spans="1:30" x14ac:dyDescent="0.3">
      <c r="A18" s="18">
        <v>350</v>
      </c>
      <c r="B18" s="24">
        <v>0</v>
      </c>
      <c r="C18" s="24">
        <f t="shared" ref="C18:C25" si="21">IFERROR(A18/B18,0)</f>
        <v>0</v>
      </c>
      <c r="D18" s="25">
        <f t="shared" ref="D18:D25" si="22">IFERROR(A18/(B18*5),0)</f>
        <v>0</v>
      </c>
      <c r="E18" s="26">
        <v>0</v>
      </c>
      <c r="F18" s="27">
        <f t="shared" si="18"/>
        <v>0</v>
      </c>
      <c r="G18" s="27">
        <v>0</v>
      </c>
      <c r="H18" s="27">
        <f t="shared" ref="H18:H25" si="23">IFERROR(F18/G18,0)</f>
        <v>0</v>
      </c>
      <c r="I18" s="27">
        <f t="shared" ref="I18:I25" si="24">H18/4.2</f>
        <v>0</v>
      </c>
      <c r="J18" s="28">
        <f>VLOOKUP('Доходы. "ПЛАТИНУМ"'!$D$2,'Технический лист'!$A$12:$P$14,5,0)</f>
        <v>0.2</v>
      </c>
      <c r="K18" s="27">
        <f t="shared" ref="K18:K25" si="25">A18*J18</f>
        <v>70</v>
      </c>
      <c r="L18" s="28">
        <f>VLOOKUP($D$2,'Технический лист'!$A$12:$P$14,6,0)</f>
        <v>0.25</v>
      </c>
      <c r="M18" s="70">
        <v>0.5</v>
      </c>
      <c r="N18" s="29" t="s">
        <v>118</v>
      </c>
      <c r="O18" s="220">
        <f>VLOOKUP($D$2,'Технический лист'!$A$12:$P$14,8,0)</f>
        <v>750</v>
      </c>
      <c r="P18" s="220">
        <v>400</v>
      </c>
      <c r="Q18" s="221">
        <v>5490</v>
      </c>
      <c r="R18" s="222">
        <f t="shared" ref="R18:R25" si="26">K18*P18</f>
        <v>28000</v>
      </c>
      <c r="S18" s="222">
        <f t="shared" ref="S18:S25" si="27">ROUNDUP(K18*L18,0)</f>
        <v>18</v>
      </c>
      <c r="T18" s="222">
        <f t="shared" ref="T18:T25" si="28">S18*Q18</f>
        <v>98820</v>
      </c>
      <c r="U18" s="222">
        <f>ROUNDUP(U17+S18,0)</f>
        <v>36</v>
      </c>
      <c r="V18" s="237">
        <f t="shared" si="19"/>
        <v>52500</v>
      </c>
      <c r="W18" s="207">
        <v>0</v>
      </c>
      <c r="X18" s="208">
        <f t="shared" si="20"/>
        <v>0</v>
      </c>
      <c r="Y18" s="208">
        <f>R18+T18+X18</f>
        <v>126820</v>
      </c>
      <c r="Z18" s="208">
        <f t="shared" ref="Z18:Z25" si="29">ROUNDUP(U18/6.6,0)</f>
        <v>6</v>
      </c>
      <c r="AA18" s="208">
        <f t="shared" ref="AA18:AA25" si="30">ROUNDDOWN(K18/2/4.3,0)</f>
        <v>8</v>
      </c>
      <c r="AB18" s="208">
        <f t="shared" ref="AB18:AB25" si="31">ROUNDUP((Z18+AA18)*4.3*400,0)</f>
        <v>24080</v>
      </c>
      <c r="AC18" s="138">
        <f t="shared" ref="AC18:AC25" si="32">Y18-AB18</f>
        <v>102740</v>
      </c>
    </row>
    <row r="19" spans="1:30" x14ac:dyDescent="0.3">
      <c r="A19" s="18">
        <v>350</v>
      </c>
      <c r="B19" s="24">
        <v>0</v>
      </c>
      <c r="C19" s="24">
        <f t="shared" si="21"/>
        <v>0</v>
      </c>
      <c r="D19" s="25">
        <f t="shared" si="22"/>
        <v>0</v>
      </c>
      <c r="E19" s="26">
        <v>0</v>
      </c>
      <c r="F19" s="27">
        <f t="shared" si="18"/>
        <v>0</v>
      </c>
      <c r="G19" s="27">
        <v>0</v>
      </c>
      <c r="H19" s="27">
        <f t="shared" si="23"/>
        <v>0</v>
      </c>
      <c r="I19" s="27">
        <f t="shared" si="24"/>
        <v>0</v>
      </c>
      <c r="J19" s="28">
        <f>VLOOKUP('Доходы. "ПЛАТИНУМ"'!$D$2,'Технический лист'!$A$12:$P$14,5,0)</f>
        <v>0.2</v>
      </c>
      <c r="K19" s="27">
        <f t="shared" si="25"/>
        <v>70</v>
      </c>
      <c r="L19" s="28">
        <f>VLOOKUP($D$2,'Технический лист'!$A$12:$P$14,6,0)</f>
        <v>0.25</v>
      </c>
      <c r="M19" s="70">
        <v>0.5</v>
      </c>
      <c r="N19" s="29" t="s">
        <v>119</v>
      </c>
      <c r="O19" s="220">
        <f>VLOOKUP($D$2,'Технический лист'!$A$12:$P$14,8,0)</f>
        <v>750</v>
      </c>
      <c r="P19" s="220">
        <v>400</v>
      </c>
      <c r="Q19" s="221">
        <v>5490</v>
      </c>
      <c r="R19" s="222">
        <f t="shared" si="26"/>
        <v>28000</v>
      </c>
      <c r="S19" s="222">
        <f t="shared" si="27"/>
        <v>18</v>
      </c>
      <c r="T19" s="222">
        <f t="shared" si="28"/>
        <v>98820</v>
      </c>
      <c r="U19" s="222">
        <f>ROUNDUP(U18+S19,0)</f>
        <v>54</v>
      </c>
      <c r="V19" s="237">
        <f>K19*O19</f>
        <v>52500</v>
      </c>
      <c r="W19" s="207">
        <v>0</v>
      </c>
      <c r="X19" s="208">
        <f t="shared" si="20"/>
        <v>0</v>
      </c>
      <c r="Y19" s="208">
        <f t="shared" ref="Y19:Y24" si="33">R19+T19+X19</f>
        <v>126820</v>
      </c>
      <c r="Z19" s="208">
        <f t="shared" si="29"/>
        <v>9</v>
      </c>
      <c r="AA19" s="208">
        <f t="shared" si="30"/>
        <v>8</v>
      </c>
      <c r="AB19" s="208">
        <f t="shared" si="31"/>
        <v>29240</v>
      </c>
      <c r="AC19" s="138">
        <f t="shared" si="32"/>
        <v>97580</v>
      </c>
    </row>
    <row r="20" spans="1:30" x14ac:dyDescent="0.3">
      <c r="A20" s="18">
        <v>350</v>
      </c>
      <c r="B20" s="24">
        <v>0</v>
      </c>
      <c r="C20" s="24">
        <f t="shared" si="21"/>
        <v>0</v>
      </c>
      <c r="D20" s="25">
        <f t="shared" si="22"/>
        <v>0</v>
      </c>
      <c r="E20" s="26">
        <v>0</v>
      </c>
      <c r="F20" s="27">
        <f t="shared" si="18"/>
        <v>0</v>
      </c>
      <c r="G20" s="27">
        <v>0</v>
      </c>
      <c r="H20" s="27">
        <f t="shared" si="23"/>
        <v>0</v>
      </c>
      <c r="I20" s="27">
        <f t="shared" si="24"/>
        <v>0</v>
      </c>
      <c r="J20" s="28">
        <f>VLOOKUP('Доходы. "ПЛАТИНУМ"'!$D$2,'Технический лист'!$A$12:$P$14,5,0)</f>
        <v>0.2</v>
      </c>
      <c r="K20" s="27">
        <f t="shared" si="25"/>
        <v>70</v>
      </c>
      <c r="L20" s="28">
        <f>VLOOKUP($D$2,'Технический лист'!$A$12:$P$14,6,0)</f>
        <v>0.25</v>
      </c>
      <c r="M20" s="70">
        <v>0.5</v>
      </c>
      <c r="N20" s="29" t="s">
        <v>120</v>
      </c>
      <c r="O20" s="220">
        <f>VLOOKUP($D$2,'Технический лист'!$A$12:$P$14,8,0)</f>
        <v>750</v>
      </c>
      <c r="P20" s="220">
        <v>400</v>
      </c>
      <c r="Q20" s="221">
        <v>5490</v>
      </c>
      <c r="R20" s="222">
        <f t="shared" si="26"/>
        <v>28000</v>
      </c>
      <c r="S20" s="222">
        <f t="shared" si="27"/>
        <v>18</v>
      </c>
      <c r="T20" s="222">
        <f t="shared" si="28"/>
        <v>98820</v>
      </c>
      <c r="U20" s="222">
        <f>ROUNDUP(U19+S20,0)</f>
        <v>72</v>
      </c>
      <c r="V20" s="237">
        <f t="shared" si="19"/>
        <v>52500</v>
      </c>
      <c r="W20" s="207">
        <v>0</v>
      </c>
      <c r="X20" s="208">
        <f t="shared" si="20"/>
        <v>0</v>
      </c>
      <c r="Y20" s="208">
        <f t="shared" si="33"/>
        <v>126820</v>
      </c>
      <c r="Z20" s="208">
        <f t="shared" si="29"/>
        <v>11</v>
      </c>
      <c r="AA20" s="208">
        <f t="shared" si="30"/>
        <v>8</v>
      </c>
      <c r="AB20" s="208">
        <f t="shared" si="31"/>
        <v>32680</v>
      </c>
      <c r="AC20" s="138">
        <f t="shared" si="32"/>
        <v>94140</v>
      </c>
    </row>
    <row r="21" spans="1:30" s="38" customFormat="1" x14ac:dyDescent="0.3">
      <c r="A21" s="18">
        <v>350</v>
      </c>
      <c r="B21" s="32">
        <v>0</v>
      </c>
      <c r="C21" s="81">
        <f t="shared" si="21"/>
        <v>0</v>
      </c>
      <c r="D21" s="82">
        <f t="shared" si="22"/>
        <v>0</v>
      </c>
      <c r="E21" s="33">
        <v>0</v>
      </c>
      <c r="F21" s="34">
        <f t="shared" si="18"/>
        <v>0</v>
      </c>
      <c r="G21" s="34">
        <v>0</v>
      </c>
      <c r="H21" s="80">
        <f t="shared" si="23"/>
        <v>0</v>
      </c>
      <c r="I21" s="34">
        <f t="shared" si="24"/>
        <v>0</v>
      </c>
      <c r="J21" s="75">
        <f>VLOOKUP('Доходы. "ПЛАТИНУМ"'!$D$2,'Технический лист'!$A$12:$P$14,5,0)</f>
        <v>0.2</v>
      </c>
      <c r="K21" s="34">
        <f>A21*J21</f>
        <v>70</v>
      </c>
      <c r="L21" s="75">
        <f>VLOOKUP($D$2,'Технический лист'!$A$12:$P$14,6,0)</f>
        <v>0.25</v>
      </c>
      <c r="M21" s="71">
        <v>0.5</v>
      </c>
      <c r="N21" s="35" t="s">
        <v>121</v>
      </c>
      <c r="O21" s="224">
        <f>VLOOKUP($D$2,'Технический лист'!$A$12:$P$14,8,0)</f>
        <v>750</v>
      </c>
      <c r="P21" s="225">
        <v>400</v>
      </c>
      <c r="Q21" s="226">
        <v>5490</v>
      </c>
      <c r="R21" s="227">
        <f t="shared" si="26"/>
        <v>28000</v>
      </c>
      <c r="S21" s="227">
        <f t="shared" si="27"/>
        <v>18</v>
      </c>
      <c r="T21" s="227">
        <f t="shared" si="28"/>
        <v>98820</v>
      </c>
      <c r="U21" s="227">
        <f t="shared" ref="U21:U23" si="34">ROUNDUP(U20-S17*M21+S21,0)</f>
        <v>81</v>
      </c>
      <c r="V21" s="238">
        <f t="shared" si="19"/>
        <v>52500</v>
      </c>
      <c r="W21" s="209">
        <f t="shared" ref="W21:W23" si="35">ROUNDDOWN(S17*M21,0)</f>
        <v>9</v>
      </c>
      <c r="X21" s="210">
        <f t="shared" si="20"/>
        <v>49410</v>
      </c>
      <c r="Y21" s="211">
        <f t="shared" si="33"/>
        <v>176230</v>
      </c>
      <c r="Z21" s="211">
        <f t="shared" si="29"/>
        <v>13</v>
      </c>
      <c r="AA21" s="211">
        <f t="shared" si="30"/>
        <v>8</v>
      </c>
      <c r="AB21" s="211">
        <f t="shared" si="31"/>
        <v>36120</v>
      </c>
      <c r="AC21" s="212">
        <f t="shared" si="32"/>
        <v>140110</v>
      </c>
      <c r="AD21" s="38" t="s">
        <v>122</v>
      </c>
    </row>
    <row r="22" spans="1:30" x14ac:dyDescent="0.3">
      <c r="A22" s="18">
        <v>350</v>
      </c>
      <c r="B22" s="24">
        <v>0</v>
      </c>
      <c r="C22" s="24">
        <f t="shared" si="21"/>
        <v>0</v>
      </c>
      <c r="D22" s="25">
        <f t="shared" si="22"/>
        <v>0</v>
      </c>
      <c r="E22" s="26">
        <v>0</v>
      </c>
      <c r="F22" s="27">
        <f t="shared" si="18"/>
        <v>0</v>
      </c>
      <c r="G22" s="27">
        <v>0</v>
      </c>
      <c r="H22" s="27">
        <f t="shared" si="23"/>
        <v>0</v>
      </c>
      <c r="I22" s="27">
        <f t="shared" si="24"/>
        <v>0</v>
      </c>
      <c r="J22" s="28">
        <f>VLOOKUP('Доходы. "ПЛАТИНУМ"'!$D$2,'Технический лист'!$A$12:$P$14,5,0)</f>
        <v>0.2</v>
      </c>
      <c r="K22" s="27">
        <f t="shared" si="25"/>
        <v>70</v>
      </c>
      <c r="L22" s="28">
        <f>VLOOKUP($D$2,'Технический лист'!$A$12:$P$14,6,0)</f>
        <v>0.25</v>
      </c>
      <c r="M22" s="70">
        <v>0.5</v>
      </c>
      <c r="N22" s="29" t="s">
        <v>123</v>
      </c>
      <c r="O22" s="220">
        <f>VLOOKUP($D$2,'Технический лист'!$A$12:$P$14,8,0)</f>
        <v>750</v>
      </c>
      <c r="P22" s="220">
        <v>400</v>
      </c>
      <c r="Q22" s="221">
        <v>5490</v>
      </c>
      <c r="R22" s="222">
        <f t="shared" si="26"/>
        <v>28000</v>
      </c>
      <c r="S22" s="229">
        <f t="shared" si="27"/>
        <v>18</v>
      </c>
      <c r="T22" s="222">
        <f t="shared" si="28"/>
        <v>98820</v>
      </c>
      <c r="U22" s="222">
        <f t="shared" si="34"/>
        <v>90</v>
      </c>
      <c r="V22" s="237">
        <f t="shared" si="19"/>
        <v>52500</v>
      </c>
      <c r="W22" s="209">
        <f t="shared" si="35"/>
        <v>9</v>
      </c>
      <c r="X22" s="208">
        <f t="shared" si="20"/>
        <v>49410</v>
      </c>
      <c r="Y22" s="208">
        <f t="shared" si="33"/>
        <v>176230</v>
      </c>
      <c r="Z22" s="208">
        <f t="shared" si="29"/>
        <v>14</v>
      </c>
      <c r="AA22" s="208">
        <f t="shared" si="30"/>
        <v>8</v>
      </c>
      <c r="AB22" s="208">
        <f t="shared" si="31"/>
        <v>37840</v>
      </c>
      <c r="AC22" s="138">
        <f t="shared" si="32"/>
        <v>138390</v>
      </c>
    </row>
    <row r="23" spans="1:30" x14ac:dyDescent="0.3">
      <c r="A23" s="18">
        <v>350</v>
      </c>
      <c r="B23" s="24">
        <v>0</v>
      </c>
      <c r="C23" s="24">
        <f t="shared" si="21"/>
        <v>0</v>
      </c>
      <c r="D23" s="25">
        <f t="shared" si="22"/>
        <v>0</v>
      </c>
      <c r="E23" s="26">
        <v>0</v>
      </c>
      <c r="F23" s="27">
        <f t="shared" si="18"/>
        <v>0</v>
      </c>
      <c r="G23" s="27">
        <v>0</v>
      </c>
      <c r="H23" s="27">
        <f t="shared" si="23"/>
        <v>0</v>
      </c>
      <c r="I23" s="27">
        <f t="shared" si="24"/>
        <v>0</v>
      </c>
      <c r="J23" s="28">
        <f>VLOOKUP('Доходы. "ПЛАТИНУМ"'!$D$2,'Технический лист'!$A$12:$P$14,5,0)</f>
        <v>0.2</v>
      </c>
      <c r="K23" s="27">
        <f>A23*J23</f>
        <v>70</v>
      </c>
      <c r="L23" s="28">
        <f>VLOOKUP($D$2,'Технический лист'!$A$12:$P$14,6,0)</f>
        <v>0.25</v>
      </c>
      <c r="M23" s="70">
        <v>0.5</v>
      </c>
      <c r="N23" s="29" t="s">
        <v>124</v>
      </c>
      <c r="O23" s="220">
        <f>VLOOKUP($D$2,'Технический лист'!$A$12:$P$14,8,0)</f>
        <v>750</v>
      </c>
      <c r="P23" s="220">
        <v>400</v>
      </c>
      <c r="Q23" s="221">
        <v>5490</v>
      </c>
      <c r="R23" s="222">
        <f t="shared" si="26"/>
        <v>28000</v>
      </c>
      <c r="S23" s="229">
        <f t="shared" si="27"/>
        <v>18</v>
      </c>
      <c r="T23" s="222">
        <f t="shared" si="28"/>
        <v>98820</v>
      </c>
      <c r="U23" s="222">
        <f t="shared" si="34"/>
        <v>99</v>
      </c>
      <c r="V23" s="237">
        <f t="shared" si="19"/>
        <v>52500</v>
      </c>
      <c r="W23" s="209">
        <f t="shared" si="35"/>
        <v>9</v>
      </c>
      <c r="X23" s="208">
        <f t="shared" si="20"/>
        <v>49410</v>
      </c>
      <c r="Y23" s="208">
        <f t="shared" si="33"/>
        <v>176230</v>
      </c>
      <c r="Z23" s="208">
        <f t="shared" si="29"/>
        <v>15</v>
      </c>
      <c r="AA23" s="208">
        <f t="shared" si="30"/>
        <v>8</v>
      </c>
      <c r="AB23" s="208">
        <f t="shared" si="31"/>
        <v>39560</v>
      </c>
      <c r="AC23" s="138">
        <f t="shared" si="32"/>
        <v>136670</v>
      </c>
    </row>
    <row r="24" spans="1:30" x14ac:dyDescent="0.3">
      <c r="A24" s="18">
        <v>350</v>
      </c>
      <c r="B24" s="24">
        <v>0</v>
      </c>
      <c r="C24" s="24">
        <f t="shared" si="21"/>
        <v>0</v>
      </c>
      <c r="D24" s="25">
        <f t="shared" si="22"/>
        <v>0</v>
      </c>
      <c r="E24" s="26">
        <v>0</v>
      </c>
      <c r="F24" s="27">
        <f t="shared" si="18"/>
        <v>0</v>
      </c>
      <c r="G24" s="27">
        <v>0</v>
      </c>
      <c r="H24" s="27">
        <f t="shared" si="23"/>
        <v>0</v>
      </c>
      <c r="I24" s="27">
        <f t="shared" si="24"/>
        <v>0</v>
      </c>
      <c r="J24" s="28">
        <f>J23-5%</f>
        <v>0.15000000000000002</v>
      </c>
      <c r="K24" s="27">
        <f>A24*J24</f>
        <v>52.500000000000007</v>
      </c>
      <c r="L24" s="28">
        <f>L23-5%</f>
        <v>0.2</v>
      </c>
      <c r="M24" s="70">
        <v>0.35</v>
      </c>
      <c r="N24" s="29" t="s">
        <v>125</v>
      </c>
      <c r="O24" s="230">
        <f>VLOOKUP($D$2,'Технический лист'!$A$2:$P$4,8,0)</f>
        <v>750</v>
      </c>
      <c r="P24" s="220">
        <v>400</v>
      </c>
      <c r="Q24" s="221">
        <v>5490</v>
      </c>
      <c r="R24" s="222">
        <f t="shared" si="26"/>
        <v>21000.000000000004</v>
      </c>
      <c r="S24" s="229">
        <f t="shared" si="27"/>
        <v>11</v>
      </c>
      <c r="T24" s="222">
        <f t="shared" si="28"/>
        <v>60390</v>
      </c>
      <c r="U24" s="222">
        <f>ROUNDUP(U23-S21*M24+S24,0)</f>
        <v>104</v>
      </c>
      <c r="V24" s="237">
        <f t="shared" si="19"/>
        <v>39375.000000000007</v>
      </c>
      <c r="W24" s="209">
        <f>ROUNDDOWN(S21*M24,0)</f>
        <v>6</v>
      </c>
      <c r="X24" s="208">
        <f t="shared" si="20"/>
        <v>32940</v>
      </c>
      <c r="Y24" s="208">
        <f t="shared" si="33"/>
        <v>114330</v>
      </c>
      <c r="Z24" s="208">
        <f t="shared" si="29"/>
        <v>16</v>
      </c>
      <c r="AA24" s="208">
        <f t="shared" si="30"/>
        <v>6</v>
      </c>
      <c r="AB24" s="208">
        <f t="shared" si="31"/>
        <v>37840</v>
      </c>
      <c r="AC24" s="138">
        <f t="shared" si="32"/>
        <v>76490</v>
      </c>
    </row>
    <row r="25" spans="1:30" ht="16.2" thickBot="1" x14ac:dyDescent="0.35">
      <c r="A25" s="19">
        <v>350</v>
      </c>
      <c r="B25" s="40">
        <v>0</v>
      </c>
      <c r="C25" s="40">
        <f t="shared" si="21"/>
        <v>0</v>
      </c>
      <c r="D25" s="41">
        <f t="shared" si="22"/>
        <v>0</v>
      </c>
      <c r="E25" s="42">
        <v>0</v>
      </c>
      <c r="F25" s="43">
        <f t="shared" si="18"/>
        <v>0</v>
      </c>
      <c r="G25" s="43">
        <v>0</v>
      </c>
      <c r="H25" s="43">
        <f t="shared" si="23"/>
        <v>0</v>
      </c>
      <c r="I25" s="43">
        <f t="shared" si="24"/>
        <v>0</v>
      </c>
      <c r="J25" s="44">
        <f>J24-5%</f>
        <v>0.10000000000000002</v>
      </c>
      <c r="K25" s="43">
        <f t="shared" si="25"/>
        <v>35.000000000000007</v>
      </c>
      <c r="L25" s="44">
        <f>L24-5%</f>
        <v>0.15000000000000002</v>
      </c>
      <c r="M25" s="72">
        <v>0.2</v>
      </c>
      <c r="N25" s="45" t="s">
        <v>126</v>
      </c>
      <c r="O25" s="231">
        <f>VLOOKUP($D$2,'Технический лист'!$A$2:$P$4,8,0)</f>
        <v>750</v>
      </c>
      <c r="P25" s="232">
        <v>400</v>
      </c>
      <c r="Q25" s="233">
        <v>5490</v>
      </c>
      <c r="R25" s="234">
        <f t="shared" si="26"/>
        <v>14000.000000000004</v>
      </c>
      <c r="S25" s="235">
        <f t="shared" si="27"/>
        <v>6</v>
      </c>
      <c r="T25" s="234">
        <f t="shared" si="28"/>
        <v>32940</v>
      </c>
      <c r="U25" s="234">
        <f>ROUNDUP(U24-S22*M25+S25,0)</f>
        <v>107</v>
      </c>
      <c r="V25" s="239">
        <f t="shared" si="19"/>
        <v>26250.000000000004</v>
      </c>
      <c r="W25" s="213">
        <f>ROUNDDOWN(S22*M25,0)</f>
        <v>3</v>
      </c>
      <c r="X25" s="214">
        <f t="shared" si="20"/>
        <v>16470</v>
      </c>
      <c r="Y25" s="214">
        <f>R25+T25+X25</f>
        <v>63410</v>
      </c>
      <c r="Z25" s="214">
        <f t="shared" si="29"/>
        <v>17</v>
      </c>
      <c r="AA25" s="214">
        <f t="shared" si="30"/>
        <v>4</v>
      </c>
      <c r="AB25" s="214">
        <f t="shared" si="31"/>
        <v>36120</v>
      </c>
      <c r="AC25" s="139">
        <f t="shared" si="32"/>
        <v>27290</v>
      </c>
    </row>
    <row r="26" spans="1:30" ht="16.2" thickBot="1" x14ac:dyDescent="0.35"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215" t="s">
        <v>64</v>
      </c>
      <c r="AC26" s="127">
        <f>SUM(AC17:AC25)</f>
        <v>868810</v>
      </c>
    </row>
    <row r="27" spans="1:30" x14ac:dyDescent="0.3"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</row>
    <row r="28" spans="1:30" x14ac:dyDescent="0.3"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</row>
    <row r="29" spans="1:30" ht="24" thickBot="1" x14ac:dyDescent="0.35">
      <c r="A29" s="192" t="s">
        <v>133</v>
      </c>
      <c r="K29" s="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</row>
    <row r="30" spans="1:30" s="22" customFormat="1" ht="156.6" customHeight="1" thickBot="1" x14ac:dyDescent="0.35">
      <c r="A30" s="203" t="s">
        <v>127</v>
      </c>
      <c r="B30" s="195" t="s">
        <v>92</v>
      </c>
      <c r="C30" s="196" t="s">
        <v>93</v>
      </c>
      <c r="D30" s="197" t="s">
        <v>134</v>
      </c>
      <c r="E30" s="195" t="s">
        <v>94</v>
      </c>
      <c r="F30" s="202" t="s">
        <v>95</v>
      </c>
      <c r="G30" s="196" t="s">
        <v>96</v>
      </c>
      <c r="H30" s="196" t="s">
        <v>97</v>
      </c>
      <c r="I30" s="196" t="s">
        <v>98</v>
      </c>
      <c r="J30" s="196" t="s">
        <v>128</v>
      </c>
      <c r="K30" s="202" t="s">
        <v>100</v>
      </c>
      <c r="L30" s="196" t="s">
        <v>129</v>
      </c>
      <c r="M30" s="196" t="s">
        <v>102</v>
      </c>
      <c r="N30" s="195" t="s">
        <v>103</v>
      </c>
      <c r="O30" s="250" t="s">
        <v>104</v>
      </c>
      <c r="P30" s="250" t="s">
        <v>105</v>
      </c>
      <c r="Q30" s="253" t="s">
        <v>90</v>
      </c>
      <c r="R30" s="250" t="s">
        <v>106</v>
      </c>
      <c r="S30" s="251" t="s">
        <v>107</v>
      </c>
      <c r="T30" s="250" t="s">
        <v>108</v>
      </c>
      <c r="U30" s="251" t="s">
        <v>109</v>
      </c>
      <c r="V30" s="252" t="s">
        <v>110</v>
      </c>
      <c r="W30" s="248" t="s">
        <v>111</v>
      </c>
      <c r="X30" s="248" t="s">
        <v>112</v>
      </c>
      <c r="Y30" s="248" t="s">
        <v>113</v>
      </c>
      <c r="Z30" s="248" t="s">
        <v>114</v>
      </c>
      <c r="AA30" s="248" t="s">
        <v>136</v>
      </c>
      <c r="AB30" s="248" t="s">
        <v>115</v>
      </c>
      <c r="AC30" s="249" t="s">
        <v>116</v>
      </c>
    </row>
    <row r="31" spans="1:30" x14ac:dyDescent="0.3">
      <c r="A31" s="60">
        <f t="shared" ref="A31:I31" si="36">A5+A17</f>
        <v>700</v>
      </c>
      <c r="B31" s="23">
        <f t="shared" si="36"/>
        <v>10</v>
      </c>
      <c r="C31" s="24">
        <f t="shared" si="36"/>
        <v>35</v>
      </c>
      <c r="D31" s="25">
        <f t="shared" si="36"/>
        <v>7</v>
      </c>
      <c r="E31" s="56">
        <f t="shared" si="36"/>
        <v>0.15</v>
      </c>
      <c r="F31" s="27">
        <f t="shared" si="36"/>
        <v>52.5</v>
      </c>
      <c r="G31" s="27">
        <f t="shared" si="36"/>
        <v>10</v>
      </c>
      <c r="H31" s="27">
        <f t="shared" si="36"/>
        <v>5.25</v>
      </c>
      <c r="I31" s="48">
        <f t="shared" si="36"/>
        <v>1.25</v>
      </c>
      <c r="J31" s="57">
        <f t="shared" ref="J31:J39" si="37">(J5+J17)/2</f>
        <v>0.30000000000000004</v>
      </c>
      <c r="K31" s="27">
        <f t="shared" ref="K31:K39" si="38">K5+K17</f>
        <v>91</v>
      </c>
      <c r="L31" s="57">
        <v>0.35</v>
      </c>
      <c r="M31" s="57">
        <v>0.5</v>
      </c>
      <c r="N31" s="29" t="s">
        <v>117</v>
      </c>
      <c r="O31" s="220">
        <f t="shared" ref="O31:O39" si="39">(O5+O17)/2</f>
        <v>625</v>
      </c>
      <c r="P31" s="220">
        <v>400</v>
      </c>
      <c r="Q31" s="221">
        <v>5490</v>
      </c>
      <c r="R31" s="218">
        <f t="shared" ref="R31:AC31" si="40">R5+R17</f>
        <v>36400</v>
      </c>
      <c r="S31" s="218">
        <f t="shared" si="40"/>
        <v>24</v>
      </c>
      <c r="T31" s="218">
        <f t="shared" si="40"/>
        <v>131760</v>
      </c>
      <c r="U31" s="218">
        <f t="shared" si="40"/>
        <v>24</v>
      </c>
      <c r="V31" s="219">
        <f t="shared" si="40"/>
        <v>63000</v>
      </c>
      <c r="W31" s="204">
        <f t="shared" si="40"/>
        <v>0</v>
      </c>
      <c r="X31" s="205">
        <f t="shared" si="40"/>
        <v>0</v>
      </c>
      <c r="Y31" s="205">
        <f t="shared" si="40"/>
        <v>168160</v>
      </c>
      <c r="Z31" s="205">
        <f t="shared" si="40"/>
        <v>4</v>
      </c>
      <c r="AA31" s="205">
        <f t="shared" si="40"/>
        <v>10</v>
      </c>
      <c r="AB31" s="205">
        <f t="shared" si="40"/>
        <v>24080</v>
      </c>
      <c r="AC31" s="206">
        <f t="shared" si="40"/>
        <v>81080</v>
      </c>
    </row>
    <row r="32" spans="1:30" x14ac:dyDescent="0.3">
      <c r="A32" s="60">
        <f t="shared" ref="A32:I32" si="41">A6+A18</f>
        <v>700</v>
      </c>
      <c r="B32" s="23">
        <f t="shared" si="41"/>
        <v>10</v>
      </c>
      <c r="C32" s="24">
        <f t="shared" si="41"/>
        <v>35</v>
      </c>
      <c r="D32" s="25">
        <f t="shared" si="41"/>
        <v>7</v>
      </c>
      <c r="E32" s="56">
        <f t="shared" si="41"/>
        <v>0.15</v>
      </c>
      <c r="F32" s="24">
        <f t="shared" si="41"/>
        <v>52.5</v>
      </c>
      <c r="G32" s="24">
        <f t="shared" si="41"/>
        <v>10</v>
      </c>
      <c r="H32" s="27">
        <f t="shared" si="41"/>
        <v>5.25</v>
      </c>
      <c r="I32" s="48">
        <f t="shared" si="41"/>
        <v>1.25</v>
      </c>
      <c r="J32" s="57">
        <f t="shared" si="37"/>
        <v>0.30000000000000004</v>
      </c>
      <c r="K32" s="27">
        <f t="shared" si="38"/>
        <v>91</v>
      </c>
      <c r="L32" s="57">
        <v>0.35</v>
      </c>
      <c r="M32" s="57">
        <v>0.5</v>
      </c>
      <c r="N32" s="29" t="s">
        <v>118</v>
      </c>
      <c r="O32" s="220">
        <f t="shared" si="39"/>
        <v>625</v>
      </c>
      <c r="P32" s="220">
        <v>400</v>
      </c>
      <c r="Q32" s="221">
        <v>5490</v>
      </c>
      <c r="R32" s="222">
        <f t="shared" ref="R32:AC32" si="42">R6+R18</f>
        <v>36400</v>
      </c>
      <c r="S32" s="222">
        <f t="shared" si="42"/>
        <v>24</v>
      </c>
      <c r="T32" s="222">
        <f t="shared" si="42"/>
        <v>131760</v>
      </c>
      <c r="U32" s="222">
        <f t="shared" si="42"/>
        <v>48</v>
      </c>
      <c r="V32" s="223">
        <f t="shared" si="42"/>
        <v>63000</v>
      </c>
      <c r="W32" s="207">
        <f t="shared" si="42"/>
        <v>0</v>
      </c>
      <c r="X32" s="208">
        <f t="shared" si="42"/>
        <v>0</v>
      </c>
      <c r="Y32" s="208">
        <f t="shared" si="42"/>
        <v>168160</v>
      </c>
      <c r="Z32" s="208">
        <f t="shared" si="42"/>
        <v>8</v>
      </c>
      <c r="AA32" s="208">
        <f t="shared" si="42"/>
        <v>10</v>
      </c>
      <c r="AB32" s="208">
        <f t="shared" si="42"/>
        <v>30960</v>
      </c>
      <c r="AC32" s="138">
        <f t="shared" si="42"/>
        <v>137200</v>
      </c>
    </row>
    <row r="33" spans="1:29" x14ac:dyDescent="0.3">
      <c r="A33" s="60">
        <f t="shared" ref="A33:I33" si="43">A7+A19</f>
        <v>700</v>
      </c>
      <c r="B33" s="23">
        <f t="shared" si="43"/>
        <v>10</v>
      </c>
      <c r="C33" s="24">
        <f t="shared" si="43"/>
        <v>35</v>
      </c>
      <c r="D33" s="25">
        <f t="shared" si="43"/>
        <v>7</v>
      </c>
      <c r="E33" s="56">
        <f t="shared" si="43"/>
        <v>0.15</v>
      </c>
      <c r="F33" s="24">
        <f t="shared" si="43"/>
        <v>52.5</v>
      </c>
      <c r="G33" s="24">
        <f t="shared" si="43"/>
        <v>10</v>
      </c>
      <c r="H33" s="27">
        <f t="shared" si="43"/>
        <v>5.25</v>
      </c>
      <c r="I33" s="48">
        <f t="shared" si="43"/>
        <v>1.25</v>
      </c>
      <c r="J33" s="57">
        <f t="shared" si="37"/>
        <v>0.30000000000000004</v>
      </c>
      <c r="K33" s="27">
        <f t="shared" si="38"/>
        <v>91</v>
      </c>
      <c r="L33" s="57">
        <v>0.35</v>
      </c>
      <c r="M33" s="57">
        <v>0.5</v>
      </c>
      <c r="N33" s="29" t="s">
        <v>119</v>
      </c>
      <c r="O33" s="220">
        <f t="shared" si="39"/>
        <v>625</v>
      </c>
      <c r="P33" s="220">
        <v>400</v>
      </c>
      <c r="Q33" s="221">
        <v>5490</v>
      </c>
      <c r="R33" s="222">
        <f t="shared" ref="R33:AC33" si="44">R7+R19</f>
        <v>36400</v>
      </c>
      <c r="S33" s="222">
        <f t="shared" si="44"/>
        <v>24</v>
      </c>
      <c r="T33" s="222">
        <f t="shared" si="44"/>
        <v>131760</v>
      </c>
      <c r="U33" s="222">
        <f t="shared" si="44"/>
        <v>72</v>
      </c>
      <c r="V33" s="223">
        <f t="shared" si="44"/>
        <v>63000</v>
      </c>
      <c r="W33" s="207">
        <f t="shared" si="44"/>
        <v>0</v>
      </c>
      <c r="X33" s="208">
        <f t="shared" si="44"/>
        <v>0</v>
      </c>
      <c r="Y33" s="208">
        <f t="shared" si="44"/>
        <v>168160</v>
      </c>
      <c r="Z33" s="208">
        <f t="shared" si="44"/>
        <v>12</v>
      </c>
      <c r="AA33" s="208">
        <f t="shared" si="44"/>
        <v>10</v>
      </c>
      <c r="AB33" s="208">
        <f t="shared" si="44"/>
        <v>37840</v>
      </c>
      <c r="AC33" s="138">
        <f t="shared" si="44"/>
        <v>130320</v>
      </c>
    </row>
    <row r="34" spans="1:29" x14ac:dyDescent="0.3">
      <c r="A34" s="60">
        <f t="shared" ref="A34:I34" si="45">A8+A20</f>
        <v>700</v>
      </c>
      <c r="B34" s="23">
        <f t="shared" si="45"/>
        <v>10</v>
      </c>
      <c r="C34" s="24">
        <f t="shared" si="45"/>
        <v>35</v>
      </c>
      <c r="D34" s="25">
        <f t="shared" si="45"/>
        <v>7</v>
      </c>
      <c r="E34" s="56">
        <f t="shared" si="45"/>
        <v>0.15</v>
      </c>
      <c r="F34" s="24">
        <f t="shared" si="45"/>
        <v>52.5</v>
      </c>
      <c r="G34" s="24">
        <f t="shared" si="45"/>
        <v>10</v>
      </c>
      <c r="H34" s="27">
        <f t="shared" si="45"/>
        <v>5.25</v>
      </c>
      <c r="I34" s="48">
        <f t="shared" si="45"/>
        <v>1.25</v>
      </c>
      <c r="J34" s="57">
        <f t="shared" si="37"/>
        <v>0.30000000000000004</v>
      </c>
      <c r="K34" s="27">
        <f t="shared" si="38"/>
        <v>91</v>
      </c>
      <c r="L34" s="57">
        <v>0.35</v>
      </c>
      <c r="M34" s="57">
        <v>0.5</v>
      </c>
      <c r="N34" s="29" t="s">
        <v>120</v>
      </c>
      <c r="O34" s="220">
        <f t="shared" si="39"/>
        <v>625</v>
      </c>
      <c r="P34" s="220">
        <v>400</v>
      </c>
      <c r="Q34" s="221">
        <v>5490</v>
      </c>
      <c r="R34" s="222">
        <f t="shared" ref="R34:AC34" si="46">R8+R20</f>
        <v>36400</v>
      </c>
      <c r="S34" s="222">
        <f t="shared" si="46"/>
        <v>24</v>
      </c>
      <c r="T34" s="222">
        <f t="shared" si="46"/>
        <v>131760</v>
      </c>
      <c r="U34" s="222">
        <f t="shared" si="46"/>
        <v>96</v>
      </c>
      <c r="V34" s="223">
        <f t="shared" si="46"/>
        <v>63000</v>
      </c>
      <c r="W34" s="207">
        <f t="shared" si="46"/>
        <v>0</v>
      </c>
      <c r="X34" s="208">
        <f t="shared" si="46"/>
        <v>0</v>
      </c>
      <c r="Y34" s="208">
        <f t="shared" si="46"/>
        <v>168160</v>
      </c>
      <c r="Z34" s="208">
        <f t="shared" si="46"/>
        <v>15</v>
      </c>
      <c r="AA34" s="208">
        <f t="shared" si="46"/>
        <v>10</v>
      </c>
      <c r="AB34" s="208">
        <f t="shared" si="46"/>
        <v>43000</v>
      </c>
      <c r="AC34" s="138">
        <f t="shared" si="46"/>
        <v>125160</v>
      </c>
    </row>
    <row r="35" spans="1:29" x14ac:dyDescent="0.3">
      <c r="A35" s="60">
        <f t="shared" ref="A35:I35" si="47">A9+A21</f>
        <v>700</v>
      </c>
      <c r="B35" s="97">
        <f t="shared" si="47"/>
        <v>10</v>
      </c>
      <c r="C35" s="81">
        <f t="shared" si="47"/>
        <v>35</v>
      </c>
      <c r="D35" s="82">
        <f t="shared" si="47"/>
        <v>7</v>
      </c>
      <c r="E35" s="98">
        <f t="shared" si="47"/>
        <v>0.15</v>
      </c>
      <c r="F35" s="81">
        <f t="shared" si="47"/>
        <v>52.5</v>
      </c>
      <c r="G35" s="81">
        <f t="shared" si="47"/>
        <v>10</v>
      </c>
      <c r="H35" s="80">
        <f t="shared" si="47"/>
        <v>5.25</v>
      </c>
      <c r="I35" s="74">
        <f t="shared" si="47"/>
        <v>1.25</v>
      </c>
      <c r="J35" s="99">
        <f t="shared" si="37"/>
        <v>0.30000000000000004</v>
      </c>
      <c r="K35" s="80">
        <f t="shared" si="38"/>
        <v>91</v>
      </c>
      <c r="L35" s="99">
        <v>0.35</v>
      </c>
      <c r="M35" s="99">
        <v>0.5</v>
      </c>
      <c r="N35" s="100" t="s">
        <v>121</v>
      </c>
      <c r="O35" s="224">
        <f t="shared" si="39"/>
        <v>625</v>
      </c>
      <c r="P35" s="224">
        <v>400</v>
      </c>
      <c r="Q35" s="240">
        <v>5490</v>
      </c>
      <c r="R35" s="241">
        <f t="shared" ref="R35:AC35" si="48">R9+R21</f>
        <v>36400</v>
      </c>
      <c r="S35" s="241">
        <f t="shared" si="48"/>
        <v>24</v>
      </c>
      <c r="T35" s="241">
        <f t="shared" si="48"/>
        <v>131760</v>
      </c>
      <c r="U35" s="241">
        <f t="shared" si="48"/>
        <v>108</v>
      </c>
      <c r="V35" s="242">
        <f t="shared" si="48"/>
        <v>63000</v>
      </c>
      <c r="W35" s="243">
        <f t="shared" si="48"/>
        <v>12</v>
      </c>
      <c r="X35" s="211">
        <f t="shared" si="48"/>
        <v>65880</v>
      </c>
      <c r="Y35" s="211">
        <f t="shared" si="48"/>
        <v>234040</v>
      </c>
      <c r="Z35" s="211">
        <f t="shared" si="48"/>
        <v>18</v>
      </c>
      <c r="AA35" s="211">
        <f t="shared" si="48"/>
        <v>10</v>
      </c>
      <c r="AB35" s="211">
        <f t="shared" si="48"/>
        <v>48160</v>
      </c>
      <c r="AC35" s="244">
        <f t="shared" si="48"/>
        <v>185880</v>
      </c>
    </row>
    <row r="36" spans="1:29" x14ac:dyDescent="0.3">
      <c r="A36" s="60">
        <f t="shared" ref="A36:I36" si="49">A10+A22</f>
        <v>700</v>
      </c>
      <c r="B36" s="23">
        <f t="shared" si="49"/>
        <v>10</v>
      </c>
      <c r="C36" s="24">
        <f t="shared" si="49"/>
        <v>35</v>
      </c>
      <c r="D36" s="25">
        <f t="shared" si="49"/>
        <v>7</v>
      </c>
      <c r="E36" s="56">
        <f t="shared" si="49"/>
        <v>0.15</v>
      </c>
      <c r="F36" s="24">
        <f t="shared" si="49"/>
        <v>52.5</v>
      </c>
      <c r="G36" s="24">
        <f t="shared" si="49"/>
        <v>10</v>
      </c>
      <c r="H36" s="27">
        <f t="shared" si="49"/>
        <v>5.25</v>
      </c>
      <c r="I36" s="48">
        <f t="shared" si="49"/>
        <v>1.25</v>
      </c>
      <c r="J36" s="57">
        <f t="shared" si="37"/>
        <v>0.30000000000000004</v>
      </c>
      <c r="K36" s="27">
        <f t="shared" si="38"/>
        <v>91</v>
      </c>
      <c r="L36" s="57">
        <v>0.35</v>
      </c>
      <c r="M36" s="57">
        <v>0.5</v>
      </c>
      <c r="N36" s="29" t="s">
        <v>123</v>
      </c>
      <c r="O36" s="220">
        <f t="shared" si="39"/>
        <v>625</v>
      </c>
      <c r="P36" s="220">
        <v>400</v>
      </c>
      <c r="Q36" s="221">
        <v>5490</v>
      </c>
      <c r="R36" s="222">
        <f t="shared" ref="R36:AC36" si="50">R10+R22</f>
        <v>36400</v>
      </c>
      <c r="S36" s="222">
        <f t="shared" si="50"/>
        <v>24</v>
      </c>
      <c r="T36" s="222">
        <f t="shared" si="50"/>
        <v>131760</v>
      </c>
      <c r="U36" s="222">
        <f t="shared" si="50"/>
        <v>120</v>
      </c>
      <c r="V36" s="223">
        <f t="shared" si="50"/>
        <v>63000</v>
      </c>
      <c r="W36" s="207">
        <f t="shared" si="50"/>
        <v>12</v>
      </c>
      <c r="X36" s="208">
        <f t="shared" si="50"/>
        <v>65880</v>
      </c>
      <c r="Y36" s="208">
        <f t="shared" si="50"/>
        <v>234040</v>
      </c>
      <c r="Z36" s="208">
        <f t="shared" si="50"/>
        <v>19</v>
      </c>
      <c r="AA36" s="208">
        <f t="shared" si="50"/>
        <v>10</v>
      </c>
      <c r="AB36" s="208">
        <f t="shared" si="50"/>
        <v>49880</v>
      </c>
      <c r="AC36" s="138">
        <f t="shared" si="50"/>
        <v>184160</v>
      </c>
    </row>
    <row r="37" spans="1:29" x14ac:dyDescent="0.3">
      <c r="A37" s="60">
        <f t="shared" ref="A37:I37" si="51">A11+A23</f>
        <v>700</v>
      </c>
      <c r="B37" s="23">
        <f t="shared" si="51"/>
        <v>10</v>
      </c>
      <c r="C37" s="24">
        <f t="shared" si="51"/>
        <v>35</v>
      </c>
      <c r="D37" s="25">
        <f t="shared" si="51"/>
        <v>7</v>
      </c>
      <c r="E37" s="56">
        <f t="shared" si="51"/>
        <v>0.15</v>
      </c>
      <c r="F37" s="24">
        <f t="shared" si="51"/>
        <v>52.5</v>
      </c>
      <c r="G37" s="24">
        <f t="shared" si="51"/>
        <v>10</v>
      </c>
      <c r="H37" s="27">
        <f t="shared" si="51"/>
        <v>5.25</v>
      </c>
      <c r="I37" s="48">
        <f t="shared" si="51"/>
        <v>1.25</v>
      </c>
      <c r="J37" s="57">
        <f t="shared" si="37"/>
        <v>0.30000000000000004</v>
      </c>
      <c r="K37" s="27">
        <f t="shared" si="38"/>
        <v>91</v>
      </c>
      <c r="L37" s="57">
        <v>0.35</v>
      </c>
      <c r="M37" s="57">
        <v>0.5</v>
      </c>
      <c r="N37" s="29" t="s">
        <v>124</v>
      </c>
      <c r="O37" s="220">
        <f t="shared" si="39"/>
        <v>625</v>
      </c>
      <c r="P37" s="220">
        <v>400</v>
      </c>
      <c r="Q37" s="221">
        <v>5490</v>
      </c>
      <c r="R37" s="222">
        <f t="shared" ref="R37:AC37" si="52">R11+R23</f>
        <v>36400</v>
      </c>
      <c r="S37" s="222">
        <f t="shared" si="52"/>
        <v>24</v>
      </c>
      <c r="T37" s="222">
        <f t="shared" si="52"/>
        <v>131760</v>
      </c>
      <c r="U37" s="222">
        <f t="shared" si="52"/>
        <v>132</v>
      </c>
      <c r="V37" s="223">
        <f t="shared" si="52"/>
        <v>63000</v>
      </c>
      <c r="W37" s="207">
        <f t="shared" si="52"/>
        <v>12</v>
      </c>
      <c r="X37" s="208">
        <f t="shared" si="52"/>
        <v>65880</v>
      </c>
      <c r="Y37" s="208">
        <f t="shared" si="52"/>
        <v>234040</v>
      </c>
      <c r="Z37" s="208">
        <f t="shared" si="52"/>
        <v>20</v>
      </c>
      <c r="AA37" s="208">
        <f t="shared" si="52"/>
        <v>10</v>
      </c>
      <c r="AB37" s="208">
        <f t="shared" si="52"/>
        <v>51600</v>
      </c>
      <c r="AC37" s="138">
        <f t="shared" si="52"/>
        <v>182440</v>
      </c>
    </row>
    <row r="38" spans="1:29" x14ac:dyDescent="0.3">
      <c r="A38" s="60">
        <f t="shared" ref="A38:I38" si="53">A12+A24</f>
        <v>700</v>
      </c>
      <c r="B38" s="23">
        <f t="shared" si="53"/>
        <v>10</v>
      </c>
      <c r="C38" s="24">
        <f t="shared" si="53"/>
        <v>35</v>
      </c>
      <c r="D38" s="25">
        <f t="shared" si="53"/>
        <v>7</v>
      </c>
      <c r="E38" s="56">
        <f t="shared" si="53"/>
        <v>0.15</v>
      </c>
      <c r="F38" s="24">
        <f t="shared" si="53"/>
        <v>52.5</v>
      </c>
      <c r="G38" s="24">
        <f t="shared" si="53"/>
        <v>10</v>
      </c>
      <c r="H38" s="27">
        <f t="shared" si="53"/>
        <v>5.25</v>
      </c>
      <c r="I38" s="48">
        <f t="shared" si="53"/>
        <v>1.25</v>
      </c>
      <c r="J38" s="57">
        <f t="shared" si="37"/>
        <v>0.22500000000000003</v>
      </c>
      <c r="K38" s="27">
        <f t="shared" si="38"/>
        <v>67.5</v>
      </c>
      <c r="L38" s="57">
        <v>0.35</v>
      </c>
      <c r="M38" s="57">
        <v>0.35</v>
      </c>
      <c r="N38" s="29" t="s">
        <v>125</v>
      </c>
      <c r="O38" s="220">
        <f t="shared" si="39"/>
        <v>600</v>
      </c>
      <c r="P38" s="220">
        <v>400</v>
      </c>
      <c r="Q38" s="221">
        <v>5490</v>
      </c>
      <c r="R38" s="222">
        <f t="shared" ref="R38:AC38" si="54">R12+R24</f>
        <v>27000.000000000004</v>
      </c>
      <c r="S38" s="222">
        <f t="shared" si="54"/>
        <v>14</v>
      </c>
      <c r="T38" s="222">
        <f t="shared" si="54"/>
        <v>76860</v>
      </c>
      <c r="U38" s="222">
        <f t="shared" si="54"/>
        <v>138</v>
      </c>
      <c r="V38" s="223">
        <f t="shared" si="54"/>
        <v>46125.000000000007</v>
      </c>
      <c r="W38" s="207">
        <f t="shared" si="54"/>
        <v>8</v>
      </c>
      <c r="X38" s="208">
        <f t="shared" si="54"/>
        <v>43920</v>
      </c>
      <c r="Y38" s="208">
        <f t="shared" si="54"/>
        <v>147780</v>
      </c>
      <c r="Z38" s="208">
        <f t="shared" si="54"/>
        <v>22</v>
      </c>
      <c r="AA38" s="208">
        <f t="shared" si="54"/>
        <v>7</v>
      </c>
      <c r="AB38" s="208">
        <f t="shared" si="54"/>
        <v>49880</v>
      </c>
      <c r="AC38" s="138">
        <f t="shared" si="54"/>
        <v>97900</v>
      </c>
    </row>
    <row r="39" spans="1:29" ht="16.2" thickBot="1" x14ac:dyDescent="0.35">
      <c r="A39" s="61">
        <f t="shared" ref="A39:I39" si="55">A13+A25</f>
        <v>700</v>
      </c>
      <c r="B39" s="39">
        <f t="shared" si="55"/>
        <v>10</v>
      </c>
      <c r="C39" s="40">
        <f t="shared" si="55"/>
        <v>35</v>
      </c>
      <c r="D39" s="41">
        <f t="shared" si="55"/>
        <v>7</v>
      </c>
      <c r="E39" s="58">
        <f t="shared" si="55"/>
        <v>0.15</v>
      </c>
      <c r="F39" s="40">
        <f t="shared" si="55"/>
        <v>52.5</v>
      </c>
      <c r="G39" s="40">
        <f t="shared" si="55"/>
        <v>10</v>
      </c>
      <c r="H39" s="43">
        <f t="shared" si="55"/>
        <v>5.25</v>
      </c>
      <c r="I39" s="53">
        <f t="shared" si="55"/>
        <v>1.25</v>
      </c>
      <c r="J39" s="59">
        <f t="shared" si="37"/>
        <v>0.15000000000000002</v>
      </c>
      <c r="K39" s="43">
        <f t="shared" si="38"/>
        <v>45.000000000000007</v>
      </c>
      <c r="L39" s="59">
        <v>0.2</v>
      </c>
      <c r="M39" s="59">
        <v>0.2</v>
      </c>
      <c r="N39" s="45" t="s">
        <v>126</v>
      </c>
      <c r="O39" s="232">
        <f t="shared" si="39"/>
        <v>600</v>
      </c>
      <c r="P39" s="232">
        <v>400</v>
      </c>
      <c r="Q39" s="233">
        <v>5490</v>
      </c>
      <c r="R39" s="234">
        <f t="shared" ref="R39:AC39" si="56">R13+R25</f>
        <v>18000.000000000004</v>
      </c>
      <c r="S39" s="234">
        <f t="shared" si="56"/>
        <v>7</v>
      </c>
      <c r="T39" s="234">
        <f t="shared" si="56"/>
        <v>38430</v>
      </c>
      <c r="U39" s="234">
        <f t="shared" si="56"/>
        <v>141</v>
      </c>
      <c r="V39" s="236">
        <f t="shared" si="56"/>
        <v>30750.000000000004</v>
      </c>
      <c r="W39" s="245">
        <f t="shared" si="56"/>
        <v>4</v>
      </c>
      <c r="X39" s="214">
        <f t="shared" si="56"/>
        <v>21960</v>
      </c>
      <c r="Y39" s="214">
        <f t="shared" si="56"/>
        <v>78390</v>
      </c>
      <c r="Z39" s="214">
        <f t="shared" si="56"/>
        <v>23</v>
      </c>
      <c r="AA39" s="214">
        <f t="shared" si="56"/>
        <v>5</v>
      </c>
      <c r="AB39" s="214">
        <f t="shared" si="56"/>
        <v>48160</v>
      </c>
      <c r="AC39" s="139">
        <f t="shared" si="56"/>
        <v>30230</v>
      </c>
    </row>
    <row r="40" spans="1:29" ht="16.2" thickBot="1" x14ac:dyDescent="0.35"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215" t="s">
        <v>64</v>
      </c>
      <c r="AC40" s="127">
        <f>SUM(AC31:AC39)</f>
        <v>1154370</v>
      </c>
    </row>
    <row r="41" spans="1:29" x14ac:dyDescent="0.3"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</row>
    <row r="42" spans="1:29" x14ac:dyDescent="0.3"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</row>
  </sheetData>
  <mergeCells count="3">
    <mergeCell ref="A1:AC1"/>
    <mergeCell ref="A2:C2"/>
    <mergeCell ref="E2:H2"/>
  </mergeCells>
  <pageMargins left="0.7" right="0.7" top="0.75" bottom="0.75" header="0.3" footer="0.3"/>
  <pageSetup paperSize="9" orientation="portrait" horizontalDpi="4294967293" verticalDpi="0" r:id="rId1"/>
  <ignoredErrors>
    <ignoredError sqref="K12:K13 K24:K2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'Технический лист'!$A$2:$A$4</xm:f>
          </x14:formula1>
          <xm:sqref>D2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K44"/>
  <sheetViews>
    <sheetView showGridLines="0" topLeftCell="A30" workbookViewId="0">
      <selection activeCell="E41" sqref="E41"/>
    </sheetView>
  </sheetViews>
  <sheetFormatPr defaultRowHeight="15.6" x14ac:dyDescent="0.3"/>
  <cols>
    <col min="1" max="1" width="32.8984375" customWidth="1"/>
    <col min="2" max="2" width="25.19921875" customWidth="1"/>
    <col min="3" max="3" width="17" customWidth="1"/>
    <col min="4" max="4" width="12.8984375" customWidth="1"/>
    <col min="5" max="5" width="12.59765625" customWidth="1"/>
    <col min="8" max="8" width="13.8984375" customWidth="1"/>
    <col min="9" max="9" width="17.09765625" customWidth="1"/>
    <col min="10" max="10" width="12.59765625" customWidth="1"/>
    <col min="11" max="11" width="11.8984375" customWidth="1"/>
  </cols>
  <sheetData>
    <row r="1" spans="1:11" x14ac:dyDescent="0.3">
      <c r="A1" s="91" t="s">
        <v>211</v>
      </c>
      <c r="B1" s="90" t="str">
        <f>'Доходы. "ПЛАТИНУМ"'!D2</f>
        <v>Пессиместичный вариант</v>
      </c>
      <c r="C1" s="64" t="s">
        <v>214</v>
      </c>
    </row>
    <row r="2" spans="1:11" ht="16.2" thickBot="1" x14ac:dyDescent="0.35"/>
    <row r="3" spans="1:11" ht="63.6" customHeight="1" thickBot="1" x14ac:dyDescent="0.35">
      <c r="A3" s="128" t="s">
        <v>144</v>
      </c>
      <c r="B3" s="141" t="s">
        <v>153</v>
      </c>
      <c r="C3" s="141" t="s">
        <v>208</v>
      </c>
      <c r="D3" s="128" t="s">
        <v>209</v>
      </c>
      <c r="E3" s="128" t="s">
        <v>210</v>
      </c>
      <c r="H3" s="88" t="s">
        <v>215</v>
      </c>
      <c r="I3" s="88" t="s">
        <v>204</v>
      </c>
      <c r="J3" s="88" t="s">
        <v>205</v>
      </c>
      <c r="K3" s="89" t="s">
        <v>194</v>
      </c>
    </row>
    <row r="4" spans="1:11" ht="16.2" thickBot="1" x14ac:dyDescent="0.35">
      <c r="A4" s="190" t="s">
        <v>145</v>
      </c>
      <c r="B4" s="174">
        <f>'Доходы. "ПЛАТИНУМ"'!AC31</f>
        <v>81080</v>
      </c>
      <c r="C4" s="174">
        <f>$D$43</f>
        <v>79050</v>
      </c>
      <c r="D4" s="187">
        <f>B4*$C$42</f>
        <v>6486.4000000000005</v>
      </c>
      <c r="E4" s="187">
        <f>B4-C4-D4</f>
        <v>-4456.4000000000005</v>
      </c>
      <c r="H4" s="54">
        <f>'Инвестиции "ПЛАТИНУМ"'!D98</f>
        <v>21664.774436090225</v>
      </c>
      <c r="I4" s="54">
        <f>'Инвестиции "ПЛАТИНУМ"'!D101</f>
        <v>8000</v>
      </c>
      <c r="J4" s="54">
        <f>E14</f>
        <v>13179.33834586466</v>
      </c>
      <c r="K4" s="83">
        <f>ROUNDUP((H4+I4)/J4*10,0)</f>
        <v>23</v>
      </c>
    </row>
    <row r="5" spans="1:11" x14ac:dyDescent="0.3">
      <c r="A5" s="190" t="s">
        <v>146</v>
      </c>
      <c r="B5" s="175">
        <f>'Доходы. "ПЛАТИНУМ"'!AC32</f>
        <v>137200</v>
      </c>
      <c r="C5" s="175">
        <f t="shared" ref="C5:C12" si="0">$D$43</f>
        <v>79050</v>
      </c>
      <c r="D5" s="187">
        <f t="shared" ref="D5:D12" si="1">B5*$C$42</f>
        <v>10976</v>
      </c>
      <c r="E5" s="187">
        <f t="shared" ref="E5:E12" si="2">B5-C5-D5</f>
        <v>47174</v>
      </c>
    </row>
    <row r="6" spans="1:11" x14ac:dyDescent="0.3">
      <c r="A6" s="190" t="s">
        <v>147</v>
      </c>
      <c r="B6" s="175">
        <f>'Доходы. "ПЛАТИНУМ"'!AC33</f>
        <v>130320</v>
      </c>
      <c r="C6" s="175">
        <f t="shared" si="0"/>
        <v>79050</v>
      </c>
      <c r="D6" s="187">
        <f t="shared" si="1"/>
        <v>10425.6</v>
      </c>
      <c r="E6" s="187">
        <f t="shared" si="2"/>
        <v>40844.400000000001</v>
      </c>
    </row>
    <row r="7" spans="1:11" x14ac:dyDescent="0.3">
      <c r="A7" s="190" t="s">
        <v>148</v>
      </c>
      <c r="B7" s="175">
        <f>'Доходы. "ПЛАТИНУМ"'!AC34</f>
        <v>125160</v>
      </c>
      <c r="C7" s="175">
        <f t="shared" si="0"/>
        <v>79050</v>
      </c>
      <c r="D7" s="187">
        <f t="shared" si="1"/>
        <v>10012.800000000001</v>
      </c>
      <c r="E7" s="187">
        <f t="shared" si="2"/>
        <v>36097.199999999997</v>
      </c>
    </row>
    <row r="8" spans="1:11" x14ac:dyDescent="0.3">
      <c r="A8" s="190" t="s">
        <v>149</v>
      </c>
      <c r="B8" s="175">
        <f>'Доходы. "ПЛАТИНУМ"'!AC35</f>
        <v>185880</v>
      </c>
      <c r="C8" s="175">
        <f t="shared" si="0"/>
        <v>79050</v>
      </c>
      <c r="D8" s="187">
        <f t="shared" si="1"/>
        <v>14870.4</v>
      </c>
      <c r="E8" s="187">
        <f t="shared" si="2"/>
        <v>91959.6</v>
      </c>
      <c r="F8" s="64"/>
    </row>
    <row r="9" spans="1:11" x14ac:dyDescent="0.3">
      <c r="A9" s="190" t="s">
        <v>150</v>
      </c>
      <c r="B9" s="175">
        <f>'Доходы. "ПЛАТИНУМ"'!AC36</f>
        <v>184160</v>
      </c>
      <c r="C9" s="175">
        <f t="shared" si="0"/>
        <v>79050</v>
      </c>
      <c r="D9" s="187">
        <f t="shared" si="1"/>
        <v>14732.800000000001</v>
      </c>
      <c r="E9" s="187">
        <f t="shared" si="2"/>
        <v>90377.2</v>
      </c>
    </row>
    <row r="10" spans="1:11" x14ac:dyDescent="0.3">
      <c r="A10" s="190" t="s">
        <v>124</v>
      </c>
      <c r="B10" s="175">
        <f>'Доходы. "ПЛАТИНУМ"'!AC37</f>
        <v>182440</v>
      </c>
      <c r="C10" s="175">
        <f t="shared" si="0"/>
        <v>79050</v>
      </c>
      <c r="D10" s="187">
        <f t="shared" si="1"/>
        <v>14595.2</v>
      </c>
      <c r="E10" s="187">
        <f t="shared" si="2"/>
        <v>88794.8</v>
      </c>
      <c r="F10" s="64"/>
    </row>
    <row r="11" spans="1:11" x14ac:dyDescent="0.3">
      <c r="A11" s="190" t="s">
        <v>151</v>
      </c>
      <c r="B11" s="175">
        <f>'Доходы. "ПЛАТИНУМ"'!AC38</f>
        <v>97900</v>
      </c>
      <c r="C11" s="175">
        <f t="shared" si="0"/>
        <v>79050</v>
      </c>
      <c r="D11" s="187">
        <f t="shared" si="1"/>
        <v>7832</v>
      </c>
      <c r="E11" s="187">
        <f t="shared" si="2"/>
        <v>11018</v>
      </c>
    </row>
    <row r="12" spans="1:11" ht="16.2" thickBot="1" x14ac:dyDescent="0.35">
      <c r="A12" s="191" t="s">
        <v>126</v>
      </c>
      <c r="B12" s="177">
        <f>'Доходы. "ПЛАТИНУМ"'!AC39</f>
        <v>30230</v>
      </c>
      <c r="C12" s="177">
        <f t="shared" si="0"/>
        <v>79050</v>
      </c>
      <c r="D12" s="187">
        <f t="shared" si="1"/>
        <v>2418.4</v>
      </c>
      <c r="E12" s="187">
        <f t="shared" si="2"/>
        <v>-51238.400000000001</v>
      </c>
    </row>
    <row r="13" spans="1:11" ht="15.6" customHeight="1" x14ac:dyDescent="0.3">
      <c r="A13" s="64" t="s">
        <v>152</v>
      </c>
      <c r="B13" s="114"/>
      <c r="C13" s="114"/>
      <c r="D13" s="349" t="s">
        <v>177</v>
      </c>
      <c r="E13" s="143">
        <f>SUM(E4:E12)</f>
        <v>350570.39999999997</v>
      </c>
      <c r="F13" s="64" t="s">
        <v>180</v>
      </c>
    </row>
    <row r="14" spans="1:11" ht="16.2" thickBot="1" x14ac:dyDescent="0.35">
      <c r="B14" s="114"/>
      <c r="C14" s="114"/>
      <c r="D14" s="350"/>
      <c r="E14" s="127">
        <f>E13/'Технический лист'!$C$17</f>
        <v>13179.33834586466</v>
      </c>
      <c r="F14" s="64" t="s">
        <v>181</v>
      </c>
    </row>
    <row r="15" spans="1:11" x14ac:dyDescent="0.3">
      <c r="B15" s="114"/>
      <c r="C15" s="114"/>
      <c r="D15" s="114"/>
      <c r="E15" s="114"/>
      <c r="I15" s="11"/>
    </row>
    <row r="16" spans="1:11" ht="21.6" thickBot="1" x14ac:dyDescent="0.45">
      <c r="A16" s="65" t="s">
        <v>154</v>
      </c>
      <c r="B16" s="114"/>
      <c r="C16" s="114"/>
      <c r="D16" s="114"/>
      <c r="E16" s="114"/>
    </row>
    <row r="17" spans="1:5" ht="54.6" thickBot="1" x14ac:dyDescent="0.35">
      <c r="A17" s="131" t="s">
        <v>25</v>
      </c>
      <c r="B17" s="134" t="s">
        <v>155</v>
      </c>
      <c r="C17" s="142" t="s">
        <v>28</v>
      </c>
      <c r="D17" s="144" t="s">
        <v>29</v>
      </c>
      <c r="E17" s="114"/>
    </row>
    <row r="18" spans="1:5" x14ac:dyDescent="0.3">
      <c r="A18" s="156" t="s">
        <v>156</v>
      </c>
      <c r="B18" s="174">
        <v>20000</v>
      </c>
      <c r="C18" s="174">
        <v>1</v>
      </c>
      <c r="D18" s="174">
        <f>B18*C18</f>
        <v>20000</v>
      </c>
      <c r="E18" s="114"/>
    </row>
    <row r="19" spans="1:5" x14ac:dyDescent="0.3">
      <c r="A19" s="157" t="s">
        <v>157</v>
      </c>
      <c r="B19" s="175">
        <v>4000</v>
      </c>
      <c r="C19" s="175">
        <v>1</v>
      </c>
      <c r="D19" s="175">
        <f t="shared" ref="D19:D42" si="3">B19*C19</f>
        <v>4000</v>
      </c>
      <c r="E19" s="114"/>
    </row>
    <row r="20" spans="1:5" x14ac:dyDescent="0.3">
      <c r="A20" s="157" t="s">
        <v>159</v>
      </c>
      <c r="B20" s="175">
        <v>1500</v>
      </c>
      <c r="C20" s="175">
        <v>1</v>
      </c>
      <c r="D20" s="175">
        <f t="shared" si="3"/>
        <v>1500</v>
      </c>
      <c r="E20" s="114"/>
    </row>
    <row r="21" spans="1:5" x14ac:dyDescent="0.3">
      <c r="A21" s="157" t="s">
        <v>164</v>
      </c>
      <c r="B21" s="175">
        <v>300</v>
      </c>
      <c r="C21" s="175">
        <v>1</v>
      </c>
      <c r="D21" s="175">
        <f t="shared" si="3"/>
        <v>300</v>
      </c>
      <c r="E21" s="114"/>
    </row>
    <row r="22" spans="1:5" x14ac:dyDescent="0.3">
      <c r="A22" s="157" t="s">
        <v>160</v>
      </c>
      <c r="B22" s="175">
        <v>15000</v>
      </c>
      <c r="C22" s="175">
        <v>2</v>
      </c>
      <c r="D22" s="175">
        <f t="shared" si="3"/>
        <v>30000</v>
      </c>
      <c r="E22" s="114"/>
    </row>
    <row r="23" spans="1:5" x14ac:dyDescent="0.3">
      <c r="A23" s="157" t="s">
        <v>161</v>
      </c>
      <c r="B23" s="175">
        <v>1500</v>
      </c>
      <c r="C23" s="175">
        <v>1</v>
      </c>
      <c r="D23" s="175">
        <f t="shared" si="3"/>
        <v>1500</v>
      </c>
      <c r="E23" s="114"/>
    </row>
    <row r="24" spans="1:5" x14ac:dyDescent="0.3">
      <c r="A24" s="157" t="s">
        <v>162</v>
      </c>
      <c r="B24" s="175">
        <v>1800</v>
      </c>
      <c r="C24" s="175">
        <v>1</v>
      </c>
      <c r="D24" s="175">
        <f t="shared" si="3"/>
        <v>1800</v>
      </c>
      <c r="E24" s="114"/>
    </row>
    <row r="25" spans="1:5" x14ac:dyDescent="0.3">
      <c r="A25" s="157" t="s">
        <v>163</v>
      </c>
      <c r="B25" s="175">
        <v>1000</v>
      </c>
      <c r="C25" s="175">
        <v>2</v>
      </c>
      <c r="D25" s="175">
        <f t="shared" si="3"/>
        <v>2000</v>
      </c>
      <c r="E25" s="114"/>
    </row>
    <row r="26" spans="1:5" x14ac:dyDescent="0.3">
      <c r="A26" s="157" t="s">
        <v>165</v>
      </c>
      <c r="B26" s="175">
        <v>500</v>
      </c>
      <c r="C26" s="175">
        <v>1</v>
      </c>
      <c r="D26" s="175">
        <f t="shared" si="3"/>
        <v>500</v>
      </c>
      <c r="E26" s="114"/>
    </row>
    <row r="27" spans="1:5" x14ac:dyDescent="0.3">
      <c r="A27" s="157" t="s">
        <v>166</v>
      </c>
      <c r="B27" s="175">
        <v>1200</v>
      </c>
      <c r="C27" s="175">
        <v>1</v>
      </c>
      <c r="D27" s="175">
        <f t="shared" si="3"/>
        <v>1200</v>
      </c>
      <c r="E27" s="114"/>
    </row>
    <row r="28" spans="1:5" x14ac:dyDescent="0.3">
      <c r="A28" s="185" t="s">
        <v>44</v>
      </c>
      <c r="B28" s="175">
        <v>1500</v>
      </c>
      <c r="C28" s="175">
        <v>1</v>
      </c>
      <c r="D28" s="175">
        <f t="shared" si="3"/>
        <v>1500</v>
      </c>
      <c r="E28" s="114"/>
    </row>
    <row r="29" spans="1:5" x14ac:dyDescent="0.3">
      <c r="A29" s="185" t="s">
        <v>167</v>
      </c>
      <c r="B29" s="175">
        <v>250</v>
      </c>
      <c r="C29" s="175">
        <v>1</v>
      </c>
      <c r="D29" s="175">
        <f t="shared" si="3"/>
        <v>250</v>
      </c>
      <c r="E29" s="114"/>
    </row>
    <row r="30" spans="1:5" x14ac:dyDescent="0.3">
      <c r="A30" s="185" t="s">
        <v>168</v>
      </c>
      <c r="B30" s="175">
        <v>800</v>
      </c>
      <c r="C30" s="175">
        <v>1</v>
      </c>
      <c r="D30" s="175">
        <f t="shared" si="3"/>
        <v>800</v>
      </c>
      <c r="E30" s="114"/>
    </row>
    <row r="31" spans="1:5" x14ac:dyDescent="0.3">
      <c r="A31" s="157" t="s">
        <v>169</v>
      </c>
      <c r="B31" s="175">
        <v>400</v>
      </c>
      <c r="C31" s="175">
        <v>1</v>
      </c>
      <c r="D31" s="175">
        <f t="shared" si="3"/>
        <v>400</v>
      </c>
      <c r="E31" s="114"/>
    </row>
    <row r="32" spans="1:5" x14ac:dyDescent="0.3">
      <c r="A32" s="157" t="s">
        <v>65</v>
      </c>
      <c r="B32" s="175">
        <v>500</v>
      </c>
      <c r="C32" s="175">
        <v>1</v>
      </c>
      <c r="D32" s="175">
        <f t="shared" si="3"/>
        <v>500</v>
      </c>
      <c r="E32" s="114"/>
    </row>
    <row r="33" spans="1:8" x14ac:dyDescent="0.3">
      <c r="A33" s="157" t="s">
        <v>170</v>
      </c>
      <c r="B33" s="175">
        <v>450</v>
      </c>
      <c r="C33" s="175">
        <v>1</v>
      </c>
      <c r="D33" s="175">
        <f t="shared" si="3"/>
        <v>450</v>
      </c>
      <c r="E33" s="114"/>
    </row>
    <row r="34" spans="1:8" x14ac:dyDescent="0.3">
      <c r="A34" s="157" t="s">
        <v>171</v>
      </c>
      <c r="B34" s="175">
        <v>600</v>
      </c>
      <c r="C34" s="175">
        <v>1</v>
      </c>
      <c r="D34" s="175">
        <f t="shared" si="3"/>
        <v>600</v>
      </c>
      <c r="E34" s="114"/>
    </row>
    <row r="35" spans="1:8" x14ac:dyDescent="0.3">
      <c r="A35" s="157" t="s">
        <v>172</v>
      </c>
      <c r="B35" s="175">
        <v>250</v>
      </c>
      <c r="C35" s="175">
        <v>1</v>
      </c>
      <c r="D35" s="175">
        <f t="shared" si="3"/>
        <v>250</v>
      </c>
      <c r="E35" s="114"/>
    </row>
    <row r="36" spans="1:8" x14ac:dyDescent="0.3">
      <c r="A36" s="157" t="s">
        <v>173</v>
      </c>
      <c r="B36" s="175">
        <v>500</v>
      </c>
      <c r="C36" s="175">
        <v>1</v>
      </c>
      <c r="D36" s="175">
        <f t="shared" si="3"/>
        <v>500</v>
      </c>
      <c r="E36" s="114"/>
    </row>
    <row r="37" spans="1:8" x14ac:dyDescent="0.3">
      <c r="A37" s="157" t="s">
        <v>174</v>
      </c>
      <c r="B37" s="175">
        <v>1000</v>
      </c>
      <c r="C37" s="175">
        <v>1</v>
      </c>
      <c r="D37" s="175">
        <f t="shared" si="3"/>
        <v>1000</v>
      </c>
      <c r="E37" s="114"/>
    </row>
    <row r="38" spans="1:8" x14ac:dyDescent="0.3">
      <c r="A38" s="157" t="s">
        <v>175</v>
      </c>
      <c r="B38" s="175">
        <v>1500</v>
      </c>
      <c r="C38" s="175">
        <v>1</v>
      </c>
      <c r="D38" s="175">
        <f t="shared" si="3"/>
        <v>1500</v>
      </c>
      <c r="E38" s="114"/>
    </row>
    <row r="39" spans="1:8" x14ac:dyDescent="0.3">
      <c r="A39" s="157" t="s">
        <v>176</v>
      </c>
      <c r="B39" s="175">
        <v>1000</v>
      </c>
      <c r="C39" s="175">
        <v>1</v>
      </c>
      <c r="D39" s="175">
        <f t="shared" si="3"/>
        <v>1000</v>
      </c>
      <c r="E39" s="114"/>
      <c r="H39" s="11"/>
    </row>
    <row r="40" spans="1:8" x14ac:dyDescent="0.3">
      <c r="A40" s="157" t="s">
        <v>11</v>
      </c>
      <c r="B40" s="175">
        <v>2000</v>
      </c>
      <c r="C40" s="175">
        <v>1</v>
      </c>
      <c r="D40" s="175">
        <f t="shared" si="3"/>
        <v>2000</v>
      </c>
      <c r="E40" s="114"/>
    </row>
    <row r="41" spans="1:8" x14ac:dyDescent="0.3">
      <c r="A41" s="85" t="s">
        <v>206</v>
      </c>
      <c r="B41" s="135">
        <v>5500</v>
      </c>
      <c r="C41" s="135">
        <v>1</v>
      </c>
      <c r="D41" s="138">
        <f>B41*C41</f>
        <v>5500</v>
      </c>
      <c r="E41" s="114"/>
    </row>
    <row r="42" spans="1:8" ht="16.2" thickBot="1" x14ac:dyDescent="0.35">
      <c r="A42" s="86" t="s">
        <v>207</v>
      </c>
      <c r="B42" s="86"/>
      <c r="C42" s="87">
        <v>0.08</v>
      </c>
      <c r="D42" s="139">
        <f t="shared" si="3"/>
        <v>0</v>
      </c>
      <c r="E42" s="114"/>
    </row>
    <row r="43" spans="1:8" ht="16.2" thickBot="1" x14ac:dyDescent="0.35">
      <c r="B43" s="1"/>
      <c r="C43" s="66" t="s">
        <v>178</v>
      </c>
      <c r="D43" s="137">
        <f>SUM(D18:D42)</f>
        <v>79050</v>
      </c>
      <c r="E43" s="114"/>
    </row>
    <row r="44" spans="1:8" x14ac:dyDescent="0.3">
      <c r="D44" s="114"/>
      <c r="E44" s="114"/>
    </row>
  </sheetData>
  <mergeCells count="1">
    <mergeCell ref="D13:D14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D17"/>
  <sheetViews>
    <sheetView showGridLines="0" workbookViewId="0">
      <selection activeCell="D11" sqref="D11"/>
    </sheetView>
  </sheetViews>
  <sheetFormatPr defaultRowHeight="15.6" x14ac:dyDescent="0.3"/>
  <cols>
    <col min="1" max="1" width="30.59765625" customWidth="1"/>
    <col min="2" max="2" width="20.3984375" bestFit="1" customWidth="1"/>
    <col min="3" max="3" width="23.19921875" style="114" customWidth="1"/>
    <col min="4" max="4" width="45.5" customWidth="1"/>
  </cols>
  <sheetData>
    <row r="1" spans="1:4" x14ac:dyDescent="0.3">
      <c r="A1" s="148" t="s">
        <v>225</v>
      </c>
      <c r="B1" s="147"/>
    </row>
    <row r="2" spans="1:4" ht="16.2" thickBot="1" x14ac:dyDescent="0.35"/>
    <row r="3" spans="1:4" s="22" customFormat="1" ht="31.2" x14ac:dyDescent="0.3">
      <c r="A3" s="277" t="s">
        <v>246</v>
      </c>
      <c r="B3" s="278" t="s">
        <v>247</v>
      </c>
      <c r="C3" s="279" t="s">
        <v>248</v>
      </c>
      <c r="D3" s="280" t="s">
        <v>230</v>
      </c>
    </row>
    <row r="4" spans="1:4" x14ac:dyDescent="0.3">
      <c r="A4" s="166" t="s">
        <v>249</v>
      </c>
      <c r="B4" s="167" t="s">
        <v>232</v>
      </c>
      <c r="C4" s="168">
        <v>30000</v>
      </c>
      <c r="D4" s="169" t="s">
        <v>233</v>
      </c>
    </row>
    <row r="5" spans="1:4" x14ac:dyDescent="0.3">
      <c r="A5" s="166" t="s">
        <v>250</v>
      </c>
      <c r="B5" s="168" t="s">
        <v>231</v>
      </c>
      <c r="C5" s="168">
        <v>18000</v>
      </c>
      <c r="D5" s="169" t="s">
        <v>233</v>
      </c>
    </row>
    <row r="6" spans="1:4" x14ac:dyDescent="0.3">
      <c r="A6" s="166" t="s">
        <v>226</v>
      </c>
      <c r="B6" s="167" t="s">
        <v>232</v>
      </c>
      <c r="C6" s="168">
        <v>2500</v>
      </c>
      <c r="D6" s="169" t="s">
        <v>233</v>
      </c>
    </row>
    <row r="7" spans="1:4" x14ac:dyDescent="0.3">
      <c r="A7" s="166" t="s">
        <v>251</v>
      </c>
      <c r="B7" s="167" t="s">
        <v>232</v>
      </c>
      <c r="C7" s="168" t="s">
        <v>233</v>
      </c>
      <c r="D7" s="169" t="s">
        <v>252</v>
      </c>
    </row>
    <row r="8" spans="1:4" x14ac:dyDescent="0.3">
      <c r="A8" s="166" t="s">
        <v>227</v>
      </c>
      <c r="B8" s="167" t="s">
        <v>232</v>
      </c>
      <c r="C8" s="168">
        <v>12000</v>
      </c>
      <c r="D8" s="169"/>
    </row>
    <row r="9" spans="1:4" x14ac:dyDescent="0.3">
      <c r="A9" s="166" t="s">
        <v>234</v>
      </c>
      <c r="B9" s="167" t="s">
        <v>232</v>
      </c>
      <c r="C9" s="168">
        <v>5000</v>
      </c>
      <c r="D9" s="169"/>
    </row>
    <row r="10" spans="1:4" x14ac:dyDescent="0.3">
      <c r="A10" s="166" t="s">
        <v>228</v>
      </c>
      <c r="B10" s="167" t="s">
        <v>232</v>
      </c>
      <c r="C10" s="168">
        <v>5000</v>
      </c>
      <c r="D10" s="169"/>
    </row>
    <row r="11" spans="1:4" x14ac:dyDescent="0.3">
      <c r="A11" s="166" t="s">
        <v>229</v>
      </c>
      <c r="B11" s="167" t="s">
        <v>232</v>
      </c>
      <c r="C11" s="168">
        <v>1000</v>
      </c>
      <c r="D11" s="169"/>
    </row>
    <row r="12" spans="1:4" ht="16.2" thickBot="1" x14ac:dyDescent="0.35">
      <c r="A12" s="170" t="s">
        <v>235</v>
      </c>
      <c r="B12" s="171" t="s">
        <v>232</v>
      </c>
      <c r="C12" s="172">
        <v>500</v>
      </c>
      <c r="D12" s="173"/>
    </row>
    <row r="13" spans="1:4" ht="16.2" thickBot="1" x14ac:dyDescent="0.35">
      <c r="A13" s="281"/>
      <c r="B13" s="282" t="s">
        <v>253</v>
      </c>
      <c r="C13" s="283">
        <f>SUM(C4:C12)</f>
        <v>74000</v>
      </c>
      <c r="D13" s="281"/>
    </row>
    <row r="15" spans="1:4" ht="16.2" thickBot="1" x14ac:dyDescent="0.35"/>
    <row r="16" spans="1:4" s="22" customFormat="1" ht="46.8" x14ac:dyDescent="0.3">
      <c r="A16" s="277" t="s">
        <v>254</v>
      </c>
      <c r="B16" s="278" t="s">
        <v>255</v>
      </c>
      <c r="C16" s="279" t="s">
        <v>256</v>
      </c>
      <c r="D16" s="280" t="s">
        <v>257</v>
      </c>
    </row>
    <row r="17" spans="1:4" ht="47.4" thickBot="1" x14ac:dyDescent="0.35">
      <c r="A17" s="284" t="s">
        <v>258</v>
      </c>
      <c r="B17" s="285" t="s">
        <v>259</v>
      </c>
      <c r="C17" s="286" t="s">
        <v>260</v>
      </c>
      <c r="D17" s="287" t="s">
        <v>233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F200"/>
  <sheetViews>
    <sheetView showGridLines="0" zoomScale="60" zoomScaleNormal="60" workbookViewId="0">
      <selection activeCell="D106" sqref="D106"/>
    </sheetView>
  </sheetViews>
  <sheetFormatPr defaultColWidth="11.19921875" defaultRowHeight="15.6" outlineLevelRow="1" x14ac:dyDescent="0.3"/>
  <cols>
    <col min="1" max="1" width="28.5" customWidth="1"/>
    <col min="2" max="2" width="46.19921875" customWidth="1"/>
    <col min="3" max="3" width="17.69921875" style="1" customWidth="1"/>
    <col min="4" max="4" width="25.19921875" customWidth="1"/>
    <col min="5" max="5" width="12.09765625" customWidth="1"/>
    <col min="7" max="7" width="11.19921875" customWidth="1"/>
    <col min="8" max="8" width="6.09765625" customWidth="1"/>
    <col min="9" max="9" width="4.8984375" customWidth="1"/>
    <col min="10" max="10" width="16.59765625" customWidth="1"/>
    <col min="19" max="19" width="15.19921875" customWidth="1"/>
    <col min="28" max="28" width="14" customWidth="1"/>
    <col min="29" max="29" width="14.09765625" customWidth="1"/>
  </cols>
  <sheetData>
    <row r="1" spans="1:21" ht="63.6" thickBot="1" x14ac:dyDescent="0.45">
      <c r="A1" s="268" t="s">
        <v>240</v>
      </c>
      <c r="B1" s="289" t="s">
        <v>7</v>
      </c>
    </row>
    <row r="2" spans="1:21" ht="16.5" customHeight="1" thickBot="1" x14ac:dyDescent="0.6">
      <c r="A2" s="267"/>
      <c r="B2" s="269"/>
    </row>
    <row r="3" spans="1:21" ht="98.25" customHeight="1" thickBot="1" x14ac:dyDescent="0.6">
      <c r="A3" s="268" t="s">
        <v>241</v>
      </c>
      <c r="B3" s="290" t="s">
        <v>182</v>
      </c>
      <c r="S3" s="271"/>
      <c r="T3" s="272" t="s">
        <v>78</v>
      </c>
      <c r="U3" s="273" t="s">
        <v>77</v>
      </c>
    </row>
    <row r="4" spans="1:21" ht="24" thickBot="1" x14ac:dyDescent="0.5">
      <c r="C4"/>
      <c r="S4" s="274" t="s">
        <v>88</v>
      </c>
      <c r="T4" s="275">
        <v>1</v>
      </c>
      <c r="U4" s="276">
        <v>26.6</v>
      </c>
    </row>
    <row r="5" spans="1:21" ht="28.8" x14ac:dyDescent="0.55000000000000004">
      <c r="A5" s="322" t="s">
        <v>85</v>
      </c>
      <c r="B5" s="292">
        <f>D29+D64+D75+D81+D99+D107+D50</f>
        <v>540605</v>
      </c>
      <c r="C5"/>
    </row>
    <row r="6" spans="1:21" ht="29.4" thickBot="1" x14ac:dyDescent="0.6">
      <c r="A6" s="323"/>
      <c r="B6" s="293">
        <f>B5/U4</f>
        <v>20323.496240601504</v>
      </c>
      <c r="C6"/>
    </row>
    <row r="7" spans="1:21" ht="29.4" thickBot="1" x14ac:dyDescent="0.6">
      <c r="A7" s="264"/>
      <c r="B7" s="265"/>
      <c r="C7"/>
    </row>
    <row r="8" spans="1:21" ht="28.8" x14ac:dyDescent="0.55000000000000004">
      <c r="A8" s="322" t="s">
        <v>86</v>
      </c>
      <c r="B8" s="292">
        <f>B9*U4</f>
        <v>159600</v>
      </c>
      <c r="C8"/>
    </row>
    <row r="9" spans="1:21" ht="29.4" thickBot="1" x14ac:dyDescent="0.6">
      <c r="A9" s="323"/>
      <c r="B9" s="293">
        <f>VLOOKUP(A8&amp;B1,Инвестиции!$L$2:$M$4,2,0)</f>
        <v>6000</v>
      </c>
    </row>
    <row r="10" spans="1:21" ht="29.4" thickBot="1" x14ac:dyDescent="0.6">
      <c r="A10" s="264"/>
      <c r="B10" s="265"/>
    </row>
    <row r="11" spans="1:21" ht="28.8" x14ac:dyDescent="0.55000000000000004">
      <c r="A11" s="324" t="s">
        <v>87</v>
      </c>
      <c r="B11" s="294">
        <f>B5+B8</f>
        <v>700205</v>
      </c>
    </row>
    <row r="12" spans="1:21" ht="29.4" thickBot="1" x14ac:dyDescent="0.6">
      <c r="A12" s="325"/>
      <c r="B12" s="295">
        <f>B6+B9</f>
        <v>26323.496240601504</v>
      </c>
    </row>
    <row r="13" spans="1:21" x14ac:dyDescent="0.3">
      <c r="A13" s="1"/>
    </row>
    <row r="14" spans="1:21" ht="28.8" x14ac:dyDescent="0.55000000000000004">
      <c r="A14" s="266" t="s">
        <v>239</v>
      </c>
    </row>
    <row r="15" spans="1:21" ht="8.25" customHeight="1" outlineLevel="1" thickBot="1" x14ac:dyDescent="0.35"/>
    <row r="16" spans="1:21" ht="26.4" outlineLevel="1" thickBot="1" x14ac:dyDescent="0.55000000000000004">
      <c r="A16" s="326" t="str">
        <f>"Пакет "&amp;B1&amp;" "&amp;VLOOKUP(B1,'Варианты пакетов'!$A$2:$B$4,2,0)</f>
        <v>Пакет Бизнес WeDo 2.0 + EV3</v>
      </c>
      <c r="B16" s="327"/>
      <c r="C16" s="327"/>
      <c r="D16" s="328"/>
    </row>
    <row r="17" spans="1:9" ht="18.600000000000001" outlineLevel="1" thickBot="1" x14ac:dyDescent="0.35">
      <c r="A17" s="12" t="s">
        <v>25</v>
      </c>
      <c r="B17" s="16" t="s">
        <v>27</v>
      </c>
      <c r="C17" s="21" t="s">
        <v>28</v>
      </c>
      <c r="D17" s="16" t="s">
        <v>29</v>
      </c>
    </row>
    <row r="18" spans="1:9" ht="18.600000000000001" outlineLevel="1" thickBot="1" x14ac:dyDescent="0.4">
      <c r="A18" s="329" t="s">
        <v>54</v>
      </c>
      <c r="B18" s="330"/>
      <c r="C18" s="330"/>
      <c r="D18" s="331"/>
    </row>
    <row r="19" spans="1:9" outlineLevel="1" x14ac:dyDescent="0.3">
      <c r="A19" s="174" t="s">
        <v>26</v>
      </c>
      <c r="B19" s="174">
        <f>VLOOKUP($B$1&amp;$A19,Инвестиции!$E:$H,2,0)</f>
        <v>7100</v>
      </c>
      <c r="C19" s="174">
        <f>VLOOKUP($B$1&amp;$A19,Инвестиции!$E:$H,3,0)</f>
        <v>5</v>
      </c>
      <c r="D19" s="174">
        <f>VLOOKUP($B$1&amp;$A19,Инвестиции!$E:$H,4,0)</f>
        <v>35500</v>
      </c>
      <c r="E19" s="3"/>
      <c r="I19" s="3"/>
    </row>
    <row r="20" spans="1:9" outlineLevel="1" x14ac:dyDescent="0.3">
      <c r="A20" s="175" t="s">
        <v>65</v>
      </c>
      <c r="B20" s="175">
        <f>VLOOKUP($B$1&amp;$A20,Инвестиции!$E:$H,2,0)</f>
        <v>15</v>
      </c>
      <c r="C20" s="175">
        <f>VLOOKUP($B$1&amp;$A20,Инвестиции!$E:$H,3,0)</f>
        <v>20</v>
      </c>
      <c r="D20" s="175">
        <f>VLOOKUP($B$1&amp;$A20,Инвестиции!$E:$H,4,0)</f>
        <v>300</v>
      </c>
    </row>
    <row r="21" spans="1:9" outlineLevel="1" x14ac:dyDescent="0.3">
      <c r="A21" s="175" t="s">
        <v>30</v>
      </c>
      <c r="B21" s="175">
        <f>VLOOKUP($B$1&amp;$A21,Инвестиции!$E:$H,2,0)</f>
        <v>6000</v>
      </c>
      <c r="C21" s="175">
        <f>VLOOKUP($B$1&amp;$A21,Инвестиции!$E:$H,3,0)</f>
        <v>5</v>
      </c>
      <c r="D21" s="175">
        <f>VLOOKUP($B$1&amp;$A21,Инвестиции!$E:$H,4,0)</f>
        <v>30000</v>
      </c>
    </row>
    <row r="22" spans="1:9" outlineLevel="1" x14ac:dyDescent="0.3">
      <c r="A22" s="175" t="s">
        <v>62</v>
      </c>
      <c r="B22" s="175">
        <f>VLOOKUP($B$1&amp;$A22,Инвестиции!$E:$H,2,0)</f>
        <v>6000</v>
      </c>
      <c r="C22" s="175">
        <f>VLOOKUP($B$1&amp;$A22,Инвестиции!$E:$H,3,0)</f>
        <v>1</v>
      </c>
      <c r="D22" s="175">
        <f>VLOOKUP($B$1&amp;$A22,Инвестиции!$E:$H,4,0)</f>
        <v>6000</v>
      </c>
    </row>
    <row r="23" spans="1:9" outlineLevel="1" x14ac:dyDescent="0.3">
      <c r="A23" s="175" t="s">
        <v>32</v>
      </c>
      <c r="B23" s="175">
        <f>VLOOKUP($B$1&amp;$A23,Инвестиции!$E:$H,2,0)</f>
        <v>150</v>
      </c>
      <c r="C23" s="175">
        <f>VLOOKUP($B$1&amp;$A23,Инвестиции!$E:$H,3,0)</f>
        <v>6</v>
      </c>
      <c r="D23" s="175">
        <f>VLOOKUP($B$1&amp;$A23,Инвестиции!$E:$H,4,0)</f>
        <v>900</v>
      </c>
    </row>
    <row r="24" spans="1:9" outlineLevel="1" x14ac:dyDescent="0.3">
      <c r="A24" s="175" t="s">
        <v>63</v>
      </c>
      <c r="B24" s="175">
        <f>VLOOKUP($B$1&amp;$A24,Инвестиции!$E:$H,2,0)</f>
        <v>150</v>
      </c>
      <c r="C24" s="175">
        <f>VLOOKUP($B$1&amp;$A24,Инвестиции!$E:$H,3,0)</f>
        <v>1</v>
      </c>
      <c r="D24" s="175">
        <f>VLOOKUP($B$1&amp;$A24,Инвестиции!$E:$H,4,0)</f>
        <v>150</v>
      </c>
    </row>
    <row r="25" spans="1:9" outlineLevel="1" x14ac:dyDescent="0.3">
      <c r="A25" s="175" t="s">
        <v>9</v>
      </c>
      <c r="B25" s="175">
        <f>VLOOKUP($B$1&amp;$A25,Инвестиции!$E:$H,2,0)</f>
        <v>100</v>
      </c>
      <c r="C25" s="175">
        <f>VLOOKUP($B$1&amp;$A25,Инвестиции!$E:$H,3,0)</f>
        <v>5</v>
      </c>
      <c r="D25" s="175">
        <f>VLOOKUP($B$1&amp;$A25,Инвестиции!$E:$H,4,0)</f>
        <v>500</v>
      </c>
    </row>
    <row r="26" spans="1:9" outlineLevel="1" x14ac:dyDescent="0.3">
      <c r="A26" s="175" t="s">
        <v>14</v>
      </c>
      <c r="B26" s="175">
        <f>VLOOKUP($B$1&amp;$A26,Инвестиции!$E:$H,2,0)</f>
        <v>8000</v>
      </c>
      <c r="C26" s="175">
        <f>VLOOKUP($B$1&amp;$A26,Инвестиции!$E:$H,3,0)</f>
        <v>1</v>
      </c>
      <c r="D26" s="175">
        <f>VLOOKUP($B$1&amp;$A26,Инвестиции!$E:$H,4,0)</f>
        <v>8000</v>
      </c>
    </row>
    <row r="27" spans="1:9" outlineLevel="1" x14ac:dyDescent="0.3">
      <c r="A27" s="175" t="s">
        <v>15</v>
      </c>
      <c r="B27" s="175">
        <f>VLOOKUP($B$1&amp;$A27,Инвестиции!$E:$H,2,0)</f>
        <v>400</v>
      </c>
      <c r="C27" s="175">
        <f>VLOOKUP($B$1&amp;$A27,Инвестиции!$E:$H,3,0)</f>
        <v>1</v>
      </c>
      <c r="D27" s="175">
        <f>VLOOKUP($B$1&amp;$A27,Инвестиции!$E:$H,4,0)</f>
        <v>400</v>
      </c>
    </row>
    <row r="28" spans="1:9" ht="16.2" outlineLevel="1" thickBot="1" x14ac:dyDescent="0.35">
      <c r="A28" s="176" t="s">
        <v>39</v>
      </c>
      <c r="B28" s="177">
        <f>VLOOKUP($B$1&amp;$A28,Инвестиции!$E:$H,2,0)</f>
        <v>1600</v>
      </c>
      <c r="C28" s="177">
        <f>VLOOKUP($B$1&amp;$A28,Инвестиции!$E:$H,3,0)</f>
        <v>1</v>
      </c>
      <c r="D28" s="177">
        <f>VLOOKUP($B$1&amp;$A28,Инвестиции!$E:$H,4,0)</f>
        <v>1600</v>
      </c>
    </row>
    <row r="29" spans="1:9" ht="16.2" outlineLevel="1" thickBot="1" x14ac:dyDescent="0.35">
      <c r="A29" s="114"/>
      <c r="B29" s="115"/>
      <c r="C29" s="116" t="s">
        <v>43</v>
      </c>
      <c r="D29" s="117">
        <f>SUM(D19:D28)</f>
        <v>83350</v>
      </c>
    </row>
    <row r="30" spans="1:9" ht="16.2" outlineLevel="1" thickBot="1" x14ac:dyDescent="0.35">
      <c r="A30" s="114"/>
      <c r="B30" s="115"/>
      <c r="C30" s="114"/>
      <c r="D30" s="114"/>
    </row>
    <row r="31" spans="1:9" ht="18.600000000000001" outlineLevel="1" thickBot="1" x14ac:dyDescent="0.4">
      <c r="A31" s="314" t="s">
        <v>81</v>
      </c>
      <c r="B31" s="315"/>
      <c r="C31" s="315"/>
      <c r="D31" s="316"/>
    </row>
    <row r="32" spans="1:9" outlineLevel="1" x14ac:dyDescent="0.3">
      <c r="A32" s="174" t="s">
        <v>55</v>
      </c>
      <c r="B32" s="174">
        <f>IF($B$1="Старт",0,VLOOKUP($B$1&amp;$A32,Инвестиции!$E:$H,2,0))</f>
        <v>17074</v>
      </c>
      <c r="C32" s="174">
        <f>IF($B$1="Старт",0,VLOOKUP($B$1&amp;$A32,Инвестиции!$E:$H,3,0))</f>
        <v>5</v>
      </c>
      <c r="D32" s="174">
        <f>IF($B$1="Старт",0,VLOOKUP($B$1&amp;$A32,Инвестиции!$E:$H,4,0))</f>
        <v>85370</v>
      </c>
    </row>
    <row r="33" spans="1:4" outlineLevel="1" x14ac:dyDescent="0.3">
      <c r="A33" s="175" t="s">
        <v>56</v>
      </c>
      <c r="B33" s="175">
        <f>IF($B$1="Старт",0,VLOOKUP($B$1&amp;$A33,Инвестиции!$E:$H,2,0))</f>
        <v>4600</v>
      </c>
      <c r="C33" s="175">
        <f>IF($B$1="Старт",0,VLOOKUP($B$1&amp;$A33,Инвестиции!$E:$H,3,0))</f>
        <v>3</v>
      </c>
      <c r="D33" s="175">
        <f>IF($B$1="Старт",0,VLOOKUP($B$1&amp;$A33,Инвестиции!$E:$H,4,0))</f>
        <v>13800</v>
      </c>
    </row>
    <row r="34" spans="1:4" outlineLevel="1" x14ac:dyDescent="0.3">
      <c r="A34" s="175" t="s">
        <v>57</v>
      </c>
      <c r="B34" s="175">
        <f>IF($B$1="Старт",0,VLOOKUP($B$1&amp;$A34,Инвестиции!$E:$H,2,0))</f>
        <v>1503</v>
      </c>
      <c r="C34" s="175">
        <f>IF($B$1="Старт",0,VLOOKUP($B$1&amp;$A34,Инвестиции!$E:$H,3,0))</f>
        <v>5</v>
      </c>
      <c r="D34" s="175">
        <f>IF($B$1="Старт",0,VLOOKUP($B$1&amp;$A34,Инвестиции!$E:$H,4,0))</f>
        <v>7515</v>
      </c>
    </row>
    <row r="35" spans="1:4" outlineLevel="1" x14ac:dyDescent="0.3">
      <c r="A35" s="175" t="s">
        <v>58</v>
      </c>
      <c r="B35" s="175">
        <f>IF($B$1="Старт",0,VLOOKUP($B$1&amp;$A35,Инвестиции!$E:$H,2,0))</f>
        <v>1330</v>
      </c>
      <c r="C35" s="175">
        <f>IF($B$1="Старт",0,VLOOKUP($B$1&amp;$A35,Инвестиции!$E:$H,3,0))</f>
        <v>5</v>
      </c>
      <c r="D35" s="175">
        <f>IF($B$1="Старт",0,VLOOKUP($B$1&amp;$A35,Инвестиции!$E:$H,4,0))</f>
        <v>6650</v>
      </c>
    </row>
    <row r="36" spans="1:4" outlineLevel="1" x14ac:dyDescent="0.3">
      <c r="A36" s="175" t="s">
        <v>59</v>
      </c>
      <c r="B36" s="175">
        <f>IF($B$1="Старт",0,VLOOKUP($B$1&amp;$A36,Инвестиции!$E:$H,2,0))</f>
        <v>350</v>
      </c>
      <c r="C36" s="175">
        <f>IF($B$1="Старт",0,VLOOKUP($B$1&amp;$A36,Инвестиции!$E:$H,3,0))</f>
        <v>2</v>
      </c>
      <c r="D36" s="175">
        <f>IF($B$1="Старт",0,VLOOKUP($B$1&amp;$A36,Инвестиции!$E:$H,4,0))</f>
        <v>700</v>
      </c>
    </row>
    <row r="37" spans="1:4" outlineLevel="1" x14ac:dyDescent="0.3">
      <c r="A37" s="175" t="s">
        <v>60</v>
      </c>
      <c r="B37" s="175">
        <f>IF($B$1="Старт",0,VLOOKUP($B$1&amp;$A37,Инвестиции!$E:$H,2,0))</f>
        <v>1330</v>
      </c>
      <c r="C37" s="175">
        <f>IF($B$1="Старт",0,VLOOKUP($B$1&amp;$A37,Инвестиции!$E:$H,3,0))</f>
        <v>5</v>
      </c>
      <c r="D37" s="175">
        <f>IF($B$1="Старт",0,VLOOKUP($B$1&amp;$A37,Инвестиции!$E:$H,4,0))</f>
        <v>6650</v>
      </c>
    </row>
    <row r="38" spans="1:4" outlineLevel="1" x14ac:dyDescent="0.3">
      <c r="A38" s="175" t="s">
        <v>61</v>
      </c>
      <c r="B38" s="175">
        <f>IF($B$1="Старт",0,VLOOKUP($B$1&amp;$A38,Инвестиции!$E:$H,2,0))</f>
        <v>1664</v>
      </c>
      <c r="C38" s="175">
        <f>IF($B$1="Старт",0,VLOOKUP($B$1&amp;$A38,Инвестиции!$E:$H,3,0))</f>
        <v>5</v>
      </c>
      <c r="D38" s="175">
        <f>IF($B$1="Старт",0,VLOOKUP($B$1&amp;$A38,Инвестиции!$E:$H,4,0))</f>
        <v>8320</v>
      </c>
    </row>
    <row r="39" spans="1:4" outlineLevel="1" x14ac:dyDescent="0.3">
      <c r="A39" s="175" t="s">
        <v>224</v>
      </c>
      <c r="B39" s="175">
        <f>IF($B$1="Старт",0,VLOOKUP($B$1&amp;$A39,Инвестиции!$E:$H,2,0))</f>
        <v>1227</v>
      </c>
      <c r="C39" s="175">
        <f>IF($B$1="Старт",0,VLOOKUP($B$1&amp;$A39,Инвестиции!$E:$H,3,0))</f>
        <v>5</v>
      </c>
      <c r="D39" s="175">
        <f>IF($B$1="Старт",0,VLOOKUP($B$1&amp;$A39,Инвестиции!$E:$H,4,0))</f>
        <v>6135</v>
      </c>
    </row>
    <row r="40" spans="1:4" outlineLevel="1" x14ac:dyDescent="0.3">
      <c r="A40" s="175" t="s">
        <v>223</v>
      </c>
      <c r="B40" s="175">
        <f>IF($B$1="Старт",0,VLOOKUP($B$1&amp;$A40,Инвестиции!$E:$H,2,0))</f>
        <v>1227</v>
      </c>
      <c r="C40" s="175">
        <f>IF($B$1="Старт",0,VLOOKUP($B$1&amp;$A40,Инвестиции!$E:$H,3,0))</f>
        <v>5</v>
      </c>
      <c r="D40" s="175">
        <f>IF($B$1="Старт",0,VLOOKUP($B$1&amp;$A40,Инвестиции!$E:$H,4,0))</f>
        <v>6135</v>
      </c>
    </row>
    <row r="41" spans="1:4" outlineLevel="1" x14ac:dyDescent="0.3">
      <c r="A41" s="175" t="s">
        <v>30</v>
      </c>
      <c r="B41" s="175">
        <f>IF($B$1="Старт",0,VLOOKUP($B$1&amp;$A41,Инвестиции!$E:$H,2,0))</f>
        <v>6000</v>
      </c>
      <c r="C41" s="175">
        <f>IF($B$1="Старт",0,VLOOKUP($B$1&amp;$A41,Инвестиции!$E:$H,3,0))</f>
        <v>5</v>
      </c>
      <c r="D41" s="175">
        <f>IF($B$1="Старт",0,VLOOKUP($B$1&amp;$A41,Инвестиции!$E:$H,4,0))</f>
        <v>30000</v>
      </c>
    </row>
    <row r="42" spans="1:4" outlineLevel="1" x14ac:dyDescent="0.3">
      <c r="A42" s="175" t="s">
        <v>62</v>
      </c>
      <c r="B42" s="175">
        <f>IF($B$1="Старт",0,VLOOKUP($B$1&amp;$A42,Инвестиции!$E:$H,2,0))</f>
        <v>6000</v>
      </c>
      <c r="C42" s="175">
        <f>IF($B$1="Старт",0,VLOOKUP($B$1&amp;$A42,Инвестиции!$E:$H,3,0))</f>
        <v>1</v>
      </c>
      <c r="D42" s="175">
        <f>IF($B$1="Старт",0,VLOOKUP($B$1&amp;$A42,Инвестиции!$E:$H,4,0))</f>
        <v>6000</v>
      </c>
    </row>
    <row r="43" spans="1:4" outlineLevel="1" x14ac:dyDescent="0.3">
      <c r="A43" s="175" t="s">
        <v>32</v>
      </c>
      <c r="B43" s="175">
        <f>IF($B$1="Старт",0,VLOOKUP($B$1&amp;$A43,Инвестиции!$E:$H,2,0))</f>
        <v>150</v>
      </c>
      <c r="C43" s="175">
        <f>IF($B$1="Старт",0,VLOOKUP($B$1&amp;$A43,Инвестиции!$E:$H,3,0))</f>
        <v>6</v>
      </c>
      <c r="D43" s="175">
        <f>IF($B$1="Старт",0,VLOOKUP($B$1&amp;$A43,Инвестиции!$E:$H,4,0))</f>
        <v>900</v>
      </c>
    </row>
    <row r="44" spans="1:4" outlineLevel="1" x14ac:dyDescent="0.3">
      <c r="A44" s="175" t="s">
        <v>63</v>
      </c>
      <c r="B44" s="175">
        <f>IF($B$1="Старт",0,VLOOKUP($B$1&amp;$A44,Инвестиции!$E:$H,2,0))</f>
        <v>150</v>
      </c>
      <c r="C44" s="175">
        <f>IF($B$1="Старт",0,VLOOKUP($B$1&amp;$A44,Инвестиции!$E:$H,3,0))</f>
        <v>1</v>
      </c>
      <c r="D44" s="175">
        <f>IF($B$1="Старт",0,VLOOKUP($B$1&amp;$A44,Инвестиции!$E:$H,4,0))</f>
        <v>150</v>
      </c>
    </row>
    <row r="45" spans="1:4" outlineLevel="1" x14ac:dyDescent="0.3">
      <c r="A45" s="175" t="s">
        <v>9</v>
      </c>
      <c r="B45" s="175">
        <f>IF($B$1="Старт",0,VLOOKUP($B$1&amp;$A45,Инвестиции!$E:$H,2,0))</f>
        <v>100</v>
      </c>
      <c r="C45" s="175">
        <f>IF($B$1="Старт",0,VLOOKUP($B$1&amp;$A45,Инвестиции!$E:$H,3,0))</f>
        <v>5</v>
      </c>
      <c r="D45" s="175">
        <f>IF($B$1="Старт",0,VLOOKUP($B$1&amp;$A45,Инвестиции!$E:$H,4,0))</f>
        <v>500</v>
      </c>
    </row>
    <row r="46" spans="1:4" outlineLevel="1" x14ac:dyDescent="0.3">
      <c r="A46" s="175" t="s">
        <v>14</v>
      </c>
      <c r="B46" s="175">
        <f>IF($B$1="Старт",0,VLOOKUP($B$1&amp;$A46,Инвестиции!$E:$H,2,0))</f>
        <v>8000</v>
      </c>
      <c r="C46" s="175">
        <f>IF($B$1="Старт",0,VLOOKUP($B$1&amp;$A46,Инвестиции!$E:$H,3,0))</f>
        <v>1</v>
      </c>
      <c r="D46" s="175">
        <f>IF($B$1="Старт",0,VLOOKUP($B$1&amp;$A46,Инвестиции!$E:$H,4,0))</f>
        <v>8000</v>
      </c>
    </row>
    <row r="47" spans="1:4" outlineLevel="1" x14ac:dyDescent="0.3">
      <c r="A47" s="175" t="s">
        <v>15</v>
      </c>
      <c r="B47" s="175">
        <f>IF($B$1="Старт",0,VLOOKUP($B$1&amp;$A47,Инвестиции!$E:$H,2,0))</f>
        <v>400</v>
      </c>
      <c r="C47" s="175">
        <f>IF($B$1="Старт",0,VLOOKUP($B$1&amp;$A47,Инвестиции!$E:$H,3,0))</f>
        <v>1</v>
      </c>
      <c r="D47" s="175">
        <f>IF($B$1="Старт",0,VLOOKUP($B$1&amp;$A47,Инвестиции!$E:$H,4,0))</f>
        <v>400</v>
      </c>
    </row>
    <row r="48" spans="1:4" outlineLevel="1" x14ac:dyDescent="0.3">
      <c r="A48" s="179" t="s">
        <v>39</v>
      </c>
      <c r="B48" s="175">
        <f>IF($B$1="Старт",0,VLOOKUP($B$1&amp;$A48,Инвестиции!$E:$H,2,0))</f>
        <v>1600</v>
      </c>
      <c r="C48" s="175">
        <f>IF($B$1="Старт",0,VLOOKUP($B$1&amp;$A48,Инвестиции!$E:$H,3,0))</f>
        <v>1</v>
      </c>
      <c r="D48" s="175">
        <f>IF($B$1="Старт",0,VLOOKUP($B$1&amp;$A48,Инвестиции!$E:$H,4,0))</f>
        <v>1600</v>
      </c>
    </row>
    <row r="49" spans="1:4" ht="16.2" outlineLevel="1" thickBot="1" x14ac:dyDescent="0.35">
      <c r="A49" s="176" t="s">
        <v>82</v>
      </c>
      <c r="B49" s="177">
        <f>IF($B$1="Платинум",VLOOKUP($B$1&amp;$A49,Инвестиции!$E:$H,2,0),0)</f>
        <v>0</v>
      </c>
      <c r="C49" s="177">
        <f>IF($B$1="Платинум",VLOOKUP($B$1&amp;$A49,Инвестиции!$E:$H,3,0),0)</f>
        <v>0</v>
      </c>
      <c r="D49" s="177">
        <f>IF($B$1="Платинум",VLOOKUP($B$1&amp;$A49,Инвестиции!$E:$H,4,0),0)</f>
        <v>0</v>
      </c>
    </row>
    <row r="50" spans="1:4" ht="16.2" outlineLevel="1" thickBot="1" x14ac:dyDescent="0.35">
      <c r="A50" s="114"/>
      <c r="B50" s="115"/>
      <c r="C50" s="119" t="s">
        <v>64</v>
      </c>
      <c r="D50" s="120">
        <f>SUM(D32:D49)</f>
        <v>188825</v>
      </c>
    </row>
    <row r="51" spans="1:4" ht="16.2" outlineLevel="1" thickBot="1" x14ac:dyDescent="0.35">
      <c r="A51" s="114"/>
      <c r="B51" s="115"/>
      <c r="C51" s="114"/>
      <c r="D51" s="114"/>
    </row>
    <row r="52" spans="1:4" ht="18.600000000000001" outlineLevel="1" thickBot="1" x14ac:dyDescent="0.4">
      <c r="A52" s="314" t="s">
        <v>53</v>
      </c>
      <c r="B52" s="315"/>
      <c r="C52" s="315"/>
      <c r="D52" s="316"/>
    </row>
    <row r="53" spans="1:4" outlineLevel="1" x14ac:dyDescent="0.3">
      <c r="A53" s="174" t="s">
        <v>31</v>
      </c>
      <c r="B53" s="174">
        <f>VLOOKUP($B$1&amp;$A53,Инвестиции!$E:$H,2,0)</f>
        <v>6000</v>
      </c>
      <c r="C53" s="174">
        <f>VLOOKUP($B$1&amp;$A53,Инвестиции!$E:$H,3,0)</f>
        <v>6</v>
      </c>
      <c r="D53" s="174">
        <f>VLOOKUP($B$1&amp;$A53,Инвестиции!$E:$H,4,0)</f>
        <v>36000</v>
      </c>
    </row>
    <row r="54" spans="1:4" outlineLevel="1" x14ac:dyDescent="0.3">
      <c r="A54" s="175" t="s">
        <v>33</v>
      </c>
      <c r="B54" s="175">
        <f>VLOOKUP($B$1&amp;$A54,Инвестиции!$E:$H,2,0)</f>
        <v>150</v>
      </c>
      <c r="C54" s="175">
        <f>VLOOKUP($B$1&amp;$A54,Инвестиции!$E:$H,3,0)</f>
        <v>1</v>
      </c>
      <c r="D54" s="175">
        <f>VLOOKUP($B$1&amp;$A54,Инвестиции!$E:$H,4,0)</f>
        <v>150</v>
      </c>
    </row>
    <row r="55" spans="1:4" outlineLevel="1" x14ac:dyDescent="0.3">
      <c r="A55" s="175" t="s">
        <v>19</v>
      </c>
      <c r="B55" s="175">
        <f>VLOOKUP($B$1&amp;$A55,Инвестиции!$E:$H,2,0)</f>
        <v>1000</v>
      </c>
      <c r="C55" s="175">
        <f>VLOOKUP($B$1&amp;$A55,Инвестиции!$E:$H,3,0)</f>
        <v>1</v>
      </c>
      <c r="D55" s="175">
        <f>VLOOKUP($B$1&amp;$A55,Инвестиции!$E:$H,4,0)</f>
        <v>1000</v>
      </c>
    </row>
    <row r="56" spans="1:4" outlineLevel="1" x14ac:dyDescent="0.3">
      <c r="A56" s="175" t="s">
        <v>18</v>
      </c>
      <c r="B56" s="175">
        <f>VLOOKUP($B$1&amp;$A56,Инвестиции!$E:$H,2,0)</f>
        <v>900</v>
      </c>
      <c r="C56" s="175">
        <f>VLOOKUP($B$1&amp;$A56,Инвестиции!$E:$H,3,0)</f>
        <v>1</v>
      </c>
      <c r="D56" s="175">
        <f>VLOOKUP($B$1&amp;$A56,Инвестиции!$E:$H,4,0)</f>
        <v>900</v>
      </c>
    </row>
    <row r="57" spans="1:4" outlineLevel="1" x14ac:dyDescent="0.3">
      <c r="A57" s="175" t="s">
        <v>68</v>
      </c>
      <c r="B57" s="175">
        <f>VLOOKUP($B$1&amp;$A57,Инвестиции!$E:$H,2,0)</f>
        <v>200</v>
      </c>
      <c r="C57" s="175">
        <f>VLOOKUP($B$1&amp;$A57,Инвестиции!$E:$H,3,0)</f>
        <v>1</v>
      </c>
      <c r="D57" s="175">
        <f>VLOOKUP($B$1&amp;$A57,Инвестиции!$E:$H,4,0)</f>
        <v>200</v>
      </c>
    </row>
    <row r="58" spans="1:4" outlineLevel="1" x14ac:dyDescent="0.3">
      <c r="A58" s="175" t="s">
        <v>265</v>
      </c>
      <c r="B58" s="175">
        <f>VLOOKUP($B$1&amp;$A58,Инвестиции!$E:$H,2,0)</f>
        <v>80</v>
      </c>
      <c r="C58" s="175">
        <f>VLOOKUP($B$1&amp;$A58,Инвестиции!$E:$H,3,0)</f>
        <v>1</v>
      </c>
      <c r="D58" s="175">
        <f>VLOOKUP($B$1&amp;$A58,Инвестиции!$E:$H,4,0)</f>
        <v>80</v>
      </c>
    </row>
    <row r="59" spans="1:4" outlineLevel="1" x14ac:dyDescent="0.3">
      <c r="A59" s="175" t="s">
        <v>66</v>
      </c>
      <c r="B59" s="175">
        <f>VLOOKUP($B$1&amp;$A59,Инвестиции!$E:$H,2,0)</f>
        <v>700</v>
      </c>
      <c r="C59" s="175">
        <f>VLOOKUP($B$1&amp;$A59,Инвестиции!$E:$H,3,0)</f>
        <v>1</v>
      </c>
      <c r="D59" s="175">
        <f>VLOOKUP($B$1&amp;$A59,Инвестиции!$E:$H,4,0)</f>
        <v>700</v>
      </c>
    </row>
    <row r="60" spans="1:4" outlineLevel="1" x14ac:dyDescent="0.3">
      <c r="A60" s="175" t="s">
        <v>12</v>
      </c>
      <c r="B60" s="175">
        <f>VLOOKUP($B$1&amp;$A60,Инвестиции!$E:$H,2,0)</f>
        <v>6000</v>
      </c>
      <c r="C60" s="175">
        <f>VLOOKUP($B$1&amp;$A60,Инвестиции!$E:$H,3,0)</f>
        <v>1</v>
      </c>
      <c r="D60" s="175">
        <f>VLOOKUP($B$1&amp;$A60,Инвестиции!$E:$H,4,0)</f>
        <v>6000</v>
      </c>
    </row>
    <row r="61" spans="1:4" outlineLevel="1" x14ac:dyDescent="0.3">
      <c r="A61" s="175" t="s">
        <v>67</v>
      </c>
      <c r="B61" s="175">
        <f>VLOOKUP($B$1&amp;$A61,Инвестиции!$E:$H,2,0)</f>
        <v>1000</v>
      </c>
      <c r="C61" s="175">
        <f>VLOOKUP($B$1&amp;$A61,Инвестиции!$E:$H,3,0)</f>
        <v>1</v>
      </c>
      <c r="D61" s="175">
        <f>VLOOKUP($B$1&amp;$A61,Инвестиции!$E:$H,4,0)</f>
        <v>1000</v>
      </c>
    </row>
    <row r="62" spans="1:4" outlineLevel="1" x14ac:dyDescent="0.3">
      <c r="A62" s="175" t="s">
        <v>72</v>
      </c>
      <c r="B62" s="175">
        <f>VLOOKUP($B$1&amp;$A62,Инвестиции!$E:$H,2,0)</f>
        <v>6500</v>
      </c>
      <c r="C62" s="175">
        <f>VLOOKUP($B$1&amp;$A62,Инвестиции!$E:$H,3,0)</f>
        <v>1</v>
      </c>
      <c r="D62" s="175">
        <f>VLOOKUP($B$1&amp;$A62,Инвестиции!$E:$H,4,0)</f>
        <v>6500</v>
      </c>
    </row>
    <row r="63" spans="1:4" ht="16.2" outlineLevel="1" thickBot="1" x14ac:dyDescent="0.35">
      <c r="A63" s="177" t="s">
        <v>158</v>
      </c>
      <c r="B63" s="177">
        <f>VLOOKUP($B$1&amp;$A63,Инвестиции!$E:$H,2,0)</f>
        <v>0</v>
      </c>
      <c r="C63" s="177">
        <f>VLOOKUP($B$1&amp;$A63,Инвестиции!$E:$H,3,0)</f>
        <v>1</v>
      </c>
      <c r="D63" s="177">
        <f>VLOOKUP($B$1&amp;$A63,Инвестиции!$E:$H,4,0)</f>
        <v>0</v>
      </c>
    </row>
    <row r="64" spans="1:4" ht="16.2" outlineLevel="1" thickBot="1" x14ac:dyDescent="0.35">
      <c r="A64" s="118"/>
      <c r="B64" s="114"/>
      <c r="C64" s="119" t="s">
        <v>64</v>
      </c>
      <c r="D64" s="120">
        <f>SUM(D53:D63)</f>
        <v>52530</v>
      </c>
    </row>
    <row r="65" spans="1:4" s="1" customFormat="1" ht="16.2" outlineLevel="1" thickBot="1" x14ac:dyDescent="0.35">
      <c r="A65" s="121"/>
      <c r="B65" s="115"/>
      <c r="C65" s="122"/>
      <c r="D65" s="115"/>
    </row>
    <row r="66" spans="1:4" ht="18.600000000000001" outlineLevel="1" thickBot="1" x14ac:dyDescent="0.35">
      <c r="A66" s="332" t="s">
        <v>0</v>
      </c>
      <c r="B66" s="333"/>
      <c r="C66" s="333"/>
      <c r="D66" s="334"/>
    </row>
    <row r="67" spans="1:4" outlineLevel="1" x14ac:dyDescent="0.3">
      <c r="A67" s="174" t="s">
        <v>16</v>
      </c>
      <c r="B67" s="291">
        <f>IFERROR(VLOOKUP($B$1&amp;$A67,Инвестиции!$E:$H,2,0),"0")</f>
        <v>1000</v>
      </c>
      <c r="C67" s="174">
        <f>IFERROR(VLOOKUP($B$1&amp;$A67,Инвестиции!$E:$H,3,0),"'0")</f>
        <v>1</v>
      </c>
      <c r="D67" s="188">
        <f>IFERROR(VLOOKUP($B$1&amp;$A67,Инвестиции!$E:$H,4,0),"0")</f>
        <v>1000</v>
      </c>
    </row>
    <row r="68" spans="1:4" outlineLevel="1" x14ac:dyDescent="0.3">
      <c r="A68" s="175" t="s">
        <v>17</v>
      </c>
      <c r="B68" s="162">
        <f>IFERROR(VLOOKUP($B$1&amp;$A68,Инвестиции!$E:$H,2,0),"0")</f>
        <v>500</v>
      </c>
      <c r="C68" s="175">
        <f>IFERROR(VLOOKUP($B$1&amp;$A68,Инвестиции!$E:$H,3,0),"'0")</f>
        <v>1</v>
      </c>
      <c r="D68" s="187">
        <f>IFERROR(VLOOKUP($B$1&amp;$A68,Инвестиции!$E:$H,4,0),"0")</f>
        <v>500</v>
      </c>
    </row>
    <row r="69" spans="1:4" outlineLevel="1" x14ac:dyDescent="0.3">
      <c r="A69" s="175" t="s">
        <v>73</v>
      </c>
      <c r="B69" s="162">
        <f>IFERROR(VLOOKUP($B$1&amp;$A69,Инвестиции!$E:$H,2,0),"0")</f>
        <v>1000</v>
      </c>
      <c r="C69" s="175">
        <f>IFERROR(VLOOKUP($B$1&amp;$A69,Инвестиции!$E:$H,3,0),"'0")</f>
        <v>10</v>
      </c>
      <c r="D69" s="187">
        <f>IFERROR(VLOOKUP($B$1&amp;$A69,Инвестиции!$E:$H,4,0),"0")</f>
        <v>10000</v>
      </c>
    </row>
    <row r="70" spans="1:4" outlineLevel="1" x14ac:dyDescent="0.3">
      <c r="A70" s="175" t="s">
        <v>74</v>
      </c>
      <c r="B70" s="162">
        <f>IFERROR(VLOOKUP($B$1&amp;$A70,Инвестиции!$E:$H,2,0),"0")</f>
        <v>1000</v>
      </c>
      <c r="C70" s="175">
        <f>IFERROR(VLOOKUP($B$1&amp;$A70,Инвестиции!$E:$H,3,0),"'0")</f>
        <v>2</v>
      </c>
      <c r="D70" s="187">
        <f>IFERROR(VLOOKUP($B$1&amp;$A70,Инвестиции!$E:$H,4,0),"0")</f>
        <v>2000</v>
      </c>
    </row>
    <row r="71" spans="1:4" outlineLevel="1" x14ac:dyDescent="0.3">
      <c r="A71" s="175" t="s">
        <v>10</v>
      </c>
      <c r="B71" s="162">
        <f>IFERROR(VLOOKUP($B$1&amp;$A71,Инвестиции!$E:$H,2,0),"0")</f>
        <v>400</v>
      </c>
      <c r="C71" s="175">
        <f>IFERROR(VLOOKUP($B$1&amp;$A71,Инвестиции!$E:$H,3,0),"'0")</f>
        <v>30</v>
      </c>
      <c r="D71" s="187">
        <f>IFERROR(VLOOKUP($B$1&amp;$A71,Инвестиции!$E:$H,4,0),"0")</f>
        <v>12000</v>
      </c>
    </row>
    <row r="72" spans="1:4" outlineLevel="1" x14ac:dyDescent="0.3">
      <c r="A72" s="175" t="s">
        <v>20</v>
      </c>
      <c r="B72" s="162">
        <f>IFERROR(VLOOKUP($B$1&amp;$A72,Инвестиции!$E:$H,2,0),"0")</f>
        <v>50</v>
      </c>
      <c r="C72" s="175">
        <f>IFERROR(VLOOKUP($B$1&amp;$A72,Инвестиции!$E:$H,3,0),"'0")</f>
        <v>1</v>
      </c>
      <c r="D72" s="187">
        <f>IFERROR(VLOOKUP($B$1&amp;$A72,Инвестиции!$E:$H,4,0),"0")</f>
        <v>50</v>
      </c>
    </row>
    <row r="73" spans="1:4" outlineLevel="1" x14ac:dyDescent="0.3">
      <c r="A73" s="175" t="s">
        <v>21</v>
      </c>
      <c r="B73" s="162">
        <f>IFERROR(VLOOKUP($B$1&amp;$A73,Инвестиции!$E:$H,2,0),"0")</f>
        <v>500</v>
      </c>
      <c r="C73" s="175">
        <f>IFERROR(VLOOKUP($B$1&amp;$A73,Инвестиции!$E:$H,3,0),"'0")</f>
        <v>2</v>
      </c>
      <c r="D73" s="187">
        <f>IFERROR(VLOOKUP($B$1&amp;$A73,Инвестиции!$E:$H,4,0),"0")</f>
        <v>1000</v>
      </c>
    </row>
    <row r="74" spans="1:4" ht="16.2" outlineLevel="1" thickBot="1" x14ac:dyDescent="0.35">
      <c r="A74" s="177" t="s">
        <v>76</v>
      </c>
      <c r="B74" s="164">
        <f>IFERROR(VLOOKUP($B$1&amp;$A74,Инвестиции!$E:$H,2,0),"0")</f>
        <v>150</v>
      </c>
      <c r="C74" s="177">
        <f>IFERROR(VLOOKUP($B$1&amp;$A74,Инвестиции!$E:$H,3,0),"'0")</f>
        <v>4</v>
      </c>
      <c r="D74" s="189">
        <f>IFERROR(VLOOKUP($B$1&amp;$A74,Инвестиции!$E:$H,4,0),"0")</f>
        <v>600</v>
      </c>
    </row>
    <row r="75" spans="1:4" ht="16.2" outlineLevel="1" thickBot="1" x14ac:dyDescent="0.35">
      <c r="A75" s="118"/>
      <c r="B75" s="114"/>
      <c r="C75" s="119" t="s">
        <v>64</v>
      </c>
      <c r="D75" s="120">
        <f>SUM(D67:D74)</f>
        <v>27150</v>
      </c>
    </row>
    <row r="76" spans="1:4" ht="16.2" outlineLevel="1" thickBot="1" x14ac:dyDescent="0.35">
      <c r="A76" s="118"/>
      <c r="B76" s="114"/>
      <c r="C76" s="122"/>
      <c r="D76" s="115"/>
    </row>
    <row r="77" spans="1:4" ht="18.600000000000001" outlineLevel="1" thickBot="1" x14ac:dyDescent="0.4">
      <c r="A77" s="335" t="s">
        <v>34</v>
      </c>
      <c r="B77" s="336"/>
      <c r="C77" s="336"/>
      <c r="D77" s="337"/>
    </row>
    <row r="78" spans="1:4" outlineLevel="1" x14ac:dyDescent="0.3">
      <c r="A78" s="174" t="s">
        <v>22</v>
      </c>
      <c r="B78" s="174">
        <f>VLOOKUP($B$1&amp;$A78,Инвестиции!$E:$H,2,0)</f>
        <v>4500</v>
      </c>
      <c r="C78" s="174">
        <f>VLOOKUP($B$1&amp;$A78,Инвестиции!$E:$H,3,0)</f>
        <v>1</v>
      </c>
      <c r="D78" s="174">
        <f>VLOOKUP($B$1&amp;$A78,Инвестиции!$E:$H,4,0)</f>
        <v>4500</v>
      </c>
    </row>
    <row r="79" spans="1:4" outlineLevel="1" x14ac:dyDescent="0.3">
      <c r="A79" s="175" t="s">
        <v>23</v>
      </c>
      <c r="B79" s="175">
        <f>VLOOKUP($B$1&amp;$A79,Инвестиции!$E:$H,2,0)</f>
        <v>0</v>
      </c>
      <c r="C79" s="175">
        <f>VLOOKUP($B$1&amp;$A79,Инвестиции!$E:$H,3,0)</f>
        <v>0</v>
      </c>
      <c r="D79" s="175">
        <f>VLOOKUP($B$1&amp;$A79,Инвестиции!$E:$H,4,0)</f>
        <v>0</v>
      </c>
    </row>
    <row r="80" spans="1:4" ht="16.2" outlineLevel="1" thickBot="1" x14ac:dyDescent="0.35">
      <c r="A80" s="177" t="s">
        <v>24</v>
      </c>
      <c r="B80" s="177">
        <f>VLOOKUP($B$1&amp;$A80,Инвестиции!$E:$H,2,0)</f>
        <v>200</v>
      </c>
      <c r="C80" s="175">
        <f>VLOOKUP($B$1&amp;$A80,Инвестиции!$E:$H,3,0)</f>
        <v>3</v>
      </c>
      <c r="D80" s="175">
        <f>VLOOKUP($B$1&amp;$A80,Инвестиции!$E:$H,4,0)</f>
        <v>600</v>
      </c>
    </row>
    <row r="81" spans="1:4" ht="16.2" outlineLevel="1" thickBot="1" x14ac:dyDescent="0.35">
      <c r="A81" s="118"/>
      <c r="B81" s="114"/>
      <c r="C81" s="116" t="s">
        <v>64</v>
      </c>
      <c r="D81" s="117">
        <f>SUM(D78:D80)</f>
        <v>5100</v>
      </c>
    </row>
    <row r="82" spans="1:4" ht="16.2" outlineLevel="1" thickBot="1" x14ac:dyDescent="0.35">
      <c r="A82" s="118"/>
      <c r="B82" s="114"/>
      <c r="C82" s="122"/>
      <c r="D82" s="115"/>
    </row>
    <row r="83" spans="1:4" ht="18.600000000000001" outlineLevel="1" thickBot="1" x14ac:dyDescent="0.35">
      <c r="A83" s="332" t="s">
        <v>11</v>
      </c>
      <c r="B83" s="333"/>
      <c r="C83" s="333"/>
      <c r="D83" s="334"/>
    </row>
    <row r="84" spans="1:4" outlineLevel="1" x14ac:dyDescent="0.3">
      <c r="A84" s="178" t="s">
        <v>13</v>
      </c>
      <c r="B84" s="174">
        <f>VLOOKUP($B$1&amp;$A84,Инвестиции!$E:$H,2,0)</f>
        <v>3000</v>
      </c>
      <c r="C84" s="174">
        <f>VLOOKUP($B$1&amp;$A84,Инвестиции!$E:$H,3,0)</f>
        <v>1</v>
      </c>
      <c r="D84" s="174">
        <f>VLOOKUP($B$1&amp;$A84,Инвестиции!$E:$H,4,0)</f>
        <v>3000</v>
      </c>
    </row>
    <row r="85" spans="1:4" outlineLevel="1" x14ac:dyDescent="0.3">
      <c r="A85" s="179" t="s">
        <v>35</v>
      </c>
      <c r="B85" s="175">
        <f>VLOOKUP($B$1&amp;$A85,Инвестиции!$E:$H,2,0)</f>
        <v>15000</v>
      </c>
      <c r="C85" s="175">
        <f>VLOOKUP($B$1&amp;$A85,Инвестиции!$E:$H,3,0)</f>
        <v>1</v>
      </c>
      <c r="D85" s="175">
        <f>VLOOKUP($B$1&amp;$A85,Инвестиции!$E:$H,4,0)</f>
        <v>15000</v>
      </c>
    </row>
    <row r="86" spans="1:4" outlineLevel="1" x14ac:dyDescent="0.3">
      <c r="A86" s="179" t="s">
        <v>36</v>
      </c>
      <c r="B86" s="175">
        <f>VLOOKUP($B$1&amp;$A86,Инвестиции!$E:$H,2,0)</f>
        <v>65000</v>
      </c>
      <c r="C86" s="175">
        <f>VLOOKUP($B$1&amp;$A86,Инвестиции!$E:$H,3,0)</f>
        <v>1</v>
      </c>
      <c r="D86" s="175">
        <f>VLOOKUP($B$1&amp;$A86,Инвестиции!$E:$H,4,0)</f>
        <v>65000</v>
      </c>
    </row>
    <row r="87" spans="1:4" outlineLevel="1" x14ac:dyDescent="0.3">
      <c r="A87" s="179" t="s">
        <v>37</v>
      </c>
      <c r="B87" s="175">
        <f>VLOOKUP($B$1&amp;$A87,Инвестиции!$E:$H,2,0)</f>
        <v>20000</v>
      </c>
      <c r="C87" s="175">
        <f>VLOOKUP($B$1&amp;$A87,Инвестиции!$E:$H,3,0)</f>
        <v>2</v>
      </c>
      <c r="D87" s="175">
        <f>VLOOKUP($B$1&amp;$A87,Инвестиции!$E:$H,4,0)</f>
        <v>40000</v>
      </c>
    </row>
    <row r="88" spans="1:4" outlineLevel="1" x14ac:dyDescent="0.3">
      <c r="A88" s="179" t="s">
        <v>71</v>
      </c>
      <c r="B88" s="175">
        <f>VLOOKUP($B$1&amp;$A88,Инвестиции!$E:$H,2,0)</f>
        <v>4000</v>
      </c>
      <c r="C88" s="175">
        <f>VLOOKUP($B$1&amp;$A88,Инвестиции!$E:$H,3,0)</f>
        <v>1</v>
      </c>
      <c r="D88" s="175">
        <f>VLOOKUP($B$1&amp;$A88,Инвестиции!$E:$H,4,0)</f>
        <v>4000</v>
      </c>
    </row>
    <row r="89" spans="1:4" outlineLevel="1" x14ac:dyDescent="0.3">
      <c r="A89" s="179" t="s">
        <v>38</v>
      </c>
      <c r="B89" s="175">
        <f>VLOOKUP($B$1&amp;$A89,Инвестиции!$E:$H,2,0)</f>
        <v>350</v>
      </c>
      <c r="C89" s="175">
        <f>VLOOKUP($B$1&amp;$A89,Инвестиции!$E:$H,3,0)</f>
        <v>4</v>
      </c>
      <c r="D89" s="175">
        <f>VLOOKUP($B$1&amp;$A89,Инвестиции!$E:$H,4,0)</f>
        <v>1400</v>
      </c>
    </row>
    <row r="90" spans="1:4" outlineLevel="1" x14ac:dyDescent="0.3">
      <c r="A90" s="179" t="s">
        <v>40</v>
      </c>
      <c r="B90" s="175">
        <f>VLOOKUP($B$1&amp;$A90,Инвестиции!$E:$H,2,0)</f>
        <v>4000</v>
      </c>
      <c r="C90" s="175">
        <f>VLOOKUP($B$1&amp;$A90,Инвестиции!$E:$H,3,0)</f>
        <v>1</v>
      </c>
      <c r="D90" s="175">
        <f>VLOOKUP($B$1&amp;$A90,Инвестиции!$E:$H,4,0)</f>
        <v>4000</v>
      </c>
    </row>
    <row r="91" spans="1:4" outlineLevel="1" x14ac:dyDescent="0.3">
      <c r="A91" s="179" t="s">
        <v>41</v>
      </c>
      <c r="B91" s="175">
        <f>VLOOKUP($B$1&amp;$A91,Инвестиции!$E:$H,2,0)</f>
        <v>2000</v>
      </c>
      <c r="C91" s="175">
        <f>VLOOKUP($B$1&amp;$A91,Инвестиции!$E:$H,3,0)</f>
        <v>1</v>
      </c>
      <c r="D91" s="175">
        <f>VLOOKUP($B$1&amp;$A91,Инвестиции!$E:$H,4,0)</f>
        <v>2000</v>
      </c>
    </row>
    <row r="92" spans="1:4" outlineLevel="1" x14ac:dyDescent="0.3">
      <c r="A92" s="179" t="s">
        <v>42</v>
      </c>
      <c r="B92" s="175">
        <f>VLOOKUP($B$1&amp;$A92,Инвестиции!$E:$H,2,0)</f>
        <v>2000</v>
      </c>
      <c r="C92" s="175">
        <f>VLOOKUP($B$1&amp;$A92,Инвестиции!$E:$H,3,0)</f>
        <v>1</v>
      </c>
      <c r="D92" s="175">
        <f>VLOOKUP($B$1&amp;$A92,Инвестиции!$E:$H,4,0)</f>
        <v>2000</v>
      </c>
    </row>
    <row r="93" spans="1:4" outlineLevel="1" x14ac:dyDescent="0.3">
      <c r="A93" s="179" t="s">
        <v>70</v>
      </c>
      <c r="B93" s="175">
        <f>VLOOKUP($B$1&amp;$A93,Инвестиции!$E:$H,2,0)</f>
        <v>1500</v>
      </c>
      <c r="C93" s="175">
        <f>VLOOKUP($B$1&amp;$A93,Инвестиции!$E:$H,3,0)</f>
        <v>1</v>
      </c>
      <c r="D93" s="175">
        <f>VLOOKUP($B$1&amp;$A93,Инвестиции!$E:$H,4,0)</f>
        <v>1500</v>
      </c>
    </row>
    <row r="94" spans="1:4" outlineLevel="1" x14ac:dyDescent="0.3">
      <c r="A94" s="179" t="s">
        <v>44</v>
      </c>
      <c r="B94" s="175">
        <f>VLOOKUP($B$1&amp;$A94,Инвестиции!$E:$H,2,0)</f>
        <v>1500</v>
      </c>
      <c r="C94" s="175">
        <f>VLOOKUP($B$1&amp;$A94,Инвестиции!$E:$H,3,0)</f>
        <v>2</v>
      </c>
      <c r="D94" s="175">
        <f>VLOOKUP($B$1&amp;$A94,Инвестиции!$E:$H,4,0)</f>
        <v>3000</v>
      </c>
    </row>
    <row r="95" spans="1:4" outlineLevel="1" x14ac:dyDescent="0.3">
      <c r="A95" s="179" t="s">
        <v>51</v>
      </c>
      <c r="B95" s="175">
        <f>VLOOKUP($B$1&amp;$A95,Инвестиции!$E:$H,2,0)</f>
        <v>500</v>
      </c>
      <c r="C95" s="175">
        <f>VLOOKUP($B$1&amp;$A95,Инвестиции!$E:$H,3,0)</f>
        <v>1</v>
      </c>
      <c r="D95" s="175">
        <f>VLOOKUP($B$1&amp;$A95,Инвестиции!$E:$H,4,0)</f>
        <v>500</v>
      </c>
    </row>
    <row r="96" spans="1:4" outlineLevel="1" x14ac:dyDescent="0.3">
      <c r="A96" s="179" t="s">
        <v>45</v>
      </c>
      <c r="B96" s="175">
        <f>VLOOKUP($B$1&amp;$A96,Инвестиции!$E:$H,2,0)</f>
        <v>0</v>
      </c>
      <c r="C96" s="175">
        <f>VLOOKUP($B$1&amp;$A96,Инвестиции!$E:$H,3,0)</f>
        <v>0.05</v>
      </c>
      <c r="D96" s="175">
        <f>VLOOKUP($B$1&amp;$A96,Инвестиции!$E:$H,4,0)</f>
        <v>12250</v>
      </c>
    </row>
    <row r="97" spans="1:4" outlineLevel="1" x14ac:dyDescent="0.3">
      <c r="A97" s="179" t="s">
        <v>261</v>
      </c>
      <c r="B97" s="175">
        <f>IFERROR(VLOOKUP($B$1&amp;$A97,Инвестиции!$E:$H,2,0),0)</f>
        <v>1000</v>
      </c>
      <c r="C97" s="175">
        <f>IFERROR(VLOOKUP($B$1&amp;$A97,Инвестиции!$E:$H,3,0),0)</f>
        <v>7</v>
      </c>
      <c r="D97" s="175">
        <f>IFERROR(VLOOKUP($B$1&amp;$A97,Инвестиции!$E:$H,4,0),0)</f>
        <v>7000</v>
      </c>
    </row>
    <row r="98" spans="1:4" ht="16.2" outlineLevel="1" thickBot="1" x14ac:dyDescent="0.35">
      <c r="A98" s="176" t="s">
        <v>69</v>
      </c>
      <c r="B98" s="177">
        <f>IFERROR(VLOOKUP($B$1&amp;$A98,Инвестиции!$E:$H,2,0),0)</f>
        <v>0.5</v>
      </c>
      <c r="C98" s="177">
        <f>IFERROR(VLOOKUP($B$1&amp;$A98,Инвестиции!$E:$H,3,0),0)</f>
        <v>1</v>
      </c>
      <c r="D98" s="177">
        <f>IFERROR(VLOOKUP($B$1&amp;$A98,Инвестиции!$E:$H,4,0),0)</f>
        <v>10000</v>
      </c>
    </row>
    <row r="99" spans="1:4" ht="16.2" outlineLevel="1" thickBot="1" x14ac:dyDescent="0.35">
      <c r="A99" s="114"/>
      <c r="B99" s="114"/>
      <c r="C99" s="119" t="s">
        <v>64</v>
      </c>
      <c r="D99" s="120">
        <f>SUM(D84:D98)</f>
        <v>170650</v>
      </c>
    </row>
    <row r="100" spans="1:4" ht="16.2" outlineLevel="1" thickBot="1" x14ac:dyDescent="0.35">
      <c r="A100" s="114"/>
      <c r="B100" s="114"/>
      <c r="C100" s="115"/>
      <c r="D100" s="114"/>
    </row>
    <row r="101" spans="1:4" ht="18.600000000000001" outlineLevel="1" thickBot="1" x14ac:dyDescent="0.35">
      <c r="A101" s="319" t="s">
        <v>46</v>
      </c>
      <c r="B101" s="320"/>
      <c r="C101" s="320"/>
      <c r="D101" s="321"/>
    </row>
    <row r="102" spans="1:4" outlineLevel="1" x14ac:dyDescent="0.3">
      <c r="A102" s="174" t="s">
        <v>47</v>
      </c>
      <c r="B102" s="174">
        <f>VLOOKUP($B$1&amp;$A102,Инвестиции!$E:$H,2,0)</f>
        <v>700</v>
      </c>
      <c r="C102" s="174">
        <f>VLOOKUP($B$1&amp;$A102,Инвестиции!$E:$H,3,0)</f>
        <v>10</v>
      </c>
      <c r="D102" s="174">
        <f>VLOOKUP($B$1&amp;$A102,Инвестиции!$E:$H,4,0)</f>
        <v>7000</v>
      </c>
    </row>
    <row r="103" spans="1:4" outlineLevel="1" x14ac:dyDescent="0.3">
      <c r="A103" s="175" t="s">
        <v>48</v>
      </c>
      <c r="B103" s="175">
        <f>VLOOKUP($B$1&amp;$A103,Инвестиции!$E:$H,2,0)</f>
        <v>2000</v>
      </c>
      <c r="C103" s="175">
        <f>VLOOKUP($B$1&amp;$A103,Инвестиции!$E:$H,3,0)</f>
        <v>1</v>
      </c>
      <c r="D103" s="175">
        <f>VLOOKUP($B$1&amp;$A103,Инвестиции!$E:$H,4,0)</f>
        <v>2000</v>
      </c>
    </row>
    <row r="104" spans="1:4" outlineLevel="1" x14ac:dyDescent="0.3">
      <c r="A104" s="175" t="s">
        <v>49</v>
      </c>
      <c r="B104" s="175">
        <f>VLOOKUP($B$1&amp;$A104,Инвестиции!$E:$H,2,0)</f>
        <v>2000</v>
      </c>
      <c r="C104" s="175">
        <f>VLOOKUP($B$1&amp;$A104,Инвестиции!$E:$H,3,0)</f>
        <v>1</v>
      </c>
      <c r="D104" s="175">
        <f>VLOOKUP($B$1&amp;$A104,Инвестиции!$E:$H,4,0)</f>
        <v>2000</v>
      </c>
    </row>
    <row r="105" spans="1:4" outlineLevel="1" x14ac:dyDescent="0.3">
      <c r="A105" s="175" t="s">
        <v>50</v>
      </c>
      <c r="B105" s="175">
        <f>VLOOKUP($B$1&amp;$A105,Инвестиции!$E:$H,2,0)</f>
        <v>500</v>
      </c>
      <c r="C105" s="175">
        <f>VLOOKUP($B$1&amp;$A105,Инвестиции!$E:$H,3,0)</f>
        <v>2</v>
      </c>
      <c r="D105" s="175">
        <f>VLOOKUP($B$1&amp;$A105,Инвестиции!$E:$H,4,0)</f>
        <v>1000</v>
      </c>
    </row>
    <row r="106" spans="1:4" ht="16.2" outlineLevel="1" thickBot="1" x14ac:dyDescent="0.35">
      <c r="A106" s="177" t="s">
        <v>52</v>
      </c>
      <c r="B106" s="177">
        <f>VLOOKUP($B$1&amp;$A106,Инвестиции!$E:$H,2,0)</f>
        <v>1000</v>
      </c>
      <c r="C106" s="177">
        <f>VLOOKUP($B$1&amp;$A106,Инвестиции!$E:$H,3,0)</f>
        <v>1</v>
      </c>
      <c r="D106" s="177">
        <f>VLOOKUP($B$1&amp;$A106,Инвестиции!$E:$H,4,0)</f>
        <v>1000</v>
      </c>
    </row>
    <row r="107" spans="1:4" ht="16.2" outlineLevel="1" thickBot="1" x14ac:dyDescent="0.35">
      <c r="A107" s="123" t="s">
        <v>75</v>
      </c>
      <c r="B107" s="114"/>
      <c r="C107" s="116" t="s">
        <v>64</v>
      </c>
      <c r="D107" s="117">
        <f>SUM(D102:D106)</f>
        <v>13000</v>
      </c>
    </row>
    <row r="108" spans="1:4" ht="16.2" thickBot="1" x14ac:dyDescent="0.35">
      <c r="A108" s="114"/>
      <c r="B108" s="114"/>
      <c r="C108" s="115"/>
      <c r="D108" s="114"/>
    </row>
    <row r="109" spans="1:4" ht="29.4" thickBot="1" x14ac:dyDescent="0.6">
      <c r="A109" s="296" t="s">
        <v>242</v>
      </c>
      <c r="B109" s="265"/>
      <c r="C109" s="115"/>
      <c r="D109" s="114"/>
    </row>
    <row r="110" spans="1:4" ht="16.2" thickBot="1" x14ac:dyDescent="0.35"/>
    <row r="111" spans="1:4" ht="28.8" x14ac:dyDescent="0.55000000000000004">
      <c r="A111" s="297" t="s">
        <v>43</v>
      </c>
      <c r="B111" s="298">
        <f>AC152</f>
        <v>1849600</v>
      </c>
      <c r="C111" s="115"/>
      <c r="D111" s="114"/>
    </row>
    <row r="112" spans="1:4" ht="28.8" x14ac:dyDescent="0.55000000000000004">
      <c r="A112" s="299" t="s">
        <v>131</v>
      </c>
      <c r="B112" s="300">
        <f>AD126</f>
        <v>524060</v>
      </c>
      <c r="C112" s="115"/>
      <c r="D112" s="114"/>
    </row>
    <row r="113" spans="1:32" ht="43.5" customHeight="1" thickBot="1" x14ac:dyDescent="0.6">
      <c r="A113" s="307" t="s">
        <v>132</v>
      </c>
      <c r="B113" s="301">
        <f>AD138</f>
        <v>1325540</v>
      </c>
      <c r="C113" s="115"/>
      <c r="D113" s="114"/>
    </row>
    <row r="114" spans="1:32" ht="28.8" x14ac:dyDescent="0.55000000000000004">
      <c r="A114" s="266" t="s">
        <v>243</v>
      </c>
      <c r="B114" s="265"/>
      <c r="C114" s="115"/>
      <c r="D114" s="114"/>
    </row>
    <row r="115" spans="1:32" ht="24" outlineLevel="1" thickBot="1" x14ac:dyDescent="0.35">
      <c r="B115" s="192" t="s">
        <v>131</v>
      </c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63"/>
      <c r="Y115" s="63"/>
      <c r="Z115" s="63"/>
      <c r="AA115" s="63"/>
      <c r="AB115" s="63"/>
      <c r="AC115" s="63"/>
      <c r="AD115" s="63"/>
    </row>
    <row r="116" spans="1:32" ht="67.5" customHeight="1" outlineLevel="1" thickBot="1" x14ac:dyDescent="0.35">
      <c r="B116" s="194" t="s">
        <v>91</v>
      </c>
      <c r="C116" s="195" t="s">
        <v>92</v>
      </c>
      <c r="D116" s="196" t="s">
        <v>93</v>
      </c>
      <c r="E116" s="197" t="s">
        <v>134</v>
      </c>
      <c r="F116" s="198" t="s">
        <v>94</v>
      </c>
      <c r="G116" s="199" t="s">
        <v>95</v>
      </c>
      <c r="H116" s="200" t="s">
        <v>96</v>
      </c>
      <c r="I116" s="200" t="s">
        <v>97</v>
      </c>
      <c r="J116" s="200" t="s">
        <v>98</v>
      </c>
      <c r="K116" s="200" t="s">
        <v>99</v>
      </c>
      <c r="L116" s="199" t="s">
        <v>100</v>
      </c>
      <c r="M116" s="200" t="s">
        <v>101</v>
      </c>
      <c r="N116" s="200" t="s">
        <v>102</v>
      </c>
      <c r="O116" s="195" t="s">
        <v>103</v>
      </c>
      <c r="P116" s="196" t="s">
        <v>104</v>
      </c>
      <c r="Q116" s="196" t="s">
        <v>105</v>
      </c>
      <c r="R116" s="197" t="s">
        <v>90</v>
      </c>
      <c r="S116" s="196" t="s">
        <v>106</v>
      </c>
      <c r="T116" s="202" t="s">
        <v>107</v>
      </c>
      <c r="U116" s="196" t="s">
        <v>108</v>
      </c>
      <c r="V116" s="202" t="s">
        <v>109</v>
      </c>
      <c r="W116" s="203" t="s">
        <v>110</v>
      </c>
      <c r="X116" s="200" t="s">
        <v>111</v>
      </c>
      <c r="Y116" s="200" t="s">
        <v>112</v>
      </c>
      <c r="Z116" s="200" t="s">
        <v>113</v>
      </c>
      <c r="AA116" s="200" t="s">
        <v>135</v>
      </c>
      <c r="AB116" s="200" t="s">
        <v>136</v>
      </c>
      <c r="AC116" s="200" t="s">
        <v>115</v>
      </c>
      <c r="AD116" s="201" t="s">
        <v>116</v>
      </c>
    </row>
    <row r="117" spans="1:32" ht="15.75" customHeight="1" outlineLevel="1" x14ac:dyDescent="0.3">
      <c r="A117" s="77">
        <v>1</v>
      </c>
      <c r="B117" s="17">
        <f>VLOOKUP($B$1&amp;$B$3&amp;$B$115&amp;$A117,Доход!$D$2:$AG$3500,Доход!E$1,0)</f>
        <v>250</v>
      </c>
      <c r="C117" s="24">
        <f>VLOOKUP($B$1&amp;$B$3&amp;$B$115&amp;$A117,Доход!$D$2:$AG$3500,Доход!F$1,0)</f>
        <v>10</v>
      </c>
      <c r="D117" s="24">
        <f>VLOOKUP($B$1&amp;$B$3&amp;$B$115&amp;$A117,Доход!$D$2:$AG$3500,Доход!G$1,0)</f>
        <v>25</v>
      </c>
      <c r="E117" s="24">
        <f>VLOOKUP($B$1&amp;$B$3&amp;$B$115&amp;$A117,Доход!$D$2:$AG$3500,Доход!H$1,0)</f>
        <v>5</v>
      </c>
      <c r="F117" s="49">
        <f>VLOOKUP($B$1&amp;$B$3&amp;$B$115&amp;$A117,Доход!$D$2:$AG$3500,Доход!I$1,0)</f>
        <v>0.25</v>
      </c>
      <c r="G117" s="50">
        <f>VLOOKUP($B$1&amp;$B$3&amp;$B$115&amp;$A117,Доход!$D$2:$AG$3500,Доход!J$1,0)</f>
        <v>62.5</v>
      </c>
      <c r="H117" s="50">
        <f>VLOOKUP($B$1&amp;$B$3&amp;$B$115&amp;$A117,Доход!$D$2:$AG$3500,Доход!K$1,0)</f>
        <v>10</v>
      </c>
      <c r="I117" s="50">
        <f>VLOOKUP($B$1&amp;$B$3&amp;$B$115&amp;$A117,Доход!$D$2:$AG$3500,Доход!L$1,0)</f>
        <v>6.25</v>
      </c>
      <c r="J117" s="51">
        <f>VLOOKUP($B$1&amp;$B$3&amp;$B$115&amp;$A117,Доход!$D$2:$AG$3500,Доход!M$1,0)</f>
        <v>1.4880952380952381</v>
      </c>
      <c r="K117" s="52">
        <f>VLOOKUP($B$1&amp;$B$3&amp;$B$115&amp;$A117,Доход!$D$2:$AG$3500,Доход!N$1,0)</f>
        <v>0.5</v>
      </c>
      <c r="L117" s="50">
        <f>VLOOKUP($B$1&amp;$B$3&amp;$B$115&amp;$A117,Доход!$D$2:$AG$3500,Доход!O$1,0)</f>
        <v>31</v>
      </c>
      <c r="M117" s="52">
        <f>VLOOKUP($B$1&amp;$B$3&amp;$B$115&amp;$A117,Доход!$D$2:$AG$3500,Доход!P$1,0)</f>
        <v>0.35</v>
      </c>
      <c r="N117" s="69">
        <f>VLOOKUP($B$1&amp;$B$3&amp;$B$115&amp;$A117,Доход!$D$2:$AG$3500,Доход!Q$1,0)</f>
        <v>0.5</v>
      </c>
      <c r="O117" s="77">
        <f>VLOOKUP($B$1&amp;$B$3&amp;$B$115&amp;$A117,Доход!$D$2:$AG$3500,Доход!R$1,0)</f>
        <v>1</v>
      </c>
      <c r="P117" s="78">
        <f>VLOOKUP($B$1&amp;$B$3&amp;$B$115&amp;$A117,Доход!$D$2:$AG$3500,Доход!S$1,0)</f>
        <v>350</v>
      </c>
      <c r="Q117" s="78">
        <f>VLOOKUP($B$1&amp;$B$3&amp;$B$115&amp;$A117,Доход!$D$2:$AG$3500,Доход!T$1,0)</f>
        <v>400</v>
      </c>
      <c r="R117" s="79">
        <f>VLOOKUP($B$1&amp;$B$3&amp;$B$115&amp;$A117,Доход!$D$2:$AG$3500,Доход!U$1,0)</f>
        <v>5490</v>
      </c>
      <c r="S117" s="218">
        <f>VLOOKUP($B$1&amp;$B$3&amp;$B$115&amp;$A117,Доход!$D$2:$AG$3500,Доход!V$1,0)</f>
        <v>12400</v>
      </c>
      <c r="T117" s="218">
        <f>VLOOKUP($B$1&amp;$B$3&amp;$B$115&amp;$A117,Доход!$D$2:$AG$3500,Доход!W$1,0)</f>
        <v>11</v>
      </c>
      <c r="U117" s="218">
        <f>VLOOKUP($B$1&amp;$B$3&amp;$B$115&amp;$A117,Доход!$D$2:$AG$3500,Доход!X$1,0)</f>
        <v>60390</v>
      </c>
      <c r="V117" s="218">
        <f>VLOOKUP($B$1&amp;$B$3&amp;$B$115&amp;$A117,Доход!$D$2:$AG$3500,Доход!Y$1,0)</f>
        <v>11</v>
      </c>
      <c r="W117" s="219">
        <f>VLOOKUP($B$1&amp;$B$3&amp;$B$115&amp;$A117,Доход!$D$2:$AG$3500,Доход!Z$1,0)</f>
        <v>10850</v>
      </c>
      <c r="X117" s="204">
        <f>VLOOKUP($B$1&amp;$B$3&amp;$B$115&amp;$A117,Доход!$D$2:$AG$3500,Доход!AA$1,0)</f>
        <v>0</v>
      </c>
      <c r="Y117" s="205">
        <f>VLOOKUP($B$1&amp;$B$3&amp;$B$115&amp;$A117,Доход!$D$2:$AG$3500,Доход!AB$1,0)</f>
        <v>0</v>
      </c>
      <c r="Z117" s="205">
        <f>VLOOKUP($B$1&amp;$B$3&amp;$B$115&amp;$A117,Доход!$D$2:$AG$3500,Доход!AC$1,0)</f>
        <v>72790</v>
      </c>
      <c r="AA117" s="205">
        <f>VLOOKUP($B$1&amp;$B$3&amp;$B$115&amp;$A117,Доход!$D$2:$AG$3500,Доход!AD$1,0)</f>
        <v>2</v>
      </c>
      <c r="AB117" s="205">
        <f>VLOOKUP($B$1&amp;$B$3&amp;$B$115&amp;$A117,Доход!$D$2:$AG$3500,Доход!AE$1,0)</f>
        <v>3</v>
      </c>
      <c r="AC117" s="205">
        <f>VLOOKUP($B$1&amp;$B$3&amp;$B$115&amp;$A117,Доход!$D$2:$AG$3500,Доход!AF$1,0)</f>
        <v>8600</v>
      </c>
      <c r="AD117" s="206">
        <f>VLOOKUP($B$1&amp;$B$3&amp;$B$115&amp;$A117,Доход!$D$2:$AG$3500,Доход!AG$1,0)</f>
        <v>53340</v>
      </c>
      <c r="AF117" s="270"/>
    </row>
    <row r="118" spans="1:32" outlineLevel="1" x14ac:dyDescent="0.3">
      <c r="A118" s="29">
        <v>2</v>
      </c>
      <c r="B118" s="18">
        <f>VLOOKUP($B$1&amp;$B$3&amp;$B$115&amp;$A118,Доход!$D$2:$AG$3500,Доход!E$1,0)</f>
        <v>250</v>
      </c>
      <c r="C118" s="24">
        <f>VLOOKUP($B$1&amp;$B$3&amp;$B$115&amp;$A118,Доход!$D$2:$AG$3500,Доход!F$1,0)</f>
        <v>10</v>
      </c>
      <c r="D118" s="24">
        <f>VLOOKUP($B$1&amp;$B$3&amp;$B$115&amp;$A118,Доход!$D$2:$AG$3500,Доход!G$1,0)</f>
        <v>25</v>
      </c>
      <c r="E118" s="24">
        <f>VLOOKUP($B$1&amp;$B$3&amp;$B$115&amp;$A118,Доход!$D$2:$AG$3500,Доход!H$1,0)</f>
        <v>5</v>
      </c>
      <c r="F118" s="26">
        <f>VLOOKUP($B$1&amp;$B$3&amp;$B$115&amp;$A118,Доход!$D$2:$AG$3500,Доход!I$1,0)</f>
        <v>0.25</v>
      </c>
      <c r="G118" s="27">
        <f>VLOOKUP($B$1&amp;$B$3&amp;$B$115&amp;$A118,Доход!$D$2:$AG$3500,Доход!J$1,0)</f>
        <v>62.5</v>
      </c>
      <c r="H118" s="27">
        <f>VLOOKUP($B$1&amp;$B$3&amp;$B$115&amp;$A118,Доход!$D$2:$AG$3500,Доход!K$1,0)</f>
        <v>10</v>
      </c>
      <c r="I118" s="27">
        <f>VLOOKUP($B$1&amp;$B$3&amp;$B$115&amp;$A118,Доход!$D$2:$AG$3500,Доход!L$1,0)</f>
        <v>6.25</v>
      </c>
      <c r="J118" s="48">
        <f>VLOOKUP($B$1&amp;$B$3&amp;$B$115&amp;$A118,Доход!$D$2:$AG$3500,Доход!M$1,0)</f>
        <v>1.4880952380952381</v>
      </c>
      <c r="K118" s="28">
        <f>VLOOKUP($B$1&amp;$B$3&amp;$B$115&amp;$A118,Доход!$D$2:$AG$3500,Доход!N$1,0)</f>
        <v>0.5</v>
      </c>
      <c r="L118" s="27">
        <f>VLOOKUP($B$1&amp;$B$3&amp;$B$115&amp;$A118,Доход!$D$2:$AG$3500,Доход!O$1,0)</f>
        <v>31</v>
      </c>
      <c r="M118" s="28">
        <f>VLOOKUP($B$1&amp;$B$3&amp;$B$115&amp;$A118,Доход!$D$2:$AG$3500,Доход!P$1,0)</f>
        <v>0.35</v>
      </c>
      <c r="N118" s="70">
        <f>VLOOKUP($B$1&amp;$B$3&amp;$B$115&amp;$A118,Доход!$D$2:$AG$3500,Доход!Q$1,0)</f>
        <v>0.5</v>
      </c>
      <c r="O118" s="29">
        <f>VLOOKUP($B$1&amp;$B$3&amp;$B$115&amp;$A118,Доход!$D$2:$AG$3500,Доход!R$1,0)</f>
        <v>2</v>
      </c>
      <c r="P118" s="30">
        <f>VLOOKUP($B$1&amp;$B$3&amp;$B$115&amp;$A118,Доход!$D$2:$AG$3500,Доход!S$1,0)</f>
        <v>350</v>
      </c>
      <c r="Q118" s="30">
        <f>VLOOKUP($B$1&amp;$B$3&amp;$B$115&amp;$A118,Доход!$D$2:$AG$3500,Доход!T$1,0)</f>
        <v>400</v>
      </c>
      <c r="R118" s="31">
        <f>VLOOKUP($B$1&amp;$B$3&amp;$B$115&amp;$A118,Доход!$D$2:$AG$3500,Доход!U$1,0)</f>
        <v>5490</v>
      </c>
      <c r="S118" s="222">
        <f>VLOOKUP($B$1&amp;$B$3&amp;$B$115&amp;$A118,Доход!$D$2:$AG$3500,Доход!V$1,0)</f>
        <v>12400</v>
      </c>
      <c r="T118" s="222">
        <f>VLOOKUP($B$1&amp;$B$3&amp;$B$115&amp;$A118,Доход!$D$2:$AG$3500,Доход!W$1,0)</f>
        <v>11</v>
      </c>
      <c r="U118" s="222">
        <f>VLOOKUP($B$1&amp;$B$3&amp;$B$115&amp;$A118,Доход!$D$2:$AG$3500,Доход!X$1,0)</f>
        <v>60390</v>
      </c>
      <c r="V118" s="222">
        <f>VLOOKUP($B$1&amp;$B$3&amp;$B$115&amp;$A118,Доход!$D$2:$AG$3500,Доход!Y$1,0)</f>
        <v>22</v>
      </c>
      <c r="W118" s="223">
        <f>VLOOKUP($B$1&amp;$B$3&amp;$B$115&amp;$A118,Доход!$D$2:$AG$3500,Доход!Z$1,0)</f>
        <v>10850</v>
      </c>
      <c r="X118" s="207">
        <f>VLOOKUP($B$1&amp;$B$3&amp;$B$115&amp;$A118,Доход!$D$2:$AG$3500,Доход!AA$1,0)</f>
        <v>0</v>
      </c>
      <c r="Y118" s="208">
        <f>VLOOKUP($B$1&amp;$B$3&amp;$B$115&amp;$A118,Доход!$D$2:$AG$3500,Доход!AB$1,0)</f>
        <v>0</v>
      </c>
      <c r="Z118" s="208">
        <f>VLOOKUP($B$1&amp;$B$3&amp;$B$115&amp;$A118,Доход!$D$2:$AG$3500,Доход!AC$1,0)</f>
        <v>72790</v>
      </c>
      <c r="AA118" s="208">
        <f>VLOOKUP($B$1&amp;$B$3&amp;$B$115&amp;$A118,Доход!$D$2:$AG$3500,Доход!AD$1,0)</f>
        <v>4</v>
      </c>
      <c r="AB118" s="208">
        <f>VLOOKUP($B$1&amp;$B$3&amp;$B$115&amp;$A118,Доход!$D$2:$AG$3500,Доход!AE$1,0)</f>
        <v>3</v>
      </c>
      <c r="AC118" s="208">
        <f>VLOOKUP($B$1&amp;$B$3&amp;$B$115&amp;$A118,Доход!$D$2:$AG$3500,Доход!AF$1,0)</f>
        <v>12040</v>
      </c>
      <c r="AD118" s="138">
        <f>VLOOKUP($B$1&amp;$B$3&amp;$B$115&amp;$A118,Доход!$D$2:$AG$3500,Доход!AG$1,0)</f>
        <v>60750</v>
      </c>
      <c r="AF118" s="270"/>
    </row>
    <row r="119" spans="1:32" outlineLevel="1" x14ac:dyDescent="0.3">
      <c r="A119" s="29">
        <v>3</v>
      </c>
      <c r="B119" s="18">
        <f>VLOOKUP($B$1&amp;$B$3&amp;$B$115&amp;$A119,Доход!$D$2:$AG$3500,Доход!E$1,0)</f>
        <v>250</v>
      </c>
      <c r="C119" s="24">
        <f>VLOOKUP($B$1&amp;$B$3&amp;$B$115&amp;$A119,Доход!$D$2:$AG$3500,Доход!F$1,0)</f>
        <v>10</v>
      </c>
      <c r="D119" s="24">
        <f>VLOOKUP($B$1&amp;$B$3&amp;$B$115&amp;$A119,Доход!$D$2:$AG$3500,Доход!G$1,0)</f>
        <v>25</v>
      </c>
      <c r="E119" s="24">
        <f>VLOOKUP($B$1&amp;$B$3&amp;$B$115&amp;$A119,Доход!$D$2:$AG$3500,Доход!H$1,0)</f>
        <v>5</v>
      </c>
      <c r="F119" s="26">
        <f>VLOOKUP($B$1&amp;$B$3&amp;$B$115&amp;$A119,Доход!$D$2:$AG$3500,Доход!I$1,0)</f>
        <v>0.25</v>
      </c>
      <c r="G119" s="27">
        <f>VLOOKUP($B$1&amp;$B$3&amp;$B$115&amp;$A119,Доход!$D$2:$AG$3500,Доход!J$1,0)</f>
        <v>62.5</v>
      </c>
      <c r="H119" s="27">
        <f>VLOOKUP($B$1&amp;$B$3&amp;$B$115&amp;$A119,Доход!$D$2:$AG$3500,Доход!K$1,0)</f>
        <v>10</v>
      </c>
      <c r="I119" s="27">
        <f>VLOOKUP($B$1&amp;$B$3&amp;$B$115&amp;$A119,Доход!$D$2:$AG$3500,Доход!L$1,0)</f>
        <v>6.25</v>
      </c>
      <c r="J119" s="48">
        <f>VLOOKUP($B$1&amp;$B$3&amp;$B$115&amp;$A119,Доход!$D$2:$AG$3500,Доход!M$1,0)</f>
        <v>1.4880952380952381</v>
      </c>
      <c r="K119" s="28">
        <f>VLOOKUP($B$1&amp;$B$3&amp;$B$115&amp;$A119,Доход!$D$2:$AG$3500,Доход!N$1,0)</f>
        <v>0.5</v>
      </c>
      <c r="L119" s="27">
        <f>VLOOKUP($B$1&amp;$B$3&amp;$B$115&amp;$A119,Доход!$D$2:$AG$3500,Доход!O$1,0)</f>
        <v>31</v>
      </c>
      <c r="M119" s="28">
        <f>VLOOKUP($B$1&amp;$B$3&amp;$B$115&amp;$A119,Доход!$D$2:$AG$3500,Доход!P$1,0)</f>
        <v>0.35</v>
      </c>
      <c r="N119" s="70">
        <f>VLOOKUP($B$1&amp;$B$3&amp;$B$115&amp;$A119,Доход!$D$2:$AG$3500,Доход!Q$1,0)</f>
        <v>0.5</v>
      </c>
      <c r="O119" s="29">
        <f>VLOOKUP($B$1&amp;$B$3&amp;$B$115&amp;$A119,Доход!$D$2:$AG$3500,Доход!R$1,0)</f>
        <v>3</v>
      </c>
      <c r="P119" s="30">
        <f>VLOOKUP($B$1&amp;$B$3&amp;$B$115&amp;$A119,Доход!$D$2:$AG$3500,Доход!S$1,0)</f>
        <v>350</v>
      </c>
      <c r="Q119" s="30">
        <f>VLOOKUP($B$1&amp;$B$3&amp;$B$115&amp;$A119,Доход!$D$2:$AG$3500,Доход!T$1,0)</f>
        <v>400</v>
      </c>
      <c r="R119" s="31">
        <f>VLOOKUP($B$1&amp;$B$3&amp;$B$115&amp;$A119,Доход!$D$2:$AG$3500,Доход!U$1,0)</f>
        <v>5490</v>
      </c>
      <c r="S119" s="222">
        <f>VLOOKUP($B$1&amp;$B$3&amp;$B$115&amp;$A119,Доход!$D$2:$AG$3500,Доход!V$1,0)</f>
        <v>12400</v>
      </c>
      <c r="T119" s="222">
        <f>VLOOKUP($B$1&amp;$B$3&amp;$B$115&amp;$A119,Доход!$D$2:$AG$3500,Доход!W$1,0)</f>
        <v>11</v>
      </c>
      <c r="U119" s="222">
        <f>VLOOKUP($B$1&amp;$B$3&amp;$B$115&amp;$A119,Доход!$D$2:$AG$3500,Доход!X$1,0)</f>
        <v>60390</v>
      </c>
      <c r="V119" s="222">
        <f>VLOOKUP($B$1&amp;$B$3&amp;$B$115&amp;$A119,Доход!$D$2:$AG$3500,Доход!Y$1,0)</f>
        <v>33</v>
      </c>
      <c r="W119" s="223">
        <f>VLOOKUP($B$1&amp;$B$3&amp;$B$115&amp;$A119,Доход!$D$2:$AG$3500,Доход!Z$1,0)</f>
        <v>10850</v>
      </c>
      <c r="X119" s="207">
        <f>VLOOKUP($B$1&amp;$B$3&amp;$B$115&amp;$A119,Доход!$D$2:$AG$3500,Доход!AA$1,0)</f>
        <v>0</v>
      </c>
      <c r="Y119" s="208">
        <f>VLOOKUP($B$1&amp;$B$3&amp;$B$115&amp;$A119,Доход!$D$2:$AG$3500,Доход!AB$1,0)</f>
        <v>0</v>
      </c>
      <c r="Z119" s="208">
        <f>VLOOKUP($B$1&amp;$B$3&amp;$B$115&amp;$A119,Доход!$D$2:$AG$3500,Доход!AC$1,0)</f>
        <v>72790</v>
      </c>
      <c r="AA119" s="208">
        <f>VLOOKUP($B$1&amp;$B$3&amp;$B$115&amp;$A119,Доход!$D$2:$AG$3500,Доход!AD$1,0)</f>
        <v>5</v>
      </c>
      <c r="AB119" s="208">
        <f>VLOOKUP($B$1&amp;$B$3&amp;$B$115&amp;$A119,Доход!$D$2:$AG$3500,Доход!AE$1,0)</f>
        <v>3</v>
      </c>
      <c r="AC119" s="208">
        <f>VLOOKUP($B$1&amp;$B$3&amp;$B$115&amp;$A119,Доход!$D$2:$AG$3500,Доход!AF$1,0)</f>
        <v>13760</v>
      </c>
      <c r="AD119" s="138">
        <f>VLOOKUP($B$1&amp;$B$3&amp;$B$115&amp;$A119,Доход!$D$2:$AG$3500,Доход!AG$1,0)</f>
        <v>59030</v>
      </c>
      <c r="AF119" s="270"/>
    </row>
    <row r="120" spans="1:32" ht="15.6" customHeight="1" outlineLevel="1" x14ac:dyDescent="0.3">
      <c r="A120" s="29">
        <v>4</v>
      </c>
      <c r="B120" s="18">
        <f>VLOOKUP($B$1&amp;$B$3&amp;$B$115&amp;$A120,Доход!$D$2:$AG$3500,Доход!E$1,0)</f>
        <v>250</v>
      </c>
      <c r="C120" s="24">
        <f>VLOOKUP($B$1&amp;$B$3&amp;$B$115&amp;$A120,Доход!$D$2:$AG$3500,Доход!F$1,0)</f>
        <v>10</v>
      </c>
      <c r="D120" s="24">
        <f>VLOOKUP($B$1&amp;$B$3&amp;$B$115&amp;$A120,Доход!$D$2:$AG$3500,Доход!G$1,0)</f>
        <v>25</v>
      </c>
      <c r="E120" s="24">
        <f>VLOOKUP($B$1&amp;$B$3&amp;$B$115&amp;$A120,Доход!$D$2:$AG$3500,Доход!H$1,0)</f>
        <v>5</v>
      </c>
      <c r="F120" s="26">
        <f>VLOOKUP($B$1&amp;$B$3&amp;$B$115&amp;$A120,Доход!$D$2:$AG$3500,Доход!I$1,0)</f>
        <v>0.25</v>
      </c>
      <c r="G120" s="27">
        <f>VLOOKUP($B$1&amp;$B$3&amp;$B$115&amp;$A120,Доход!$D$2:$AG$3500,Доход!J$1,0)</f>
        <v>62.5</v>
      </c>
      <c r="H120" s="27">
        <f>VLOOKUP($B$1&amp;$B$3&amp;$B$115&amp;$A120,Доход!$D$2:$AG$3500,Доход!K$1,0)</f>
        <v>10</v>
      </c>
      <c r="I120" s="27">
        <f>VLOOKUP($B$1&amp;$B$3&amp;$B$115&amp;$A120,Доход!$D$2:$AG$3500,Доход!L$1,0)</f>
        <v>6.25</v>
      </c>
      <c r="J120" s="48">
        <f>VLOOKUP($B$1&amp;$B$3&amp;$B$115&amp;$A120,Доход!$D$2:$AG$3500,Доход!M$1,0)</f>
        <v>1.4880952380952381</v>
      </c>
      <c r="K120" s="28">
        <f>VLOOKUP($B$1&amp;$B$3&amp;$B$115&amp;$A120,Доход!$D$2:$AG$3500,Доход!N$1,0)</f>
        <v>0.5</v>
      </c>
      <c r="L120" s="27">
        <f>VLOOKUP($B$1&amp;$B$3&amp;$B$115&amp;$A120,Доход!$D$2:$AG$3500,Доход!O$1,0)</f>
        <v>31</v>
      </c>
      <c r="M120" s="28">
        <f>VLOOKUP($B$1&amp;$B$3&amp;$B$115&amp;$A120,Доход!$D$2:$AG$3500,Доход!P$1,0)</f>
        <v>0.35</v>
      </c>
      <c r="N120" s="70">
        <f>VLOOKUP($B$1&amp;$B$3&amp;$B$115&amp;$A120,Доход!$D$2:$AG$3500,Доход!Q$1,0)</f>
        <v>0.5</v>
      </c>
      <c r="O120" s="29">
        <f>VLOOKUP($B$1&amp;$B$3&amp;$B$115&amp;$A120,Доход!$D$2:$AG$3500,Доход!R$1,0)</f>
        <v>4</v>
      </c>
      <c r="P120" s="30">
        <f>VLOOKUP($B$1&amp;$B$3&amp;$B$115&amp;$A120,Доход!$D$2:$AG$3500,Доход!S$1,0)</f>
        <v>350</v>
      </c>
      <c r="Q120" s="30">
        <f>VLOOKUP($B$1&amp;$B$3&amp;$B$115&amp;$A120,Доход!$D$2:$AG$3500,Доход!T$1,0)</f>
        <v>400</v>
      </c>
      <c r="R120" s="31">
        <f>VLOOKUP($B$1&amp;$B$3&amp;$B$115&amp;$A120,Доход!$D$2:$AG$3500,Доход!U$1,0)</f>
        <v>5490</v>
      </c>
      <c r="S120" s="222">
        <f>VLOOKUP($B$1&amp;$B$3&amp;$B$115&amp;$A120,Доход!$D$2:$AG$3500,Доход!V$1,0)</f>
        <v>12400</v>
      </c>
      <c r="T120" s="222">
        <f>VLOOKUP($B$1&amp;$B$3&amp;$B$115&amp;$A120,Доход!$D$2:$AG$3500,Доход!W$1,0)</f>
        <v>11</v>
      </c>
      <c r="U120" s="222">
        <f>VLOOKUP($B$1&amp;$B$3&amp;$B$115&amp;$A120,Доход!$D$2:$AG$3500,Доход!X$1,0)</f>
        <v>60390</v>
      </c>
      <c r="V120" s="222">
        <f>VLOOKUP($B$1&amp;$B$3&amp;$B$115&amp;$A120,Доход!$D$2:$AG$3500,Доход!Y$1,0)</f>
        <v>44</v>
      </c>
      <c r="W120" s="223">
        <f>VLOOKUP($B$1&amp;$B$3&amp;$B$115&amp;$A120,Доход!$D$2:$AG$3500,Доход!Z$1,0)</f>
        <v>10850</v>
      </c>
      <c r="X120" s="207">
        <f>VLOOKUP($B$1&amp;$B$3&amp;$B$115&amp;$A120,Доход!$D$2:$AG$3500,Доход!AA$1,0)</f>
        <v>0</v>
      </c>
      <c r="Y120" s="208">
        <f>VLOOKUP($B$1&amp;$B$3&amp;$B$115&amp;$A120,Доход!$D$2:$AG$3500,Доход!AB$1,0)</f>
        <v>0</v>
      </c>
      <c r="Z120" s="208">
        <f>VLOOKUP($B$1&amp;$B$3&amp;$B$115&amp;$A120,Доход!$D$2:$AG$3500,Доход!AC$1,0)</f>
        <v>72790</v>
      </c>
      <c r="AA120" s="208">
        <f>VLOOKUP($B$1&amp;$B$3&amp;$B$115&amp;$A120,Доход!$D$2:$AG$3500,Доход!AD$1,0)</f>
        <v>7</v>
      </c>
      <c r="AB120" s="208">
        <f>VLOOKUP($B$1&amp;$B$3&amp;$B$115&amp;$A120,Доход!$D$2:$AG$3500,Доход!AE$1,0)</f>
        <v>3</v>
      </c>
      <c r="AC120" s="208">
        <f>VLOOKUP($B$1&amp;$B$3&amp;$B$115&amp;$A120,Доход!$D$2:$AG$3500,Доход!AF$1,0)</f>
        <v>17200</v>
      </c>
      <c r="AD120" s="138">
        <f>VLOOKUP($B$1&amp;$B$3&amp;$B$115&amp;$A120,Доход!$D$2:$AG$3500,Доход!AG$1,0)</f>
        <v>55590</v>
      </c>
      <c r="AF120" s="270"/>
    </row>
    <row r="121" spans="1:32" outlineLevel="1" x14ac:dyDescent="0.3">
      <c r="A121" s="35">
        <v>5</v>
      </c>
      <c r="B121" s="18">
        <f>VLOOKUP($B$1&amp;$B$3&amp;$B$115&amp;$A121,Доход!$D$2:$AG$3500,Доход!E$1,0)</f>
        <v>250</v>
      </c>
      <c r="C121" s="32">
        <f>VLOOKUP($B$1&amp;$B$3&amp;$B$115&amp;$A121,Доход!$D$2:$AG$3500,Доход!F$1,0)</f>
        <v>10</v>
      </c>
      <c r="D121" s="32">
        <f>VLOOKUP($B$1&amp;$B$3&amp;$B$115&amp;$A121,Доход!$D$2:$AG$3500,Доход!G$1,0)</f>
        <v>25</v>
      </c>
      <c r="E121" s="32">
        <f>VLOOKUP($B$1&amp;$B$3&amp;$B$115&amp;$A121,Доход!$D$2:$AG$3500,Доход!H$1,0)</f>
        <v>5</v>
      </c>
      <c r="F121" s="73">
        <f>VLOOKUP($B$1&amp;$B$3&amp;$B$115&amp;$A121,Доход!$D$2:$AG$3500,Доход!I$1,0)</f>
        <v>0.25</v>
      </c>
      <c r="G121" s="34">
        <f>VLOOKUP($B$1&amp;$B$3&amp;$B$115&amp;$A121,Доход!$D$2:$AG$3500,Доход!J$1,0)</f>
        <v>62.5</v>
      </c>
      <c r="H121" s="34">
        <f>VLOOKUP($B$1&amp;$B$3&amp;$B$115&amp;$A121,Доход!$D$2:$AG$3500,Доход!K$1,0)</f>
        <v>10</v>
      </c>
      <c r="I121" s="34">
        <f>VLOOKUP($B$1&amp;$B$3&amp;$B$115&amp;$A121,Доход!$D$2:$AG$3500,Доход!L$1,0)</f>
        <v>6.25</v>
      </c>
      <c r="J121" s="74">
        <f>VLOOKUP($B$1&amp;$B$3&amp;$B$115&amp;$A121,Доход!$D$2:$AG$3500,Доход!M$1,0)</f>
        <v>1.4880952380952381</v>
      </c>
      <c r="K121" s="75">
        <f>VLOOKUP($B$1&amp;$B$3&amp;$B$115&amp;$A121,Доход!$D$2:$AG$3500,Доход!N$1,0)</f>
        <v>0.5</v>
      </c>
      <c r="L121" s="80">
        <f>VLOOKUP($B$1&amp;$B$3&amp;$B$115&amp;$A121,Доход!$D$2:$AG$3500,Доход!O$1,0)</f>
        <v>31</v>
      </c>
      <c r="M121" s="75">
        <f>VLOOKUP($B$1&amp;$B$3&amp;$B$115&amp;$A121,Доход!$D$2:$AG$3500,Доход!P$1,0)</f>
        <v>0.35</v>
      </c>
      <c r="N121" s="71">
        <f>VLOOKUP($B$1&amp;$B$3&amp;$B$115&amp;$A121,Доход!$D$2:$AG$3500,Доход!Q$1,0)</f>
        <v>0.5</v>
      </c>
      <c r="O121" s="35">
        <f>VLOOKUP($B$1&amp;$B$3&amp;$B$115&amp;$A121,Доход!$D$2:$AG$3500,Доход!R$1,0)</f>
        <v>5</v>
      </c>
      <c r="P121" s="76">
        <f>VLOOKUP($B$1&amp;$B$3&amp;$B$115&amp;$A121,Доход!$D$2:$AG$3500,Доход!S$1,0)</f>
        <v>350</v>
      </c>
      <c r="Q121" s="36">
        <f>VLOOKUP($B$1&amp;$B$3&amp;$B$115&amp;$A121,Доход!$D$2:$AG$3500,Доход!T$1,0)</f>
        <v>400</v>
      </c>
      <c r="R121" s="37">
        <f>VLOOKUP($B$1&amp;$B$3&amp;$B$115&amp;$A121,Доход!$D$2:$AG$3500,Доход!U$1,0)</f>
        <v>5490</v>
      </c>
      <c r="S121" s="227">
        <f>VLOOKUP($B$1&amp;$B$3&amp;$B$115&amp;$A121,Доход!$D$2:$AG$3500,Доход!V$1,0)</f>
        <v>12400</v>
      </c>
      <c r="T121" s="227">
        <f>VLOOKUP($B$1&amp;$B$3&amp;$B$115&amp;$A121,Доход!$D$2:$AG$3500,Доход!W$1,0)</f>
        <v>11</v>
      </c>
      <c r="U121" s="227">
        <f>VLOOKUP($B$1&amp;$B$3&amp;$B$115&amp;$A121,Доход!$D$2:$AG$3500,Доход!X$1,0)</f>
        <v>60390</v>
      </c>
      <c r="V121" s="227">
        <f>VLOOKUP($B$1&amp;$B$3&amp;$B$115&amp;$A121,Доход!$D$2:$AG$3500,Доход!Y$1,0)</f>
        <v>50</v>
      </c>
      <c r="W121" s="228">
        <f>VLOOKUP($B$1&amp;$B$3&amp;$B$115&amp;$A121,Доход!$D$2:$AG$3500,Доход!Z$1,0)</f>
        <v>10850</v>
      </c>
      <c r="X121" s="209">
        <f>VLOOKUP($B$1&amp;$B$3&amp;$B$115&amp;$A121,Доход!$D$2:$AG$3500,Доход!AA$1,0)</f>
        <v>5</v>
      </c>
      <c r="Y121" s="210">
        <f>VLOOKUP($B$1&amp;$B$3&amp;$B$115&amp;$A121,Доход!$D$2:$AG$3500,Доход!AB$1,0)</f>
        <v>27450</v>
      </c>
      <c r="Z121" s="211">
        <f>VLOOKUP($B$1&amp;$B$3&amp;$B$115&amp;$A121,Доход!$D$2:$AG$3500,Доход!AC$1,0)</f>
        <v>100240</v>
      </c>
      <c r="AA121" s="211">
        <f>VLOOKUP($B$1&amp;$B$3&amp;$B$115&amp;$A121,Доход!$D$2:$AG$3500,Доход!AD$1,0)</f>
        <v>8</v>
      </c>
      <c r="AB121" s="211">
        <f>VLOOKUP($B$1&amp;$B$3&amp;$B$115&amp;$A121,Доход!$D$2:$AG$3500,Доход!AE$1,0)</f>
        <v>3</v>
      </c>
      <c r="AC121" s="211">
        <f>VLOOKUP($B$1&amp;$B$3&amp;$B$115&amp;$A121,Доход!$D$2:$AG$3500,Доход!AF$1,0)</f>
        <v>18920</v>
      </c>
      <c r="AD121" s="212">
        <f>VLOOKUP($B$1&amp;$B$3&amp;$B$115&amp;$A121,Доход!$D$2:$AG$3500,Доход!AG$1,0)</f>
        <v>81320</v>
      </c>
      <c r="AF121" s="270"/>
    </row>
    <row r="122" spans="1:32" outlineLevel="1" x14ac:dyDescent="0.3">
      <c r="A122" s="29">
        <v>6</v>
      </c>
      <c r="B122" s="18">
        <f>VLOOKUP($B$1&amp;$B$3&amp;$B$115&amp;$A122,Доход!$D$2:$AG$3500,Доход!E$1,0)</f>
        <v>250</v>
      </c>
      <c r="C122" s="24">
        <f>VLOOKUP($B$1&amp;$B$3&amp;$B$115&amp;$A122,Доход!$D$2:$AG$3500,Доход!F$1,0)</f>
        <v>10</v>
      </c>
      <c r="D122" s="24">
        <f>VLOOKUP($B$1&amp;$B$3&amp;$B$115&amp;$A122,Доход!$D$2:$AG$3500,Доход!G$1,0)</f>
        <v>25</v>
      </c>
      <c r="E122" s="24">
        <f>VLOOKUP($B$1&amp;$B$3&amp;$B$115&amp;$A122,Доход!$D$2:$AG$3500,Доход!H$1,0)</f>
        <v>5</v>
      </c>
      <c r="F122" s="26">
        <f>VLOOKUP($B$1&amp;$B$3&amp;$B$115&amp;$A122,Доход!$D$2:$AG$3500,Доход!I$1,0)</f>
        <v>0.25</v>
      </c>
      <c r="G122" s="27">
        <f>VLOOKUP($B$1&amp;$B$3&amp;$B$115&amp;$A122,Доход!$D$2:$AG$3500,Доход!J$1,0)</f>
        <v>62.5</v>
      </c>
      <c r="H122" s="27">
        <f>VLOOKUP($B$1&amp;$B$3&amp;$B$115&amp;$A122,Доход!$D$2:$AG$3500,Доход!K$1,0)</f>
        <v>10</v>
      </c>
      <c r="I122" s="27">
        <f>VLOOKUP($B$1&amp;$B$3&amp;$B$115&amp;$A122,Доход!$D$2:$AG$3500,Доход!L$1,0)</f>
        <v>6.25</v>
      </c>
      <c r="J122" s="48">
        <f>VLOOKUP($B$1&amp;$B$3&amp;$B$115&amp;$A122,Доход!$D$2:$AG$3500,Доход!M$1,0)</f>
        <v>1.4880952380952381</v>
      </c>
      <c r="K122" s="28">
        <f>VLOOKUP($B$1&amp;$B$3&amp;$B$115&amp;$A122,Доход!$D$2:$AG$3500,Доход!N$1,0)</f>
        <v>0.5</v>
      </c>
      <c r="L122" s="27">
        <f>VLOOKUP($B$1&amp;$B$3&amp;$B$115&amp;$A122,Доход!$D$2:$AG$3500,Доход!O$1,0)</f>
        <v>31</v>
      </c>
      <c r="M122" s="28">
        <f>VLOOKUP($B$1&amp;$B$3&amp;$B$115&amp;$A122,Доход!$D$2:$AG$3500,Доход!P$1,0)</f>
        <v>0.35</v>
      </c>
      <c r="N122" s="70">
        <f>VLOOKUP($B$1&amp;$B$3&amp;$B$115&amp;$A122,Доход!$D$2:$AG$3500,Доход!Q$1,0)</f>
        <v>0.5</v>
      </c>
      <c r="O122" s="29">
        <f>VLOOKUP($B$1&amp;$B$3&amp;$B$115&amp;$A122,Доход!$D$2:$AG$3500,Доход!R$1,0)</f>
        <v>6</v>
      </c>
      <c r="P122" s="30">
        <f>VLOOKUP($B$1&amp;$B$3&amp;$B$115&amp;$A122,Доход!$D$2:$AG$3500,Доход!S$1,0)</f>
        <v>350</v>
      </c>
      <c r="Q122" s="30">
        <f>VLOOKUP($B$1&amp;$B$3&amp;$B$115&amp;$A122,Доход!$D$2:$AG$3500,Доход!T$1,0)</f>
        <v>400</v>
      </c>
      <c r="R122" s="31">
        <f>VLOOKUP($B$1&amp;$B$3&amp;$B$115&amp;$A122,Доход!$D$2:$AG$3500,Доход!U$1,0)</f>
        <v>5490</v>
      </c>
      <c r="S122" s="222">
        <f>VLOOKUP($B$1&amp;$B$3&amp;$B$115&amp;$A122,Доход!$D$2:$AG$3500,Доход!V$1,0)</f>
        <v>12400</v>
      </c>
      <c r="T122" s="229">
        <f>VLOOKUP($B$1&amp;$B$3&amp;$B$115&amp;$A122,Доход!$D$2:$AG$3500,Доход!W$1,0)</f>
        <v>11</v>
      </c>
      <c r="U122" s="222">
        <f>VLOOKUP($B$1&amp;$B$3&amp;$B$115&amp;$A122,Доход!$D$2:$AG$3500,Доход!X$1,0)</f>
        <v>60390</v>
      </c>
      <c r="V122" s="222">
        <f>VLOOKUP($B$1&amp;$B$3&amp;$B$115&amp;$A122,Доход!$D$2:$AG$3500,Доход!Y$1,0)</f>
        <v>56</v>
      </c>
      <c r="W122" s="223">
        <f>VLOOKUP($B$1&amp;$B$3&amp;$B$115&amp;$A122,Доход!$D$2:$AG$3500,Доход!Z$1,0)</f>
        <v>10850</v>
      </c>
      <c r="X122" s="209">
        <f>VLOOKUP($B$1&amp;$B$3&amp;$B$115&amp;$A122,Доход!$D$2:$AG$3500,Доход!AA$1,0)</f>
        <v>5</v>
      </c>
      <c r="Y122" s="208">
        <f>VLOOKUP($B$1&amp;$B$3&amp;$B$115&amp;$A122,Доход!$D$2:$AG$3500,Доход!AB$1,0)</f>
        <v>27450</v>
      </c>
      <c r="Z122" s="208">
        <f>VLOOKUP($B$1&amp;$B$3&amp;$B$115&amp;$A122,Доход!$D$2:$AG$3500,Доход!AC$1,0)</f>
        <v>100240</v>
      </c>
      <c r="AA122" s="208">
        <f>VLOOKUP($B$1&amp;$B$3&amp;$B$115&amp;$A122,Доход!$D$2:$AG$3500,Доход!AD$1,0)</f>
        <v>9</v>
      </c>
      <c r="AB122" s="208">
        <f>VLOOKUP($B$1&amp;$B$3&amp;$B$115&amp;$A122,Доход!$D$2:$AG$3500,Доход!AE$1,0)</f>
        <v>3</v>
      </c>
      <c r="AC122" s="208">
        <f>VLOOKUP($B$1&amp;$B$3&amp;$B$115&amp;$A122,Доход!$D$2:$AG$3500,Доход!AF$1,0)</f>
        <v>20640</v>
      </c>
      <c r="AD122" s="138">
        <f>VLOOKUP($B$1&amp;$B$3&amp;$B$115&amp;$A122,Доход!$D$2:$AG$3500,Доход!AG$1,0)</f>
        <v>79600</v>
      </c>
      <c r="AF122" s="270"/>
    </row>
    <row r="123" spans="1:32" outlineLevel="1" x14ac:dyDescent="0.3">
      <c r="A123" s="29">
        <v>7</v>
      </c>
      <c r="B123" s="18">
        <f>VLOOKUP($B$1&amp;$B$3&amp;$B$115&amp;$A123,Доход!$D$2:$AG$3500,Доход!E$1,0)</f>
        <v>250</v>
      </c>
      <c r="C123" s="24">
        <f>VLOOKUP($B$1&amp;$B$3&amp;$B$115&amp;$A123,Доход!$D$2:$AG$3500,Доход!F$1,0)</f>
        <v>10</v>
      </c>
      <c r="D123" s="24">
        <f>VLOOKUP($B$1&amp;$B$3&amp;$B$115&amp;$A123,Доход!$D$2:$AG$3500,Доход!G$1,0)</f>
        <v>25</v>
      </c>
      <c r="E123" s="24">
        <f>VLOOKUP($B$1&amp;$B$3&amp;$B$115&amp;$A123,Доход!$D$2:$AG$3500,Доход!H$1,0)</f>
        <v>5</v>
      </c>
      <c r="F123" s="26">
        <f>VLOOKUP($B$1&amp;$B$3&amp;$B$115&amp;$A123,Доход!$D$2:$AG$3500,Доход!I$1,0)</f>
        <v>0.25</v>
      </c>
      <c r="G123" s="27">
        <f>VLOOKUP($B$1&amp;$B$3&amp;$B$115&amp;$A123,Доход!$D$2:$AG$3500,Доход!J$1,0)</f>
        <v>62.5</v>
      </c>
      <c r="H123" s="27">
        <f>VLOOKUP($B$1&amp;$B$3&amp;$B$115&amp;$A123,Доход!$D$2:$AG$3500,Доход!K$1,0)</f>
        <v>10</v>
      </c>
      <c r="I123" s="27">
        <f>VLOOKUP($B$1&amp;$B$3&amp;$B$115&amp;$A123,Доход!$D$2:$AG$3500,Доход!L$1,0)</f>
        <v>6.25</v>
      </c>
      <c r="J123" s="48">
        <f>VLOOKUP($B$1&amp;$B$3&amp;$B$115&amp;$A123,Доход!$D$2:$AG$3500,Доход!M$1,0)</f>
        <v>1.4880952380952381</v>
      </c>
      <c r="K123" s="28">
        <f>VLOOKUP($B$1&amp;$B$3&amp;$B$115&amp;$A123,Доход!$D$2:$AG$3500,Доход!N$1,0)</f>
        <v>0.5</v>
      </c>
      <c r="L123" s="27">
        <f>VLOOKUP($B$1&amp;$B$3&amp;$B$115&amp;$A123,Доход!$D$2:$AG$3500,Доход!O$1,0)</f>
        <v>31</v>
      </c>
      <c r="M123" s="28">
        <f>VLOOKUP($B$1&amp;$B$3&amp;$B$115&amp;$A123,Доход!$D$2:$AG$3500,Доход!P$1,0)</f>
        <v>0.35</v>
      </c>
      <c r="N123" s="70">
        <f>VLOOKUP($B$1&amp;$B$3&amp;$B$115&amp;$A123,Доход!$D$2:$AG$3500,Доход!Q$1,0)</f>
        <v>0.5</v>
      </c>
      <c r="O123" s="29">
        <f>VLOOKUP($B$1&amp;$B$3&amp;$B$115&amp;$A123,Доход!$D$2:$AG$3500,Доход!R$1,0)</f>
        <v>7</v>
      </c>
      <c r="P123" s="30">
        <f>VLOOKUP($B$1&amp;$B$3&amp;$B$115&amp;$A123,Доход!$D$2:$AG$3500,Доход!S$1,0)</f>
        <v>350</v>
      </c>
      <c r="Q123" s="30">
        <f>VLOOKUP($B$1&amp;$B$3&amp;$B$115&amp;$A123,Доход!$D$2:$AG$3500,Доход!T$1,0)</f>
        <v>400</v>
      </c>
      <c r="R123" s="31">
        <f>VLOOKUP($B$1&amp;$B$3&amp;$B$115&amp;$A123,Доход!$D$2:$AG$3500,Доход!U$1,0)</f>
        <v>5490</v>
      </c>
      <c r="S123" s="222">
        <f>VLOOKUP($B$1&amp;$B$3&amp;$B$115&amp;$A123,Доход!$D$2:$AG$3500,Доход!V$1,0)</f>
        <v>12400</v>
      </c>
      <c r="T123" s="229">
        <f>VLOOKUP($B$1&amp;$B$3&amp;$B$115&amp;$A123,Доход!$D$2:$AG$3500,Доход!W$1,0)</f>
        <v>11</v>
      </c>
      <c r="U123" s="222">
        <f>VLOOKUP($B$1&amp;$B$3&amp;$B$115&amp;$A123,Доход!$D$2:$AG$3500,Доход!X$1,0)</f>
        <v>60390</v>
      </c>
      <c r="V123" s="222">
        <f>VLOOKUP($B$1&amp;$B$3&amp;$B$115&amp;$A123,Доход!$D$2:$AG$3500,Доход!Y$1,0)</f>
        <v>62</v>
      </c>
      <c r="W123" s="223">
        <f>VLOOKUP($B$1&amp;$B$3&amp;$B$115&amp;$A123,Доход!$D$2:$AG$3500,Доход!Z$1,0)</f>
        <v>10850</v>
      </c>
      <c r="X123" s="209">
        <f>VLOOKUP($B$1&amp;$B$3&amp;$B$115&amp;$A123,Доход!$D$2:$AG$3500,Доход!AA$1,0)</f>
        <v>5</v>
      </c>
      <c r="Y123" s="208">
        <f>VLOOKUP($B$1&amp;$B$3&amp;$B$115&amp;$A123,Доход!$D$2:$AG$3500,Доход!AB$1,0)</f>
        <v>27450</v>
      </c>
      <c r="Z123" s="208">
        <f>VLOOKUP($B$1&amp;$B$3&amp;$B$115&amp;$A123,Доход!$D$2:$AG$3500,Доход!AC$1,0)</f>
        <v>100240</v>
      </c>
      <c r="AA123" s="208">
        <f>VLOOKUP($B$1&amp;$B$3&amp;$B$115&amp;$A123,Доход!$D$2:$AG$3500,Доход!AD$1,0)</f>
        <v>10</v>
      </c>
      <c r="AB123" s="208">
        <f>VLOOKUP($B$1&amp;$B$3&amp;$B$115&amp;$A123,Доход!$D$2:$AG$3500,Доход!AE$1,0)</f>
        <v>3</v>
      </c>
      <c r="AC123" s="208">
        <f>VLOOKUP($B$1&amp;$B$3&amp;$B$115&amp;$A123,Доход!$D$2:$AG$3500,Доход!AF$1,0)</f>
        <v>22360</v>
      </c>
      <c r="AD123" s="138">
        <f>VLOOKUP($B$1&amp;$B$3&amp;$B$115&amp;$A123,Доход!$D$2:$AG$3500,Доход!AG$1,0)</f>
        <v>77880</v>
      </c>
      <c r="AF123" s="270"/>
    </row>
    <row r="124" spans="1:32" outlineLevel="1" x14ac:dyDescent="0.3">
      <c r="A124" s="29">
        <v>8</v>
      </c>
      <c r="B124" s="18">
        <f>VLOOKUP($B$1&amp;$B$3&amp;$B$115&amp;$A124,Доход!$D$2:$AG$3500,Доход!E$1,0)</f>
        <v>250</v>
      </c>
      <c r="C124" s="24">
        <f>VLOOKUP($B$1&amp;$B$3&amp;$B$115&amp;$A124,Доход!$D$2:$AG$3500,Доход!F$1,0)</f>
        <v>10</v>
      </c>
      <c r="D124" s="24">
        <f>VLOOKUP($B$1&amp;$B$3&amp;$B$115&amp;$A124,Доход!$D$2:$AG$3500,Доход!G$1,0)</f>
        <v>25</v>
      </c>
      <c r="E124" s="24">
        <f>VLOOKUP($B$1&amp;$B$3&amp;$B$115&amp;$A124,Доход!$D$2:$AG$3500,Доход!H$1,0)</f>
        <v>5</v>
      </c>
      <c r="F124" s="26">
        <f>VLOOKUP($B$1&amp;$B$3&amp;$B$115&amp;$A124,Доход!$D$2:$AG$3500,Доход!I$1,0)</f>
        <v>0.25</v>
      </c>
      <c r="G124" s="27">
        <f>VLOOKUP($B$1&amp;$B$3&amp;$B$115&amp;$A124,Доход!$D$2:$AG$3500,Доход!J$1,0)</f>
        <v>62.5</v>
      </c>
      <c r="H124" s="27">
        <f>VLOOKUP($B$1&amp;$B$3&amp;$B$115&amp;$A124,Доход!$D$2:$AG$3500,Доход!K$1,0)</f>
        <v>10</v>
      </c>
      <c r="I124" s="27">
        <f>VLOOKUP($B$1&amp;$B$3&amp;$B$115&amp;$A124,Доход!$D$2:$AG$3500,Доход!L$1,0)</f>
        <v>6.25</v>
      </c>
      <c r="J124" s="48">
        <f>VLOOKUP($B$1&amp;$B$3&amp;$B$115&amp;$A124,Доход!$D$2:$AG$3500,Доход!M$1,0)</f>
        <v>1.4880952380952381</v>
      </c>
      <c r="K124" s="28">
        <f>VLOOKUP($B$1&amp;$B$3&amp;$B$115&amp;$A124,Доход!$D$2:$AG$3500,Доход!N$1,0)</f>
        <v>0.4</v>
      </c>
      <c r="L124" s="27">
        <f>VLOOKUP($B$1&amp;$B$3&amp;$B$115&amp;$A124,Доход!$D$2:$AG$3500,Доход!O$1,0)</f>
        <v>25</v>
      </c>
      <c r="M124" s="28">
        <f>VLOOKUP($B$1&amp;$B$3&amp;$B$115&amp;$A124,Доход!$D$2:$AG$3500,Доход!P$1,0)</f>
        <v>0.24999999999999997</v>
      </c>
      <c r="N124" s="70">
        <f>VLOOKUP($B$1&amp;$B$3&amp;$B$115&amp;$A124,Доход!$D$2:$AG$3500,Доход!Q$1,0)</f>
        <v>0.35</v>
      </c>
      <c r="O124" s="29">
        <f>VLOOKUP($B$1&amp;$B$3&amp;$B$115&amp;$A124,Доход!$D$2:$AG$3500,Доход!R$1,0)</f>
        <v>8</v>
      </c>
      <c r="P124" s="30">
        <f>VLOOKUP($B$1&amp;$B$3&amp;$B$115&amp;$A124,Доход!$D$2:$AG$3500,Доход!S$1,0)</f>
        <v>350</v>
      </c>
      <c r="Q124" s="30">
        <f>VLOOKUP($B$1&amp;$B$3&amp;$B$115&amp;$A124,Доход!$D$2:$AG$3500,Доход!T$1,0)</f>
        <v>400</v>
      </c>
      <c r="R124" s="31">
        <f>VLOOKUP($B$1&amp;$B$3&amp;$B$115&amp;$A124,Доход!$D$2:$AG$3500,Доход!U$1,0)</f>
        <v>5490</v>
      </c>
      <c r="S124" s="222">
        <f>VLOOKUP($B$1&amp;$B$3&amp;$B$115&amp;$A124,Доход!$D$2:$AG$3500,Доход!V$1,0)</f>
        <v>10000</v>
      </c>
      <c r="T124" s="229">
        <f>VLOOKUP($B$1&amp;$B$3&amp;$B$115&amp;$A124,Доход!$D$2:$AG$3500,Доход!W$1,0)</f>
        <v>7</v>
      </c>
      <c r="U124" s="222">
        <f>VLOOKUP($B$1&amp;$B$3&amp;$B$115&amp;$A124,Доход!$D$2:$AG$3500,Доход!X$1,0)</f>
        <v>38430</v>
      </c>
      <c r="V124" s="222">
        <f>VLOOKUP($B$1&amp;$B$3&amp;$B$115&amp;$A124,Доход!$D$2:$AG$3500,Доход!Y$1,0)</f>
        <v>66</v>
      </c>
      <c r="W124" s="223">
        <f>VLOOKUP($B$1&amp;$B$3&amp;$B$115&amp;$A124,Доход!$D$2:$AG$3500,Доход!Z$1,0)</f>
        <v>8750</v>
      </c>
      <c r="X124" s="209">
        <f>VLOOKUP($B$1&amp;$B$3&amp;$B$115&amp;$A124,Доход!$D$2:$AG$3500,Доход!AA$1,0)</f>
        <v>3</v>
      </c>
      <c r="Y124" s="208">
        <f>VLOOKUP($B$1&amp;$B$3&amp;$B$115&amp;$A124,Доход!$D$2:$AG$3500,Доход!AB$1,0)</f>
        <v>16470</v>
      </c>
      <c r="Z124" s="208">
        <f>VLOOKUP($B$1&amp;$B$3&amp;$B$115&amp;$A124,Доход!$D$2:$AG$3500,Доход!AC$1,0)</f>
        <v>64900</v>
      </c>
      <c r="AA124" s="208">
        <f>VLOOKUP($B$1&amp;$B$3&amp;$B$115&amp;$A124,Доход!$D$2:$AG$3500,Доход!AD$1,0)</f>
        <v>10</v>
      </c>
      <c r="AB124" s="208">
        <f>VLOOKUP($B$1&amp;$B$3&amp;$B$115&amp;$A124,Доход!$D$2:$AG$3500,Доход!AE$1,0)</f>
        <v>2</v>
      </c>
      <c r="AC124" s="208">
        <f>VLOOKUP($B$1&amp;$B$3&amp;$B$115&amp;$A124,Доход!$D$2:$AG$3500,Доход!AF$1,0)</f>
        <v>20640</v>
      </c>
      <c r="AD124" s="138">
        <f>VLOOKUP($B$1&amp;$B$3&amp;$B$115&amp;$A124,Доход!$D$2:$AG$3500,Доход!AG$1,0)</f>
        <v>44260</v>
      </c>
      <c r="AF124" s="270"/>
    </row>
    <row r="125" spans="1:32" ht="16.2" outlineLevel="1" thickBot="1" x14ac:dyDescent="0.35">
      <c r="A125" s="45">
        <v>9</v>
      </c>
      <c r="B125" s="19">
        <f>VLOOKUP($B$1&amp;$B$3&amp;$B$115&amp;$A125,Доход!$D$2:$AG$3500,Доход!E$1,0)</f>
        <v>250</v>
      </c>
      <c r="C125" s="40">
        <f>VLOOKUP($B$1&amp;$B$3&amp;$B$115&amp;$A125,Доход!$D$2:$AG$3500,Доход!F$1,0)</f>
        <v>10</v>
      </c>
      <c r="D125" s="40">
        <f>VLOOKUP($B$1&amp;$B$3&amp;$B$115&amp;$A125,Доход!$D$2:$AG$3500,Доход!G$1,0)</f>
        <v>25</v>
      </c>
      <c r="E125" s="40">
        <f>VLOOKUP($B$1&amp;$B$3&amp;$B$115&amp;$A125,Доход!$D$2:$AG$3500,Доход!H$1,0)</f>
        <v>5</v>
      </c>
      <c r="F125" s="42">
        <f>VLOOKUP($B$1&amp;$B$3&amp;$B$115&amp;$A125,Доход!$D$2:$AG$3500,Доход!I$1,0)</f>
        <v>0.25</v>
      </c>
      <c r="G125" s="43">
        <f>VLOOKUP($B$1&amp;$B$3&amp;$B$115&amp;$A125,Доход!$D$2:$AG$3500,Доход!J$1,0)</f>
        <v>62.5</v>
      </c>
      <c r="H125" s="43">
        <f>VLOOKUP($B$1&amp;$B$3&amp;$B$115&amp;$A125,Доход!$D$2:$AG$3500,Доход!K$1,0)</f>
        <v>10</v>
      </c>
      <c r="I125" s="43">
        <f>VLOOKUP($B$1&amp;$B$3&amp;$B$115&amp;$A125,Доход!$D$2:$AG$3500,Доход!L$1,0)</f>
        <v>6.25</v>
      </c>
      <c r="J125" s="53">
        <f>VLOOKUP($B$1&amp;$B$3&amp;$B$115&amp;$A125,Доход!$D$2:$AG$3500,Доход!M$1,0)</f>
        <v>1.4880952380952381</v>
      </c>
      <c r="K125" s="44">
        <f>VLOOKUP($B$1&amp;$B$3&amp;$B$115&amp;$A125,Доход!$D$2:$AG$3500,Доход!N$1,0)</f>
        <v>0.30000000000000004</v>
      </c>
      <c r="L125" s="43">
        <f>VLOOKUP($B$1&amp;$B$3&amp;$B$115&amp;$A125,Доход!$D$2:$AG$3500,Доход!O$1,0)</f>
        <v>18</v>
      </c>
      <c r="M125" s="44">
        <f>VLOOKUP($B$1&amp;$B$3&amp;$B$115&amp;$A125,Доход!$D$2:$AG$3500,Доход!P$1,0)</f>
        <v>0.14999999999999997</v>
      </c>
      <c r="N125" s="72">
        <f>VLOOKUP($B$1&amp;$B$3&amp;$B$115&amp;$A125,Доход!$D$2:$AG$3500,Доход!Q$1,0)</f>
        <v>0.2</v>
      </c>
      <c r="O125" s="45">
        <f>VLOOKUP($B$1&amp;$B$3&amp;$B$115&amp;$A125,Доход!$D$2:$AG$3500,Доход!R$1,0)</f>
        <v>9</v>
      </c>
      <c r="P125" s="46">
        <f>VLOOKUP($B$1&amp;$B$3&amp;$B$115&amp;$A125,Доход!$D$2:$AG$3500,Доход!S$1,0)</f>
        <v>350</v>
      </c>
      <c r="Q125" s="46">
        <f>VLOOKUP($B$1&amp;$B$3&amp;$B$115&amp;$A125,Доход!$D$2:$AG$3500,Доход!T$1,0)</f>
        <v>400</v>
      </c>
      <c r="R125" s="47">
        <f>VLOOKUP($B$1&amp;$B$3&amp;$B$115&amp;$A125,Доход!$D$2:$AG$3500,Доход!U$1,0)</f>
        <v>5490</v>
      </c>
      <c r="S125" s="234">
        <f>VLOOKUP($B$1&amp;$B$3&amp;$B$115&amp;$A125,Доход!$D$2:$AG$3500,Доход!V$1,0)</f>
        <v>7200</v>
      </c>
      <c r="T125" s="235">
        <f>VLOOKUP($B$1&amp;$B$3&amp;$B$115&amp;$A125,Доход!$D$2:$AG$3500,Доход!W$1,0)</f>
        <v>3</v>
      </c>
      <c r="U125" s="234">
        <f>VLOOKUP($B$1&amp;$B$3&amp;$B$115&amp;$A125,Доход!$D$2:$AG$3500,Доход!X$1,0)</f>
        <v>16470</v>
      </c>
      <c r="V125" s="234">
        <f>VLOOKUP($B$1&amp;$B$3&amp;$B$115&amp;$A125,Доход!$D$2:$AG$3500,Доход!Y$1,0)</f>
        <v>67</v>
      </c>
      <c r="W125" s="236">
        <f>VLOOKUP($B$1&amp;$B$3&amp;$B$115&amp;$A125,Доход!$D$2:$AG$3500,Доход!Z$1,0)</f>
        <v>6300</v>
      </c>
      <c r="X125" s="213">
        <f>VLOOKUP($B$1&amp;$B$3&amp;$B$115&amp;$A125,Доход!$D$2:$AG$3500,Доход!AA$1,0)</f>
        <v>2</v>
      </c>
      <c r="Y125" s="214">
        <f>VLOOKUP($B$1&amp;$B$3&amp;$B$115&amp;$A125,Доход!$D$2:$AG$3500,Доход!AB$1,0)</f>
        <v>10980</v>
      </c>
      <c r="Z125" s="214">
        <f>VLOOKUP($B$1&amp;$B$3&amp;$B$115&amp;$A125,Доход!$D$2:$AG$3500,Доход!AC$1,0)</f>
        <v>34650</v>
      </c>
      <c r="AA125" s="214">
        <f>VLOOKUP($B$1&amp;$B$3&amp;$B$115&amp;$A125,Доход!$D$2:$AG$3500,Доход!AD$1,0)</f>
        <v>11</v>
      </c>
      <c r="AB125" s="214">
        <f>VLOOKUP($B$1&amp;$B$3&amp;$B$115&amp;$A125,Доход!$D$2:$AG$3500,Доход!AE$1,0)</f>
        <v>2</v>
      </c>
      <c r="AC125" s="214">
        <f>VLOOKUP($B$1&amp;$B$3&amp;$B$115&amp;$A125,Доход!$D$2:$AG$3500,Доход!AF$1,0)</f>
        <v>22360</v>
      </c>
      <c r="AD125" s="139">
        <f>VLOOKUP($B$1&amp;$B$3&amp;$B$115&amp;$A125,Доход!$D$2:$AG$3500,Доход!AG$1,0)</f>
        <v>12290</v>
      </c>
      <c r="AF125" s="270"/>
    </row>
    <row r="126" spans="1:32" ht="16.2" outlineLevel="1" thickBot="1" x14ac:dyDescent="0.35">
      <c r="C126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215" t="s">
        <v>64</v>
      </c>
      <c r="AD126" s="127">
        <f>SUM(AD117:AD125)</f>
        <v>524060</v>
      </c>
      <c r="AF126" s="270"/>
    </row>
    <row r="127" spans="1:32" ht="24" outlineLevel="1" thickBot="1" x14ac:dyDescent="0.5">
      <c r="B127" s="193" t="s">
        <v>132</v>
      </c>
      <c r="C127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F127" s="270"/>
    </row>
    <row r="128" spans="1:32" ht="42.75" customHeight="1" outlineLevel="1" thickBot="1" x14ac:dyDescent="0.35">
      <c r="B128" s="194" t="s">
        <v>138</v>
      </c>
      <c r="C128" s="195" t="s">
        <v>92</v>
      </c>
      <c r="D128" s="196" t="s">
        <v>93</v>
      </c>
      <c r="E128" s="197" t="s">
        <v>134</v>
      </c>
      <c r="F128" s="198" t="s">
        <v>94</v>
      </c>
      <c r="G128" s="199" t="s">
        <v>95</v>
      </c>
      <c r="H128" s="200" t="s">
        <v>96</v>
      </c>
      <c r="I128" s="200" t="s">
        <v>97</v>
      </c>
      <c r="J128" s="200" t="s">
        <v>98</v>
      </c>
      <c r="K128" s="200" t="s">
        <v>99</v>
      </c>
      <c r="L128" s="199" t="s">
        <v>100</v>
      </c>
      <c r="M128" s="200" t="s">
        <v>101</v>
      </c>
      <c r="N128" s="200" t="s">
        <v>102</v>
      </c>
      <c r="O128" s="198" t="s">
        <v>103</v>
      </c>
      <c r="P128" s="200" t="s">
        <v>104</v>
      </c>
      <c r="Q128" s="200" t="s">
        <v>105</v>
      </c>
      <c r="R128" s="201" t="s">
        <v>90</v>
      </c>
      <c r="S128" s="250" t="s">
        <v>106</v>
      </c>
      <c r="T128" s="251" t="s">
        <v>107</v>
      </c>
      <c r="U128" s="250" t="s">
        <v>108</v>
      </c>
      <c r="V128" s="251" t="s">
        <v>109</v>
      </c>
      <c r="W128" s="252" t="s">
        <v>110</v>
      </c>
      <c r="X128" s="248" t="s">
        <v>111</v>
      </c>
      <c r="Y128" s="248" t="s">
        <v>112</v>
      </c>
      <c r="Z128" s="248" t="s">
        <v>113</v>
      </c>
      <c r="AA128" s="248" t="s">
        <v>114</v>
      </c>
      <c r="AB128" s="248" t="s">
        <v>136</v>
      </c>
      <c r="AC128" s="248" t="s">
        <v>115</v>
      </c>
      <c r="AD128" s="249" t="s">
        <v>116</v>
      </c>
      <c r="AF128" s="270"/>
    </row>
    <row r="129" spans="1:32" outlineLevel="1" x14ac:dyDescent="0.3">
      <c r="A129" s="77">
        <v>1</v>
      </c>
      <c r="B129" s="17">
        <f>VLOOKUP($B$1&amp;$B$3&amp;$B$127&amp;$A129,Доход!$D$38:$AG$7200,Доход!E$1,0)</f>
        <v>250</v>
      </c>
      <c r="C129" s="24">
        <f>VLOOKUP($B$1&amp;$B$3&amp;$B$127&amp;$A129,Доход!$D$38:$AG$7200,Доход!F$1,0)</f>
        <v>0</v>
      </c>
      <c r="D129" s="24">
        <f>VLOOKUP($B$1&amp;$B$3&amp;$B$127&amp;$A129,Доход!$D$38:$AG$7200,Доход!G$1,0)</f>
        <v>0</v>
      </c>
      <c r="E129" s="25">
        <f>VLOOKUP($B$1&amp;$B$3&amp;$B$127&amp;$A129,Доход!$D$38:$AG$7200,Доход!H$1,0)</f>
        <v>0</v>
      </c>
      <c r="F129" s="49">
        <f>VLOOKUP($B$1&amp;$B$3&amp;$B$127&amp;$A129,Доход!$D$38:$AG$7200,Доход!I$1,0)</f>
        <v>0</v>
      </c>
      <c r="G129" s="50">
        <f>VLOOKUP($B$1&amp;$B$3&amp;$B$127&amp;$A129,Доход!$D$38:$AG$7200,Доход!J$1,0)</f>
        <v>0</v>
      </c>
      <c r="H129" s="50">
        <f>VLOOKUP($B$1&amp;$B$3&amp;$B$127&amp;$A129,Доход!$D$38:$AG$7200,Доход!K$1,0)</f>
        <v>0</v>
      </c>
      <c r="I129" s="50">
        <f>VLOOKUP($B$1&amp;$B$3&amp;$B$127&amp;$A129,Доход!$D$38:$AG$7200,Доход!L$1,0)</f>
        <v>0</v>
      </c>
      <c r="J129" s="50">
        <f>VLOOKUP($B$1&amp;$B$3&amp;$B$127&amp;$A129,Доход!$D$38:$AG$7200,Доход!M$1,0)</f>
        <v>0</v>
      </c>
      <c r="K129" s="52">
        <f>VLOOKUP($B$1&amp;$B$3&amp;$B$127&amp;$A129,Доход!$D$38:$AG$7200,Доход!N$1,0)</f>
        <v>0.3</v>
      </c>
      <c r="L129" s="50">
        <f>VLOOKUP($B$1&amp;$B$3&amp;$B$127&amp;$A129,Доход!$D$38:$AG$7200,Доход!O$1,0)</f>
        <v>75</v>
      </c>
      <c r="M129" s="52">
        <f>VLOOKUP($B$1&amp;$B$3&amp;$B$127&amp;$A129,Доход!$D$38:$AG$7200,Доход!P$1,0)</f>
        <v>0.35</v>
      </c>
      <c r="N129" s="69">
        <f>VLOOKUP($B$1&amp;$B$3&amp;$B$127&amp;$A129,Доход!$D$38:$AG$7200,Доход!Q$1,0)</f>
        <v>0.5</v>
      </c>
      <c r="O129" s="77">
        <f>VLOOKUP($B$1&amp;$B$3&amp;$B$127&amp;$A129,Доход!$D$38:$AG$7200,Доход!R$1,0)</f>
        <v>1</v>
      </c>
      <c r="P129" s="78">
        <f>VLOOKUP($B$1&amp;$B$3&amp;$B$127&amp;$A129,Доход!$D$38:$AG$7200,Доход!S$1,0)</f>
        <v>600</v>
      </c>
      <c r="Q129" s="78">
        <f>VLOOKUP($B$1&amp;$B$3&amp;$B$127&amp;$A129,Доход!$D$38:$AG$7200,Доход!T$1,0)</f>
        <v>400</v>
      </c>
      <c r="R129" s="79">
        <f>VLOOKUP($B$1&amp;$B$3&amp;$B$127&amp;$A129,Доход!$D$38:$AG$7200,Доход!U$1,0)</f>
        <v>5490</v>
      </c>
      <c r="S129" s="222">
        <f>VLOOKUP($B$1&amp;$B$3&amp;$B$127&amp;$A129,Доход!$D$38:$AG$7200,Доход!V$1,0)</f>
        <v>30000</v>
      </c>
      <c r="T129" s="222">
        <f>VLOOKUP($B$1&amp;$B$3&amp;$B$127&amp;$A129,Доход!$D$38:$AG$7200,Доход!W$1,0)</f>
        <v>27</v>
      </c>
      <c r="U129" s="222">
        <f>VLOOKUP($B$1&amp;$B$3&amp;$B$127&amp;$A129,Доход!$D$38:$AG$7200,Доход!X$1,0)</f>
        <v>148230</v>
      </c>
      <c r="V129" s="222">
        <f>VLOOKUP($B$1&amp;$B$3&amp;$B$127&amp;$A129,Доход!$D$38:$AG$7200,Доход!Y$1,0)</f>
        <v>27</v>
      </c>
      <c r="W129" s="237">
        <f>VLOOKUP($B$1&amp;$B$3&amp;$B$127&amp;$A129,Доход!$D$38:$AG$7200,Доход!Z$1,0)</f>
        <v>45000</v>
      </c>
      <c r="X129" s="204">
        <f>VLOOKUP($B$1&amp;$B$3&amp;$B$127&amp;$A129,Доход!$D$38:$AG$7200,Доход!AA$1,0)</f>
        <v>0</v>
      </c>
      <c r="Y129" s="205">
        <f>VLOOKUP($B$1&amp;$B$3&amp;$B$127&amp;$A129,Доход!$D$38:$AG$7200,Доход!AB$1,0)</f>
        <v>0</v>
      </c>
      <c r="Z129" s="205">
        <f>VLOOKUP($B$1&amp;$B$3&amp;$B$127&amp;$A129,Доход!$D$38:$AG$7200,Доход!AC$1,0)</f>
        <v>178230</v>
      </c>
      <c r="AA129" s="205">
        <f>VLOOKUP($B$1&amp;$B$3&amp;$B$127&amp;$A129,Доход!$D$38:$AG$7200,Доход!AD$1,0)</f>
        <v>5</v>
      </c>
      <c r="AB129" s="205">
        <f>VLOOKUP($B$1&amp;$B$3&amp;$B$127&amp;$A129,Доход!$D$38:$AG$7200,Доход!AE$1,0)</f>
        <v>8</v>
      </c>
      <c r="AC129" s="205">
        <f>VLOOKUP($B$1&amp;$B$3&amp;$B$127&amp;$A129,Доход!$D$38:$AG$7200,Доход!AF$1,0)</f>
        <v>22360</v>
      </c>
      <c r="AD129" s="206">
        <f>VLOOKUP($B$1&amp;$B$3&amp;$B$127&amp;$A129,Доход!$D$38:$AG$7200,Доход!AG$1,0)</f>
        <v>110870</v>
      </c>
      <c r="AF129" s="270"/>
    </row>
    <row r="130" spans="1:32" outlineLevel="1" x14ac:dyDescent="0.3">
      <c r="A130" s="29">
        <v>2</v>
      </c>
      <c r="B130" s="18">
        <f>VLOOKUP($B$1&amp;$B$3&amp;$B$127&amp;$A130,Доход!$D$38:$AG$7200,Доход!E$1,0)</f>
        <v>250</v>
      </c>
      <c r="C130" s="24">
        <f>VLOOKUP($B$1&amp;$B$3&amp;$B$127&amp;$A130,Доход!$D$38:$AG$7200,Доход!F$1,0)</f>
        <v>0</v>
      </c>
      <c r="D130" s="24">
        <f>VLOOKUP($B$1&amp;$B$3&amp;$B$127&amp;$A130,Доход!$D$38:$AG$7200,Доход!G$1,0)</f>
        <v>0</v>
      </c>
      <c r="E130" s="25">
        <f>VLOOKUP($B$1&amp;$B$3&amp;$B$127&amp;$A130,Доход!$D$38:$AG$7200,Доход!H$1,0)</f>
        <v>0</v>
      </c>
      <c r="F130" s="26">
        <f>VLOOKUP($B$1&amp;$B$3&amp;$B$127&amp;$A130,Доход!$D$38:$AG$7200,Доход!I$1,0)</f>
        <v>0</v>
      </c>
      <c r="G130" s="27">
        <f>VLOOKUP($B$1&amp;$B$3&amp;$B$127&amp;$A130,Доход!$D$38:$AG$7200,Доход!J$1,0)</f>
        <v>0</v>
      </c>
      <c r="H130" s="27">
        <f>VLOOKUP($B$1&amp;$B$3&amp;$B$127&amp;$A130,Доход!$D$38:$AG$7200,Доход!K$1,0)</f>
        <v>0</v>
      </c>
      <c r="I130" s="27">
        <f>VLOOKUP($B$1&amp;$B$3&amp;$B$127&amp;$A130,Доход!$D$38:$AG$7200,Доход!L$1,0)</f>
        <v>0</v>
      </c>
      <c r="J130" s="27">
        <f>VLOOKUP($B$1&amp;$B$3&amp;$B$127&amp;$A130,Доход!$D$38:$AG$7200,Доход!M$1,0)</f>
        <v>0</v>
      </c>
      <c r="K130" s="28">
        <f>VLOOKUP($B$1&amp;$B$3&amp;$B$127&amp;$A130,Доход!$D$38:$AG$7200,Доход!N$1,0)</f>
        <v>0.3</v>
      </c>
      <c r="L130" s="27">
        <f>VLOOKUP($B$1&amp;$B$3&amp;$B$127&amp;$A130,Доход!$D$38:$AG$7200,Доход!O$1,0)</f>
        <v>75</v>
      </c>
      <c r="M130" s="28">
        <f>VLOOKUP($B$1&amp;$B$3&amp;$B$127&amp;$A130,Доход!$D$38:$AG$7200,Доход!P$1,0)</f>
        <v>0.35</v>
      </c>
      <c r="N130" s="70">
        <f>VLOOKUP($B$1&amp;$B$3&amp;$B$127&amp;$A130,Доход!$D$38:$AG$7200,Доход!Q$1,0)</f>
        <v>0.5</v>
      </c>
      <c r="O130" s="29">
        <f>VLOOKUP($B$1&amp;$B$3&amp;$B$127&amp;$A130,Доход!$D$38:$AG$7200,Доход!R$1,0)</f>
        <v>2</v>
      </c>
      <c r="P130" s="30">
        <f>VLOOKUP($B$1&amp;$B$3&amp;$B$127&amp;$A130,Доход!$D$38:$AG$7200,Доход!S$1,0)</f>
        <v>600</v>
      </c>
      <c r="Q130" s="30">
        <f>VLOOKUP($B$1&amp;$B$3&amp;$B$127&amp;$A130,Доход!$D$38:$AG$7200,Доход!T$1,0)</f>
        <v>400</v>
      </c>
      <c r="R130" s="31">
        <f>VLOOKUP($B$1&amp;$B$3&amp;$B$127&amp;$A130,Доход!$D$38:$AG$7200,Доход!U$1,0)</f>
        <v>5490</v>
      </c>
      <c r="S130" s="222">
        <f>VLOOKUP($B$1&amp;$B$3&amp;$B$127&amp;$A130,Доход!$D$38:$AG$7200,Доход!V$1,0)</f>
        <v>30000</v>
      </c>
      <c r="T130" s="222">
        <f>VLOOKUP($B$1&amp;$B$3&amp;$B$127&amp;$A130,Доход!$D$38:$AG$7200,Доход!W$1,0)</f>
        <v>27</v>
      </c>
      <c r="U130" s="222">
        <f>VLOOKUP($B$1&amp;$B$3&amp;$B$127&amp;$A130,Доход!$D$38:$AG$7200,Доход!X$1,0)</f>
        <v>148230</v>
      </c>
      <c r="V130" s="222">
        <f>VLOOKUP($B$1&amp;$B$3&amp;$B$127&amp;$A130,Доход!$D$38:$AG$7200,Доход!Y$1,0)</f>
        <v>54</v>
      </c>
      <c r="W130" s="237">
        <f>VLOOKUP($B$1&amp;$B$3&amp;$B$127&amp;$A130,Доход!$D$38:$AG$7200,Доход!Z$1,0)</f>
        <v>45000</v>
      </c>
      <c r="X130" s="207">
        <f>VLOOKUP($B$1&amp;$B$3&amp;$B$127&amp;$A130,Доход!$D$38:$AG$7200,Доход!AA$1,0)</f>
        <v>0</v>
      </c>
      <c r="Y130" s="208">
        <f>VLOOKUP($B$1&amp;$B$3&amp;$B$127&amp;$A130,Доход!$D$38:$AG$7200,Доход!AB$1,0)</f>
        <v>0</v>
      </c>
      <c r="Z130" s="208">
        <f>VLOOKUP($B$1&amp;$B$3&amp;$B$127&amp;$A130,Доход!$D$38:$AG$7200,Доход!AC$1,0)</f>
        <v>178230</v>
      </c>
      <c r="AA130" s="208">
        <f>VLOOKUP($B$1&amp;$B$3&amp;$B$127&amp;$A130,Доход!$D$38:$AG$7200,Доход!AD$1,0)</f>
        <v>9</v>
      </c>
      <c r="AB130" s="208">
        <f>VLOOKUP($B$1&amp;$B$3&amp;$B$127&amp;$A130,Доход!$D$38:$AG$7200,Доход!AE$1,0)</f>
        <v>8</v>
      </c>
      <c r="AC130" s="208">
        <f>VLOOKUP($B$1&amp;$B$3&amp;$B$127&amp;$A130,Доход!$D$38:$AG$7200,Доход!AF$1,0)</f>
        <v>29240</v>
      </c>
      <c r="AD130" s="138">
        <f>VLOOKUP($B$1&amp;$B$3&amp;$B$127&amp;$A130,Доход!$D$38:$AG$7200,Доход!AG$1,0)</f>
        <v>148990</v>
      </c>
      <c r="AF130" s="270"/>
    </row>
    <row r="131" spans="1:32" outlineLevel="1" x14ac:dyDescent="0.3">
      <c r="A131" s="29">
        <v>3</v>
      </c>
      <c r="B131" s="18">
        <f>VLOOKUP($B$1&amp;$B$3&amp;$B$127&amp;$A131,Доход!$D$38:$AG$7200,Доход!E$1,0)</f>
        <v>250</v>
      </c>
      <c r="C131" s="24">
        <f>VLOOKUP($B$1&amp;$B$3&amp;$B$127&amp;$A131,Доход!$D$38:$AG$7200,Доход!F$1,0)</f>
        <v>0</v>
      </c>
      <c r="D131" s="24">
        <f>VLOOKUP($B$1&amp;$B$3&amp;$B$127&amp;$A131,Доход!$D$38:$AG$7200,Доход!G$1,0)</f>
        <v>0</v>
      </c>
      <c r="E131" s="25">
        <f>VLOOKUP($B$1&amp;$B$3&amp;$B$127&amp;$A131,Доход!$D$38:$AG$7200,Доход!H$1,0)</f>
        <v>0</v>
      </c>
      <c r="F131" s="26">
        <f>VLOOKUP($B$1&amp;$B$3&amp;$B$127&amp;$A131,Доход!$D$38:$AG$7200,Доход!I$1,0)</f>
        <v>0</v>
      </c>
      <c r="G131" s="27">
        <f>VLOOKUP($B$1&amp;$B$3&amp;$B$127&amp;$A131,Доход!$D$38:$AG$7200,Доход!J$1,0)</f>
        <v>0</v>
      </c>
      <c r="H131" s="27">
        <f>VLOOKUP($B$1&amp;$B$3&amp;$B$127&amp;$A131,Доход!$D$38:$AG$7200,Доход!K$1,0)</f>
        <v>0</v>
      </c>
      <c r="I131" s="27">
        <f>VLOOKUP($B$1&amp;$B$3&amp;$B$127&amp;$A131,Доход!$D$38:$AG$7200,Доход!L$1,0)</f>
        <v>0</v>
      </c>
      <c r="J131" s="27">
        <f>VLOOKUP($B$1&amp;$B$3&amp;$B$127&amp;$A131,Доход!$D$38:$AG$7200,Доход!M$1,0)</f>
        <v>0</v>
      </c>
      <c r="K131" s="28">
        <f>VLOOKUP($B$1&amp;$B$3&amp;$B$127&amp;$A131,Доход!$D$38:$AG$7200,Доход!N$1,0)</f>
        <v>0.3</v>
      </c>
      <c r="L131" s="27">
        <f>VLOOKUP($B$1&amp;$B$3&amp;$B$127&amp;$A131,Доход!$D$38:$AG$7200,Доход!O$1,0)</f>
        <v>75</v>
      </c>
      <c r="M131" s="28">
        <f>VLOOKUP($B$1&amp;$B$3&amp;$B$127&amp;$A131,Доход!$D$38:$AG$7200,Доход!P$1,0)</f>
        <v>0.35</v>
      </c>
      <c r="N131" s="70">
        <f>VLOOKUP($B$1&amp;$B$3&amp;$B$127&amp;$A131,Доход!$D$38:$AG$7200,Доход!Q$1,0)</f>
        <v>0.5</v>
      </c>
      <c r="O131" s="29">
        <f>VLOOKUP($B$1&amp;$B$3&amp;$B$127&amp;$A131,Доход!$D$38:$AG$7200,Доход!R$1,0)</f>
        <v>3</v>
      </c>
      <c r="P131" s="30">
        <f>VLOOKUP($B$1&amp;$B$3&amp;$B$127&amp;$A131,Доход!$D$38:$AG$7200,Доход!S$1,0)</f>
        <v>600</v>
      </c>
      <c r="Q131" s="30">
        <f>VLOOKUP($B$1&amp;$B$3&amp;$B$127&amp;$A131,Доход!$D$38:$AG$7200,Доход!T$1,0)</f>
        <v>400</v>
      </c>
      <c r="R131" s="31">
        <f>VLOOKUP($B$1&amp;$B$3&amp;$B$127&amp;$A131,Доход!$D$38:$AG$7200,Доход!U$1,0)</f>
        <v>5490</v>
      </c>
      <c r="S131" s="222">
        <f>VLOOKUP($B$1&amp;$B$3&amp;$B$127&amp;$A131,Доход!$D$38:$AG$7200,Доход!V$1,0)</f>
        <v>30000</v>
      </c>
      <c r="T131" s="222">
        <f>VLOOKUP($B$1&amp;$B$3&amp;$B$127&amp;$A131,Доход!$D$38:$AG$7200,Доход!W$1,0)</f>
        <v>27</v>
      </c>
      <c r="U131" s="222">
        <f>VLOOKUP($B$1&amp;$B$3&amp;$B$127&amp;$A131,Доход!$D$38:$AG$7200,Доход!X$1,0)</f>
        <v>148230</v>
      </c>
      <c r="V131" s="222">
        <f>VLOOKUP($B$1&amp;$B$3&amp;$B$127&amp;$A131,Доход!$D$38:$AG$7200,Доход!Y$1,0)</f>
        <v>81</v>
      </c>
      <c r="W131" s="237">
        <f>VLOOKUP($B$1&amp;$B$3&amp;$B$127&amp;$A131,Доход!$D$38:$AG$7200,Доход!Z$1,0)</f>
        <v>45000</v>
      </c>
      <c r="X131" s="207">
        <f>VLOOKUP($B$1&amp;$B$3&amp;$B$127&amp;$A131,Доход!$D$38:$AG$7200,Доход!AA$1,0)</f>
        <v>0</v>
      </c>
      <c r="Y131" s="208">
        <f>VLOOKUP($B$1&amp;$B$3&amp;$B$127&amp;$A131,Доход!$D$38:$AG$7200,Доход!AB$1,0)</f>
        <v>0</v>
      </c>
      <c r="Z131" s="208">
        <f>VLOOKUP($B$1&amp;$B$3&amp;$B$127&amp;$A131,Доход!$D$38:$AG$7200,Доход!AC$1,0)</f>
        <v>178230</v>
      </c>
      <c r="AA131" s="208">
        <f>VLOOKUP($B$1&amp;$B$3&amp;$B$127&amp;$A131,Доход!$D$38:$AG$7200,Доход!AD$1,0)</f>
        <v>13</v>
      </c>
      <c r="AB131" s="208">
        <f>VLOOKUP($B$1&amp;$B$3&amp;$B$127&amp;$A131,Доход!$D$38:$AG$7200,Доход!AE$1,0)</f>
        <v>8</v>
      </c>
      <c r="AC131" s="208">
        <f>VLOOKUP($B$1&amp;$B$3&amp;$B$127&amp;$A131,Доход!$D$38:$AG$7200,Доход!AF$1,0)</f>
        <v>36120</v>
      </c>
      <c r="AD131" s="138">
        <f>VLOOKUP($B$1&amp;$B$3&amp;$B$127&amp;$A131,Доход!$D$38:$AG$7200,Доход!AG$1,0)</f>
        <v>142110</v>
      </c>
      <c r="AF131" s="270"/>
    </row>
    <row r="132" spans="1:32" outlineLevel="1" x14ac:dyDescent="0.3">
      <c r="A132" s="29">
        <v>4</v>
      </c>
      <c r="B132" s="18">
        <f>VLOOKUP($B$1&amp;$B$3&amp;$B$127&amp;$A132,Доход!$D$38:$AG$7200,Доход!E$1,0)</f>
        <v>250</v>
      </c>
      <c r="C132" s="24">
        <f>VLOOKUP($B$1&amp;$B$3&amp;$B$127&amp;$A132,Доход!$D$38:$AG$7200,Доход!F$1,0)</f>
        <v>0</v>
      </c>
      <c r="D132" s="24">
        <f>VLOOKUP($B$1&amp;$B$3&amp;$B$127&amp;$A132,Доход!$D$38:$AG$7200,Доход!G$1,0)</f>
        <v>0</v>
      </c>
      <c r="E132" s="25">
        <f>VLOOKUP($B$1&amp;$B$3&amp;$B$127&amp;$A132,Доход!$D$38:$AG$7200,Доход!H$1,0)</f>
        <v>0</v>
      </c>
      <c r="F132" s="26">
        <f>VLOOKUP($B$1&amp;$B$3&amp;$B$127&amp;$A132,Доход!$D$38:$AG$7200,Доход!I$1,0)</f>
        <v>0</v>
      </c>
      <c r="G132" s="27">
        <f>VLOOKUP($B$1&amp;$B$3&amp;$B$127&amp;$A132,Доход!$D$38:$AG$7200,Доход!J$1,0)</f>
        <v>0</v>
      </c>
      <c r="H132" s="27">
        <f>VLOOKUP($B$1&amp;$B$3&amp;$B$127&amp;$A132,Доход!$D$38:$AG$7200,Доход!K$1,0)</f>
        <v>0</v>
      </c>
      <c r="I132" s="27">
        <f>VLOOKUP($B$1&amp;$B$3&amp;$B$127&amp;$A132,Доход!$D$38:$AG$7200,Доход!L$1,0)</f>
        <v>0</v>
      </c>
      <c r="J132" s="27">
        <f>VLOOKUP($B$1&amp;$B$3&amp;$B$127&amp;$A132,Доход!$D$38:$AG$7200,Доход!M$1,0)</f>
        <v>0</v>
      </c>
      <c r="K132" s="28">
        <f>VLOOKUP($B$1&amp;$B$3&amp;$B$127&amp;$A132,Доход!$D$38:$AG$7200,Доход!N$1,0)</f>
        <v>0.3</v>
      </c>
      <c r="L132" s="27">
        <f>VLOOKUP($B$1&amp;$B$3&amp;$B$127&amp;$A132,Доход!$D$38:$AG$7200,Доход!O$1,0)</f>
        <v>75</v>
      </c>
      <c r="M132" s="28">
        <f>VLOOKUP($B$1&amp;$B$3&amp;$B$127&amp;$A132,Доход!$D$38:$AG$7200,Доход!P$1,0)</f>
        <v>0.35</v>
      </c>
      <c r="N132" s="70">
        <f>VLOOKUP($B$1&amp;$B$3&amp;$B$127&amp;$A132,Доход!$D$38:$AG$7200,Доход!Q$1,0)</f>
        <v>0.5</v>
      </c>
      <c r="O132" s="29">
        <f>VLOOKUP($B$1&amp;$B$3&amp;$B$127&amp;$A132,Доход!$D$38:$AG$7200,Доход!R$1,0)</f>
        <v>4</v>
      </c>
      <c r="P132" s="30">
        <f>VLOOKUP($B$1&amp;$B$3&amp;$B$127&amp;$A132,Доход!$D$38:$AG$7200,Доход!S$1,0)</f>
        <v>600</v>
      </c>
      <c r="Q132" s="30">
        <f>VLOOKUP($B$1&amp;$B$3&amp;$B$127&amp;$A132,Доход!$D$38:$AG$7200,Доход!T$1,0)</f>
        <v>400</v>
      </c>
      <c r="R132" s="31">
        <f>VLOOKUP($B$1&amp;$B$3&amp;$B$127&amp;$A132,Доход!$D$38:$AG$7200,Доход!U$1,0)</f>
        <v>5490</v>
      </c>
      <c r="S132" s="222">
        <f>VLOOKUP($B$1&amp;$B$3&amp;$B$127&amp;$A132,Доход!$D$38:$AG$7200,Доход!V$1,0)</f>
        <v>30000</v>
      </c>
      <c r="T132" s="222">
        <f>VLOOKUP($B$1&amp;$B$3&amp;$B$127&amp;$A132,Доход!$D$38:$AG$7200,Доход!W$1,0)</f>
        <v>27</v>
      </c>
      <c r="U132" s="222">
        <f>VLOOKUP($B$1&amp;$B$3&amp;$B$127&amp;$A132,Доход!$D$38:$AG$7200,Доход!X$1,0)</f>
        <v>148230</v>
      </c>
      <c r="V132" s="222">
        <f>VLOOKUP($B$1&amp;$B$3&amp;$B$127&amp;$A132,Доход!$D$38:$AG$7200,Доход!Y$1,0)</f>
        <v>108</v>
      </c>
      <c r="W132" s="237">
        <f>VLOOKUP($B$1&amp;$B$3&amp;$B$127&amp;$A132,Доход!$D$38:$AG$7200,Доход!Z$1,0)</f>
        <v>45000</v>
      </c>
      <c r="X132" s="207">
        <f>VLOOKUP($B$1&amp;$B$3&amp;$B$127&amp;$A132,Доход!$D$38:$AG$7200,Доход!AA$1,0)</f>
        <v>0</v>
      </c>
      <c r="Y132" s="208">
        <f>VLOOKUP($B$1&amp;$B$3&amp;$B$127&amp;$A132,Доход!$D$38:$AG$7200,Доход!AB$1,0)</f>
        <v>0</v>
      </c>
      <c r="Z132" s="208">
        <f>VLOOKUP($B$1&amp;$B$3&amp;$B$127&amp;$A132,Доход!$D$38:$AG$7200,Доход!AC$1,0)</f>
        <v>178230</v>
      </c>
      <c r="AA132" s="208">
        <f>VLOOKUP($B$1&amp;$B$3&amp;$B$127&amp;$A132,Доход!$D$38:$AG$7200,Доход!AD$1,0)</f>
        <v>17</v>
      </c>
      <c r="AB132" s="208">
        <f>VLOOKUP($B$1&amp;$B$3&amp;$B$127&amp;$A132,Доход!$D$38:$AG$7200,Доход!AE$1,0)</f>
        <v>8</v>
      </c>
      <c r="AC132" s="208">
        <f>VLOOKUP($B$1&amp;$B$3&amp;$B$127&amp;$A132,Доход!$D$38:$AG$7200,Доход!AF$1,0)</f>
        <v>43000</v>
      </c>
      <c r="AD132" s="138">
        <f>VLOOKUP($B$1&amp;$B$3&amp;$B$127&amp;$A132,Доход!$D$38:$AG$7200,Доход!AG$1,0)</f>
        <v>135230</v>
      </c>
      <c r="AF132" s="270"/>
    </row>
    <row r="133" spans="1:32" outlineLevel="1" x14ac:dyDescent="0.3">
      <c r="A133" s="35">
        <v>5</v>
      </c>
      <c r="B133" s="18">
        <f>VLOOKUP($B$1&amp;$B$3&amp;$B$127&amp;$A133,Доход!$D$38:$AG$7200,Доход!E$1,0)</f>
        <v>250</v>
      </c>
      <c r="C133" s="32">
        <f>VLOOKUP($B$1&amp;$B$3&amp;$B$127&amp;$A133,Доход!$D$38:$AG$7200,Доход!F$1,0)</f>
        <v>0</v>
      </c>
      <c r="D133" s="81">
        <f>VLOOKUP($B$1&amp;$B$3&amp;$B$127&amp;$A133,Доход!$D$38:$AG$7200,Доход!G$1,0)</f>
        <v>0</v>
      </c>
      <c r="E133" s="82">
        <f>VLOOKUP($B$1&amp;$B$3&amp;$B$127&amp;$A133,Доход!$D$38:$AG$7200,Доход!H$1,0)</f>
        <v>0</v>
      </c>
      <c r="F133" s="33">
        <f>VLOOKUP($B$1&amp;$B$3&amp;$B$127&amp;$A133,Доход!$D$38:$AG$7200,Доход!I$1,0)</f>
        <v>0</v>
      </c>
      <c r="G133" s="34">
        <f>VLOOKUP($B$1&amp;$B$3&amp;$B$127&amp;$A133,Доход!$D$38:$AG$7200,Доход!J$1,0)</f>
        <v>0</v>
      </c>
      <c r="H133" s="34">
        <f>VLOOKUP($B$1&amp;$B$3&amp;$B$127&amp;$A133,Доход!$D$38:$AG$7200,Доход!K$1,0)</f>
        <v>0</v>
      </c>
      <c r="I133" s="80">
        <f>VLOOKUP($B$1&amp;$B$3&amp;$B$127&amp;$A133,Доход!$D$38:$AG$7200,Доход!L$1,0)</f>
        <v>0</v>
      </c>
      <c r="J133" s="34">
        <f>VLOOKUP($B$1&amp;$B$3&amp;$B$127&amp;$A133,Доход!$D$38:$AG$7200,Доход!M$1,0)</f>
        <v>0</v>
      </c>
      <c r="K133" s="75">
        <f>VLOOKUP($B$1&amp;$B$3&amp;$B$127&amp;$A133,Доход!$D$38:$AG$7200,Доход!N$1,0)</f>
        <v>0.3</v>
      </c>
      <c r="L133" s="34">
        <f>VLOOKUP($B$1&amp;$B$3&amp;$B$127&amp;$A133,Доход!$D$38:$AG$7200,Доход!O$1,0)</f>
        <v>75</v>
      </c>
      <c r="M133" s="75">
        <f>VLOOKUP($B$1&amp;$B$3&amp;$B$127&amp;$A133,Доход!$D$38:$AG$7200,Доход!P$1,0)</f>
        <v>0.35</v>
      </c>
      <c r="N133" s="71">
        <f>VLOOKUP($B$1&amp;$B$3&amp;$B$127&amp;$A133,Доход!$D$38:$AG$7200,Доход!Q$1,0)</f>
        <v>0.5</v>
      </c>
      <c r="O133" s="35">
        <f>VLOOKUP($B$1&amp;$B$3&amp;$B$127&amp;$A133,Доход!$D$38:$AG$7200,Доход!R$1,0)</f>
        <v>5</v>
      </c>
      <c r="P133" s="76">
        <f>VLOOKUP($B$1&amp;$B$3&amp;$B$127&amp;$A133,Доход!$D$38:$AG$7200,Доход!S$1,0)</f>
        <v>600</v>
      </c>
      <c r="Q133" s="36">
        <f>VLOOKUP($B$1&amp;$B$3&amp;$B$127&amp;$A133,Доход!$D$38:$AG$7200,Доход!T$1,0)</f>
        <v>400</v>
      </c>
      <c r="R133" s="37">
        <f>VLOOKUP($B$1&amp;$B$3&amp;$B$127&amp;$A133,Доход!$D$38:$AG$7200,Доход!U$1,0)</f>
        <v>5490</v>
      </c>
      <c r="S133" s="227">
        <f>VLOOKUP($B$1&amp;$B$3&amp;$B$127&amp;$A133,Доход!$D$38:$AG$7200,Доход!V$1,0)</f>
        <v>30000</v>
      </c>
      <c r="T133" s="227">
        <f>VLOOKUP($B$1&amp;$B$3&amp;$B$127&amp;$A133,Доход!$D$38:$AG$7200,Доход!W$1,0)</f>
        <v>27</v>
      </c>
      <c r="U133" s="227">
        <f>VLOOKUP($B$1&amp;$B$3&amp;$B$127&amp;$A133,Доход!$D$38:$AG$7200,Доход!X$1,0)</f>
        <v>148230</v>
      </c>
      <c r="V133" s="227">
        <f>VLOOKUP($B$1&amp;$B$3&amp;$B$127&amp;$A133,Доход!$D$38:$AG$7200,Доход!Y$1,0)</f>
        <v>122</v>
      </c>
      <c r="W133" s="238">
        <f>VLOOKUP($B$1&amp;$B$3&amp;$B$127&amp;$A133,Доход!$D$38:$AG$7200,Доход!Z$1,0)</f>
        <v>45000</v>
      </c>
      <c r="X133" s="209">
        <f>VLOOKUP($B$1&amp;$B$3&amp;$B$127&amp;$A133,Доход!$D$38:$AG$7200,Доход!AA$1,0)</f>
        <v>13</v>
      </c>
      <c r="Y133" s="210">
        <f>VLOOKUP($B$1&amp;$B$3&amp;$B$127&amp;$A133,Доход!$D$38:$AG$7200,Доход!AB$1,0)</f>
        <v>71370</v>
      </c>
      <c r="Z133" s="211">
        <f>VLOOKUP($B$1&amp;$B$3&amp;$B$127&amp;$A133,Доход!$D$38:$AG$7200,Доход!AC$1,0)</f>
        <v>249600</v>
      </c>
      <c r="AA133" s="211">
        <f>VLOOKUP($B$1&amp;$B$3&amp;$B$127&amp;$A133,Доход!$D$38:$AG$7200,Доход!AD$1,0)</f>
        <v>19</v>
      </c>
      <c r="AB133" s="211">
        <f>VLOOKUP($B$1&amp;$B$3&amp;$B$127&amp;$A133,Доход!$D$38:$AG$7200,Доход!AE$1,0)</f>
        <v>8</v>
      </c>
      <c r="AC133" s="211">
        <f>VLOOKUP($B$1&amp;$B$3&amp;$B$127&amp;$A133,Доход!$D$38:$AG$7200,Доход!AF$1,0)</f>
        <v>46440</v>
      </c>
      <c r="AD133" s="212">
        <f>VLOOKUP($B$1&amp;$B$3&amp;$B$127&amp;$A133,Доход!$D$38:$AG$7200,Доход!AG$1,0)</f>
        <v>203160</v>
      </c>
      <c r="AF133" s="270"/>
    </row>
    <row r="134" spans="1:32" outlineLevel="1" x14ac:dyDescent="0.3">
      <c r="A134" s="29">
        <v>6</v>
      </c>
      <c r="B134" s="18">
        <f>VLOOKUP($B$1&amp;$B$3&amp;$B$127&amp;$A134,Доход!$D$38:$AG$7200,Доход!E$1,0)</f>
        <v>250</v>
      </c>
      <c r="C134" s="24">
        <f>VLOOKUP($B$1&amp;$B$3&amp;$B$127&amp;$A134,Доход!$D$38:$AG$7200,Доход!F$1,0)</f>
        <v>0</v>
      </c>
      <c r="D134" s="24">
        <f>VLOOKUP($B$1&amp;$B$3&amp;$B$127&amp;$A134,Доход!$D$38:$AG$7200,Доход!G$1,0)</f>
        <v>0</v>
      </c>
      <c r="E134" s="25">
        <f>VLOOKUP($B$1&amp;$B$3&amp;$B$127&amp;$A134,Доход!$D$38:$AG$7200,Доход!H$1,0)</f>
        <v>0</v>
      </c>
      <c r="F134" s="26">
        <f>VLOOKUP($B$1&amp;$B$3&amp;$B$127&amp;$A134,Доход!$D$38:$AG$7200,Доход!I$1,0)</f>
        <v>0</v>
      </c>
      <c r="G134" s="27">
        <f>VLOOKUP($B$1&amp;$B$3&amp;$B$127&amp;$A134,Доход!$D$38:$AG$7200,Доход!J$1,0)</f>
        <v>0</v>
      </c>
      <c r="H134" s="27">
        <f>VLOOKUP($B$1&amp;$B$3&amp;$B$127&amp;$A134,Доход!$D$38:$AG$7200,Доход!K$1,0)</f>
        <v>0</v>
      </c>
      <c r="I134" s="27">
        <f>VLOOKUP($B$1&amp;$B$3&amp;$B$127&amp;$A134,Доход!$D$38:$AG$7200,Доход!L$1,0)</f>
        <v>0</v>
      </c>
      <c r="J134" s="27">
        <f>VLOOKUP($B$1&amp;$B$3&amp;$B$127&amp;$A134,Доход!$D$38:$AG$7200,Доход!M$1,0)</f>
        <v>0</v>
      </c>
      <c r="K134" s="28">
        <f>VLOOKUP($B$1&amp;$B$3&amp;$B$127&amp;$A134,Доход!$D$38:$AG$7200,Доход!N$1,0)</f>
        <v>0.3</v>
      </c>
      <c r="L134" s="27">
        <f>VLOOKUP($B$1&amp;$B$3&amp;$B$127&amp;$A134,Доход!$D$38:$AG$7200,Доход!O$1,0)</f>
        <v>75</v>
      </c>
      <c r="M134" s="28">
        <f>VLOOKUP($B$1&amp;$B$3&amp;$B$127&amp;$A134,Доход!$D$38:$AG$7200,Доход!P$1,0)</f>
        <v>0.35</v>
      </c>
      <c r="N134" s="70">
        <f>VLOOKUP($B$1&amp;$B$3&amp;$B$127&amp;$A134,Доход!$D$38:$AG$7200,Доход!Q$1,0)</f>
        <v>0.5</v>
      </c>
      <c r="O134" s="29">
        <f>VLOOKUP($B$1&amp;$B$3&amp;$B$127&amp;$A134,Доход!$D$38:$AG$7200,Доход!R$1,0)</f>
        <v>6</v>
      </c>
      <c r="P134" s="30">
        <f>VLOOKUP($B$1&amp;$B$3&amp;$B$127&amp;$A134,Доход!$D$38:$AG$7200,Доход!S$1,0)</f>
        <v>600</v>
      </c>
      <c r="Q134" s="30">
        <f>VLOOKUP($B$1&amp;$B$3&amp;$B$127&amp;$A134,Доход!$D$38:$AG$7200,Доход!T$1,0)</f>
        <v>400</v>
      </c>
      <c r="R134" s="31">
        <f>VLOOKUP($B$1&amp;$B$3&amp;$B$127&amp;$A134,Доход!$D$38:$AG$7200,Доход!U$1,0)</f>
        <v>5490</v>
      </c>
      <c r="S134" s="222">
        <f>VLOOKUP($B$1&amp;$B$3&amp;$B$127&amp;$A134,Доход!$D$38:$AG$7200,Доход!V$1,0)</f>
        <v>30000</v>
      </c>
      <c r="T134" s="229">
        <f>VLOOKUP($B$1&amp;$B$3&amp;$B$127&amp;$A134,Доход!$D$38:$AG$7200,Доход!W$1,0)</f>
        <v>27</v>
      </c>
      <c r="U134" s="222">
        <f>VLOOKUP($B$1&amp;$B$3&amp;$B$127&amp;$A134,Доход!$D$38:$AG$7200,Доход!X$1,0)</f>
        <v>148230</v>
      </c>
      <c r="V134" s="222">
        <f>VLOOKUP($B$1&amp;$B$3&amp;$B$127&amp;$A134,Доход!$D$38:$AG$7200,Доход!Y$1,0)</f>
        <v>136</v>
      </c>
      <c r="W134" s="237">
        <f>VLOOKUP($B$1&amp;$B$3&amp;$B$127&amp;$A134,Доход!$D$38:$AG$7200,Доход!Z$1,0)</f>
        <v>45000</v>
      </c>
      <c r="X134" s="209">
        <f>VLOOKUP($B$1&amp;$B$3&amp;$B$127&amp;$A134,Доход!$D$38:$AG$7200,Доход!AA$1,0)</f>
        <v>13</v>
      </c>
      <c r="Y134" s="208">
        <f>VLOOKUP($B$1&amp;$B$3&amp;$B$127&amp;$A134,Доход!$D$38:$AG$7200,Доход!AB$1,0)</f>
        <v>71370</v>
      </c>
      <c r="Z134" s="208">
        <f>VLOOKUP($B$1&amp;$B$3&amp;$B$127&amp;$A134,Доход!$D$38:$AG$7200,Доход!AC$1,0)</f>
        <v>249600</v>
      </c>
      <c r="AA134" s="208">
        <f>VLOOKUP($B$1&amp;$B$3&amp;$B$127&amp;$A134,Доход!$D$38:$AG$7200,Доход!AD$1,0)</f>
        <v>21</v>
      </c>
      <c r="AB134" s="208">
        <f>VLOOKUP($B$1&amp;$B$3&amp;$B$127&amp;$A134,Доход!$D$38:$AG$7200,Доход!AE$1,0)</f>
        <v>8</v>
      </c>
      <c r="AC134" s="208">
        <f>VLOOKUP($B$1&amp;$B$3&amp;$B$127&amp;$A134,Доход!$D$38:$AG$7200,Доход!AF$1,0)</f>
        <v>49880</v>
      </c>
      <c r="AD134" s="138">
        <f>VLOOKUP($B$1&amp;$B$3&amp;$B$127&amp;$A134,Доход!$D$38:$AG$7200,Доход!AG$1,0)</f>
        <v>199720</v>
      </c>
      <c r="AF134" s="270"/>
    </row>
    <row r="135" spans="1:32" outlineLevel="1" x14ac:dyDescent="0.3">
      <c r="A135" s="29">
        <v>7</v>
      </c>
      <c r="B135" s="18">
        <f>VLOOKUP($B$1&amp;$B$3&amp;$B$127&amp;$A135,Доход!$D$38:$AG$7200,Доход!E$1,0)</f>
        <v>250</v>
      </c>
      <c r="C135" s="24">
        <f>VLOOKUP($B$1&amp;$B$3&amp;$B$127&amp;$A135,Доход!$D$38:$AG$7200,Доход!F$1,0)</f>
        <v>0</v>
      </c>
      <c r="D135" s="24">
        <f>VLOOKUP($B$1&amp;$B$3&amp;$B$127&amp;$A135,Доход!$D$38:$AG$7200,Доход!G$1,0)</f>
        <v>0</v>
      </c>
      <c r="E135" s="25">
        <f>VLOOKUP($B$1&amp;$B$3&amp;$B$127&amp;$A135,Доход!$D$38:$AG$7200,Доход!H$1,0)</f>
        <v>0</v>
      </c>
      <c r="F135" s="26">
        <f>VLOOKUP($B$1&amp;$B$3&amp;$B$127&amp;$A135,Доход!$D$38:$AG$7200,Доход!I$1,0)</f>
        <v>0</v>
      </c>
      <c r="G135" s="27">
        <f>VLOOKUP($B$1&amp;$B$3&amp;$B$127&amp;$A135,Доход!$D$38:$AG$7200,Доход!J$1,0)</f>
        <v>0</v>
      </c>
      <c r="H135" s="27">
        <f>VLOOKUP($B$1&amp;$B$3&amp;$B$127&amp;$A135,Доход!$D$38:$AG$7200,Доход!K$1,0)</f>
        <v>0</v>
      </c>
      <c r="I135" s="27">
        <f>VLOOKUP($B$1&amp;$B$3&amp;$B$127&amp;$A135,Доход!$D$38:$AG$7200,Доход!L$1,0)</f>
        <v>0</v>
      </c>
      <c r="J135" s="27">
        <f>VLOOKUP($B$1&amp;$B$3&amp;$B$127&amp;$A135,Доход!$D$38:$AG$7200,Доход!M$1,0)</f>
        <v>0</v>
      </c>
      <c r="K135" s="28">
        <f>VLOOKUP($B$1&amp;$B$3&amp;$B$127&amp;$A135,Доход!$D$38:$AG$7200,Доход!N$1,0)</f>
        <v>0.3</v>
      </c>
      <c r="L135" s="27">
        <f>VLOOKUP($B$1&amp;$B$3&amp;$B$127&amp;$A135,Доход!$D$38:$AG$7200,Доход!O$1,0)</f>
        <v>75</v>
      </c>
      <c r="M135" s="28">
        <f>VLOOKUP($B$1&amp;$B$3&amp;$B$127&amp;$A135,Доход!$D$38:$AG$7200,Доход!P$1,0)</f>
        <v>0.35</v>
      </c>
      <c r="N135" s="70">
        <f>VLOOKUP($B$1&amp;$B$3&amp;$B$127&amp;$A135,Доход!$D$38:$AG$7200,Доход!Q$1,0)</f>
        <v>0.5</v>
      </c>
      <c r="O135" s="29">
        <f>VLOOKUP($B$1&amp;$B$3&amp;$B$127&amp;$A135,Доход!$D$38:$AG$7200,Доход!R$1,0)</f>
        <v>7</v>
      </c>
      <c r="P135" s="30">
        <f>VLOOKUP($B$1&amp;$B$3&amp;$B$127&amp;$A135,Доход!$D$38:$AG$7200,Доход!S$1,0)</f>
        <v>600</v>
      </c>
      <c r="Q135" s="30">
        <f>VLOOKUP($B$1&amp;$B$3&amp;$B$127&amp;$A135,Доход!$D$38:$AG$7200,Доход!T$1,0)</f>
        <v>400</v>
      </c>
      <c r="R135" s="31">
        <f>VLOOKUP($B$1&amp;$B$3&amp;$B$127&amp;$A135,Доход!$D$38:$AG$7200,Доход!U$1,0)</f>
        <v>5490</v>
      </c>
      <c r="S135" s="222">
        <f>VLOOKUP($B$1&amp;$B$3&amp;$B$127&amp;$A135,Доход!$D$38:$AG$7200,Доход!V$1,0)</f>
        <v>30000</v>
      </c>
      <c r="T135" s="229">
        <f>VLOOKUP($B$1&amp;$B$3&amp;$B$127&amp;$A135,Доход!$D$38:$AG$7200,Доход!W$1,0)</f>
        <v>27</v>
      </c>
      <c r="U135" s="222">
        <f>VLOOKUP($B$1&amp;$B$3&amp;$B$127&amp;$A135,Доход!$D$38:$AG$7200,Доход!X$1,0)</f>
        <v>148230</v>
      </c>
      <c r="V135" s="222">
        <f>VLOOKUP($B$1&amp;$B$3&amp;$B$127&amp;$A135,Доход!$D$38:$AG$7200,Доход!Y$1,0)</f>
        <v>150</v>
      </c>
      <c r="W135" s="237">
        <f>VLOOKUP($B$1&amp;$B$3&amp;$B$127&amp;$A135,Доход!$D$38:$AG$7200,Доход!Z$1,0)</f>
        <v>45000</v>
      </c>
      <c r="X135" s="209">
        <f>VLOOKUP($B$1&amp;$B$3&amp;$B$127&amp;$A135,Доход!$D$38:$AG$7200,Доход!AA$1,0)</f>
        <v>13</v>
      </c>
      <c r="Y135" s="208">
        <f>VLOOKUP($B$1&amp;$B$3&amp;$B$127&amp;$A135,Доход!$D$38:$AG$7200,Доход!AB$1,0)</f>
        <v>71370</v>
      </c>
      <c r="Z135" s="208">
        <f>VLOOKUP($B$1&amp;$B$3&amp;$B$127&amp;$A135,Доход!$D$38:$AG$7200,Доход!AC$1,0)</f>
        <v>249600</v>
      </c>
      <c r="AA135" s="208">
        <f>VLOOKUP($B$1&amp;$B$3&amp;$B$127&amp;$A135,Доход!$D$38:$AG$7200,Доход!AD$1,0)</f>
        <v>23</v>
      </c>
      <c r="AB135" s="208">
        <f>VLOOKUP($B$1&amp;$B$3&amp;$B$127&amp;$A135,Доход!$D$38:$AG$7200,Доход!AE$1,0)</f>
        <v>8</v>
      </c>
      <c r="AC135" s="208">
        <f>VLOOKUP($B$1&amp;$B$3&amp;$B$127&amp;$A135,Доход!$D$38:$AG$7200,Доход!AF$1,0)</f>
        <v>53320</v>
      </c>
      <c r="AD135" s="138">
        <f>VLOOKUP($B$1&amp;$B$3&amp;$B$127&amp;$A135,Доход!$D$38:$AG$7200,Доход!AG$1,0)</f>
        <v>196280</v>
      </c>
      <c r="AF135" s="270"/>
    </row>
    <row r="136" spans="1:32" outlineLevel="1" x14ac:dyDescent="0.3">
      <c r="A136" s="29">
        <v>8</v>
      </c>
      <c r="B136" s="18">
        <f>VLOOKUP($B$1&amp;$B$3&amp;$B$127&amp;$A136,Доход!$D$38:$AG$7200,Доход!E$1,0)</f>
        <v>250</v>
      </c>
      <c r="C136" s="24">
        <f>VLOOKUP($B$1&amp;$B$3&amp;$B$127&amp;$A136,Доход!$D$38:$AG$7200,Доход!F$1,0)</f>
        <v>0</v>
      </c>
      <c r="D136" s="24">
        <f>VLOOKUP($B$1&amp;$B$3&amp;$B$127&amp;$A136,Доход!$D$38:$AG$7200,Доход!G$1,0)</f>
        <v>0</v>
      </c>
      <c r="E136" s="25">
        <f>VLOOKUP($B$1&amp;$B$3&amp;$B$127&amp;$A136,Доход!$D$38:$AG$7200,Доход!H$1,0)</f>
        <v>0</v>
      </c>
      <c r="F136" s="26">
        <f>VLOOKUP($B$1&amp;$B$3&amp;$B$127&amp;$A136,Доход!$D$38:$AG$7200,Доход!I$1,0)</f>
        <v>0</v>
      </c>
      <c r="G136" s="27">
        <f>VLOOKUP($B$1&amp;$B$3&amp;$B$127&amp;$A136,Доход!$D$38:$AG$7200,Доход!J$1,0)</f>
        <v>0</v>
      </c>
      <c r="H136" s="27">
        <f>VLOOKUP($B$1&amp;$B$3&amp;$B$127&amp;$A136,Доход!$D$38:$AG$7200,Доход!K$1,0)</f>
        <v>0</v>
      </c>
      <c r="I136" s="27">
        <f>VLOOKUP($B$1&amp;$B$3&amp;$B$127&amp;$A136,Доход!$D$38:$AG$7200,Доход!L$1,0)</f>
        <v>0</v>
      </c>
      <c r="J136" s="27">
        <f>VLOOKUP($B$1&amp;$B$3&amp;$B$127&amp;$A136,Доход!$D$38:$AG$7200,Доход!M$1,0)</f>
        <v>0</v>
      </c>
      <c r="K136" s="28">
        <f>VLOOKUP($B$1&amp;$B$3&amp;$B$127&amp;$A136,Доход!$D$38:$AG$7200,Доход!N$1,0)</f>
        <v>0.25</v>
      </c>
      <c r="L136" s="27">
        <f>VLOOKUP($B$1&amp;$B$3&amp;$B$127&amp;$A136,Доход!$D$38:$AG$7200,Доход!O$1,0)</f>
        <v>62.5</v>
      </c>
      <c r="M136" s="28">
        <f>VLOOKUP($B$1&amp;$B$3&amp;$B$127&amp;$A136,Доход!$D$38:$AG$7200,Доход!P$1,0)</f>
        <v>0.3</v>
      </c>
      <c r="N136" s="70">
        <f>VLOOKUP($B$1&amp;$B$3&amp;$B$127&amp;$A136,Доход!$D$38:$AG$7200,Доход!Q$1,0)</f>
        <v>0.35</v>
      </c>
      <c r="O136" s="29">
        <f>VLOOKUP($B$1&amp;$B$3&amp;$B$127&amp;$A136,Доход!$D$38:$AG$7200,Доход!R$1,0)</f>
        <v>8</v>
      </c>
      <c r="P136" s="102">
        <f>VLOOKUP($B$1&amp;$B$3&amp;$B$127&amp;$A136,Доход!$D$38:$AG$7200,Доход!S$1,0)</f>
        <v>600</v>
      </c>
      <c r="Q136" s="30">
        <f>VLOOKUP($B$1&amp;$B$3&amp;$B$127&amp;$A136,Доход!$D$38:$AG$7200,Доход!T$1,0)</f>
        <v>400</v>
      </c>
      <c r="R136" s="31">
        <f>VLOOKUP($B$1&amp;$B$3&amp;$B$127&amp;$A136,Доход!$D$38:$AG$7200,Доход!U$1,0)</f>
        <v>5490</v>
      </c>
      <c r="S136" s="222">
        <f>VLOOKUP($B$1&amp;$B$3&amp;$B$127&amp;$A136,Доход!$D$38:$AG$7200,Доход!V$1,0)</f>
        <v>25000</v>
      </c>
      <c r="T136" s="229">
        <f>VLOOKUP($B$1&amp;$B$3&amp;$B$127&amp;$A136,Доход!$D$38:$AG$7200,Доход!W$1,0)</f>
        <v>19</v>
      </c>
      <c r="U136" s="222">
        <f>VLOOKUP($B$1&amp;$B$3&amp;$B$127&amp;$A136,Доход!$D$38:$AG$7200,Доход!X$1,0)</f>
        <v>104310</v>
      </c>
      <c r="V136" s="222">
        <f>VLOOKUP($B$1&amp;$B$3&amp;$B$127&amp;$A136,Доход!$D$38:$AG$7200,Доход!Y$1,0)</f>
        <v>160</v>
      </c>
      <c r="W136" s="237">
        <f>VLOOKUP($B$1&amp;$B$3&amp;$B$127&amp;$A136,Доход!$D$38:$AG$7200,Доход!Z$1,0)</f>
        <v>37500</v>
      </c>
      <c r="X136" s="209">
        <f>VLOOKUP($B$1&amp;$B$3&amp;$B$127&amp;$A136,Доход!$D$38:$AG$7200,Доход!AA$1,0)</f>
        <v>9</v>
      </c>
      <c r="Y136" s="208">
        <f>VLOOKUP($B$1&amp;$B$3&amp;$B$127&amp;$A136,Доход!$D$38:$AG$7200,Доход!AB$1,0)</f>
        <v>49410</v>
      </c>
      <c r="Z136" s="208">
        <f>VLOOKUP($B$1&amp;$B$3&amp;$B$127&amp;$A136,Доход!$D$38:$AG$7200,Доход!AC$1,0)</f>
        <v>178720</v>
      </c>
      <c r="AA136" s="208">
        <f>VLOOKUP($B$1&amp;$B$3&amp;$B$127&amp;$A136,Доход!$D$38:$AG$7200,Доход!AD$1,0)</f>
        <v>25</v>
      </c>
      <c r="AB136" s="208">
        <f>VLOOKUP($B$1&amp;$B$3&amp;$B$127&amp;$A136,Доход!$D$38:$AG$7200,Доход!AE$1,0)</f>
        <v>7</v>
      </c>
      <c r="AC136" s="208">
        <f>VLOOKUP($B$1&amp;$B$3&amp;$B$127&amp;$A136,Доход!$D$38:$AG$7200,Доход!AF$1,0)</f>
        <v>55040</v>
      </c>
      <c r="AD136" s="138">
        <f>VLOOKUP($B$1&amp;$B$3&amp;$B$127&amp;$A136,Доход!$D$38:$AG$7200,Доход!AG$1,0)</f>
        <v>123680</v>
      </c>
      <c r="AF136" s="270"/>
    </row>
    <row r="137" spans="1:32" ht="16.2" outlineLevel="1" thickBot="1" x14ac:dyDescent="0.35">
      <c r="A137" s="45">
        <v>9</v>
      </c>
      <c r="B137" s="19">
        <f>VLOOKUP($B$1&amp;$B$3&amp;$B$127&amp;$A137,Доход!$D$38:$AG$7200,Доход!E$1,0)</f>
        <v>250</v>
      </c>
      <c r="C137" s="40">
        <f>VLOOKUP($B$1&amp;$B$3&amp;$B$127&amp;$A137,Доход!$D$38:$AG$7200,Доход!F$1,0)</f>
        <v>0</v>
      </c>
      <c r="D137" s="40">
        <f>VLOOKUP($B$1&amp;$B$3&amp;$B$127&amp;$A137,Доход!$D$38:$AG$7200,Доход!G$1,0)</f>
        <v>0</v>
      </c>
      <c r="E137" s="41">
        <f>VLOOKUP($B$1&amp;$B$3&amp;$B$127&amp;$A137,Доход!$D$38:$AG$7200,Доход!H$1,0)</f>
        <v>0</v>
      </c>
      <c r="F137" s="42">
        <f>VLOOKUP($B$1&amp;$B$3&amp;$B$127&amp;$A137,Доход!$D$38:$AG$7200,Доход!I$1,0)</f>
        <v>0</v>
      </c>
      <c r="G137" s="43">
        <f>VLOOKUP($B$1&amp;$B$3&amp;$B$127&amp;$A137,Доход!$D$38:$AG$7200,Доход!J$1,0)</f>
        <v>0</v>
      </c>
      <c r="H137" s="43">
        <f>VLOOKUP($B$1&amp;$B$3&amp;$B$127&amp;$A137,Доход!$D$38:$AG$7200,Доход!K$1,0)</f>
        <v>0</v>
      </c>
      <c r="I137" s="43">
        <f>VLOOKUP($B$1&amp;$B$3&amp;$B$127&amp;$A137,Доход!$D$38:$AG$7200,Доход!L$1,0)</f>
        <v>0</v>
      </c>
      <c r="J137" s="43">
        <f>VLOOKUP($B$1&amp;$B$3&amp;$B$127&amp;$A137,Доход!$D$38:$AG$7200,Доход!M$1,0)</f>
        <v>0</v>
      </c>
      <c r="K137" s="44">
        <f>VLOOKUP($B$1&amp;$B$3&amp;$B$127&amp;$A137,Доход!$D$38:$AG$7200,Доход!N$1,0)</f>
        <v>0.2</v>
      </c>
      <c r="L137" s="43">
        <f>VLOOKUP($B$1&amp;$B$3&amp;$B$127&amp;$A137,Доход!$D$38:$AG$7200,Доход!O$1,0)</f>
        <v>50</v>
      </c>
      <c r="M137" s="44">
        <f>VLOOKUP($B$1&amp;$B$3&amp;$B$127&amp;$A137,Доход!$D$38:$AG$7200,Доход!P$1,0)</f>
        <v>0.25</v>
      </c>
      <c r="N137" s="72">
        <f>VLOOKUP($B$1&amp;$B$3&amp;$B$127&amp;$A137,Доход!$D$38:$AG$7200,Доход!Q$1,0)</f>
        <v>0.2</v>
      </c>
      <c r="O137" s="45">
        <f>VLOOKUP($B$1&amp;$B$3&amp;$B$127&amp;$A137,Доход!$D$38:$AG$7200,Доход!R$1,0)</f>
        <v>9</v>
      </c>
      <c r="P137" s="103">
        <f>VLOOKUP($B$1&amp;$B$3&amp;$B$127&amp;$A137,Доход!$D$38:$AG$7200,Доход!S$1,0)</f>
        <v>600</v>
      </c>
      <c r="Q137" s="46">
        <f>VLOOKUP($B$1&amp;$B$3&amp;$B$127&amp;$A137,Доход!$D$38:$AG$7200,Доход!T$1,0)</f>
        <v>400</v>
      </c>
      <c r="R137" s="47">
        <f>VLOOKUP($B$1&amp;$B$3&amp;$B$127&amp;$A137,Доход!$D$38:$AG$7200,Доход!U$1,0)</f>
        <v>5490</v>
      </c>
      <c r="S137" s="234">
        <f>VLOOKUP($B$1&amp;$B$3&amp;$B$127&amp;$A137,Доход!$D$38:$AG$7200,Доход!V$1,0)</f>
        <v>20000</v>
      </c>
      <c r="T137" s="235">
        <f>VLOOKUP($B$1&amp;$B$3&amp;$B$127&amp;$A137,Доход!$D$38:$AG$7200,Доход!W$1,0)</f>
        <v>13</v>
      </c>
      <c r="U137" s="234">
        <f>VLOOKUP($B$1&amp;$B$3&amp;$B$127&amp;$A137,Доход!$D$38:$AG$7200,Доход!X$1,0)</f>
        <v>71370</v>
      </c>
      <c r="V137" s="234">
        <f>VLOOKUP($B$1&amp;$B$3&amp;$B$127&amp;$A137,Доход!$D$38:$AG$7200,Доход!Y$1,0)</f>
        <v>168</v>
      </c>
      <c r="W137" s="239">
        <f>VLOOKUP($B$1&amp;$B$3&amp;$B$127&amp;$A137,Доход!$D$38:$AG$7200,Доход!Z$1,0)</f>
        <v>30000</v>
      </c>
      <c r="X137" s="213">
        <f>VLOOKUP($B$1&amp;$B$3&amp;$B$127&amp;$A137,Доход!$D$38:$AG$7200,Доход!AA$1,0)</f>
        <v>5</v>
      </c>
      <c r="Y137" s="214">
        <f>VLOOKUP($B$1&amp;$B$3&amp;$B$127&amp;$A137,Доход!$D$38:$AG$7200,Доход!AB$1,0)</f>
        <v>27450</v>
      </c>
      <c r="Z137" s="214">
        <f>VLOOKUP($B$1&amp;$B$3&amp;$B$127&amp;$A137,Доход!$D$38:$AG$7200,Доход!AC$1,0)</f>
        <v>118820</v>
      </c>
      <c r="AA137" s="214">
        <f>VLOOKUP($B$1&amp;$B$3&amp;$B$127&amp;$A137,Доход!$D$38:$AG$7200,Доход!AD$1,0)</f>
        <v>26</v>
      </c>
      <c r="AB137" s="214">
        <f>VLOOKUP($B$1&amp;$B$3&amp;$B$127&amp;$A137,Доход!$D$38:$AG$7200,Доход!AE$1,0)</f>
        <v>5</v>
      </c>
      <c r="AC137" s="214">
        <f>VLOOKUP($B$1&amp;$B$3&amp;$B$127&amp;$A137,Доход!$D$38:$AG$7200,Доход!AF$1,0)</f>
        <v>53320</v>
      </c>
      <c r="AD137" s="139">
        <f>VLOOKUP($B$1&amp;$B$3&amp;$B$127&amp;$A137,Доход!$D$38:$AG$7200,Доход!AG$1,0)</f>
        <v>65500</v>
      </c>
      <c r="AF137" s="270"/>
    </row>
    <row r="138" spans="1:32" ht="16.2" outlineLevel="1" thickBot="1" x14ac:dyDescent="0.35">
      <c r="C138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215" t="s">
        <v>64</v>
      </c>
      <c r="AD138" s="127">
        <f>SUM(AD129:AD137)</f>
        <v>1325540</v>
      </c>
    </row>
    <row r="139" spans="1:32" outlineLevel="1" x14ac:dyDescent="0.3">
      <c r="C139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</row>
    <row r="140" spans="1:32" outlineLevel="1" x14ac:dyDescent="0.3">
      <c r="C140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</row>
    <row r="141" spans="1:32" ht="24" outlineLevel="1" thickBot="1" x14ac:dyDescent="0.5">
      <c r="B141" s="193" t="s">
        <v>133</v>
      </c>
      <c r="C141"/>
      <c r="L141" s="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</row>
    <row r="142" spans="1:32" ht="45.75" customHeight="1" outlineLevel="1" thickBot="1" x14ac:dyDescent="0.35">
      <c r="B142" s="95" t="s">
        <v>127</v>
      </c>
      <c r="C142" s="195" t="s">
        <v>92</v>
      </c>
      <c r="D142" s="196" t="s">
        <v>93</v>
      </c>
      <c r="E142" s="197" t="s">
        <v>134</v>
      </c>
      <c r="F142" s="195" t="s">
        <v>94</v>
      </c>
      <c r="G142" s="202" t="s">
        <v>95</v>
      </c>
      <c r="H142" s="196" t="s">
        <v>96</v>
      </c>
      <c r="I142" s="196" t="s">
        <v>97</v>
      </c>
      <c r="J142" s="196" t="s">
        <v>98</v>
      </c>
      <c r="K142" s="196" t="s">
        <v>128</v>
      </c>
      <c r="L142" s="202" t="s">
        <v>100</v>
      </c>
      <c r="M142" s="196" t="s">
        <v>129</v>
      </c>
      <c r="N142" s="196" t="s">
        <v>102</v>
      </c>
      <c r="O142" s="195" t="s">
        <v>103</v>
      </c>
      <c r="P142" s="196" t="s">
        <v>104</v>
      </c>
      <c r="Q142" s="196" t="s">
        <v>105</v>
      </c>
      <c r="R142" s="197" t="s">
        <v>90</v>
      </c>
      <c r="S142" s="250" t="s">
        <v>106</v>
      </c>
      <c r="T142" s="251" t="s">
        <v>107</v>
      </c>
      <c r="U142" s="250" t="s">
        <v>108</v>
      </c>
      <c r="V142" s="251" t="s">
        <v>109</v>
      </c>
      <c r="W142" s="252" t="s">
        <v>110</v>
      </c>
      <c r="X142" s="248" t="s">
        <v>111</v>
      </c>
      <c r="Y142" s="248" t="s">
        <v>112</v>
      </c>
      <c r="Z142" s="248" t="s">
        <v>113</v>
      </c>
      <c r="AA142" s="248" t="s">
        <v>114</v>
      </c>
      <c r="AB142" s="248" t="s">
        <v>136</v>
      </c>
      <c r="AC142" s="248" t="s">
        <v>115</v>
      </c>
      <c r="AD142" s="249" t="s">
        <v>116</v>
      </c>
    </row>
    <row r="143" spans="1:32" outlineLevel="1" x14ac:dyDescent="0.3">
      <c r="A143" s="77">
        <v>1</v>
      </c>
      <c r="B143" s="17">
        <f>VLOOKUP($B$1&amp;$B$3&amp;$B$141&amp;$A143,Доход!$D$74:$AG$10900,Доход!E$1,0)</f>
        <v>500</v>
      </c>
      <c r="C143" s="23">
        <f>VLOOKUP($B$1&amp;$B$3&amp;$B$141&amp;$A143,Доход!$D$74:$AG$10900,Доход!F$1,0)</f>
        <v>10</v>
      </c>
      <c r="D143" s="24">
        <f>VLOOKUP($B$1&amp;$B$3&amp;$B$141&amp;$A143,Доход!$D$74:$AG$10900,Доход!G$1,0)</f>
        <v>25</v>
      </c>
      <c r="E143" s="25">
        <f>VLOOKUP($B$1&amp;$B$3&amp;$B$141&amp;$A143,Доход!$D$74:$AG$10900,Доход!H$1,0)</f>
        <v>5</v>
      </c>
      <c r="F143" s="56">
        <f>VLOOKUP($B$1&amp;$B$3&amp;$B$141&amp;$A143,Доход!$D$74:$AG$10900,Доход!I$1,0)</f>
        <v>0.25</v>
      </c>
      <c r="G143" s="27">
        <f>VLOOKUP($B$1&amp;$B$3&amp;$B$141&amp;$A143,Доход!$D$74:$AG$10900,Доход!J$1,0)</f>
        <v>62.5</v>
      </c>
      <c r="H143" s="27">
        <f>VLOOKUP($B$1&amp;$B$3&amp;$B$141&amp;$A143,Доход!$D$74:$AG$10900,Доход!K$1,0)</f>
        <v>10</v>
      </c>
      <c r="I143" s="27">
        <f>VLOOKUP($B$1&amp;$B$3&amp;$B$141&amp;$A143,Доход!$D$74:$AG$10900,Доход!L$1,0)</f>
        <v>6.25</v>
      </c>
      <c r="J143" s="48">
        <f>VLOOKUP($B$1&amp;$B$3&amp;$B$141&amp;$A143,Доход!$D$74:$AG$10900,Доход!M$1,0)</f>
        <v>1.4880952380952381</v>
      </c>
      <c r="K143" s="57">
        <f>VLOOKUP($B$1&amp;$B$3&amp;$B$141&amp;$A143,Доход!$D$74:$AG$10900,Доход!N$1,0)</f>
        <v>0.4</v>
      </c>
      <c r="L143" s="27">
        <f>VLOOKUP($B$1&amp;$B$3&amp;$B$141&amp;$A143,Доход!$D$74:$AG$10900,Доход!O$1,0)</f>
        <v>106</v>
      </c>
      <c r="M143" s="57">
        <f>VLOOKUP($B$1&amp;$B$3&amp;$B$141&amp;$A143,Доход!$D$74:$AG$10900,Доход!P$1,0)</f>
        <v>0.35</v>
      </c>
      <c r="N143" s="57">
        <f>VLOOKUP($B$1&amp;$B$3&amp;$B$141&amp;$A143,Доход!$D$74:$AG$10900,Доход!Q$1,0)</f>
        <v>0.5</v>
      </c>
      <c r="O143" s="29">
        <f>VLOOKUP($B$1&amp;$B$3&amp;$B$141&amp;$A143,Доход!$D$74:$AG$10900,Доход!R$1,0)</f>
        <v>1</v>
      </c>
      <c r="P143" s="30">
        <f>VLOOKUP($B$1&amp;$B$3&amp;$B$141&amp;$A143,Доход!$D$74:$AG$10900,Доход!S$1,0)</f>
        <v>475</v>
      </c>
      <c r="Q143" s="30">
        <f>VLOOKUP($B$1&amp;$B$3&amp;$B$141&amp;$A143,Доход!$D$74:$AG$10900,Доход!T$1,0)</f>
        <v>400</v>
      </c>
      <c r="R143" s="31">
        <f>VLOOKUP($B$1&amp;$B$3&amp;$B$141&amp;$A143,Доход!$D$74:$AG$10900,Доход!U$1,0)</f>
        <v>5490</v>
      </c>
      <c r="S143" s="218">
        <f>VLOOKUP($B$1&amp;$B$3&amp;$B$141&amp;$A143,Доход!$D$74:$AG$10900,Доход!V$1,0)</f>
        <v>42400</v>
      </c>
      <c r="T143" s="218">
        <f>VLOOKUP($B$1&amp;$B$3&amp;$B$141&amp;$A143,Доход!$D$74:$AG$10900,Доход!W$1,0)</f>
        <v>38</v>
      </c>
      <c r="U143" s="218">
        <f>VLOOKUP($B$1&amp;$B$3&amp;$B$141&amp;$A143,Доход!$D$74:$AG$10900,Доход!X$1,0)</f>
        <v>208620</v>
      </c>
      <c r="V143" s="218">
        <f>VLOOKUP($B$1&amp;$B$3&amp;$B$141&amp;$A143,Доход!$D$74:$AG$10900,Доход!Y$1,0)</f>
        <v>38</v>
      </c>
      <c r="W143" s="219">
        <f>VLOOKUP($B$1&amp;$B$3&amp;$B$141&amp;$A143,Доход!$D$74:$AG$10900,Доход!Z$1,0)</f>
        <v>55850</v>
      </c>
      <c r="X143" s="204">
        <f>VLOOKUP($B$1&amp;$B$3&amp;$B$141&amp;$A143,Доход!$D$74:$AG$10900,Доход!AA$1,0)</f>
        <v>0</v>
      </c>
      <c r="Y143" s="205">
        <f>VLOOKUP($B$1&amp;$B$3&amp;$B$141&amp;$A143,Доход!$D$74:$AG$10900,Доход!AB$1,0)</f>
        <v>0</v>
      </c>
      <c r="Z143" s="205">
        <f>VLOOKUP($B$1&amp;$B$3&amp;$B$141&amp;$A143,Доход!$D$74:$AG$10900,Доход!AC$1,0)</f>
        <v>251020</v>
      </c>
      <c r="AA143" s="205">
        <f>VLOOKUP($B$1&amp;$B$3&amp;$B$141&amp;$A143,Доход!$D$74:$AG$10900,Доход!AD$1,0)</f>
        <v>7</v>
      </c>
      <c r="AB143" s="205">
        <f>VLOOKUP($B$1&amp;$B$3&amp;$B$141&amp;$A143,Доход!$D$74:$AG$10900,Доход!AE$1,0)</f>
        <v>11</v>
      </c>
      <c r="AC143" s="205">
        <f>VLOOKUP($B$1&amp;$B$3&amp;$B$141&amp;$A143,Доход!$D$74:$AG$10900,Доход!AF$1,0)</f>
        <v>30960</v>
      </c>
      <c r="AD143" s="206">
        <f>VLOOKUP($B$1&amp;$B$3&amp;$B$141&amp;$A143,Доход!$D$74:$AG$10900,Доход!AG$1,0)</f>
        <v>164210</v>
      </c>
    </row>
    <row r="144" spans="1:32" outlineLevel="1" x14ac:dyDescent="0.3">
      <c r="A144" s="29">
        <v>2</v>
      </c>
      <c r="B144" s="60">
        <f>VLOOKUP($B$1&amp;$B$3&amp;$B$141&amp;$A144,Доход!$D$74:$AG$10900,Доход!E$1,0)</f>
        <v>500</v>
      </c>
      <c r="C144" s="23">
        <f>VLOOKUP($B$1&amp;$B$3&amp;$B$141&amp;$A144,Доход!$D$74:$AG$10900,Доход!F$1,0)</f>
        <v>10</v>
      </c>
      <c r="D144" s="24">
        <f>VLOOKUP($B$1&amp;$B$3&amp;$B$141&amp;$A144,Доход!$D$74:$AG$10900,Доход!G$1,0)</f>
        <v>25</v>
      </c>
      <c r="E144" s="25">
        <f>VLOOKUP($B$1&amp;$B$3&amp;$B$141&amp;$A144,Доход!$D$74:$AG$10900,Доход!H$1,0)</f>
        <v>5</v>
      </c>
      <c r="F144" s="56">
        <f>VLOOKUP($B$1&amp;$B$3&amp;$B$141&amp;$A144,Доход!$D$74:$AG$10900,Доход!I$1,0)</f>
        <v>0.25</v>
      </c>
      <c r="G144" s="24">
        <f>VLOOKUP($B$1&amp;$B$3&amp;$B$141&amp;$A144,Доход!$D$74:$AG$10900,Доход!J$1,0)</f>
        <v>62.5</v>
      </c>
      <c r="H144" s="24">
        <f>VLOOKUP($B$1&amp;$B$3&amp;$B$141&amp;$A144,Доход!$D$74:$AG$10900,Доход!K$1,0)</f>
        <v>10</v>
      </c>
      <c r="I144" s="27">
        <f>VLOOKUP($B$1&amp;$B$3&amp;$B$141&amp;$A144,Доход!$D$74:$AG$10900,Доход!L$1,0)</f>
        <v>6.25</v>
      </c>
      <c r="J144" s="48">
        <f>VLOOKUP($B$1&amp;$B$3&amp;$B$141&amp;$A144,Доход!$D$74:$AG$10900,Доход!M$1,0)</f>
        <v>1.4880952380952381</v>
      </c>
      <c r="K144" s="57">
        <f>VLOOKUP($B$1&amp;$B$3&amp;$B$141&amp;$A144,Доход!$D$74:$AG$10900,Доход!N$1,0)</f>
        <v>0.4</v>
      </c>
      <c r="L144" s="27">
        <f>VLOOKUP($B$1&amp;$B$3&amp;$B$141&amp;$A144,Доход!$D$74:$AG$10900,Доход!O$1,0)</f>
        <v>106</v>
      </c>
      <c r="M144" s="57">
        <f>VLOOKUP($B$1&amp;$B$3&amp;$B$141&amp;$A144,Доход!$D$74:$AG$10900,Доход!P$1,0)</f>
        <v>0.35</v>
      </c>
      <c r="N144" s="57">
        <f>VLOOKUP($B$1&amp;$B$3&amp;$B$141&amp;$A144,Доход!$D$74:$AG$10900,Доход!Q$1,0)</f>
        <v>0.5</v>
      </c>
      <c r="O144" s="29">
        <f>VLOOKUP($B$1&amp;$B$3&amp;$B$141&amp;$A144,Доход!$D$74:$AG$10900,Доход!R$1,0)</f>
        <v>2</v>
      </c>
      <c r="P144" s="30">
        <f>VLOOKUP($B$1&amp;$B$3&amp;$B$141&amp;$A144,Доход!$D$74:$AG$10900,Доход!S$1,0)</f>
        <v>475</v>
      </c>
      <c r="Q144" s="30">
        <f>VLOOKUP($B$1&amp;$B$3&amp;$B$141&amp;$A144,Доход!$D$74:$AG$10900,Доход!T$1,0)</f>
        <v>400</v>
      </c>
      <c r="R144" s="31">
        <f>VLOOKUP($B$1&amp;$B$3&amp;$B$141&amp;$A144,Доход!$D$74:$AG$10900,Доход!U$1,0)</f>
        <v>5490</v>
      </c>
      <c r="S144" s="222">
        <f>VLOOKUP($B$1&amp;$B$3&amp;$B$141&amp;$A144,Доход!$D$74:$AG$10900,Доход!V$1,0)</f>
        <v>42400</v>
      </c>
      <c r="T144" s="222">
        <f>VLOOKUP($B$1&amp;$B$3&amp;$B$141&amp;$A144,Доход!$D$74:$AG$10900,Доход!W$1,0)</f>
        <v>38</v>
      </c>
      <c r="U144" s="222">
        <f>VLOOKUP($B$1&amp;$B$3&amp;$B$141&amp;$A144,Доход!$D$74:$AG$10900,Доход!X$1,0)</f>
        <v>208620</v>
      </c>
      <c r="V144" s="222">
        <f>VLOOKUP($B$1&amp;$B$3&amp;$B$141&amp;$A144,Доход!$D$74:$AG$10900,Доход!Y$1,0)</f>
        <v>76</v>
      </c>
      <c r="W144" s="223">
        <f>VLOOKUP($B$1&amp;$B$3&amp;$B$141&amp;$A144,Доход!$D$74:$AG$10900,Доход!Z$1,0)</f>
        <v>55850</v>
      </c>
      <c r="X144" s="207">
        <f>VLOOKUP($B$1&amp;$B$3&amp;$B$141&amp;$A144,Доход!$D$74:$AG$10900,Доход!AA$1,0)</f>
        <v>0</v>
      </c>
      <c r="Y144" s="208">
        <f>VLOOKUP($B$1&amp;$B$3&amp;$B$141&amp;$A144,Доход!$D$74:$AG$10900,Доход!AB$1,0)</f>
        <v>0</v>
      </c>
      <c r="Z144" s="208">
        <f>VLOOKUP($B$1&amp;$B$3&amp;$B$141&amp;$A144,Доход!$D$74:$AG$10900,Доход!AC$1,0)</f>
        <v>251020</v>
      </c>
      <c r="AA144" s="208">
        <f>VLOOKUP($B$1&amp;$B$3&amp;$B$141&amp;$A144,Доход!$D$74:$AG$10900,Доход!AD$1,0)</f>
        <v>13</v>
      </c>
      <c r="AB144" s="208">
        <f>VLOOKUP($B$1&amp;$B$3&amp;$B$141&amp;$A144,Доход!$D$74:$AG$10900,Доход!AE$1,0)</f>
        <v>11</v>
      </c>
      <c r="AC144" s="208">
        <f>VLOOKUP($B$1&amp;$B$3&amp;$B$141&amp;$A144,Доход!$D$74:$AG$10900,Доход!AF$1,0)</f>
        <v>41280</v>
      </c>
      <c r="AD144" s="138">
        <f>VLOOKUP($B$1&amp;$B$3&amp;$B$141&amp;$A144,Доход!$D$74:$AG$10900,Доход!AG$1,0)</f>
        <v>209740</v>
      </c>
    </row>
    <row r="145" spans="1:30" outlineLevel="1" x14ac:dyDescent="0.3">
      <c r="A145" s="29">
        <v>3</v>
      </c>
      <c r="B145" s="60">
        <f>VLOOKUP($B$1&amp;$B$3&amp;$B$141&amp;$A145,Доход!$D$74:$AG$10900,Доход!E$1,0)</f>
        <v>500</v>
      </c>
      <c r="C145" s="23">
        <f>VLOOKUP($B$1&amp;$B$3&amp;$B$141&amp;$A145,Доход!$D$74:$AG$10900,Доход!F$1,0)</f>
        <v>10</v>
      </c>
      <c r="D145" s="24">
        <f>VLOOKUP($B$1&amp;$B$3&amp;$B$141&amp;$A145,Доход!$D$74:$AG$10900,Доход!G$1,0)</f>
        <v>25</v>
      </c>
      <c r="E145" s="25">
        <f>VLOOKUP($B$1&amp;$B$3&amp;$B$141&amp;$A145,Доход!$D$74:$AG$10900,Доход!H$1,0)</f>
        <v>5</v>
      </c>
      <c r="F145" s="56">
        <f>VLOOKUP($B$1&amp;$B$3&amp;$B$141&amp;$A145,Доход!$D$74:$AG$10900,Доход!I$1,0)</f>
        <v>0.25</v>
      </c>
      <c r="G145" s="24">
        <f>VLOOKUP($B$1&amp;$B$3&amp;$B$141&amp;$A145,Доход!$D$74:$AG$10900,Доход!J$1,0)</f>
        <v>62.5</v>
      </c>
      <c r="H145" s="24">
        <f>VLOOKUP($B$1&amp;$B$3&amp;$B$141&amp;$A145,Доход!$D$74:$AG$10900,Доход!K$1,0)</f>
        <v>10</v>
      </c>
      <c r="I145" s="27">
        <f>VLOOKUP($B$1&amp;$B$3&amp;$B$141&amp;$A145,Доход!$D$74:$AG$10900,Доход!L$1,0)</f>
        <v>6.25</v>
      </c>
      <c r="J145" s="48">
        <f>VLOOKUP($B$1&amp;$B$3&amp;$B$141&amp;$A145,Доход!$D$74:$AG$10900,Доход!M$1,0)</f>
        <v>1.4880952380952381</v>
      </c>
      <c r="K145" s="57">
        <f>VLOOKUP($B$1&amp;$B$3&amp;$B$141&amp;$A145,Доход!$D$74:$AG$10900,Доход!N$1,0)</f>
        <v>0.4</v>
      </c>
      <c r="L145" s="27">
        <f>VLOOKUP($B$1&amp;$B$3&amp;$B$141&amp;$A145,Доход!$D$74:$AG$10900,Доход!O$1,0)</f>
        <v>106</v>
      </c>
      <c r="M145" s="57">
        <f>VLOOKUP($B$1&amp;$B$3&amp;$B$141&amp;$A145,Доход!$D$74:$AG$10900,Доход!P$1,0)</f>
        <v>0.35</v>
      </c>
      <c r="N145" s="57">
        <f>VLOOKUP($B$1&amp;$B$3&amp;$B$141&amp;$A145,Доход!$D$74:$AG$10900,Доход!Q$1,0)</f>
        <v>0.5</v>
      </c>
      <c r="O145" s="29">
        <f>VLOOKUP($B$1&amp;$B$3&amp;$B$141&amp;$A145,Доход!$D$74:$AG$10900,Доход!R$1,0)</f>
        <v>3</v>
      </c>
      <c r="P145" s="30">
        <f>VLOOKUP($B$1&amp;$B$3&amp;$B$141&amp;$A145,Доход!$D$74:$AG$10900,Доход!S$1,0)</f>
        <v>475</v>
      </c>
      <c r="Q145" s="30">
        <f>VLOOKUP($B$1&amp;$B$3&amp;$B$141&amp;$A145,Доход!$D$74:$AG$10900,Доход!T$1,0)</f>
        <v>400</v>
      </c>
      <c r="R145" s="31">
        <f>VLOOKUP($B$1&amp;$B$3&amp;$B$141&amp;$A145,Доход!$D$74:$AG$10900,Доход!U$1,0)</f>
        <v>5490</v>
      </c>
      <c r="S145" s="222">
        <f>VLOOKUP($B$1&amp;$B$3&amp;$B$141&amp;$A145,Доход!$D$74:$AG$10900,Доход!V$1,0)</f>
        <v>42400</v>
      </c>
      <c r="T145" s="222">
        <f>VLOOKUP($B$1&amp;$B$3&amp;$B$141&amp;$A145,Доход!$D$74:$AG$10900,Доход!W$1,0)</f>
        <v>38</v>
      </c>
      <c r="U145" s="222">
        <f>VLOOKUP($B$1&amp;$B$3&amp;$B$141&amp;$A145,Доход!$D$74:$AG$10900,Доход!X$1,0)</f>
        <v>208620</v>
      </c>
      <c r="V145" s="222">
        <f>VLOOKUP($B$1&amp;$B$3&amp;$B$141&amp;$A145,Доход!$D$74:$AG$10900,Доход!Y$1,0)</f>
        <v>114</v>
      </c>
      <c r="W145" s="223">
        <f>VLOOKUP($B$1&amp;$B$3&amp;$B$141&amp;$A145,Доход!$D$74:$AG$10900,Доход!Z$1,0)</f>
        <v>55850</v>
      </c>
      <c r="X145" s="207">
        <f>VLOOKUP($B$1&amp;$B$3&amp;$B$141&amp;$A145,Доход!$D$74:$AG$10900,Доход!AA$1,0)</f>
        <v>0</v>
      </c>
      <c r="Y145" s="208">
        <f>VLOOKUP($B$1&amp;$B$3&amp;$B$141&amp;$A145,Доход!$D$74:$AG$10900,Доход!AB$1,0)</f>
        <v>0</v>
      </c>
      <c r="Z145" s="208">
        <f>VLOOKUP($B$1&amp;$B$3&amp;$B$141&amp;$A145,Доход!$D$74:$AG$10900,Доход!AC$1,0)</f>
        <v>251020</v>
      </c>
      <c r="AA145" s="208">
        <f>VLOOKUP($B$1&amp;$B$3&amp;$B$141&amp;$A145,Доход!$D$74:$AG$10900,Доход!AD$1,0)</f>
        <v>18</v>
      </c>
      <c r="AB145" s="208">
        <f>VLOOKUP($B$1&amp;$B$3&amp;$B$141&amp;$A145,Доход!$D$74:$AG$10900,Доход!AE$1,0)</f>
        <v>11</v>
      </c>
      <c r="AC145" s="208">
        <f>VLOOKUP($B$1&amp;$B$3&amp;$B$141&amp;$A145,Доход!$D$74:$AG$10900,Доход!AF$1,0)</f>
        <v>49880</v>
      </c>
      <c r="AD145" s="138">
        <f>VLOOKUP($B$1&amp;$B$3&amp;$B$141&amp;$A145,Доход!$D$74:$AG$10900,Доход!AG$1,0)</f>
        <v>201140</v>
      </c>
    </row>
    <row r="146" spans="1:30" outlineLevel="1" x14ac:dyDescent="0.3">
      <c r="A146" s="29">
        <v>4</v>
      </c>
      <c r="B146" s="60">
        <f>VLOOKUP($B$1&amp;$B$3&amp;$B$141&amp;$A146,Доход!$D$74:$AG$10900,Доход!E$1,0)</f>
        <v>500</v>
      </c>
      <c r="C146" s="23">
        <f>VLOOKUP($B$1&amp;$B$3&amp;$B$141&amp;$A146,Доход!$D$74:$AG$10900,Доход!F$1,0)</f>
        <v>10</v>
      </c>
      <c r="D146" s="24">
        <f>VLOOKUP($B$1&amp;$B$3&amp;$B$141&amp;$A146,Доход!$D$74:$AG$10900,Доход!G$1,0)</f>
        <v>25</v>
      </c>
      <c r="E146" s="25">
        <f>VLOOKUP($B$1&amp;$B$3&amp;$B$141&amp;$A146,Доход!$D$74:$AG$10900,Доход!H$1,0)</f>
        <v>5</v>
      </c>
      <c r="F146" s="56">
        <f>VLOOKUP($B$1&amp;$B$3&amp;$B$141&amp;$A146,Доход!$D$74:$AG$10900,Доход!I$1,0)</f>
        <v>0.25</v>
      </c>
      <c r="G146" s="24">
        <f>VLOOKUP($B$1&amp;$B$3&amp;$B$141&amp;$A146,Доход!$D$74:$AG$10900,Доход!J$1,0)</f>
        <v>62.5</v>
      </c>
      <c r="H146" s="24">
        <f>VLOOKUP($B$1&amp;$B$3&amp;$B$141&amp;$A146,Доход!$D$74:$AG$10900,Доход!K$1,0)</f>
        <v>10</v>
      </c>
      <c r="I146" s="27">
        <f>VLOOKUP($B$1&amp;$B$3&amp;$B$141&amp;$A146,Доход!$D$74:$AG$10900,Доход!L$1,0)</f>
        <v>6.25</v>
      </c>
      <c r="J146" s="48">
        <f>VLOOKUP($B$1&amp;$B$3&amp;$B$141&amp;$A146,Доход!$D$74:$AG$10900,Доход!M$1,0)</f>
        <v>1.4880952380952381</v>
      </c>
      <c r="K146" s="57">
        <f>VLOOKUP($B$1&amp;$B$3&amp;$B$141&amp;$A146,Доход!$D$74:$AG$10900,Доход!N$1,0)</f>
        <v>0.4</v>
      </c>
      <c r="L146" s="27">
        <f>VLOOKUP($B$1&amp;$B$3&amp;$B$141&amp;$A146,Доход!$D$74:$AG$10900,Доход!O$1,0)</f>
        <v>106</v>
      </c>
      <c r="M146" s="57">
        <f>VLOOKUP($B$1&amp;$B$3&amp;$B$141&amp;$A146,Доход!$D$74:$AG$10900,Доход!P$1,0)</f>
        <v>0.35</v>
      </c>
      <c r="N146" s="57">
        <f>VLOOKUP($B$1&amp;$B$3&amp;$B$141&amp;$A146,Доход!$D$74:$AG$10900,Доход!Q$1,0)</f>
        <v>0.5</v>
      </c>
      <c r="O146" s="29">
        <f>VLOOKUP($B$1&amp;$B$3&amp;$B$141&amp;$A146,Доход!$D$74:$AG$10900,Доход!R$1,0)</f>
        <v>4</v>
      </c>
      <c r="P146" s="30">
        <f>VLOOKUP($B$1&amp;$B$3&amp;$B$141&amp;$A146,Доход!$D$74:$AG$10900,Доход!S$1,0)</f>
        <v>475</v>
      </c>
      <c r="Q146" s="30">
        <f>VLOOKUP($B$1&amp;$B$3&amp;$B$141&amp;$A146,Доход!$D$74:$AG$10900,Доход!T$1,0)</f>
        <v>400</v>
      </c>
      <c r="R146" s="31">
        <f>VLOOKUP($B$1&amp;$B$3&amp;$B$141&amp;$A146,Доход!$D$74:$AG$10900,Доход!U$1,0)</f>
        <v>5490</v>
      </c>
      <c r="S146" s="222">
        <f>VLOOKUP($B$1&amp;$B$3&amp;$B$141&amp;$A146,Доход!$D$74:$AG$10900,Доход!V$1,0)</f>
        <v>42400</v>
      </c>
      <c r="T146" s="222">
        <f>VLOOKUP($B$1&amp;$B$3&amp;$B$141&amp;$A146,Доход!$D$74:$AG$10900,Доход!W$1,0)</f>
        <v>38</v>
      </c>
      <c r="U146" s="222">
        <f>VLOOKUP($B$1&amp;$B$3&amp;$B$141&amp;$A146,Доход!$D$74:$AG$10900,Доход!X$1,0)</f>
        <v>208620</v>
      </c>
      <c r="V146" s="222">
        <f>VLOOKUP($B$1&amp;$B$3&amp;$B$141&amp;$A146,Доход!$D$74:$AG$10900,Доход!Y$1,0)</f>
        <v>152</v>
      </c>
      <c r="W146" s="223">
        <f>VLOOKUP($B$1&amp;$B$3&amp;$B$141&amp;$A146,Доход!$D$74:$AG$10900,Доход!Z$1,0)</f>
        <v>55850</v>
      </c>
      <c r="X146" s="207">
        <f>VLOOKUP($B$1&amp;$B$3&amp;$B$141&amp;$A146,Доход!$D$74:$AG$10900,Доход!AA$1,0)</f>
        <v>0</v>
      </c>
      <c r="Y146" s="208">
        <f>VLOOKUP($B$1&amp;$B$3&amp;$B$141&amp;$A146,Доход!$D$74:$AG$10900,Доход!AB$1,0)</f>
        <v>0</v>
      </c>
      <c r="Z146" s="208">
        <f>VLOOKUP($B$1&amp;$B$3&amp;$B$141&amp;$A146,Доход!$D$74:$AG$10900,Доход!AC$1,0)</f>
        <v>251020</v>
      </c>
      <c r="AA146" s="208">
        <f>VLOOKUP($B$1&amp;$B$3&amp;$B$141&amp;$A146,Доход!$D$74:$AG$10900,Доход!AD$1,0)</f>
        <v>24</v>
      </c>
      <c r="AB146" s="208">
        <f>VLOOKUP($B$1&amp;$B$3&amp;$B$141&amp;$A146,Доход!$D$74:$AG$10900,Доход!AE$1,0)</f>
        <v>11</v>
      </c>
      <c r="AC146" s="208">
        <f>VLOOKUP($B$1&amp;$B$3&amp;$B$141&amp;$A146,Доход!$D$74:$AG$10900,Доход!AF$1,0)</f>
        <v>60200</v>
      </c>
      <c r="AD146" s="138">
        <f>VLOOKUP($B$1&amp;$B$3&amp;$B$141&amp;$A146,Доход!$D$74:$AG$10900,Доход!AG$1,0)</f>
        <v>190820</v>
      </c>
    </row>
    <row r="147" spans="1:30" outlineLevel="1" x14ac:dyDescent="0.3">
      <c r="A147" s="35">
        <v>5</v>
      </c>
      <c r="B147" s="60">
        <f>VLOOKUP($B$1&amp;$B$3&amp;$B$141&amp;$A147,Доход!$D$74:$AG$10900,Доход!E$1,0)</f>
        <v>500</v>
      </c>
      <c r="C147" s="23">
        <f>VLOOKUP($B$1&amp;$B$3&amp;$B$141&amp;$A147,Доход!$D$74:$AG$10900,Доход!F$1,0)</f>
        <v>10</v>
      </c>
      <c r="D147" s="24">
        <f>VLOOKUP($B$1&amp;$B$3&amp;$B$141&amp;$A147,Доход!$D$74:$AG$10900,Доход!G$1,0)</f>
        <v>25</v>
      </c>
      <c r="E147" s="25">
        <f>VLOOKUP($B$1&amp;$B$3&amp;$B$141&amp;$A147,Доход!$D$74:$AG$10900,Доход!H$1,0)</f>
        <v>5</v>
      </c>
      <c r="F147" s="98">
        <f>VLOOKUP($B$1&amp;$B$3&amp;$B$141&amp;$A147,Доход!$D$74:$AG$10900,Доход!I$1,0)</f>
        <v>0.25</v>
      </c>
      <c r="G147" s="81">
        <f>VLOOKUP($B$1&amp;$B$3&amp;$B$141&amp;$A147,Доход!$D$74:$AG$10900,Доход!J$1,0)</f>
        <v>62.5</v>
      </c>
      <c r="H147" s="81">
        <f>VLOOKUP($B$1&amp;$B$3&amp;$B$141&amp;$A147,Доход!$D$74:$AG$10900,Доход!K$1,0)</f>
        <v>10</v>
      </c>
      <c r="I147" s="80">
        <f>VLOOKUP($B$1&amp;$B$3&amp;$B$141&amp;$A147,Доход!$D$74:$AG$10900,Доход!L$1,0)</f>
        <v>6.25</v>
      </c>
      <c r="J147" s="74">
        <f>VLOOKUP($B$1&amp;$B$3&amp;$B$141&amp;$A147,Доход!$D$74:$AG$10900,Доход!M$1,0)</f>
        <v>1.4880952380952381</v>
      </c>
      <c r="K147" s="99">
        <f>VLOOKUP($B$1&amp;$B$3&amp;$B$141&amp;$A147,Доход!$D$74:$AG$10900,Доход!N$1,0)</f>
        <v>0.4</v>
      </c>
      <c r="L147" s="80">
        <f>VLOOKUP($B$1&amp;$B$3&amp;$B$141&amp;$A147,Доход!$D$74:$AG$10900,Доход!O$1,0)</f>
        <v>106</v>
      </c>
      <c r="M147" s="99">
        <f>VLOOKUP($B$1&amp;$B$3&amp;$B$141&amp;$A147,Доход!$D$74:$AG$10900,Доход!P$1,0)</f>
        <v>0.35</v>
      </c>
      <c r="N147" s="99">
        <f>VLOOKUP($B$1&amp;$B$3&amp;$B$141&amp;$A147,Доход!$D$74:$AG$10900,Доход!Q$1,0)</f>
        <v>0.5</v>
      </c>
      <c r="O147" s="100">
        <f>VLOOKUP($B$1&amp;$B$3&amp;$B$141&amp;$A147,Доход!$D$74:$AG$10900,Доход!R$1,0)</f>
        <v>5</v>
      </c>
      <c r="P147" s="76">
        <f>VLOOKUP($B$1&amp;$B$3&amp;$B$141&amp;$A147,Доход!$D$74:$AG$10900,Доход!S$1,0)</f>
        <v>475</v>
      </c>
      <c r="Q147" s="76">
        <f>VLOOKUP($B$1&amp;$B$3&amp;$B$141&amp;$A147,Доход!$D$74:$AG$10900,Доход!T$1,0)</f>
        <v>400</v>
      </c>
      <c r="R147" s="101">
        <f>VLOOKUP($B$1&amp;$B$3&amp;$B$141&amp;$A147,Доход!$D$74:$AG$10900,Доход!U$1,0)</f>
        <v>5490</v>
      </c>
      <c r="S147" s="241">
        <f>VLOOKUP($B$1&amp;$B$3&amp;$B$141&amp;$A147,Доход!$D$74:$AG$10900,Доход!V$1,0)</f>
        <v>42400</v>
      </c>
      <c r="T147" s="241">
        <f>VLOOKUP($B$1&amp;$B$3&amp;$B$141&amp;$A147,Доход!$D$74:$AG$10900,Доход!W$1,0)</f>
        <v>38</v>
      </c>
      <c r="U147" s="241">
        <f>VLOOKUP($B$1&amp;$B$3&amp;$B$141&amp;$A147,Доход!$D$74:$AG$10900,Доход!X$1,0)</f>
        <v>208620</v>
      </c>
      <c r="V147" s="241">
        <f>VLOOKUP($B$1&amp;$B$3&amp;$B$141&amp;$A147,Доход!$D$74:$AG$10900,Доход!Y$1,0)</f>
        <v>172</v>
      </c>
      <c r="W147" s="242">
        <f>VLOOKUP($B$1&amp;$B$3&amp;$B$141&amp;$A147,Доход!$D$74:$AG$10900,Доход!Z$1,0)</f>
        <v>55850</v>
      </c>
      <c r="X147" s="243">
        <f>VLOOKUP($B$1&amp;$B$3&amp;$B$141&amp;$A147,Доход!$D$74:$AG$10900,Доход!AA$1,0)</f>
        <v>18</v>
      </c>
      <c r="Y147" s="211">
        <f>VLOOKUP($B$1&amp;$B$3&amp;$B$141&amp;$A147,Доход!$D$74:$AG$10900,Доход!AB$1,0)</f>
        <v>98820</v>
      </c>
      <c r="Z147" s="211">
        <f>VLOOKUP($B$1&amp;$B$3&amp;$B$141&amp;$A147,Доход!$D$74:$AG$10900,Доход!AC$1,0)</f>
        <v>349840</v>
      </c>
      <c r="AA147" s="211">
        <f>VLOOKUP($B$1&amp;$B$3&amp;$B$141&amp;$A147,Доход!$D$74:$AG$10900,Доход!AD$1,0)</f>
        <v>27</v>
      </c>
      <c r="AB147" s="211">
        <f>VLOOKUP($B$1&amp;$B$3&amp;$B$141&amp;$A147,Доход!$D$74:$AG$10900,Доход!AE$1,0)</f>
        <v>11</v>
      </c>
      <c r="AC147" s="211">
        <f>VLOOKUP($B$1&amp;$B$3&amp;$B$141&amp;$A147,Доход!$D$74:$AG$10900,Доход!AF$1,0)</f>
        <v>65360</v>
      </c>
      <c r="AD147" s="244">
        <f>VLOOKUP($B$1&amp;$B$3&amp;$B$141&amp;$A147,Доход!$D$74:$AG$10900,Доход!AG$1,0)</f>
        <v>284480</v>
      </c>
    </row>
    <row r="148" spans="1:30" outlineLevel="1" x14ac:dyDescent="0.3">
      <c r="A148" s="29">
        <v>6</v>
      </c>
      <c r="B148" s="60">
        <f>VLOOKUP($B$1&amp;$B$3&amp;$B$141&amp;$A148,Доход!$D$74:$AG$10900,Доход!E$1,0)</f>
        <v>500</v>
      </c>
      <c r="C148" s="23">
        <f>VLOOKUP($B$1&amp;$B$3&amp;$B$141&amp;$A148,Доход!$D$74:$AG$10900,Доход!F$1,0)</f>
        <v>10</v>
      </c>
      <c r="D148" s="24">
        <f>VLOOKUP($B$1&amp;$B$3&amp;$B$141&amp;$A148,Доход!$D$74:$AG$10900,Доход!G$1,0)</f>
        <v>25</v>
      </c>
      <c r="E148" s="25">
        <f>VLOOKUP($B$1&amp;$B$3&amp;$B$141&amp;$A148,Доход!$D$74:$AG$10900,Доход!H$1,0)</f>
        <v>5</v>
      </c>
      <c r="F148" s="56">
        <f>VLOOKUP($B$1&amp;$B$3&amp;$B$141&amp;$A148,Доход!$D$74:$AG$10900,Доход!I$1,0)</f>
        <v>0.25</v>
      </c>
      <c r="G148" s="24">
        <f>VLOOKUP($B$1&amp;$B$3&amp;$B$141&amp;$A148,Доход!$D$74:$AG$10900,Доход!J$1,0)</f>
        <v>62.5</v>
      </c>
      <c r="H148" s="24">
        <f>VLOOKUP($B$1&amp;$B$3&amp;$B$141&amp;$A148,Доход!$D$74:$AG$10900,Доход!K$1,0)</f>
        <v>10</v>
      </c>
      <c r="I148" s="27">
        <f>VLOOKUP($B$1&amp;$B$3&amp;$B$141&amp;$A148,Доход!$D$74:$AG$10900,Доход!L$1,0)</f>
        <v>6.25</v>
      </c>
      <c r="J148" s="48">
        <f>VLOOKUP($B$1&amp;$B$3&amp;$B$141&amp;$A148,Доход!$D$74:$AG$10900,Доход!M$1,0)</f>
        <v>1.4880952380952381</v>
      </c>
      <c r="K148" s="57">
        <f>VLOOKUP($B$1&amp;$B$3&amp;$B$141&amp;$A148,Доход!$D$74:$AG$10900,Доход!N$1,0)</f>
        <v>0.4</v>
      </c>
      <c r="L148" s="27">
        <f>VLOOKUP($B$1&amp;$B$3&amp;$B$141&amp;$A148,Доход!$D$74:$AG$10900,Доход!O$1,0)</f>
        <v>106</v>
      </c>
      <c r="M148" s="57">
        <f>VLOOKUP($B$1&amp;$B$3&amp;$B$141&amp;$A148,Доход!$D$74:$AG$10900,Доход!P$1,0)</f>
        <v>0.35</v>
      </c>
      <c r="N148" s="57">
        <f>VLOOKUP($B$1&amp;$B$3&amp;$B$141&amp;$A148,Доход!$D$74:$AG$10900,Доход!Q$1,0)</f>
        <v>0.5</v>
      </c>
      <c r="O148" s="29">
        <f>VLOOKUP($B$1&amp;$B$3&amp;$B$141&amp;$A148,Доход!$D$74:$AG$10900,Доход!R$1,0)</f>
        <v>6</v>
      </c>
      <c r="P148" s="30">
        <f>VLOOKUP($B$1&amp;$B$3&amp;$B$141&amp;$A148,Доход!$D$74:$AG$10900,Доход!S$1,0)</f>
        <v>475</v>
      </c>
      <c r="Q148" s="30">
        <f>VLOOKUP($B$1&amp;$B$3&amp;$B$141&amp;$A148,Доход!$D$74:$AG$10900,Доход!T$1,0)</f>
        <v>400</v>
      </c>
      <c r="R148" s="31">
        <f>VLOOKUP($B$1&amp;$B$3&amp;$B$141&amp;$A148,Доход!$D$74:$AG$10900,Доход!U$1,0)</f>
        <v>5490</v>
      </c>
      <c r="S148" s="222">
        <f>VLOOKUP($B$1&amp;$B$3&amp;$B$141&amp;$A148,Доход!$D$74:$AG$10900,Доход!V$1,0)</f>
        <v>42400</v>
      </c>
      <c r="T148" s="222">
        <f>VLOOKUP($B$1&amp;$B$3&amp;$B$141&amp;$A148,Доход!$D$74:$AG$10900,Доход!W$1,0)</f>
        <v>38</v>
      </c>
      <c r="U148" s="222">
        <f>VLOOKUP($B$1&amp;$B$3&amp;$B$141&amp;$A148,Доход!$D$74:$AG$10900,Доход!X$1,0)</f>
        <v>208620</v>
      </c>
      <c r="V148" s="222">
        <f>VLOOKUP($B$1&amp;$B$3&amp;$B$141&amp;$A148,Доход!$D$74:$AG$10900,Доход!Y$1,0)</f>
        <v>192</v>
      </c>
      <c r="W148" s="223">
        <f>VLOOKUP($B$1&amp;$B$3&amp;$B$141&amp;$A148,Доход!$D$74:$AG$10900,Доход!Z$1,0)</f>
        <v>55850</v>
      </c>
      <c r="X148" s="207">
        <f>VLOOKUP($B$1&amp;$B$3&amp;$B$141&amp;$A148,Доход!$D$74:$AG$10900,Доход!AA$1,0)</f>
        <v>18</v>
      </c>
      <c r="Y148" s="208">
        <f>VLOOKUP($B$1&amp;$B$3&amp;$B$141&amp;$A148,Доход!$D$74:$AG$10900,Доход!AB$1,0)</f>
        <v>98820</v>
      </c>
      <c r="Z148" s="208">
        <f>VLOOKUP($B$1&amp;$B$3&amp;$B$141&amp;$A148,Доход!$D$74:$AG$10900,Доход!AC$1,0)</f>
        <v>349840</v>
      </c>
      <c r="AA148" s="208">
        <f>VLOOKUP($B$1&amp;$B$3&amp;$B$141&amp;$A148,Доход!$D$74:$AG$10900,Доход!AD$1,0)</f>
        <v>30</v>
      </c>
      <c r="AB148" s="208">
        <f>VLOOKUP($B$1&amp;$B$3&amp;$B$141&amp;$A148,Доход!$D$74:$AG$10900,Доход!AE$1,0)</f>
        <v>11</v>
      </c>
      <c r="AC148" s="208">
        <f>VLOOKUP($B$1&amp;$B$3&amp;$B$141&amp;$A148,Доход!$D$74:$AG$10900,Доход!AF$1,0)</f>
        <v>70520</v>
      </c>
      <c r="AD148" s="138">
        <f>VLOOKUP($B$1&amp;$B$3&amp;$B$141&amp;$A148,Доход!$D$74:$AG$10900,Доход!AG$1,0)</f>
        <v>279320</v>
      </c>
    </row>
    <row r="149" spans="1:30" outlineLevel="1" x14ac:dyDescent="0.3">
      <c r="A149" s="29">
        <v>7</v>
      </c>
      <c r="B149" s="60">
        <f>VLOOKUP($B$1&amp;$B$3&amp;$B$141&amp;$A149,Доход!$D$74:$AG$10900,Доход!E$1,0)</f>
        <v>500</v>
      </c>
      <c r="C149" s="23">
        <f>VLOOKUP($B$1&amp;$B$3&amp;$B$141&amp;$A149,Доход!$D$74:$AG$10900,Доход!F$1,0)</f>
        <v>10</v>
      </c>
      <c r="D149" s="24">
        <f>VLOOKUP($B$1&amp;$B$3&amp;$B$141&amp;$A149,Доход!$D$74:$AG$10900,Доход!G$1,0)</f>
        <v>25</v>
      </c>
      <c r="E149" s="25">
        <f>VLOOKUP($B$1&amp;$B$3&amp;$B$141&amp;$A149,Доход!$D$74:$AG$10900,Доход!H$1,0)</f>
        <v>5</v>
      </c>
      <c r="F149" s="56">
        <f>VLOOKUP($B$1&amp;$B$3&amp;$B$141&amp;$A149,Доход!$D$74:$AG$10900,Доход!I$1,0)</f>
        <v>0.25</v>
      </c>
      <c r="G149" s="24">
        <f>VLOOKUP($B$1&amp;$B$3&amp;$B$141&amp;$A149,Доход!$D$74:$AG$10900,Доход!J$1,0)</f>
        <v>62.5</v>
      </c>
      <c r="H149" s="24">
        <f>VLOOKUP($B$1&amp;$B$3&amp;$B$141&amp;$A149,Доход!$D$74:$AG$10900,Доход!K$1,0)</f>
        <v>10</v>
      </c>
      <c r="I149" s="27">
        <f>VLOOKUP($B$1&amp;$B$3&amp;$B$141&amp;$A149,Доход!$D$74:$AG$10900,Доход!L$1,0)</f>
        <v>6.25</v>
      </c>
      <c r="J149" s="48">
        <f>VLOOKUP($B$1&amp;$B$3&amp;$B$141&amp;$A149,Доход!$D$74:$AG$10900,Доход!M$1,0)</f>
        <v>1.4880952380952381</v>
      </c>
      <c r="K149" s="57">
        <f>VLOOKUP($B$1&amp;$B$3&amp;$B$141&amp;$A149,Доход!$D$74:$AG$10900,Доход!N$1,0)</f>
        <v>0.4</v>
      </c>
      <c r="L149" s="27">
        <f>VLOOKUP($B$1&amp;$B$3&amp;$B$141&amp;$A149,Доход!$D$74:$AG$10900,Доход!O$1,0)</f>
        <v>106</v>
      </c>
      <c r="M149" s="57">
        <f>VLOOKUP($B$1&amp;$B$3&amp;$B$141&amp;$A149,Доход!$D$74:$AG$10900,Доход!P$1,0)</f>
        <v>0.35</v>
      </c>
      <c r="N149" s="57">
        <f>VLOOKUP($B$1&amp;$B$3&amp;$B$141&amp;$A149,Доход!$D$74:$AG$10900,Доход!Q$1,0)</f>
        <v>0.5</v>
      </c>
      <c r="O149" s="29">
        <f>VLOOKUP($B$1&amp;$B$3&amp;$B$141&amp;$A149,Доход!$D$74:$AG$10900,Доход!R$1,0)</f>
        <v>7</v>
      </c>
      <c r="P149" s="30">
        <f>VLOOKUP($B$1&amp;$B$3&amp;$B$141&amp;$A149,Доход!$D$74:$AG$10900,Доход!S$1,0)</f>
        <v>475</v>
      </c>
      <c r="Q149" s="30">
        <f>VLOOKUP($B$1&amp;$B$3&amp;$B$141&amp;$A149,Доход!$D$74:$AG$10900,Доход!T$1,0)</f>
        <v>400</v>
      </c>
      <c r="R149" s="31">
        <f>VLOOKUP($B$1&amp;$B$3&amp;$B$141&amp;$A149,Доход!$D$74:$AG$10900,Доход!U$1,0)</f>
        <v>5490</v>
      </c>
      <c r="S149" s="222">
        <f>VLOOKUP($B$1&amp;$B$3&amp;$B$141&amp;$A149,Доход!$D$74:$AG$10900,Доход!V$1,0)</f>
        <v>42400</v>
      </c>
      <c r="T149" s="222">
        <f>VLOOKUP($B$1&amp;$B$3&amp;$B$141&amp;$A149,Доход!$D$74:$AG$10900,Доход!W$1,0)</f>
        <v>38</v>
      </c>
      <c r="U149" s="222">
        <f>VLOOKUP($B$1&amp;$B$3&amp;$B$141&amp;$A149,Доход!$D$74:$AG$10900,Доход!X$1,0)</f>
        <v>208620</v>
      </c>
      <c r="V149" s="222">
        <f>VLOOKUP($B$1&amp;$B$3&amp;$B$141&amp;$A149,Доход!$D$74:$AG$10900,Доход!Y$1,0)</f>
        <v>212</v>
      </c>
      <c r="W149" s="223">
        <f>VLOOKUP($B$1&amp;$B$3&amp;$B$141&amp;$A149,Доход!$D$74:$AG$10900,Доход!Z$1,0)</f>
        <v>55850</v>
      </c>
      <c r="X149" s="207">
        <f>VLOOKUP($B$1&amp;$B$3&amp;$B$141&amp;$A149,Доход!$D$74:$AG$10900,Доход!AA$1,0)</f>
        <v>18</v>
      </c>
      <c r="Y149" s="208">
        <f>VLOOKUP($B$1&amp;$B$3&amp;$B$141&amp;$A149,Доход!$D$74:$AG$10900,Доход!AB$1,0)</f>
        <v>98820</v>
      </c>
      <c r="Z149" s="208">
        <f>VLOOKUP($B$1&amp;$B$3&amp;$B$141&amp;$A149,Доход!$D$74:$AG$10900,Доход!AC$1,0)</f>
        <v>349840</v>
      </c>
      <c r="AA149" s="208">
        <f>VLOOKUP($B$1&amp;$B$3&amp;$B$141&amp;$A149,Доход!$D$74:$AG$10900,Доход!AD$1,0)</f>
        <v>33</v>
      </c>
      <c r="AB149" s="208">
        <f>VLOOKUP($B$1&amp;$B$3&amp;$B$141&amp;$A149,Доход!$D$74:$AG$10900,Доход!AE$1,0)</f>
        <v>11</v>
      </c>
      <c r="AC149" s="208">
        <f>VLOOKUP($B$1&amp;$B$3&amp;$B$141&amp;$A149,Доход!$D$74:$AG$10900,Доход!AF$1,0)</f>
        <v>75680</v>
      </c>
      <c r="AD149" s="138">
        <f>VLOOKUP($B$1&amp;$B$3&amp;$B$141&amp;$A149,Доход!$D$74:$AG$10900,Доход!AG$1,0)</f>
        <v>274160</v>
      </c>
    </row>
    <row r="150" spans="1:30" outlineLevel="1" x14ac:dyDescent="0.3">
      <c r="A150" s="29">
        <v>8</v>
      </c>
      <c r="B150" s="60">
        <f>VLOOKUP($B$1&amp;$B$3&amp;$B$141&amp;$A150,Доход!$D$74:$AG$10900,Доход!E$1,0)</f>
        <v>500</v>
      </c>
      <c r="C150" s="23">
        <f>VLOOKUP($B$1&amp;$B$3&amp;$B$141&amp;$A150,Доход!$D$74:$AG$10900,Доход!F$1,0)</f>
        <v>10</v>
      </c>
      <c r="D150" s="24">
        <f>VLOOKUP($B$1&amp;$B$3&amp;$B$141&amp;$A150,Доход!$D$74:$AG$10900,Доход!G$1,0)</f>
        <v>25</v>
      </c>
      <c r="E150" s="25">
        <f>VLOOKUP($B$1&amp;$B$3&amp;$B$141&amp;$A150,Доход!$D$74:$AG$10900,Доход!H$1,0)</f>
        <v>5</v>
      </c>
      <c r="F150" s="56">
        <f>VLOOKUP($B$1&amp;$B$3&amp;$B$141&amp;$A150,Доход!$D$74:$AG$10900,Доход!I$1,0)</f>
        <v>0.25</v>
      </c>
      <c r="G150" s="24">
        <f>VLOOKUP($B$1&amp;$B$3&amp;$B$141&amp;$A150,Доход!$D$74:$AG$10900,Доход!J$1,0)</f>
        <v>62.5</v>
      </c>
      <c r="H150" s="24">
        <f>VLOOKUP($B$1&amp;$B$3&amp;$B$141&amp;$A150,Доход!$D$74:$AG$10900,Доход!K$1,0)</f>
        <v>10</v>
      </c>
      <c r="I150" s="27">
        <f>VLOOKUP($B$1&amp;$B$3&amp;$B$141&amp;$A150,Доход!$D$74:$AG$10900,Доход!L$1,0)</f>
        <v>6.25</v>
      </c>
      <c r="J150" s="48">
        <f>VLOOKUP($B$1&amp;$B$3&amp;$B$141&amp;$A150,Доход!$D$74:$AG$10900,Доход!M$1,0)</f>
        <v>1.4880952380952381</v>
      </c>
      <c r="K150" s="57">
        <f>VLOOKUP($B$1&amp;$B$3&amp;$B$141&amp;$A150,Доход!$D$74:$AG$10900,Доход!N$1,0)</f>
        <v>0.32500000000000001</v>
      </c>
      <c r="L150" s="27">
        <f>VLOOKUP($B$1&amp;$B$3&amp;$B$141&amp;$A150,Доход!$D$74:$AG$10900,Доход!O$1,0)</f>
        <v>87.5</v>
      </c>
      <c r="M150" s="57">
        <f>VLOOKUP($B$1&amp;$B$3&amp;$B$141&amp;$A150,Доход!$D$74:$AG$10900,Доход!P$1,0)</f>
        <v>0.35</v>
      </c>
      <c r="N150" s="57">
        <f>VLOOKUP($B$1&amp;$B$3&amp;$B$141&amp;$A150,Доход!$D$74:$AG$10900,Доход!Q$1,0)</f>
        <v>0.35</v>
      </c>
      <c r="O150" s="29">
        <f>VLOOKUP($B$1&amp;$B$3&amp;$B$141&amp;$A150,Доход!$D$74:$AG$10900,Доход!R$1,0)</f>
        <v>8</v>
      </c>
      <c r="P150" s="102">
        <f>VLOOKUP($B$1&amp;$B$3&amp;$B$141&amp;$A150,Доход!$D$74:$AG$10900,Доход!S$1,0)</f>
        <v>475</v>
      </c>
      <c r="Q150" s="30">
        <f>VLOOKUP($B$1&amp;$B$3&amp;$B$141&amp;$A150,Доход!$D$74:$AG$10900,Доход!T$1,0)</f>
        <v>400</v>
      </c>
      <c r="R150" s="31">
        <f>VLOOKUP($B$1&amp;$B$3&amp;$B$141&amp;$A150,Доход!$D$74:$AG$10900,Доход!U$1,0)</f>
        <v>5490</v>
      </c>
      <c r="S150" s="222">
        <f>VLOOKUP($B$1&amp;$B$3&amp;$B$141&amp;$A150,Доход!$D$74:$AG$10900,Доход!V$1,0)</f>
        <v>35000</v>
      </c>
      <c r="T150" s="222">
        <f>VLOOKUP($B$1&amp;$B$3&amp;$B$141&amp;$A150,Доход!$D$74:$AG$10900,Доход!W$1,0)</f>
        <v>26</v>
      </c>
      <c r="U150" s="222">
        <f>VLOOKUP($B$1&amp;$B$3&amp;$B$141&amp;$A150,Доход!$D$74:$AG$10900,Доход!X$1,0)</f>
        <v>142740</v>
      </c>
      <c r="V150" s="222">
        <f>VLOOKUP($B$1&amp;$B$3&amp;$B$141&amp;$A150,Доход!$D$74:$AG$10900,Доход!Y$1,0)</f>
        <v>226</v>
      </c>
      <c r="W150" s="223">
        <f>VLOOKUP($B$1&amp;$B$3&amp;$B$141&amp;$A150,Доход!$D$74:$AG$10900,Доход!Z$1,0)</f>
        <v>46250</v>
      </c>
      <c r="X150" s="207">
        <f>VLOOKUP($B$1&amp;$B$3&amp;$B$141&amp;$A150,Доход!$D$74:$AG$10900,Доход!AA$1,0)</f>
        <v>12</v>
      </c>
      <c r="Y150" s="208">
        <f>VLOOKUP($B$1&amp;$B$3&amp;$B$141&amp;$A150,Доход!$D$74:$AG$10900,Доход!AB$1,0)</f>
        <v>65880</v>
      </c>
      <c r="Z150" s="208">
        <f>VLOOKUP($B$1&amp;$B$3&amp;$B$141&amp;$A150,Доход!$D$74:$AG$10900,Доход!AC$1,0)</f>
        <v>243620</v>
      </c>
      <c r="AA150" s="208">
        <f>VLOOKUP($B$1&amp;$B$3&amp;$B$141&amp;$A150,Доход!$D$74:$AG$10900,Доход!AD$1,0)</f>
        <v>35</v>
      </c>
      <c r="AB150" s="208">
        <f>VLOOKUP($B$1&amp;$B$3&amp;$B$141&amp;$A150,Доход!$D$74:$AG$10900,Доход!AE$1,0)</f>
        <v>9</v>
      </c>
      <c r="AC150" s="208">
        <f>VLOOKUP($B$1&amp;$B$3&amp;$B$141&amp;$A150,Доход!$D$74:$AG$10900,Доход!AF$1,0)</f>
        <v>75680</v>
      </c>
      <c r="AD150" s="138">
        <f>VLOOKUP($B$1&amp;$B$3&amp;$B$141&amp;$A150,Доход!$D$74:$AG$10900,Доход!AG$1,0)</f>
        <v>167940</v>
      </c>
    </row>
    <row r="151" spans="1:30" ht="16.2" outlineLevel="1" thickBot="1" x14ac:dyDescent="0.35">
      <c r="A151" s="45">
        <v>9</v>
      </c>
      <c r="B151" s="61">
        <f>VLOOKUP($B$1&amp;$B$3&amp;$B$141&amp;$A151,Доход!$D$74:$AG$10900,Доход!E$1,0)</f>
        <v>500</v>
      </c>
      <c r="C151" s="39">
        <f>VLOOKUP($B$1&amp;$B$3&amp;$B$141&amp;$A151,Доход!$D$74:$AG$10900,Доход!F$1,0)</f>
        <v>10</v>
      </c>
      <c r="D151" s="40">
        <f>VLOOKUP($B$1&amp;$B$3&amp;$B$141&amp;$A151,Доход!$D$74:$AG$10900,Доход!G$1,0)</f>
        <v>25</v>
      </c>
      <c r="E151" s="41">
        <f>VLOOKUP($B$1&amp;$B$3&amp;$B$141&amp;$A151,Доход!$D$74:$AG$10900,Доход!H$1,0)</f>
        <v>5</v>
      </c>
      <c r="F151" s="58">
        <f>VLOOKUP($B$1&amp;$B$3&amp;$B$141&amp;$A151,Доход!$D$74:$AG$10900,Доход!I$1,0)</f>
        <v>0.25</v>
      </c>
      <c r="G151" s="40">
        <f>VLOOKUP($B$1&amp;$B$3&amp;$B$141&amp;$A151,Доход!$D$74:$AG$10900,Доход!J$1,0)</f>
        <v>62.5</v>
      </c>
      <c r="H151" s="40">
        <f>VLOOKUP($B$1&amp;$B$3&amp;$B$141&amp;$A151,Доход!$D$74:$AG$10900,Доход!K$1,0)</f>
        <v>10</v>
      </c>
      <c r="I151" s="43">
        <f>VLOOKUP($B$1&amp;$B$3&amp;$B$141&amp;$A151,Доход!$D$74:$AG$10900,Доход!L$1,0)</f>
        <v>6.25</v>
      </c>
      <c r="J151" s="53">
        <f>VLOOKUP($B$1&amp;$B$3&amp;$B$141&amp;$A151,Доход!$D$74:$AG$10900,Доход!M$1,0)</f>
        <v>1.4880952380952381</v>
      </c>
      <c r="K151" s="59">
        <f>VLOOKUP($B$1&amp;$B$3&amp;$B$141&amp;$A151,Доход!$D$74:$AG$10900,Доход!N$1,0)</f>
        <v>0.25</v>
      </c>
      <c r="L151" s="43">
        <f>VLOOKUP($B$1&amp;$B$3&amp;$B$141&amp;$A151,Доход!$D$74:$AG$10900,Доход!O$1,0)</f>
        <v>68</v>
      </c>
      <c r="M151" s="59">
        <f>VLOOKUP($B$1&amp;$B$3&amp;$B$141&amp;$A151,Доход!$D$74:$AG$10900,Доход!P$1,0)</f>
        <v>0.2</v>
      </c>
      <c r="N151" s="59">
        <f>VLOOKUP($B$1&amp;$B$3&amp;$B$141&amp;$A151,Доход!$D$74:$AG$10900,Доход!Q$1,0)</f>
        <v>0.2</v>
      </c>
      <c r="O151" s="45">
        <f>VLOOKUP($B$1&amp;$B$3&amp;$B$141&amp;$A151,Доход!$D$74:$AG$10900,Доход!R$1,0)</f>
        <v>9</v>
      </c>
      <c r="P151" s="103">
        <f>VLOOKUP($B$1&amp;$B$3&amp;$B$141&amp;$A151,Доход!$D$74:$AG$10900,Доход!S$1,0)</f>
        <v>475</v>
      </c>
      <c r="Q151" s="46">
        <f>VLOOKUP($B$1&amp;$B$3&amp;$B$141&amp;$A151,Доход!$D$74:$AG$10900,Доход!T$1,0)</f>
        <v>400</v>
      </c>
      <c r="R151" s="47">
        <f>VLOOKUP($B$1&amp;$B$3&amp;$B$141&amp;$A151,Доход!$D$74:$AG$10900,Доход!U$1,0)</f>
        <v>5490</v>
      </c>
      <c r="S151" s="234">
        <f>VLOOKUP($B$1&amp;$B$3&amp;$B$141&amp;$A151,Доход!$D$74:$AG$10900,Доход!V$1,0)</f>
        <v>27200</v>
      </c>
      <c r="T151" s="234">
        <f>VLOOKUP($B$1&amp;$B$3&amp;$B$141&amp;$A151,Доход!$D$74:$AG$10900,Доход!W$1,0)</f>
        <v>16</v>
      </c>
      <c r="U151" s="234">
        <f>VLOOKUP($B$1&amp;$B$3&amp;$B$141&amp;$A151,Доход!$D$74:$AG$10900,Доход!X$1,0)</f>
        <v>87840</v>
      </c>
      <c r="V151" s="234">
        <f>VLOOKUP($B$1&amp;$B$3&amp;$B$141&amp;$A151,Доход!$D$74:$AG$10900,Доход!Y$1,0)</f>
        <v>235</v>
      </c>
      <c r="W151" s="236">
        <f>VLOOKUP($B$1&amp;$B$3&amp;$B$141&amp;$A151,Доход!$D$74:$AG$10900,Доход!Z$1,0)</f>
        <v>36300</v>
      </c>
      <c r="X151" s="245">
        <f>VLOOKUP($B$1&amp;$B$3&amp;$B$141&amp;$A151,Доход!$D$74:$AG$10900,Доход!AA$1,0)</f>
        <v>7</v>
      </c>
      <c r="Y151" s="214">
        <f>VLOOKUP($B$1&amp;$B$3&amp;$B$141&amp;$A151,Доход!$D$74:$AG$10900,Доход!AB$1,0)</f>
        <v>38430</v>
      </c>
      <c r="Z151" s="214">
        <f>VLOOKUP($B$1&amp;$B$3&amp;$B$141&amp;$A151,Доход!$D$74:$AG$10900,Доход!AC$1,0)</f>
        <v>153470</v>
      </c>
      <c r="AA151" s="214">
        <f>VLOOKUP($B$1&amp;$B$3&amp;$B$141&amp;$A151,Доход!$D$74:$AG$10900,Доход!AD$1,0)</f>
        <v>37</v>
      </c>
      <c r="AB151" s="214">
        <f>VLOOKUP($B$1&amp;$B$3&amp;$B$141&amp;$A151,Доход!$D$74:$AG$10900,Доход!AE$1,0)</f>
        <v>7</v>
      </c>
      <c r="AC151" s="214">
        <f>VLOOKUP($B$1&amp;$B$3&amp;$B$141&amp;$A151,Доход!$D$74:$AG$10900,Доход!AF$1,0)</f>
        <v>75680</v>
      </c>
      <c r="AD151" s="139">
        <f>VLOOKUP($B$1&amp;$B$3&amp;$B$141&amp;$A151,Доход!$D$74:$AG$10900,Доход!AG$1,0)</f>
        <v>77790</v>
      </c>
    </row>
    <row r="152" spans="1:30" ht="16.2" outlineLevel="1" thickBot="1" x14ac:dyDescent="0.35">
      <c r="C152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215" t="s">
        <v>64</v>
      </c>
      <c r="AC152" s="127">
        <f>SUM(AD143:AD151)</f>
        <v>1849600</v>
      </c>
    </row>
    <row r="153" spans="1:30" ht="16.2" thickBot="1" x14ac:dyDescent="0.35"/>
    <row r="154" spans="1:30" ht="29.4" thickBot="1" x14ac:dyDescent="0.6">
      <c r="A154" s="302" t="s">
        <v>244</v>
      </c>
    </row>
    <row r="156" spans="1:30" ht="16.2" thickBot="1" x14ac:dyDescent="0.35"/>
    <row r="157" spans="1:30" ht="86.4" x14ac:dyDescent="0.3">
      <c r="A157" s="303" t="s">
        <v>215</v>
      </c>
      <c r="B157" s="303" t="s">
        <v>204</v>
      </c>
      <c r="C157" s="303" t="s">
        <v>205</v>
      </c>
      <c r="D157" s="304" t="s">
        <v>194</v>
      </c>
    </row>
    <row r="158" spans="1:30" ht="29.4" thickBot="1" x14ac:dyDescent="0.6">
      <c r="A158" s="305">
        <f>VLOOKUP($B$1&amp;$B$3&amp;A157,Прибыль!$V$2:$W$1300,2,0)</f>
        <v>20323.496240601504</v>
      </c>
      <c r="B158" s="305">
        <f>VLOOKUP($B$1&amp;$B$3&amp;B157,Прибыль!$V$2:$W$1300,2,0)</f>
        <v>6000</v>
      </c>
      <c r="C158" s="305">
        <f>VLOOKUP($B$1&amp;$B$3&amp;C157,Прибыль!$V$2:$W$1300,2,0)</f>
        <v>39085.789473684206</v>
      </c>
      <c r="D158" s="306">
        <f>VLOOKUP($B$1&amp;$B$3&amp;D157,Прибыль!$V$2:$W$1300,2,0)</f>
        <v>7</v>
      </c>
      <c r="E158" s="114"/>
    </row>
    <row r="159" spans="1:30" ht="29.4" thickBot="1" x14ac:dyDescent="0.6">
      <c r="A159" s="266" t="s">
        <v>243</v>
      </c>
    </row>
    <row r="160" spans="1:30" ht="42.6" outlineLevel="1" thickBot="1" x14ac:dyDescent="0.45">
      <c r="A160" s="128" t="s">
        <v>144</v>
      </c>
      <c r="B160" s="128" t="s">
        <v>153</v>
      </c>
      <c r="C160" s="129" t="s">
        <v>208</v>
      </c>
      <c r="D160" s="128" t="s">
        <v>209</v>
      </c>
      <c r="E160" s="130" t="s">
        <v>193</v>
      </c>
    </row>
    <row r="161" spans="1:6" outlineLevel="1" x14ac:dyDescent="0.3">
      <c r="A161" s="180">
        <v>1</v>
      </c>
      <c r="B161" s="175">
        <f>VLOOKUP($B$1&amp;$B$3&amp;$A161,Прибыль!$D$2:$H$300,2,0)</f>
        <v>164210</v>
      </c>
      <c r="C161" s="175">
        <f>VLOOKUP($B$1&amp;$B$3&amp;$A161,Прибыль!$D$2:$H$3000,3,0)</f>
        <v>73550</v>
      </c>
      <c r="D161" s="181">
        <f>VLOOKUP($B$1&amp;$B$3&amp;$A161,Прибыль!$D$2:$H$3000,4,0)</f>
        <v>13136.800000000001</v>
      </c>
      <c r="E161" s="174">
        <f>VLOOKUP($B$1&amp;$B$3&amp;$A161,Прибыль!$D$2:$H$3000,5,0)</f>
        <v>77523.199999999997</v>
      </c>
    </row>
    <row r="162" spans="1:6" outlineLevel="1" x14ac:dyDescent="0.3">
      <c r="A162" s="180">
        <v>2</v>
      </c>
      <c r="B162" s="175">
        <f>VLOOKUP($B$1&amp;$B$3&amp;$A162,Прибыль!$D$2:$H$300,2,0)</f>
        <v>209740</v>
      </c>
      <c r="C162" s="182">
        <f>VLOOKUP($B$1&amp;$B$3&amp;$A162,Прибыль!$D$2:$H$3000,3,0)</f>
        <v>73550</v>
      </c>
      <c r="D162" s="182">
        <f>VLOOKUP($B$1&amp;$B$3&amp;$A162,Прибыль!$D$2:$H$3000,4,0)</f>
        <v>16779.2</v>
      </c>
      <c r="E162" s="175">
        <f>VLOOKUP($B$1&amp;$B$3&amp;$A162,Прибыль!$D$2:$H$3000,5,0)</f>
        <v>119410.8</v>
      </c>
    </row>
    <row r="163" spans="1:6" outlineLevel="1" x14ac:dyDescent="0.3">
      <c r="A163" s="180">
        <v>3</v>
      </c>
      <c r="B163" s="175">
        <f>VLOOKUP($B$1&amp;$B$3&amp;$A163,Прибыль!$D$2:$H$300,2,0)</f>
        <v>201140</v>
      </c>
      <c r="C163" s="182">
        <f>VLOOKUP($B$1&amp;$B$3&amp;$A163,Прибыль!$D$2:$H$3000,3,0)</f>
        <v>73550</v>
      </c>
      <c r="D163" s="182">
        <f>VLOOKUP($B$1&amp;$B$3&amp;$A163,Прибыль!$D$2:$H$3000,4,0)</f>
        <v>16091.2</v>
      </c>
      <c r="E163" s="175">
        <f>VLOOKUP($B$1&amp;$B$3&amp;$A163,Прибыль!$D$2:$H$3000,5,0)</f>
        <v>111498.8</v>
      </c>
    </row>
    <row r="164" spans="1:6" outlineLevel="1" x14ac:dyDescent="0.3">
      <c r="A164" s="180">
        <v>4</v>
      </c>
      <c r="B164" s="175">
        <f>VLOOKUP($B$1&amp;$B$3&amp;$A164,Прибыль!$D$2:$H$300,2,0)</f>
        <v>190820</v>
      </c>
      <c r="C164" s="182">
        <f>VLOOKUP($B$1&amp;$B$3&amp;$A164,Прибыль!$D$2:$H$3000,3,0)</f>
        <v>73550</v>
      </c>
      <c r="D164" s="182">
        <f>VLOOKUP($B$1&amp;$B$3&amp;$A164,Прибыль!$D$2:$H$3000,4,0)</f>
        <v>15265.6</v>
      </c>
      <c r="E164" s="175">
        <f>VLOOKUP($B$1&amp;$B$3&amp;$A164,Прибыль!$D$2:$H$3000,5,0)</f>
        <v>102004.4</v>
      </c>
    </row>
    <row r="165" spans="1:6" outlineLevel="1" x14ac:dyDescent="0.3">
      <c r="A165" s="180">
        <v>5</v>
      </c>
      <c r="B165" s="175">
        <f>VLOOKUP($B$1&amp;$B$3&amp;$A165,Прибыль!$D$2:$H$300,2,0)</f>
        <v>284480</v>
      </c>
      <c r="C165" s="182">
        <f>VLOOKUP($B$1&amp;$B$3&amp;$A165,Прибыль!$D$2:$H$3000,3,0)</f>
        <v>73550</v>
      </c>
      <c r="D165" s="182">
        <f>VLOOKUP($B$1&amp;$B$3&amp;$A165,Прибыль!$D$2:$H$3000,4,0)</f>
        <v>22758.400000000001</v>
      </c>
      <c r="E165" s="175">
        <f>VLOOKUP($B$1&amp;$B$3&amp;$A165,Прибыль!$D$2:$H$3000,5,0)</f>
        <v>188171.6</v>
      </c>
    </row>
    <row r="166" spans="1:6" outlineLevel="1" x14ac:dyDescent="0.3">
      <c r="A166" s="180">
        <v>6</v>
      </c>
      <c r="B166" s="175">
        <f>VLOOKUP($B$1&amp;$B$3&amp;$A166,Прибыль!$D$2:$H$300,2,0)</f>
        <v>279320</v>
      </c>
      <c r="C166" s="182">
        <f>VLOOKUP($B$1&amp;$B$3&amp;$A166,Прибыль!$D$2:$H$3000,3,0)</f>
        <v>73550</v>
      </c>
      <c r="D166" s="182">
        <f>VLOOKUP($B$1&amp;$B$3&amp;$A166,Прибыль!$D$2:$H$3000,4,0)</f>
        <v>22345.600000000002</v>
      </c>
      <c r="E166" s="175">
        <f>VLOOKUP($B$1&amp;$B$3&amp;$A166,Прибыль!$D$2:$H$3000,5,0)</f>
        <v>183424.4</v>
      </c>
    </row>
    <row r="167" spans="1:6" outlineLevel="1" x14ac:dyDescent="0.3">
      <c r="A167" s="180">
        <v>7</v>
      </c>
      <c r="B167" s="175">
        <f>VLOOKUP($B$1&amp;$B$3&amp;$A167,Прибыль!$D$2:$H$300,2,0)</f>
        <v>274160</v>
      </c>
      <c r="C167" s="182">
        <f>VLOOKUP($B$1&amp;$B$3&amp;$A167,Прибыль!$D$2:$H$3000,3,0)</f>
        <v>73550</v>
      </c>
      <c r="D167" s="182">
        <f>VLOOKUP($B$1&amp;$B$3&amp;$A167,Прибыль!$D$2:$H$3000,4,0)</f>
        <v>21932.799999999999</v>
      </c>
      <c r="E167" s="175">
        <f>VLOOKUP($B$1&amp;$B$3&amp;$A167,Прибыль!$D$2:$H$3000,5,0)</f>
        <v>178677.2</v>
      </c>
    </row>
    <row r="168" spans="1:6" outlineLevel="1" x14ac:dyDescent="0.3">
      <c r="A168" s="180">
        <v>8</v>
      </c>
      <c r="B168" s="175">
        <f>VLOOKUP($B$1&amp;$B$3&amp;$A168,Прибыль!$D$2:$H$300,2,0)</f>
        <v>167940</v>
      </c>
      <c r="C168" s="182">
        <f>VLOOKUP($B$1&amp;$B$3&amp;$A168,Прибыль!$D$2:$H$3000,3,0)</f>
        <v>73550</v>
      </c>
      <c r="D168" s="182">
        <f>VLOOKUP($B$1&amp;$B$3&amp;$A168,Прибыль!$D$2:$H$3000,4,0)</f>
        <v>13435.2</v>
      </c>
      <c r="E168" s="175">
        <f>VLOOKUP($B$1&amp;$B$3&amp;$A168,Прибыль!$D$2:$H$3000,5,0)</f>
        <v>80954.8</v>
      </c>
    </row>
    <row r="169" spans="1:6" ht="16.2" outlineLevel="1" thickBot="1" x14ac:dyDescent="0.35">
      <c r="A169" s="183">
        <v>9</v>
      </c>
      <c r="B169" s="177">
        <f>VLOOKUP($B$1&amp;$B$3&amp;$A169,Прибыль!$D$2:$H$300,2,0)</f>
        <v>77790</v>
      </c>
      <c r="C169" s="184">
        <f>VLOOKUP($B$1&amp;$B$3&amp;$A169,Прибыль!$D$2:$H$3000,3,0)</f>
        <v>73550</v>
      </c>
      <c r="D169" s="184">
        <f>VLOOKUP($B$1&amp;$B$3&amp;$A169,Прибыль!$D$2:$H$3000,4,0)</f>
        <v>6223.2</v>
      </c>
      <c r="E169" s="177">
        <f>VLOOKUP($B$1&amp;$B$3&amp;$A169,Прибыль!$D$2:$H$3000,5,0)</f>
        <v>-1983.1999999999998</v>
      </c>
    </row>
    <row r="170" spans="1:6" outlineLevel="1" x14ac:dyDescent="0.3">
      <c r="A170" s="64" t="s">
        <v>152</v>
      </c>
      <c r="C170"/>
      <c r="D170" s="317" t="s">
        <v>177</v>
      </c>
      <c r="E170" s="126">
        <f>SUM(E161:E169)</f>
        <v>1039682</v>
      </c>
      <c r="F170" s="64" t="s">
        <v>180</v>
      </c>
    </row>
    <row r="171" spans="1:6" ht="16.2" outlineLevel="1" thickBot="1" x14ac:dyDescent="0.35">
      <c r="C171"/>
      <c r="D171" s="318"/>
      <c r="E171" s="127">
        <f>E170/'Технический лист'!$C$17</f>
        <v>39085.789473684206</v>
      </c>
      <c r="F171" s="64" t="s">
        <v>181</v>
      </c>
    </row>
    <row r="172" spans="1:6" outlineLevel="1" x14ac:dyDescent="0.3"/>
    <row r="173" spans="1:6" ht="21.6" outlineLevel="1" thickBot="1" x14ac:dyDescent="0.45">
      <c r="A173" s="65" t="s">
        <v>154</v>
      </c>
      <c r="C173"/>
    </row>
    <row r="174" spans="1:6" ht="18.600000000000001" outlineLevel="1" thickBot="1" x14ac:dyDescent="0.35">
      <c r="A174" s="131" t="s">
        <v>25</v>
      </c>
      <c r="B174" s="134" t="s">
        <v>155</v>
      </c>
      <c r="C174" s="132" t="s">
        <v>28</v>
      </c>
      <c r="D174" s="133" t="s">
        <v>29</v>
      </c>
    </row>
    <row r="175" spans="1:6" outlineLevel="1" x14ac:dyDescent="0.3">
      <c r="A175" s="156" t="s">
        <v>156</v>
      </c>
      <c r="B175" s="174">
        <f>VLOOKUP($B$1&amp;$B$3&amp;$A175,Прибыль!$M$2:$Q$7700,3,0)</f>
        <v>20000</v>
      </c>
      <c r="C175" s="156">
        <f>VLOOKUP($B$1&amp;$B$3&amp;$A175,Прибыль!$M$2:$Q$7700,4,0)</f>
        <v>1</v>
      </c>
      <c r="D175" s="174">
        <f>VLOOKUP($B$1&amp;$B$3&amp;$A175,Прибыль!$M$2:$Q$7700,5,0)</f>
        <v>20000</v>
      </c>
    </row>
    <row r="176" spans="1:6" outlineLevel="1" x14ac:dyDescent="0.3">
      <c r="A176" s="157" t="s">
        <v>157</v>
      </c>
      <c r="B176" s="175">
        <f>VLOOKUP($B$1&amp;$B$3&amp;$A176,Прибыль!$M$2:$Q$7700,3,0)</f>
        <v>4000</v>
      </c>
      <c r="C176" s="157">
        <f>VLOOKUP($B$1&amp;$B$3&amp;$A176,Прибыль!$M$2:$Q$7700,4,0)</f>
        <v>1</v>
      </c>
      <c r="D176" s="175">
        <f>VLOOKUP($B$1&amp;$B$3&amp;$A176,Прибыль!$M$2:$Q$7700,5,0)</f>
        <v>4000</v>
      </c>
    </row>
    <row r="177" spans="1:4" outlineLevel="1" x14ac:dyDescent="0.3">
      <c r="A177" s="157" t="s">
        <v>159</v>
      </c>
      <c r="B177" s="175">
        <f>VLOOKUP($B$1&amp;$B$3&amp;$A177,Прибыль!$M$2:$Q$7700,3,0)</f>
        <v>1500</v>
      </c>
      <c r="C177" s="157">
        <f>VLOOKUP($B$1&amp;$B$3&amp;$A177,Прибыль!$M$2:$Q$7700,4,0)</f>
        <v>1</v>
      </c>
      <c r="D177" s="175">
        <f>VLOOKUP($B$1&amp;$B$3&amp;$A177,Прибыль!$M$2:$Q$7700,5,0)</f>
        <v>1500</v>
      </c>
    </row>
    <row r="178" spans="1:4" outlineLevel="1" x14ac:dyDescent="0.3">
      <c r="A178" s="157" t="s">
        <v>164</v>
      </c>
      <c r="B178" s="175">
        <f>VLOOKUP($B$1&amp;$B$3&amp;$A178,Прибыль!$M$2:$Q$7700,3,0)</f>
        <v>300</v>
      </c>
      <c r="C178" s="157">
        <f>VLOOKUP($B$1&amp;$B$3&amp;$A178,Прибыль!$M$2:$Q$7700,4,0)</f>
        <v>1</v>
      </c>
      <c r="D178" s="175">
        <f>VLOOKUP($B$1&amp;$B$3&amp;$A178,Прибыль!$M$2:$Q$7700,5,0)</f>
        <v>300</v>
      </c>
    </row>
    <row r="179" spans="1:4" outlineLevel="1" x14ac:dyDescent="0.3">
      <c r="A179" s="157" t="s">
        <v>160</v>
      </c>
      <c r="B179" s="175">
        <f>VLOOKUP($B$1&amp;$B$3&amp;$A179,Прибыль!$M$2:$Q$7700,3,0)</f>
        <v>15000</v>
      </c>
      <c r="C179" s="157">
        <f>VLOOKUP($B$1&amp;$B$3&amp;$A179,Прибыль!$M$2:$Q$7700,4,0)</f>
        <v>2</v>
      </c>
      <c r="D179" s="175">
        <f>VLOOKUP($B$1&amp;$B$3&amp;$A179,Прибыль!$M$2:$Q$7700,5,0)</f>
        <v>30000</v>
      </c>
    </row>
    <row r="180" spans="1:4" outlineLevel="1" x14ac:dyDescent="0.3">
      <c r="A180" s="157" t="s">
        <v>161</v>
      </c>
      <c r="B180" s="175">
        <f>VLOOKUP($B$1&amp;$B$3&amp;$A180,Прибыль!$M$2:$Q$7700,3,0)</f>
        <v>1500</v>
      </c>
      <c r="C180" s="157">
        <f>VLOOKUP($B$1&amp;$B$3&amp;$A180,Прибыль!$M$2:$Q$7700,4,0)</f>
        <v>1</v>
      </c>
      <c r="D180" s="175">
        <f>VLOOKUP($B$1&amp;$B$3&amp;$A180,Прибыль!$M$2:$Q$7700,5,0)</f>
        <v>1500</v>
      </c>
    </row>
    <row r="181" spans="1:4" outlineLevel="1" x14ac:dyDescent="0.3">
      <c r="A181" s="157" t="s">
        <v>162</v>
      </c>
      <c r="B181" s="175">
        <f>VLOOKUP($B$1&amp;$B$3&amp;$A181,Прибыль!$M$2:$Q$7700,3,0)</f>
        <v>1800</v>
      </c>
      <c r="C181" s="157">
        <f>VLOOKUP($B$1&amp;$B$3&amp;$A181,Прибыль!$M$2:$Q$7700,4,0)</f>
        <v>1</v>
      </c>
      <c r="D181" s="175">
        <f>VLOOKUP($B$1&amp;$B$3&amp;$A181,Прибыль!$M$2:$Q$7700,5,0)</f>
        <v>1800</v>
      </c>
    </row>
    <row r="182" spans="1:4" outlineLevel="1" x14ac:dyDescent="0.3">
      <c r="A182" s="157" t="s">
        <v>163</v>
      </c>
      <c r="B182" s="175">
        <f>VLOOKUP($B$1&amp;$B$3&amp;$A182,Прибыль!$M$2:$Q$7700,3,0)</f>
        <v>1000</v>
      </c>
      <c r="C182" s="157">
        <f>VLOOKUP($B$1&amp;$B$3&amp;$A182,Прибыль!$M$2:$Q$7700,4,0)</f>
        <v>2</v>
      </c>
      <c r="D182" s="175">
        <f>VLOOKUP($B$1&amp;$B$3&amp;$A182,Прибыль!$M$2:$Q$7700,5,0)</f>
        <v>2000</v>
      </c>
    </row>
    <row r="183" spans="1:4" outlineLevel="1" x14ac:dyDescent="0.3">
      <c r="A183" s="157" t="s">
        <v>165</v>
      </c>
      <c r="B183" s="175">
        <f>VLOOKUP($B$1&amp;$B$3&amp;$A183,Прибыль!$M$2:$Q$7700,3,0)</f>
        <v>500</v>
      </c>
      <c r="C183" s="157">
        <f>VLOOKUP($B$1&amp;$B$3&amp;$A183,Прибыль!$M$2:$Q$7700,4,0)</f>
        <v>1</v>
      </c>
      <c r="D183" s="175">
        <f>VLOOKUP($B$1&amp;$B$3&amp;$A183,Прибыль!$M$2:$Q$7700,5,0)</f>
        <v>500</v>
      </c>
    </row>
    <row r="184" spans="1:4" outlineLevel="1" x14ac:dyDescent="0.3">
      <c r="A184" s="157" t="s">
        <v>166</v>
      </c>
      <c r="B184" s="175">
        <f>VLOOKUP($B$1&amp;$B$3&amp;$A184,Прибыль!$M$2:$Q$7700,3,0)</f>
        <v>1200</v>
      </c>
      <c r="C184" s="157">
        <f>VLOOKUP($B$1&amp;$B$3&amp;$A184,Прибыль!$M$2:$Q$7700,4,0)</f>
        <v>1</v>
      </c>
      <c r="D184" s="175">
        <f>VLOOKUP($B$1&amp;$B$3&amp;$A184,Прибыль!$M$2:$Q$7700,5,0)</f>
        <v>1200</v>
      </c>
    </row>
    <row r="185" spans="1:4" outlineLevel="1" x14ac:dyDescent="0.3">
      <c r="A185" s="185" t="s">
        <v>44</v>
      </c>
      <c r="B185" s="175">
        <f>VLOOKUP($B$1&amp;$B$3&amp;$A185,Прибыль!$M$2:$Q$7700,3,0)</f>
        <v>1500</v>
      </c>
      <c r="C185" s="157">
        <f>VLOOKUP($B$1&amp;$B$3&amp;$A185,Прибыль!$M$2:$Q$7700,4,0)</f>
        <v>1</v>
      </c>
      <c r="D185" s="175">
        <f>VLOOKUP($B$1&amp;$B$3&amp;$A185,Прибыль!$M$2:$Q$7700,5,0)</f>
        <v>1500</v>
      </c>
    </row>
    <row r="186" spans="1:4" outlineLevel="1" x14ac:dyDescent="0.3">
      <c r="A186" s="185" t="s">
        <v>167</v>
      </c>
      <c r="B186" s="175">
        <f>VLOOKUP($B$1&amp;$B$3&amp;$A186,Прибыль!$M$2:$Q$7700,3,0)</f>
        <v>250</v>
      </c>
      <c r="C186" s="157">
        <f>VLOOKUP($B$1&amp;$B$3&amp;$A186,Прибыль!$M$2:$Q$7700,4,0)</f>
        <v>1</v>
      </c>
      <c r="D186" s="175">
        <f>VLOOKUP($B$1&amp;$B$3&amp;$A186,Прибыль!$M$2:$Q$7700,5,0)</f>
        <v>250</v>
      </c>
    </row>
    <row r="187" spans="1:4" outlineLevel="1" x14ac:dyDescent="0.3">
      <c r="A187" s="185" t="s">
        <v>168</v>
      </c>
      <c r="B187" s="175">
        <f>VLOOKUP($B$1&amp;$B$3&amp;$A187,Прибыль!$M$2:$Q$7700,3,0)</f>
        <v>800</v>
      </c>
      <c r="C187" s="157">
        <f>VLOOKUP($B$1&amp;$B$3&amp;$A187,Прибыль!$M$2:$Q$7700,4,0)</f>
        <v>1</v>
      </c>
      <c r="D187" s="175">
        <f>VLOOKUP($B$1&amp;$B$3&amp;$A187,Прибыль!$M$2:$Q$7700,5,0)</f>
        <v>800</v>
      </c>
    </row>
    <row r="188" spans="1:4" outlineLevel="1" x14ac:dyDescent="0.3">
      <c r="A188" s="157" t="s">
        <v>169</v>
      </c>
      <c r="B188" s="175">
        <f>VLOOKUP($B$1&amp;$B$3&amp;$A188,Прибыль!$M$2:$Q$7700,3,0)</f>
        <v>400</v>
      </c>
      <c r="C188" s="157">
        <f>VLOOKUP($B$1&amp;$B$3&amp;$A188,Прибыль!$M$2:$Q$7700,4,0)</f>
        <v>1</v>
      </c>
      <c r="D188" s="175">
        <f>VLOOKUP($B$1&amp;$B$3&amp;$A188,Прибыль!$M$2:$Q$7700,5,0)</f>
        <v>400</v>
      </c>
    </row>
    <row r="189" spans="1:4" outlineLevel="1" x14ac:dyDescent="0.3">
      <c r="A189" s="157" t="s">
        <v>65</v>
      </c>
      <c r="B189" s="175">
        <f>VLOOKUP($B$1&amp;$B$3&amp;$A189,Прибыль!$M$2:$Q$7700,3,0)</f>
        <v>500</v>
      </c>
      <c r="C189" s="157">
        <f>VLOOKUP($B$1&amp;$B$3&amp;$A189,Прибыль!$M$2:$Q$7700,4,0)</f>
        <v>1</v>
      </c>
      <c r="D189" s="175">
        <f>VLOOKUP($B$1&amp;$B$3&amp;$A189,Прибыль!$M$2:$Q$7700,5,0)</f>
        <v>500</v>
      </c>
    </row>
    <row r="190" spans="1:4" outlineLevel="1" x14ac:dyDescent="0.3">
      <c r="A190" s="157" t="s">
        <v>170</v>
      </c>
      <c r="B190" s="175">
        <f>VLOOKUP($B$1&amp;$B$3&amp;$A190,Прибыль!$M$2:$Q$7700,3,0)</f>
        <v>450</v>
      </c>
      <c r="C190" s="157">
        <f>VLOOKUP($B$1&amp;$B$3&amp;$A190,Прибыль!$M$2:$Q$7700,4,0)</f>
        <v>1</v>
      </c>
      <c r="D190" s="175">
        <f>VLOOKUP($B$1&amp;$B$3&amp;$A190,Прибыль!$M$2:$Q$7700,5,0)</f>
        <v>450</v>
      </c>
    </row>
    <row r="191" spans="1:4" outlineLevel="1" x14ac:dyDescent="0.3">
      <c r="A191" s="157" t="s">
        <v>171</v>
      </c>
      <c r="B191" s="175">
        <f>VLOOKUP($B$1&amp;$B$3&amp;$A191,Прибыль!$M$2:$Q$7700,3,0)</f>
        <v>600</v>
      </c>
      <c r="C191" s="157">
        <f>VLOOKUP($B$1&amp;$B$3&amp;$A191,Прибыль!$M$2:$Q$7700,4,0)</f>
        <v>1</v>
      </c>
      <c r="D191" s="175">
        <f>VLOOKUP($B$1&amp;$B$3&amp;$A191,Прибыль!$M$2:$Q$7700,5,0)</f>
        <v>600</v>
      </c>
    </row>
    <row r="192" spans="1:4" outlineLevel="1" x14ac:dyDescent="0.3">
      <c r="A192" s="157" t="s">
        <v>172</v>
      </c>
      <c r="B192" s="175">
        <f>VLOOKUP($B$1&amp;$B$3&amp;$A192,Прибыль!$M$2:$Q$7700,3,0)</f>
        <v>250</v>
      </c>
      <c r="C192" s="157">
        <f>VLOOKUP($B$1&amp;$B$3&amp;$A192,Прибыль!$M$2:$Q$7700,4,0)</f>
        <v>1</v>
      </c>
      <c r="D192" s="175">
        <f>VLOOKUP($B$1&amp;$B$3&amp;$A192,Прибыль!$M$2:$Q$7700,5,0)</f>
        <v>250</v>
      </c>
    </row>
    <row r="193" spans="1:5" outlineLevel="1" x14ac:dyDescent="0.3">
      <c r="A193" s="157" t="s">
        <v>173</v>
      </c>
      <c r="B193" s="175">
        <f>VLOOKUP($B$1&amp;$B$3&amp;$A193,Прибыль!$M$2:$Q$7700,3,0)</f>
        <v>500</v>
      </c>
      <c r="C193" s="157">
        <f>VLOOKUP($B$1&amp;$B$3&amp;$A193,Прибыль!$M$2:$Q$7700,4,0)</f>
        <v>1</v>
      </c>
      <c r="D193" s="175">
        <f>VLOOKUP($B$1&amp;$B$3&amp;$A193,Прибыль!$M$2:$Q$7700,5,0)</f>
        <v>500</v>
      </c>
    </row>
    <row r="194" spans="1:5" outlineLevel="1" x14ac:dyDescent="0.3">
      <c r="A194" s="157" t="s">
        <v>174</v>
      </c>
      <c r="B194" s="175">
        <f>VLOOKUP($B$1&amp;$B$3&amp;$A194,Прибыль!$M$2:$Q$7700,3,0)</f>
        <v>1000</v>
      </c>
      <c r="C194" s="157">
        <f>VLOOKUP($B$1&amp;$B$3&amp;$A194,Прибыль!$M$2:$Q$7700,4,0)</f>
        <v>1</v>
      </c>
      <c r="D194" s="175">
        <f>VLOOKUP($B$1&amp;$B$3&amp;$A194,Прибыль!$M$2:$Q$7700,5,0)</f>
        <v>1000</v>
      </c>
    </row>
    <row r="195" spans="1:5" outlineLevel="1" x14ac:dyDescent="0.3">
      <c r="A195" s="157" t="s">
        <v>175</v>
      </c>
      <c r="B195" s="175">
        <f>VLOOKUP($B$1&amp;$B$3&amp;$A195,Прибыль!$M$2:$Q$7700,3,0)</f>
        <v>1500</v>
      </c>
      <c r="C195" s="157">
        <f>VLOOKUP($B$1&amp;$B$3&amp;$A195,Прибыль!$M$2:$Q$7700,4,0)</f>
        <v>1</v>
      </c>
      <c r="D195" s="175">
        <f>VLOOKUP($B$1&amp;$B$3&amp;$A195,Прибыль!$M$2:$Q$7700,5,0)</f>
        <v>1500</v>
      </c>
    </row>
    <row r="196" spans="1:5" outlineLevel="1" x14ac:dyDescent="0.3">
      <c r="A196" s="157" t="s">
        <v>176</v>
      </c>
      <c r="B196" s="175">
        <f>VLOOKUP($B$1&amp;$B$3&amp;$A196,Прибыль!$M$2:$Q$7700,3,0)</f>
        <v>1000</v>
      </c>
      <c r="C196" s="157">
        <f>VLOOKUP($B$1&amp;$B$3&amp;$A196,Прибыль!$M$2:$Q$7700,4,0)</f>
        <v>1</v>
      </c>
      <c r="D196" s="175">
        <f>VLOOKUP($B$1&amp;$B$3&amp;$A196,Прибыль!$M$2:$Q$7700,5,0)</f>
        <v>1000</v>
      </c>
    </row>
    <row r="197" spans="1:5" outlineLevel="1" x14ac:dyDescent="0.3">
      <c r="A197" s="157" t="s">
        <v>11</v>
      </c>
      <c r="B197" s="175">
        <f>VLOOKUP($B$1&amp;$B$3&amp;$A197,Прибыль!$M$2:$Q$7700,3,0)</f>
        <v>2000</v>
      </c>
      <c r="C197" s="157">
        <f>VLOOKUP($B$1&amp;$B$3&amp;$A197,Прибыль!$M$2:$Q$7700,4,0)</f>
        <v>1</v>
      </c>
      <c r="D197" s="175">
        <f>VLOOKUP($B$1&amp;$B$3&amp;$A197,Прибыль!$M$2:$Q$7700,5,0)</f>
        <v>2000</v>
      </c>
    </row>
    <row r="198" spans="1:5" outlineLevel="1" x14ac:dyDescent="0.3">
      <c r="A198" s="85" t="s">
        <v>206</v>
      </c>
      <c r="B198" s="135">
        <f>VLOOKUP($B$1&amp;$B$3&amp;$A198,Прибыль!$M$2:$Q$7700,3,0)</f>
        <v>3500</v>
      </c>
      <c r="C198" s="85">
        <f>VLOOKUP($B$1&amp;$B$3&amp;$A198,Прибыль!$M$2:$Q$7700,4,0)</f>
        <v>1</v>
      </c>
      <c r="D198" s="135">
        <f>VLOOKUP($B$1&amp;$B$3&amp;$A198,Прибыль!$M$2:$Q$7700,5,0)</f>
        <v>4500</v>
      </c>
    </row>
    <row r="199" spans="1:5" ht="16.2" outlineLevel="1" thickBot="1" x14ac:dyDescent="0.35">
      <c r="A199" s="86" t="s">
        <v>207</v>
      </c>
      <c r="B199" s="86">
        <f>VLOOKUP($B$1&amp;$B$3&amp;$A199,Прибыль!$M$2:$Q$7700,3,0)</f>
        <v>0</v>
      </c>
      <c r="C199" s="87">
        <f>VLOOKUP($B$1&amp;$B$3&amp;$A199,Прибыль!$M$2:$Q$7700,4,0)</f>
        <v>0.08</v>
      </c>
      <c r="D199" s="136">
        <f>VLOOKUP($B$1&amp;$B$3&amp;$A199,Прибыль!$M$2:$Q$7700,5,0)</f>
        <v>0</v>
      </c>
    </row>
    <row r="200" spans="1:5" ht="16.2" outlineLevel="1" thickBot="1" x14ac:dyDescent="0.35">
      <c r="B200" s="1"/>
      <c r="C200" s="66" t="s">
        <v>178</v>
      </c>
      <c r="D200" s="137">
        <f>SUM(D175:D199)</f>
        <v>78050</v>
      </c>
      <c r="E200" s="64" t="s">
        <v>180</v>
      </c>
    </row>
  </sheetData>
  <mergeCells count="12">
    <mergeCell ref="A31:D31"/>
    <mergeCell ref="D170:D171"/>
    <mergeCell ref="A101:D101"/>
    <mergeCell ref="A5:A6"/>
    <mergeCell ref="A8:A9"/>
    <mergeCell ref="A11:A12"/>
    <mergeCell ref="A16:D16"/>
    <mergeCell ref="A18:D18"/>
    <mergeCell ref="A52:D52"/>
    <mergeCell ref="A66:D66"/>
    <mergeCell ref="A77:D77"/>
    <mergeCell ref="A83:D83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Прибыль!$Y$23:$Y$25</xm:f>
          </x14:formula1>
          <xm:sqref>B3</xm:sqref>
        </x14:dataValidation>
        <x14:dataValidation type="list" allowBlank="1" showInputMessage="1" showErrorMessage="1">
          <x14:formula1>
            <xm:f>Доход!$A$345:$A$347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14"/>
  <sheetViews>
    <sheetView topLeftCell="A145" workbookViewId="0">
      <selection activeCell="D160" sqref="D160:D161"/>
    </sheetView>
  </sheetViews>
  <sheetFormatPr defaultRowHeight="15.6" x14ac:dyDescent="0.3"/>
  <cols>
    <col min="1" max="1" width="13.19921875" customWidth="1"/>
    <col min="2" max="2" width="22" customWidth="1"/>
    <col min="3" max="3" width="37.5" customWidth="1"/>
    <col min="4" max="4" width="72.5" bestFit="1" customWidth="1"/>
    <col min="5" max="5" width="26.3984375" customWidth="1"/>
    <col min="11" max="11" width="13" customWidth="1"/>
    <col min="12" max="12" width="33.59765625" customWidth="1"/>
  </cols>
  <sheetData>
    <row r="1" spans="1:13" x14ac:dyDescent="0.3">
      <c r="E1" t="s">
        <v>238</v>
      </c>
    </row>
    <row r="2" spans="1:13" x14ac:dyDescent="0.3">
      <c r="A2" t="s">
        <v>236</v>
      </c>
      <c r="B2" t="s">
        <v>237</v>
      </c>
      <c r="C2" t="s">
        <v>54</v>
      </c>
      <c r="D2" t="s">
        <v>26</v>
      </c>
      <c r="E2" t="str">
        <f>A2&amp;D2</f>
        <v>СТАРТУчебный набор WeDo</v>
      </c>
      <c r="F2">
        <v>7100</v>
      </c>
      <c r="G2">
        <v>5</v>
      </c>
      <c r="H2">
        <v>35500</v>
      </c>
      <c r="J2" t="s">
        <v>86</v>
      </c>
      <c r="K2" t="s">
        <v>137</v>
      </c>
      <c r="L2" t="str">
        <f>J2&amp;K2</f>
        <v>Паушальный взнос:Старт</v>
      </c>
      <c r="M2">
        <v>4000</v>
      </c>
    </row>
    <row r="3" spans="1:13" x14ac:dyDescent="0.3">
      <c r="A3" t="s">
        <v>236</v>
      </c>
      <c r="B3" t="s">
        <v>237</v>
      </c>
      <c r="C3" t="s">
        <v>54</v>
      </c>
      <c r="D3" t="s">
        <v>65</v>
      </c>
      <c r="E3" t="str">
        <f t="shared" ref="E3:E67" si="0">A3&amp;D3</f>
        <v>СТАРТБатарейки</v>
      </c>
      <c r="F3">
        <v>15</v>
      </c>
      <c r="G3">
        <v>20</v>
      </c>
      <c r="H3">
        <v>300</v>
      </c>
      <c r="J3" t="s">
        <v>86</v>
      </c>
      <c r="K3" t="s">
        <v>7</v>
      </c>
      <c r="L3" t="str">
        <f t="shared" ref="L3:L4" si="1">J3&amp;K3</f>
        <v>Паушальный взнос:Бизнес</v>
      </c>
      <c r="M3">
        <v>6000</v>
      </c>
    </row>
    <row r="4" spans="1:13" x14ac:dyDescent="0.3">
      <c r="A4" t="s">
        <v>236</v>
      </c>
      <c r="B4" t="s">
        <v>237</v>
      </c>
      <c r="C4" t="s">
        <v>54</v>
      </c>
      <c r="D4" t="s">
        <v>30</v>
      </c>
      <c r="E4" t="str">
        <f t="shared" si="0"/>
        <v>СТАРТНоутбуки для детей</v>
      </c>
      <c r="F4">
        <v>6000</v>
      </c>
      <c r="G4">
        <v>5</v>
      </c>
      <c r="H4">
        <v>30000</v>
      </c>
      <c r="J4" t="s">
        <v>86</v>
      </c>
      <c r="K4" t="s">
        <v>8</v>
      </c>
      <c r="L4" t="str">
        <f t="shared" si="1"/>
        <v>Паушальный взнос:Платинум</v>
      </c>
      <c r="M4">
        <v>8000</v>
      </c>
    </row>
    <row r="5" spans="1:13" x14ac:dyDescent="0.3">
      <c r="A5" t="s">
        <v>236</v>
      </c>
      <c r="B5" t="s">
        <v>237</v>
      </c>
      <c r="C5" t="s">
        <v>54</v>
      </c>
      <c r="D5" t="s">
        <v>62</v>
      </c>
      <c r="E5" t="str">
        <f t="shared" si="0"/>
        <v>СТАРТНоутбук для преподавателя</v>
      </c>
      <c r="F5">
        <v>6000</v>
      </c>
      <c r="G5">
        <v>1</v>
      </c>
      <c r="H5">
        <v>6000</v>
      </c>
    </row>
    <row r="6" spans="1:13" x14ac:dyDescent="0.3">
      <c r="A6" t="s">
        <v>236</v>
      </c>
      <c r="B6" t="s">
        <v>237</v>
      </c>
      <c r="C6" t="s">
        <v>54</v>
      </c>
      <c r="D6" t="s">
        <v>32</v>
      </c>
      <c r="E6" t="str">
        <f t="shared" si="0"/>
        <v>СТАРТМышки для детей</v>
      </c>
      <c r="F6">
        <v>150</v>
      </c>
      <c r="G6">
        <v>6</v>
      </c>
      <c r="H6">
        <v>900</v>
      </c>
    </row>
    <row r="7" spans="1:13" x14ac:dyDescent="0.3">
      <c r="A7" t="s">
        <v>236</v>
      </c>
      <c r="B7" t="s">
        <v>237</v>
      </c>
      <c r="C7" t="s">
        <v>54</v>
      </c>
      <c r="D7" t="s">
        <v>63</v>
      </c>
      <c r="E7" t="str">
        <f t="shared" si="0"/>
        <v>СТАРТМышка для преподавателя</v>
      </c>
      <c r="F7">
        <v>150</v>
      </c>
      <c r="G7">
        <v>1</v>
      </c>
      <c r="H7">
        <v>150</v>
      </c>
    </row>
    <row r="8" spans="1:13" x14ac:dyDescent="0.3">
      <c r="A8" t="s">
        <v>236</v>
      </c>
      <c r="B8" t="s">
        <v>237</v>
      </c>
      <c r="C8" t="s">
        <v>54</v>
      </c>
      <c r="D8" t="s">
        <v>9</v>
      </c>
      <c r="E8" t="str">
        <f t="shared" si="0"/>
        <v>СТАРТПереноски</v>
      </c>
      <c r="F8">
        <v>100</v>
      </c>
      <c r="G8">
        <v>5</v>
      </c>
      <c r="H8">
        <v>500</v>
      </c>
    </row>
    <row r="9" spans="1:13" x14ac:dyDescent="0.3">
      <c r="A9" t="s">
        <v>236</v>
      </c>
      <c r="B9" t="s">
        <v>237</v>
      </c>
      <c r="C9" t="s">
        <v>54</v>
      </c>
      <c r="D9" t="s">
        <v>14</v>
      </c>
      <c r="E9" t="str">
        <f t="shared" si="0"/>
        <v>СТАРТПроектор</v>
      </c>
      <c r="F9">
        <v>8000</v>
      </c>
      <c r="G9">
        <v>1</v>
      </c>
      <c r="H9">
        <v>8000</v>
      </c>
    </row>
    <row r="10" spans="1:13" x14ac:dyDescent="0.3">
      <c r="A10" t="s">
        <v>236</v>
      </c>
      <c r="B10" t="s">
        <v>237</v>
      </c>
      <c r="C10" t="s">
        <v>54</v>
      </c>
      <c r="D10" t="s">
        <v>15</v>
      </c>
      <c r="E10" t="str">
        <f t="shared" si="0"/>
        <v>СТАРТШтатив под проектор</v>
      </c>
      <c r="F10">
        <v>400</v>
      </c>
      <c r="G10">
        <v>1</v>
      </c>
      <c r="H10">
        <v>400</v>
      </c>
    </row>
    <row r="11" spans="1:13" x14ac:dyDescent="0.3">
      <c r="A11" t="s">
        <v>236</v>
      </c>
      <c r="B11" t="s">
        <v>237</v>
      </c>
      <c r="C11" t="s">
        <v>54</v>
      </c>
      <c r="D11" t="s">
        <v>39</v>
      </c>
      <c r="E11" t="str">
        <f t="shared" si="0"/>
        <v>СТАРТМаркерная доска</v>
      </c>
      <c r="F11">
        <v>1600</v>
      </c>
      <c r="G11">
        <v>1</v>
      </c>
      <c r="H11">
        <v>1600</v>
      </c>
    </row>
    <row r="12" spans="1:13" x14ac:dyDescent="0.3">
      <c r="A12" t="s">
        <v>236</v>
      </c>
      <c r="B12" t="s">
        <v>237</v>
      </c>
      <c r="C12" t="s">
        <v>53</v>
      </c>
      <c r="D12" t="s">
        <v>31</v>
      </c>
      <c r="E12" t="str">
        <f t="shared" si="0"/>
        <v>СТАРТНоутбук  для администратора</v>
      </c>
      <c r="F12">
        <v>6000</v>
      </c>
      <c r="G12">
        <v>6</v>
      </c>
      <c r="H12">
        <v>36000</v>
      </c>
    </row>
    <row r="13" spans="1:13" x14ac:dyDescent="0.3">
      <c r="A13" t="s">
        <v>236</v>
      </c>
      <c r="B13" t="s">
        <v>237</v>
      </c>
      <c r="C13" t="s">
        <v>53</v>
      </c>
      <c r="D13" t="s">
        <v>33</v>
      </c>
      <c r="E13" t="str">
        <f t="shared" si="0"/>
        <v>СТАРТМышка для администратора</v>
      </c>
      <c r="F13">
        <v>150</v>
      </c>
      <c r="G13">
        <v>1</v>
      </c>
      <c r="H13">
        <v>150</v>
      </c>
    </row>
    <row r="14" spans="1:13" x14ac:dyDescent="0.3">
      <c r="A14" t="s">
        <v>236</v>
      </c>
      <c r="B14" t="s">
        <v>237</v>
      </c>
      <c r="C14" t="s">
        <v>53</v>
      </c>
      <c r="D14" t="s">
        <v>19</v>
      </c>
      <c r="E14" t="str">
        <f t="shared" si="0"/>
        <v>СТАРТIP телефон</v>
      </c>
      <c r="F14">
        <v>1000</v>
      </c>
      <c r="G14">
        <v>1</v>
      </c>
      <c r="H14">
        <v>1000</v>
      </c>
    </row>
    <row r="15" spans="1:13" x14ac:dyDescent="0.3">
      <c r="A15" t="s">
        <v>236</v>
      </c>
      <c r="B15" t="s">
        <v>237</v>
      </c>
      <c r="C15" t="s">
        <v>53</v>
      </c>
      <c r="D15" t="s">
        <v>18</v>
      </c>
      <c r="E15" t="str">
        <f t="shared" si="0"/>
        <v>СТАРТГарнитура для ноутбука и IP телефона</v>
      </c>
      <c r="F15">
        <v>760</v>
      </c>
      <c r="G15">
        <v>1</v>
      </c>
      <c r="H15">
        <v>760</v>
      </c>
    </row>
    <row r="16" spans="1:13" x14ac:dyDescent="0.3">
      <c r="A16" t="s">
        <v>236</v>
      </c>
      <c r="B16" t="s">
        <v>237</v>
      </c>
      <c r="C16" t="s">
        <v>53</v>
      </c>
      <c r="D16" t="s">
        <v>68</v>
      </c>
      <c r="E16" t="str">
        <f t="shared" si="0"/>
        <v>СТАРТПереходник под гарнитуру на IP телефон</v>
      </c>
      <c r="F16">
        <v>200</v>
      </c>
      <c r="G16">
        <v>1</v>
      </c>
      <c r="H16">
        <v>200</v>
      </c>
    </row>
    <row r="17" spans="1:8" x14ac:dyDescent="0.3">
      <c r="A17" t="s">
        <v>236</v>
      </c>
      <c r="B17" t="s">
        <v>237</v>
      </c>
      <c r="C17" t="s">
        <v>53</v>
      </c>
      <c r="D17" t="s">
        <v>265</v>
      </c>
      <c r="E17" t="str">
        <f t="shared" si="0"/>
        <v>СТАРТПереходник под гарнитуру на ноутбук</v>
      </c>
      <c r="F17">
        <v>80</v>
      </c>
      <c r="G17">
        <v>1</v>
      </c>
      <c r="H17">
        <v>80</v>
      </c>
    </row>
    <row r="18" spans="1:8" x14ac:dyDescent="0.3">
      <c r="A18" t="s">
        <v>236</v>
      </c>
      <c r="B18" t="s">
        <v>237</v>
      </c>
      <c r="C18" t="s">
        <v>53</v>
      </c>
      <c r="D18" t="s">
        <v>66</v>
      </c>
      <c r="E18" t="str">
        <f t="shared" si="0"/>
        <v>СТАРТWiFi роутер</v>
      </c>
      <c r="F18">
        <v>700</v>
      </c>
      <c r="G18">
        <v>1</v>
      </c>
      <c r="H18">
        <v>700</v>
      </c>
    </row>
    <row r="19" spans="1:8" x14ac:dyDescent="0.3">
      <c r="A19" t="s">
        <v>236</v>
      </c>
      <c r="B19" t="s">
        <v>237</v>
      </c>
      <c r="C19" t="s">
        <v>53</v>
      </c>
      <c r="D19" t="s">
        <v>12</v>
      </c>
      <c r="E19" t="str">
        <f t="shared" si="0"/>
        <v>СТАРТПринтер</v>
      </c>
      <c r="F19">
        <v>6000</v>
      </c>
      <c r="G19">
        <v>1</v>
      </c>
      <c r="H19">
        <v>6000</v>
      </c>
    </row>
    <row r="20" spans="1:8" x14ac:dyDescent="0.3">
      <c r="A20" t="s">
        <v>236</v>
      </c>
      <c r="B20" t="s">
        <v>237</v>
      </c>
      <c r="C20" t="s">
        <v>53</v>
      </c>
      <c r="D20" t="s">
        <v>67</v>
      </c>
      <c r="E20" t="str">
        <f t="shared" si="0"/>
        <v>СТАРТКуллер</v>
      </c>
      <c r="F20">
        <v>1000</v>
      </c>
      <c r="G20">
        <v>1</v>
      </c>
      <c r="H20">
        <v>1000</v>
      </c>
    </row>
    <row r="21" spans="1:8" x14ac:dyDescent="0.3">
      <c r="A21" t="s">
        <v>236</v>
      </c>
      <c r="B21" t="s">
        <v>237</v>
      </c>
      <c r="C21" t="s">
        <v>53</v>
      </c>
      <c r="D21" t="s">
        <v>72</v>
      </c>
      <c r="E21" t="str">
        <f t="shared" si="0"/>
        <v>СТАРТОхранная система</v>
      </c>
      <c r="F21">
        <v>4500</v>
      </c>
      <c r="G21">
        <v>1</v>
      </c>
      <c r="H21">
        <v>4500</v>
      </c>
    </row>
    <row r="22" spans="1:8" x14ac:dyDescent="0.3">
      <c r="A22" t="s">
        <v>236</v>
      </c>
      <c r="B22" t="s">
        <v>237</v>
      </c>
      <c r="C22" t="s">
        <v>53</v>
      </c>
      <c r="D22" t="s">
        <v>158</v>
      </c>
      <c r="E22" t="str">
        <f t="shared" si="0"/>
        <v>СТАРТУстановка терминала</v>
      </c>
      <c r="F22">
        <v>0</v>
      </c>
      <c r="G22">
        <v>1</v>
      </c>
      <c r="H22">
        <v>0</v>
      </c>
    </row>
    <row r="23" spans="1:8" x14ac:dyDescent="0.3">
      <c r="A23" t="s">
        <v>236</v>
      </c>
      <c r="B23" t="s">
        <v>237</v>
      </c>
      <c r="C23" t="s">
        <v>0</v>
      </c>
      <c r="D23" t="s">
        <v>16</v>
      </c>
      <c r="E23" t="str">
        <f t="shared" si="0"/>
        <v>СТАРТСтол для администратора</v>
      </c>
      <c r="F23">
        <v>1000</v>
      </c>
      <c r="G23">
        <v>1</v>
      </c>
      <c r="H23">
        <v>1000</v>
      </c>
    </row>
    <row r="24" spans="1:8" x14ac:dyDescent="0.3">
      <c r="A24" t="s">
        <v>236</v>
      </c>
      <c r="B24" t="s">
        <v>237</v>
      </c>
      <c r="C24" t="s">
        <v>0</v>
      </c>
      <c r="D24" t="s">
        <v>17</v>
      </c>
      <c r="E24" t="str">
        <f t="shared" si="0"/>
        <v>СТАРТСтул для администратора</v>
      </c>
      <c r="F24">
        <v>500</v>
      </c>
      <c r="G24">
        <v>1</v>
      </c>
      <c r="H24">
        <v>500</v>
      </c>
    </row>
    <row r="25" spans="1:8" x14ac:dyDescent="0.3">
      <c r="A25" t="s">
        <v>236</v>
      </c>
      <c r="B25" t="s">
        <v>237</v>
      </c>
      <c r="C25" t="s">
        <v>0</v>
      </c>
      <c r="D25" t="s">
        <v>73</v>
      </c>
      <c r="E25" t="str">
        <f t="shared" si="0"/>
        <v>СТАРТУчебные парты для учеников</v>
      </c>
      <c r="F25">
        <v>1000</v>
      </c>
      <c r="G25">
        <v>5</v>
      </c>
      <c r="H25">
        <v>5000</v>
      </c>
    </row>
    <row r="26" spans="1:8" x14ac:dyDescent="0.3">
      <c r="A26" t="s">
        <v>236</v>
      </c>
      <c r="B26" t="s">
        <v>237</v>
      </c>
      <c r="C26" t="s">
        <v>0</v>
      </c>
      <c r="D26" t="s">
        <v>74</v>
      </c>
      <c r="E26" t="str">
        <f t="shared" si="0"/>
        <v>СТАРТУчебная парта для преподавателя</v>
      </c>
      <c r="F26">
        <v>1000</v>
      </c>
      <c r="G26">
        <v>1</v>
      </c>
      <c r="H26">
        <v>1000</v>
      </c>
    </row>
    <row r="27" spans="1:8" x14ac:dyDescent="0.3">
      <c r="A27" t="s">
        <v>236</v>
      </c>
      <c r="B27" t="s">
        <v>237</v>
      </c>
      <c r="C27" t="s">
        <v>0</v>
      </c>
      <c r="D27" t="s">
        <v>10</v>
      </c>
      <c r="E27" t="str">
        <f t="shared" si="0"/>
        <v>СТАРТУчебные стулья</v>
      </c>
      <c r="F27">
        <v>400</v>
      </c>
      <c r="G27">
        <v>30</v>
      </c>
      <c r="H27">
        <v>12000</v>
      </c>
    </row>
    <row r="28" spans="1:8" x14ac:dyDescent="0.3">
      <c r="A28" t="s">
        <v>236</v>
      </c>
      <c r="B28" t="s">
        <v>237</v>
      </c>
      <c r="C28" t="s">
        <v>0</v>
      </c>
      <c r="D28" t="s">
        <v>20</v>
      </c>
      <c r="E28" t="str">
        <f t="shared" si="0"/>
        <v>СТАРТМусорное ведро</v>
      </c>
      <c r="F28">
        <v>50</v>
      </c>
      <c r="G28">
        <v>1</v>
      </c>
      <c r="H28">
        <v>50</v>
      </c>
    </row>
    <row r="29" spans="1:8" x14ac:dyDescent="0.3">
      <c r="A29" t="s">
        <v>236</v>
      </c>
      <c r="B29" t="s">
        <v>237</v>
      </c>
      <c r="C29" t="s">
        <v>0</v>
      </c>
      <c r="D29" t="s">
        <v>21</v>
      </c>
      <c r="E29" t="str">
        <f t="shared" si="0"/>
        <v>СТАРТ2 вешалки</v>
      </c>
      <c r="F29">
        <v>500</v>
      </c>
      <c r="G29">
        <v>2</v>
      </c>
      <c r="H29">
        <v>1000</v>
      </c>
    </row>
    <row r="30" spans="1:8" x14ac:dyDescent="0.3">
      <c r="A30" t="s">
        <v>236</v>
      </c>
      <c r="B30" t="s">
        <v>237</v>
      </c>
      <c r="C30" t="s">
        <v>0</v>
      </c>
      <c r="D30" t="s">
        <v>76</v>
      </c>
      <c r="E30" t="str">
        <f t="shared" si="0"/>
        <v>СТАРТПлечики (10 шт в 1 наборе)</v>
      </c>
      <c r="F30">
        <v>150</v>
      </c>
      <c r="G30">
        <v>4</v>
      </c>
      <c r="H30">
        <v>600</v>
      </c>
    </row>
    <row r="31" spans="1:8" x14ac:dyDescent="0.3">
      <c r="A31" t="s">
        <v>236</v>
      </c>
      <c r="B31" t="s">
        <v>237</v>
      </c>
      <c r="C31" t="s">
        <v>34</v>
      </c>
      <c r="D31" t="s">
        <v>22</v>
      </c>
      <c r="E31" t="str">
        <f t="shared" si="0"/>
        <v>СТАРТСРМ-система. 1 аккаунт (1000 рублей на 12 мес)</v>
      </c>
      <c r="F31">
        <v>4500</v>
      </c>
      <c r="G31">
        <v>1</v>
      </c>
      <c r="H31">
        <v>4500</v>
      </c>
    </row>
    <row r="32" spans="1:8" x14ac:dyDescent="0.3">
      <c r="A32" t="s">
        <v>236</v>
      </c>
      <c r="B32" t="s">
        <v>237</v>
      </c>
      <c r="C32" t="s">
        <v>34</v>
      </c>
      <c r="D32" t="s">
        <v>23</v>
      </c>
      <c r="E32" t="str">
        <f t="shared" si="0"/>
        <v>СТАРТУслуги телефонии (первые 2 мес - бесплатно)</v>
      </c>
      <c r="F32">
        <v>0</v>
      </c>
      <c r="G32">
        <v>0</v>
      </c>
      <c r="H32">
        <v>0</v>
      </c>
    </row>
    <row r="33" spans="1:8" x14ac:dyDescent="0.3">
      <c r="A33" t="s">
        <v>236</v>
      </c>
      <c r="B33" t="s">
        <v>237</v>
      </c>
      <c r="C33" t="s">
        <v>34</v>
      </c>
      <c r="D33" t="s">
        <v>24</v>
      </c>
      <c r="E33" t="str">
        <f t="shared" si="0"/>
        <v>СТАРТ3 карточки для телефонии</v>
      </c>
      <c r="F33">
        <v>200</v>
      </c>
      <c r="G33">
        <v>3</v>
      </c>
      <c r="H33">
        <v>600</v>
      </c>
    </row>
    <row r="34" spans="1:8" x14ac:dyDescent="0.3">
      <c r="A34" t="s">
        <v>236</v>
      </c>
      <c r="B34" t="s">
        <v>237</v>
      </c>
      <c r="C34" t="s">
        <v>11</v>
      </c>
      <c r="D34" t="s">
        <v>13</v>
      </c>
      <c r="E34" t="str">
        <f t="shared" si="0"/>
        <v>СТАРТЗаказ печатных материалов</v>
      </c>
      <c r="F34">
        <v>3000</v>
      </c>
      <c r="G34">
        <v>1</v>
      </c>
      <c r="H34">
        <v>3000</v>
      </c>
    </row>
    <row r="35" spans="1:8" x14ac:dyDescent="0.3">
      <c r="A35" t="s">
        <v>236</v>
      </c>
      <c r="B35" t="s">
        <v>237</v>
      </c>
      <c r="C35" t="s">
        <v>11</v>
      </c>
      <c r="D35" t="s">
        <v>35</v>
      </c>
      <c r="E35" t="str">
        <f t="shared" si="0"/>
        <v>СТАРТРемонтные работы</v>
      </c>
      <c r="F35">
        <v>15000</v>
      </c>
      <c r="G35">
        <v>1</v>
      </c>
      <c r="H35">
        <v>15000</v>
      </c>
    </row>
    <row r="36" spans="1:8" x14ac:dyDescent="0.3">
      <c r="A36" t="s">
        <v>236</v>
      </c>
      <c r="B36" t="s">
        <v>237</v>
      </c>
      <c r="C36" t="s">
        <v>11</v>
      </c>
      <c r="D36" t="s">
        <v>36</v>
      </c>
      <c r="E36" t="str">
        <f t="shared" si="0"/>
        <v xml:space="preserve">СТАРТМаркетинг </v>
      </c>
      <c r="F36">
        <v>35000</v>
      </c>
      <c r="G36">
        <v>1</v>
      </c>
      <c r="H36">
        <v>35000</v>
      </c>
    </row>
    <row r="37" spans="1:8" x14ac:dyDescent="0.3">
      <c r="A37" t="s">
        <v>236</v>
      </c>
      <c r="B37" t="s">
        <v>237</v>
      </c>
      <c r="C37" t="s">
        <v>11</v>
      </c>
      <c r="D37" t="s">
        <v>37</v>
      </c>
      <c r="E37" t="str">
        <f t="shared" si="0"/>
        <v>СТАРТАренда первый и последний мес</v>
      </c>
      <c r="F37">
        <v>10000</v>
      </c>
      <c r="G37">
        <v>2</v>
      </c>
      <c r="H37">
        <v>20000</v>
      </c>
    </row>
    <row r="38" spans="1:8" x14ac:dyDescent="0.3">
      <c r="A38" t="s">
        <v>236</v>
      </c>
      <c r="B38" t="s">
        <v>237</v>
      </c>
      <c r="C38" t="s">
        <v>11</v>
      </c>
      <c r="D38" t="s">
        <v>71</v>
      </c>
      <c r="E38" t="str">
        <f t="shared" si="0"/>
        <v>СТАРТКанцтовары (ручки, бумага, ножницы, степлеры, фломастеры, стерки для досок)</v>
      </c>
      <c r="F38">
        <v>3000</v>
      </c>
      <c r="G38">
        <v>1</v>
      </c>
      <c r="H38">
        <v>3000</v>
      </c>
    </row>
    <row r="39" spans="1:8" x14ac:dyDescent="0.3">
      <c r="A39" t="s">
        <v>236</v>
      </c>
      <c r="B39" t="s">
        <v>237</v>
      </c>
      <c r="C39" t="s">
        <v>11</v>
      </c>
      <c r="D39" t="s">
        <v>38</v>
      </c>
      <c r="E39" t="str">
        <f t="shared" si="0"/>
        <v>СТАРТБейджики</v>
      </c>
      <c r="F39">
        <v>350</v>
      </c>
      <c r="G39">
        <v>4</v>
      </c>
      <c r="H39">
        <v>1400</v>
      </c>
    </row>
    <row r="40" spans="1:8" x14ac:dyDescent="0.3">
      <c r="A40" t="s">
        <v>236</v>
      </c>
      <c r="B40" t="s">
        <v>237</v>
      </c>
      <c r="C40" t="s">
        <v>11</v>
      </c>
      <c r="D40" t="s">
        <v>40</v>
      </c>
      <c r="E40" t="str">
        <f t="shared" si="0"/>
        <v>СТАРТВывеска</v>
      </c>
      <c r="F40">
        <v>4000</v>
      </c>
      <c r="G40">
        <v>1</v>
      </c>
      <c r="H40">
        <v>4000</v>
      </c>
    </row>
    <row r="41" spans="1:8" x14ac:dyDescent="0.3">
      <c r="A41" t="s">
        <v>236</v>
      </c>
      <c r="B41" t="s">
        <v>237</v>
      </c>
      <c r="C41" t="s">
        <v>11</v>
      </c>
      <c r="D41" t="s">
        <v>41</v>
      </c>
      <c r="E41" t="str">
        <f t="shared" si="0"/>
        <v>СТАРТУслуги юриста</v>
      </c>
      <c r="F41">
        <v>2000</v>
      </c>
      <c r="G41">
        <v>1</v>
      </c>
      <c r="H41">
        <v>2000</v>
      </c>
    </row>
    <row r="42" spans="1:8" x14ac:dyDescent="0.3">
      <c r="A42" t="s">
        <v>236</v>
      </c>
      <c r="B42" t="s">
        <v>237</v>
      </c>
      <c r="C42" t="s">
        <v>11</v>
      </c>
      <c r="D42" t="s">
        <v>42</v>
      </c>
      <c r="E42" t="str">
        <f t="shared" si="0"/>
        <v>СТАРТУслуги бухгалтера</v>
      </c>
      <c r="F42">
        <v>2000</v>
      </c>
      <c r="G42">
        <v>1</v>
      </c>
      <c r="H42">
        <v>2000</v>
      </c>
    </row>
    <row r="43" spans="1:8" x14ac:dyDescent="0.3">
      <c r="A43" t="s">
        <v>236</v>
      </c>
      <c r="B43" t="s">
        <v>237</v>
      </c>
      <c r="C43" t="s">
        <v>11</v>
      </c>
      <c r="D43" t="s">
        <v>70</v>
      </c>
      <c r="E43" t="str">
        <f t="shared" si="0"/>
        <v>СТАРТПошлины за оформление документов (открытие ФОП)</v>
      </c>
      <c r="F43">
        <v>1500</v>
      </c>
      <c r="G43">
        <v>1</v>
      </c>
      <c r="H43">
        <v>1500</v>
      </c>
    </row>
    <row r="44" spans="1:8" x14ac:dyDescent="0.3">
      <c r="A44" t="s">
        <v>236</v>
      </c>
      <c r="B44" t="s">
        <v>237</v>
      </c>
      <c r="C44" t="s">
        <v>11</v>
      </c>
      <c r="D44" t="s">
        <v>44</v>
      </c>
      <c r="E44" t="str">
        <f t="shared" si="0"/>
        <v>СТАРТРазмещение вакансий</v>
      </c>
      <c r="F44">
        <v>1500</v>
      </c>
      <c r="G44">
        <v>2</v>
      </c>
      <c r="H44">
        <v>3000</v>
      </c>
    </row>
    <row r="45" spans="1:8" x14ac:dyDescent="0.3">
      <c r="A45" t="s">
        <v>236</v>
      </c>
      <c r="B45" t="s">
        <v>237</v>
      </c>
      <c r="C45" t="s">
        <v>11</v>
      </c>
      <c r="D45" t="s">
        <v>51</v>
      </c>
      <c r="E45" t="str">
        <f t="shared" si="0"/>
        <v>СТАРТШвабры, ведра, тряпки</v>
      </c>
      <c r="F45">
        <v>500</v>
      </c>
      <c r="G45">
        <v>1</v>
      </c>
      <c r="H45">
        <v>500</v>
      </c>
    </row>
    <row r="46" spans="1:8" x14ac:dyDescent="0.3">
      <c r="A46" t="s">
        <v>236</v>
      </c>
      <c r="B46" t="s">
        <v>237</v>
      </c>
      <c r="C46" t="s">
        <v>11</v>
      </c>
      <c r="D46" t="s">
        <v>45</v>
      </c>
      <c r="E46" t="str">
        <f t="shared" si="0"/>
        <v>СТАРТДругие расходы</v>
      </c>
      <c r="F46">
        <v>0.05</v>
      </c>
      <c r="G46">
        <v>1</v>
      </c>
      <c r="H46">
        <v>12250</v>
      </c>
    </row>
    <row r="47" spans="1:8" x14ac:dyDescent="0.3">
      <c r="A47" t="s">
        <v>236</v>
      </c>
      <c r="B47" t="s">
        <v>237</v>
      </c>
      <c r="C47" t="s">
        <v>11</v>
      </c>
      <c r="D47" t="s">
        <v>261</v>
      </c>
      <c r="E47" t="str">
        <f t="shared" si="0"/>
        <v>СТАРТ*для регионов вне Киева (один день проживания франчайзера при обучении франчайзи)</v>
      </c>
      <c r="F47">
        <v>1000</v>
      </c>
      <c r="G47">
        <v>7</v>
      </c>
      <c r="H47">
        <v>7000</v>
      </c>
    </row>
    <row r="48" spans="1:8" x14ac:dyDescent="0.3">
      <c r="A48" t="s">
        <v>236</v>
      </c>
      <c r="B48" t="s">
        <v>237</v>
      </c>
      <c r="C48" t="s">
        <v>46</v>
      </c>
      <c r="D48" t="s">
        <v>47</v>
      </c>
      <c r="E48" t="str">
        <f t="shared" si="0"/>
        <v>СТАРТПуфики</v>
      </c>
      <c r="F48">
        <v>700</v>
      </c>
      <c r="G48">
        <v>6</v>
      </c>
      <c r="H48">
        <v>4200</v>
      </c>
    </row>
    <row r="49" spans="1:8" x14ac:dyDescent="0.3">
      <c r="A49" t="s">
        <v>236</v>
      </c>
      <c r="B49" t="s">
        <v>237</v>
      </c>
      <c r="C49" t="s">
        <v>46</v>
      </c>
      <c r="D49" t="s">
        <v>48</v>
      </c>
      <c r="E49" t="str">
        <f t="shared" si="0"/>
        <v>СТАРТНастольные игры</v>
      </c>
      <c r="F49">
        <v>2000</v>
      </c>
      <c r="G49">
        <v>1</v>
      </c>
      <c r="H49">
        <v>2000</v>
      </c>
    </row>
    <row r="50" spans="1:8" x14ac:dyDescent="0.3">
      <c r="A50" t="s">
        <v>236</v>
      </c>
      <c r="B50" t="s">
        <v>237</v>
      </c>
      <c r="C50" t="s">
        <v>46</v>
      </c>
      <c r="D50" t="s">
        <v>49</v>
      </c>
      <c r="E50" t="str">
        <f t="shared" si="0"/>
        <v>СТАРТСпортинвентарь</v>
      </c>
      <c r="F50">
        <v>2000</v>
      </c>
      <c r="G50">
        <v>1</v>
      </c>
      <c r="H50">
        <v>2000</v>
      </c>
    </row>
    <row r="51" spans="1:8" x14ac:dyDescent="0.3">
      <c r="A51" t="s">
        <v>236</v>
      </c>
      <c r="B51" t="s">
        <v>237</v>
      </c>
      <c r="C51" t="s">
        <v>46</v>
      </c>
      <c r="D51" t="s">
        <v>50</v>
      </c>
      <c r="E51" t="str">
        <f t="shared" si="0"/>
        <v>СТАРТВентилятор</v>
      </c>
      <c r="F51">
        <v>500</v>
      </c>
      <c r="G51">
        <v>2</v>
      </c>
      <c r="H51">
        <v>1000</v>
      </c>
    </row>
    <row r="52" spans="1:8" x14ac:dyDescent="0.3">
      <c r="A52" t="s">
        <v>236</v>
      </c>
      <c r="B52" t="s">
        <v>237</v>
      </c>
      <c r="C52" t="s">
        <v>46</v>
      </c>
      <c r="D52" t="s">
        <v>52</v>
      </c>
      <c r="E52" t="str">
        <f t="shared" si="0"/>
        <v>СТАРТПазлы, разрисовки</v>
      </c>
      <c r="F52">
        <v>1000</v>
      </c>
      <c r="G52">
        <v>1</v>
      </c>
      <c r="H52">
        <v>1000</v>
      </c>
    </row>
    <row r="53" spans="1:8" x14ac:dyDescent="0.3">
      <c r="D53" t="s">
        <v>85</v>
      </c>
      <c r="E53" t="str">
        <f t="shared" si="0"/>
        <v>Сумма инвестиций:</v>
      </c>
      <c r="F53">
        <v>272840</v>
      </c>
    </row>
    <row r="54" spans="1:8" x14ac:dyDescent="0.3">
      <c r="D54" t="s">
        <v>86</v>
      </c>
      <c r="E54" t="str">
        <f t="shared" si="0"/>
        <v>Паушальный взнос:</v>
      </c>
      <c r="F54">
        <v>106400</v>
      </c>
    </row>
    <row r="55" spans="1:8" x14ac:dyDescent="0.3">
      <c r="D55" t="s">
        <v>87</v>
      </c>
      <c r="E55" t="str">
        <f t="shared" si="0"/>
        <v>Общая сумма:</v>
      </c>
      <c r="F55">
        <v>379240</v>
      </c>
    </row>
    <row r="56" spans="1:8" x14ac:dyDescent="0.3">
      <c r="A56" t="s">
        <v>7</v>
      </c>
      <c r="B56" t="s">
        <v>237</v>
      </c>
      <c r="C56" t="s">
        <v>54</v>
      </c>
      <c r="D56" t="s">
        <v>26</v>
      </c>
      <c r="E56" t="str">
        <f t="shared" si="0"/>
        <v>БизнесУчебный набор WeDo</v>
      </c>
      <c r="F56">
        <v>7100</v>
      </c>
      <c r="G56">
        <v>5</v>
      </c>
      <c r="H56">
        <v>35500</v>
      </c>
    </row>
    <row r="57" spans="1:8" x14ac:dyDescent="0.3">
      <c r="A57" t="s">
        <v>7</v>
      </c>
      <c r="B57" t="s">
        <v>237</v>
      </c>
      <c r="C57" t="s">
        <v>54</v>
      </c>
      <c r="D57" t="s">
        <v>65</v>
      </c>
      <c r="E57" t="str">
        <f t="shared" si="0"/>
        <v>БизнесБатарейки</v>
      </c>
      <c r="F57">
        <v>15</v>
      </c>
      <c r="G57">
        <v>20</v>
      </c>
      <c r="H57">
        <v>300</v>
      </c>
    </row>
    <row r="58" spans="1:8" x14ac:dyDescent="0.3">
      <c r="A58" t="s">
        <v>7</v>
      </c>
      <c r="B58" t="s">
        <v>237</v>
      </c>
      <c r="C58" t="s">
        <v>54</v>
      </c>
      <c r="D58" t="s">
        <v>30</v>
      </c>
      <c r="E58" t="str">
        <f t="shared" si="0"/>
        <v>БизнесНоутбуки для детей</v>
      </c>
      <c r="F58">
        <v>6000</v>
      </c>
      <c r="G58">
        <v>5</v>
      </c>
      <c r="H58">
        <v>30000</v>
      </c>
    </row>
    <row r="59" spans="1:8" x14ac:dyDescent="0.3">
      <c r="A59" t="s">
        <v>7</v>
      </c>
      <c r="B59" t="s">
        <v>237</v>
      </c>
      <c r="C59" t="s">
        <v>54</v>
      </c>
      <c r="D59" t="s">
        <v>62</v>
      </c>
      <c r="E59" t="str">
        <f t="shared" si="0"/>
        <v>БизнесНоутбук для преподавателя</v>
      </c>
      <c r="F59">
        <v>6000</v>
      </c>
      <c r="G59">
        <v>1</v>
      </c>
      <c r="H59">
        <v>6000</v>
      </c>
    </row>
    <row r="60" spans="1:8" x14ac:dyDescent="0.3">
      <c r="A60" t="s">
        <v>7</v>
      </c>
      <c r="B60" t="s">
        <v>237</v>
      </c>
      <c r="C60" t="s">
        <v>54</v>
      </c>
      <c r="D60" t="s">
        <v>32</v>
      </c>
      <c r="E60" t="str">
        <f t="shared" si="0"/>
        <v>БизнесМышки для детей</v>
      </c>
      <c r="F60">
        <v>150</v>
      </c>
      <c r="G60">
        <v>6</v>
      </c>
      <c r="H60">
        <v>900</v>
      </c>
    </row>
    <row r="61" spans="1:8" x14ac:dyDescent="0.3">
      <c r="A61" t="s">
        <v>7</v>
      </c>
      <c r="B61" t="s">
        <v>237</v>
      </c>
      <c r="C61" t="s">
        <v>54</v>
      </c>
      <c r="D61" t="s">
        <v>63</v>
      </c>
      <c r="E61" t="str">
        <f t="shared" si="0"/>
        <v>БизнесМышка для преподавателя</v>
      </c>
      <c r="F61">
        <v>150</v>
      </c>
      <c r="G61">
        <v>1</v>
      </c>
      <c r="H61">
        <v>150</v>
      </c>
    </row>
    <row r="62" spans="1:8" x14ac:dyDescent="0.3">
      <c r="A62" t="s">
        <v>7</v>
      </c>
      <c r="B62" t="s">
        <v>237</v>
      </c>
      <c r="C62" t="s">
        <v>54</v>
      </c>
      <c r="D62" t="s">
        <v>9</v>
      </c>
      <c r="E62" t="str">
        <f t="shared" si="0"/>
        <v>БизнесПереноски</v>
      </c>
      <c r="F62">
        <v>100</v>
      </c>
      <c r="G62">
        <v>5</v>
      </c>
      <c r="H62">
        <v>500</v>
      </c>
    </row>
    <row r="63" spans="1:8" x14ac:dyDescent="0.3">
      <c r="A63" t="s">
        <v>7</v>
      </c>
      <c r="B63" t="s">
        <v>237</v>
      </c>
      <c r="C63" t="s">
        <v>54</v>
      </c>
      <c r="D63" t="s">
        <v>14</v>
      </c>
      <c r="E63" t="str">
        <f t="shared" si="0"/>
        <v>БизнесПроектор</v>
      </c>
      <c r="F63">
        <v>8000</v>
      </c>
      <c r="G63">
        <v>1</v>
      </c>
      <c r="H63">
        <v>8000</v>
      </c>
    </row>
    <row r="64" spans="1:8" x14ac:dyDescent="0.3">
      <c r="A64" t="s">
        <v>7</v>
      </c>
      <c r="B64" t="s">
        <v>237</v>
      </c>
      <c r="C64" t="s">
        <v>54</v>
      </c>
      <c r="D64" t="s">
        <v>15</v>
      </c>
      <c r="E64" t="str">
        <f t="shared" si="0"/>
        <v>БизнесШтатив под проектор</v>
      </c>
      <c r="F64">
        <v>400</v>
      </c>
      <c r="G64">
        <v>1</v>
      </c>
      <c r="H64">
        <v>400</v>
      </c>
    </row>
    <row r="65" spans="1:8" x14ac:dyDescent="0.3">
      <c r="A65" t="s">
        <v>7</v>
      </c>
      <c r="B65" t="s">
        <v>237</v>
      </c>
      <c r="C65" t="s">
        <v>54</v>
      </c>
      <c r="D65" t="s">
        <v>39</v>
      </c>
      <c r="E65" t="str">
        <f t="shared" si="0"/>
        <v>БизнесМаркерная доска</v>
      </c>
      <c r="F65">
        <v>1600</v>
      </c>
      <c r="G65">
        <v>1</v>
      </c>
      <c r="H65">
        <v>1600</v>
      </c>
    </row>
    <row r="66" spans="1:8" x14ac:dyDescent="0.3">
      <c r="A66" t="s">
        <v>7</v>
      </c>
      <c r="B66" t="s">
        <v>237</v>
      </c>
      <c r="C66" t="s">
        <v>81</v>
      </c>
      <c r="D66" t="s">
        <v>55</v>
      </c>
      <c r="E66" t="str">
        <f t="shared" si="0"/>
        <v>БизнесУчебный набор EV3 Education (45544)</v>
      </c>
      <c r="F66">
        <v>17074</v>
      </c>
      <c r="G66">
        <v>5</v>
      </c>
      <c r="H66">
        <v>85370</v>
      </c>
    </row>
    <row r="67" spans="1:8" x14ac:dyDescent="0.3">
      <c r="A67" t="s">
        <v>7</v>
      </c>
      <c r="B67" t="s">
        <v>237</v>
      </c>
      <c r="C67" t="s">
        <v>81</v>
      </c>
      <c r="D67" t="s">
        <v>56</v>
      </c>
      <c r="E67" t="str">
        <f t="shared" si="0"/>
        <v>БизнесУчебный ресурсный набор к EV3 (45560)</v>
      </c>
      <c r="F67">
        <v>4600</v>
      </c>
      <c r="G67">
        <v>3</v>
      </c>
      <c r="H67">
        <v>13800</v>
      </c>
    </row>
    <row r="68" spans="1:8" x14ac:dyDescent="0.3">
      <c r="A68" t="s">
        <v>7</v>
      </c>
      <c r="B68" t="s">
        <v>237</v>
      </c>
      <c r="C68" t="s">
        <v>81</v>
      </c>
      <c r="D68" t="s">
        <v>57</v>
      </c>
      <c r="E68" t="str">
        <f t="shared" ref="E68:E131" si="2">A68&amp;D68</f>
        <v>БизнесИнфракрасный датчик (45509)</v>
      </c>
      <c r="F68">
        <v>1503</v>
      </c>
      <c r="G68">
        <v>5</v>
      </c>
      <c r="H68">
        <v>7515</v>
      </c>
    </row>
    <row r="69" spans="1:8" x14ac:dyDescent="0.3">
      <c r="A69" t="s">
        <v>7</v>
      </c>
      <c r="B69" t="s">
        <v>237</v>
      </c>
      <c r="C69" t="s">
        <v>81</v>
      </c>
      <c r="D69" t="s">
        <v>58</v>
      </c>
      <c r="E69" t="str">
        <f t="shared" si="2"/>
        <v>БизнесИнфракрасный пульт (45508)</v>
      </c>
      <c r="F69">
        <v>1330</v>
      </c>
      <c r="G69">
        <v>5</v>
      </c>
      <c r="H69">
        <v>6650</v>
      </c>
    </row>
    <row r="70" spans="1:8" x14ac:dyDescent="0.3">
      <c r="A70" t="s">
        <v>7</v>
      </c>
      <c r="B70" t="s">
        <v>237</v>
      </c>
      <c r="C70" t="s">
        <v>81</v>
      </c>
      <c r="D70" t="s">
        <v>59</v>
      </c>
      <c r="E70" t="str">
        <f t="shared" si="2"/>
        <v>БизнесЗарядка (45517)</v>
      </c>
      <c r="F70">
        <v>350</v>
      </c>
      <c r="G70">
        <v>2</v>
      </c>
      <c r="H70">
        <v>700</v>
      </c>
    </row>
    <row r="71" spans="1:8" x14ac:dyDescent="0.3">
      <c r="A71" t="s">
        <v>7</v>
      </c>
      <c r="B71" t="s">
        <v>237</v>
      </c>
      <c r="C71" t="s">
        <v>81</v>
      </c>
      <c r="D71" t="s">
        <v>60</v>
      </c>
      <c r="E71" t="str">
        <f t="shared" si="2"/>
        <v>БизнесДатчик цвета (45506)</v>
      </c>
      <c r="F71">
        <v>1330</v>
      </c>
      <c r="G71">
        <v>5</v>
      </c>
      <c r="H71">
        <v>6650</v>
      </c>
    </row>
    <row r="72" spans="1:8" x14ac:dyDescent="0.3">
      <c r="A72" t="s">
        <v>7</v>
      </c>
      <c r="B72" t="s">
        <v>237</v>
      </c>
      <c r="C72" t="s">
        <v>81</v>
      </c>
      <c r="D72" t="s">
        <v>61</v>
      </c>
      <c r="E72" t="str">
        <f t="shared" si="2"/>
        <v>БизнесДатчик температуры (9749)</v>
      </c>
      <c r="F72">
        <v>1664</v>
      </c>
      <c r="G72">
        <v>5</v>
      </c>
      <c r="H72">
        <v>8320</v>
      </c>
    </row>
    <row r="73" spans="1:8" x14ac:dyDescent="0.3">
      <c r="A73" t="s">
        <v>7</v>
      </c>
      <c r="B73" t="s">
        <v>237</v>
      </c>
      <c r="C73" t="s">
        <v>81</v>
      </c>
      <c r="D73" t="s">
        <v>224</v>
      </c>
      <c r="E73" t="str">
        <f t="shared" si="2"/>
        <v>БизнесДатчик ультразвука (45504)</v>
      </c>
      <c r="F73">
        <v>1227</v>
      </c>
      <c r="G73">
        <v>5</v>
      </c>
      <c r="H73">
        <v>6135</v>
      </c>
    </row>
    <row r="74" spans="1:8" x14ac:dyDescent="0.3">
      <c r="A74" t="s">
        <v>7</v>
      </c>
      <c r="B74" t="s">
        <v>237</v>
      </c>
      <c r="C74" t="s">
        <v>81</v>
      </c>
      <c r="D74" t="s">
        <v>223</v>
      </c>
      <c r="E74" t="str">
        <f t="shared" si="2"/>
        <v>БизнесГироскопический датчик (45505)</v>
      </c>
      <c r="F74">
        <v>1227</v>
      </c>
      <c r="G74">
        <v>5</v>
      </c>
      <c r="H74">
        <v>6135</v>
      </c>
    </row>
    <row r="75" spans="1:8" x14ac:dyDescent="0.3">
      <c r="A75" t="s">
        <v>7</v>
      </c>
      <c r="B75" t="s">
        <v>237</v>
      </c>
      <c r="C75" t="s">
        <v>81</v>
      </c>
      <c r="D75" t="s">
        <v>30</v>
      </c>
      <c r="E75" t="str">
        <f t="shared" si="2"/>
        <v>БизнесНоутбуки для детей</v>
      </c>
      <c r="F75">
        <v>6000</v>
      </c>
      <c r="G75">
        <v>5</v>
      </c>
      <c r="H75">
        <v>30000</v>
      </c>
    </row>
    <row r="76" spans="1:8" x14ac:dyDescent="0.3">
      <c r="A76" t="s">
        <v>7</v>
      </c>
      <c r="B76" t="s">
        <v>237</v>
      </c>
      <c r="C76" t="s">
        <v>81</v>
      </c>
      <c r="D76" t="s">
        <v>62</v>
      </c>
      <c r="E76" t="str">
        <f t="shared" si="2"/>
        <v>БизнесНоутбук для преподавателя</v>
      </c>
      <c r="F76">
        <v>6000</v>
      </c>
      <c r="G76">
        <v>1</v>
      </c>
      <c r="H76">
        <v>6000</v>
      </c>
    </row>
    <row r="77" spans="1:8" x14ac:dyDescent="0.3">
      <c r="A77" t="s">
        <v>7</v>
      </c>
      <c r="B77" t="s">
        <v>237</v>
      </c>
      <c r="C77" t="s">
        <v>81</v>
      </c>
      <c r="D77" t="s">
        <v>32</v>
      </c>
      <c r="E77" t="str">
        <f t="shared" si="2"/>
        <v>БизнесМышки для детей</v>
      </c>
      <c r="F77">
        <v>150</v>
      </c>
      <c r="G77">
        <v>6</v>
      </c>
      <c r="H77">
        <v>900</v>
      </c>
    </row>
    <row r="78" spans="1:8" x14ac:dyDescent="0.3">
      <c r="A78" t="s">
        <v>7</v>
      </c>
      <c r="B78" t="s">
        <v>237</v>
      </c>
      <c r="C78" t="s">
        <v>81</v>
      </c>
      <c r="D78" t="s">
        <v>63</v>
      </c>
      <c r="E78" t="str">
        <f t="shared" si="2"/>
        <v>БизнесМышка для преподавателя</v>
      </c>
      <c r="F78">
        <v>150</v>
      </c>
      <c r="G78">
        <v>1</v>
      </c>
      <c r="H78">
        <v>150</v>
      </c>
    </row>
    <row r="79" spans="1:8" x14ac:dyDescent="0.3">
      <c r="A79" t="s">
        <v>7</v>
      </c>
      <c r="B79" t="s">
        <v>237</v>
      </c>
      <c r="C79" t="s">
        <v>81</v>
      </c>
      <c r="D79" t="s">
        <v>9</v>
      </c>
      <c r="E79" t="str">
        <f t="shared" si="2"/>
        <v>БизнесПереноски</v>
      </c>
      <c r="F79">
        <v>100</v>
      </c>
      <c r="G79">
        <v>5</v>
      </c>
      <c r="H79">
        <v>500</v>
      </c>
    </row>
    <row r="80" spans="1:8" x14ac:dyDescent="0.3">
      <c r="A80" t="s">
        <v>7</v>
      </c>
      <c r="B80" t="s">
        <v>237</v>
      </c>
      <c r="C80" t="s">
        <v>81</v>
      </c>
      <c r="D80" t="s">
        <v>14</v>
      </c>
      <c r="E80" t="str">
        <f t="shared" si="2"/>
        <v>БизнесПроектор</v>
      </c>
      <c r="F80">
        <v>8000</v>
      </c>
      <c r="G80">
        <v>1</v>
      </c>
      <c r="H80">
        <v>8000</v>
      </c>
    </row>
    <row r="81" spans="1:8" x14ac:dyDescent="0.3">
      <c r="A81" t="s">
        <v>7</v>
      </c>
      <c r="B81" t="s">
        <v>237</v>
      </c>
      <c r="C81" t="s">
        <v>81</v>
      </c>
      <c r="D81" t="s">
        <v>15</v>
      </c>
      <c r="E81" t="str">
        <f t="shared" si="2"/>
        <v>БизнесШтатив под проектор</v>
      </c>
      <c r="F81">
        <v>400</v>
      </c>
      <c r="G81">
        <v>1</v>
      </c>
      <c r="H81">
        <v>400</v>
      </c>
    </row>
    <row r="82" spans="1:8" x14ac:dyDescent="0.3">
      <c r="A82" t="s">
        <v>7</v>
      </c>
      <c r="B82" t="s">
        <v>237</v>
      </c>
      <c r="C82" t="s">
        <v>81</v>
      </c>
      <c r="D82" t="s">
        <v>39</v>
      </c>
      <c r="E82" t="str">
        <f t="shared" si="2"/>
        <v>БизнесМаркерная доска</v>
      </c>
      <c r="F82">
        <v>1600</v>
      </c>
      <c r="G82">
        <v>1</v>
      </c>
      <c r="H82">
        <v>1600</v>
      </c>
    </row>
    <row r="83" spans="1:8" x14ac:dyDescent="0.3">
      <c r="A83" t="s">
        <v>7</v>
      </c>
      <c r="B83" t="s">
        <v>237</v>
      </c>
      <c r="C83" t="s">
        <v>53</v>
      </c>
      <c r="D83" t="s">
        <v>31</v>
      </c>
      <c r="E83" t="str">
        <f t="shared" si="2"/>
        <v>БизнесНоутбук  для администратора</v>
      </c>
      <c r="F83">
        <v>6000</v>
      </c>
      <c r="G83">
        <v>6</v>
      </c>
      <c r="H83">
        <v>36000</v>
      </c>
    </row>
    <row r="84" spans="1:8" x14ac:dyDescent="0.3">
      <c r="A84" t="s">
        <v>7</v>
      </c>
      <c r="B84" t="s">
        <v>237</v>
      </c>
      <c r="C84" t="s">
        <v>53</v>
      </c>
      <c r="D84" t="s">
        <v>33</v>
      </c>
      <c r="E84" t="str">
        <f t="shared" si="2"/>
        <v>БизнесМышка для администратора</v>
      </c>
      <c r="F84">
        <v>150</v>
      </c>
      <c r="G84">
        <v>1</v>
      </c>
      <c r="H84">
        <v>150</v>
      </c>
    </row>
    <row r="85" spans="1:8" x14ac:dyDescent="0.3">
      <c r="A85" t="s">
        <v>7</v>
      </c>
      <c r="B85" t="s">
        <v>237</v>
      </c>
      <c r="C85" t="s">
        <v>53</v>
      </c>
      <c r="D85" t="s">
        <v>19</v>
      </c>
      <c r="E85" t="str">
        <f t="shared" si="2"/>
        <v>БизнесIP телефон</v>
      </c>
      <c r="F85">
        <v>1000</v>
      </c>
      <c r="G85">
        <v>1</v>
      </c>
      <c r="H85">
        <v>1000</v>
      </c>
    </row>
    <row r="86" spans="1:8" x14ac:dyDescent="0.3">
      <c r="A86" t="s">
        <v>7</v>
      </c>
      <c r="B86" t="s">
        <v>237</v>
      </c>
      <c r="C86" t="s">
        <v>53</v>
      </c>
      <c r="D86" t="s">
        <v>18</v>
      </c>
      <c r="E86" t="str">
        <f t="shared" si="2"/>
        <v>БизнесГарнитура для ноутбука и IP телефона</v>
      </c>
      <c r="F86">
        <v>900</v>
      </c>
      <c r="G86">
        <v>1</v>
      </c>
      <c r="H86">
        <v>900</v>
      </c>
    </row>
    <row r="87" spans="1:8" x14ac:dyDescent="0.3">
      <c r="A87" t="s">
        <v>7</v>
      </c>
      <c r="B87" t="s">
        <v>237</v>
      </c>
      <c r="C87" t="s">
        <v>53</v>
      </c>
      <c r="D87" t="s">
        <v>68</v>
      </c>
      <c r="E87" t="str">
        <f t="shared" si="2"/>
        <v>БизнесПереходник под гарнитуру на IP телефон</v>
      </c>
      <c r="F87">
        <v>200</v>
      </c>
      <c r="G87">
        <v>1</v>
      </c>
      <c r="H87">
        <v>200</v>
      </c>
    </row>
    <row r="88" spans="1:8" x14ac:dyDescent="0.3">
      <c r="A88" t="s">
        <v>7</v>
      </c>
      <c r="B88" t="s">
        <v>237</v>
      </c>
      <c r="C88" t="s">
        <v>53</v>
      </c>
      <c r="D88" t="s">
        <v>265</v>
      </c>
      <c r="E88" t="str">
        <f t="shared" si="2"/>
        <v>БизнесПереходник под гарнитуру на ноутбук</v>
      </c>
      <c r="F88">
        <v>80</v>
      </c>
      <c r="G88">
        <v>1</v>
      </c>
      <c r="H88">
        <v>80</v>
      </c>
    </row>
    <row r="89" spans="1:8" x14ac:dyDescent="0.3">
      <c r="A89" t="s">
        <v>7</v>
      </c>
      <c r="B89" t="s">
        <v>237</v>
      </c>
      <c r="C89" t="s">
        <v>53</v>
      </c>
      <c r="D89" t="s">
        <v>66</v>
      </c>
      <c r="E89" t="str">
        <f t="shared" si="2"/>
        <v>БизнесWiFi роутер</v>
      </c>
      <c r="F89">
        <v>700</v>
      </c>
      <c r="G89">
        <v>1</v>
      </c>
      <c r="H89">
        <v>700</v>
      </c>
    </row>
    <row r="90" spans="1:8" x14ac:dyDescent="0.3">
      <c r="A90" t="s">
        <v>7</v>
      </c>
      <c r="B90" t="s">
        <v>237</v>
      </c>
      <c r="C90" t="s">
        <v>53</v>
      </c>
      <c r="D90" t="s">
        <v>12</v>
      </c>
      <c r="E90" t="str">
        <f t="shared" si="2"/>
        <v>БизнесПринтер</v>
      </c>
      <c r="F90">
        <v>6000</v>
      </c>
      <c r="G90">
        <v>1</v>
      </c>
      <c r="H90">
        <v>6000</v>
      </c>
    </row>
    <row r="91" spans="1:8" x14ac:dyDescent="0.3">
      <c r="A91" t="s">
        <v>7</v>
      </c>
      <c r="B91" t="s">
        <v>237</v>
      </c>
      <c r="C91" t="s">
        <v>53</v>
      </c>
      <c r="D91" t="s">
        <v>67</v>
      </c>
      <c r="E91" t="str">
        <f t="shared" si="2"/>
        <v>БизнесКуллер</v>
      </c>
      <c r="F91">
        <v>1000</v>
      </c>
      <c r="G91">
        <v>1</v>
      </c>
      <c r="H91">
        <v>1000</v>
      </c>
    </row>
    <row r="92" spans="1:8" x14ac:dyDescent="0.3">
      <c r="A92" t="s">
        <v>7</v>
      </c>
      <c r="B92" t="s">
        <v>237</v>
      </c>
      <c r="C92" t="s">
        <v>53</v>
      </c>
      <c r="D92" t="s">
        <v>72</v>
      </c>
      <c r="E92" t="str">
        <f t="shared" si="2"/>
        <v>БизнесОхранная система</v>
      </c>
      <c r="F92">
        <v>6500</v>
      </c>
      <c r="G92">
        <v>1</v>
      </c>
      <c r="H92">
        <v>6500</v>
      </c>
    </row>
    <row r="93" spans="1:8" x14ac:dyDescent="0.3">
      <c r="A93" t="s">
        <v>7</v>
      </c>
      <c r="B93" t="s">
        <v>237</v>
      </c>
      <c r="C93" t="s">
        <v>53</v>
      </c>
      <c r="D93" t="s">
        <v>158</v>
      </c>
      <c r="E93" t="str">
        <f t="shared" si="2"/>
        <v>БизнесУстановка терминала</v>
      </c>
      <c r="F93">
        <v>0</v>
      </c>
      <c r="G93">
        <v>1</v>
      </c>
      <c r="H93">
        <v>0</v>
      </c>
    </row>
    <row r="94" spans="1:8" x14ac:dyDescent="0.3">
      <c r="A94" t="s">
        <v>7</v>
      </c>
      <c r="B94" t="s">
        <v>237</v>
      </c>
      <c r="C94" t="s">
        <v>0</v>
      </c>
      <c r="D94" t="s">
        <v>16</v>
      </c>
      <c r="E94" t="str">
        <f t="shared" si="2"/>
        <v>БизнесСтол для администратора</v>
      </c>
      <c r="F94">
        <v>1000</v>
      </c>
      <c r="G94">
        <v>1</v>
      </c>
      <c r="H94">
        <v>1000</v>
      </c>
    </row>
    <row r="95" spans="1:8" x14ac:dyDescent="0.3">
      <c r="A95" t="s">
        <v>7</v>
      </c>
      <c r="B95" t="s">
        <v>237</v>
      </c>
      <c r="C95" t="s">
        <v>0</v>
      </c>
      <c r="D95" t="s">
        <v>17</v>
      </c>
      <c r="E95" t="str">
        <f t="shared" si="2"/>
        <v>БизнесСтул для администратора</v>
      </c>
      <c r="F95">
        <v>500</v>
      </c>
      <c r="G95">
        <v>1</v>
      </c>
      <c r="H95">
        <v>500</v>
      </c>
    </row>
    <row r="96" spans="1:8" x14ac:dyDescent="0.3">
      <c r="A96" t="s">
        <v>7</v>
      </c>
      <c r="B96" t="s">
        <v>237</v>
      </c>
      <c r="C96" t="s">
        <v>0</v>
      </c>
      <c r="D96" t="s">
        <v>73</v>
      </c>
      <c r="E96" t="str">
        <f t="shared" si="2"/>
        <v>БизнесУчебные парты для учеников</v>
      </c>
      <c r="F96">
        <v>1000</v>
      </c>
      <c r="G96">
        <v>10</v>
      </c>
      <c r="H96">
        <v>10000</v>
      </c>
    </row>
    <row r="97" spans="1:8" x14ac:dyDescent="0.3">
      <c r="A97" t="s">
        <v>7</v>
      </c>
      <c r="B97" t="s">
        <v>237</v>
      </c>
      <c r="C97" t="s">
        <v>0</v>
      </c>
      <c r="D97" t="s">
        <v>74</v>
      </c>
      <c r="E97" t="str">
        <f t="shared" si="2"/>
        <v>БизнесУчебная парта для преподавателя</v>
      </c>
      <c r="F97">
        <v>1000</v>
      </c>
      <c r="G97">
        <v>2</v>
      </c>
      <c r="H97">
        <v>2000</v>
      </c>
    </row>
    <row r="98" spans="1:8" x14ac:dyDescent="0.3">
      <c r="A98" t="s">
        <v>7</v>
      </c>
      <c r="B98" t="s">
        <v>237</v>
      </c>
      <c r="C98" t="s">
        <v>0</v>
      </c>
      <c r="D98" t="s">
        <v>10</v>
      </c>
      <c r="E98" t="str">
        <f t="shared" si="2"/>
        <v>БизнесУчебные стулья</v>
      </c>
      <c r="F98">
        <v>400</v>
      </c>
      <c r="G98">
        <v>30</v>
      </c>
      <c r="H98">
        <v>12000</v>
      </c>
    </row>
    <row r="99" spans="1:8" x14ac:dyDescent="0.3">
      <c r="A99" t="s">
        <v>7</v>
      </c>
      <c r="B99" t="s">
        <v>237</v>
      </c>
      <c r="C99" t="s">
        <v>0</v>
      </c>
      <c r="D99" t="s">
        <v>20</v>
      </c>
      <c r="E99" t="str">
        <f t="shared" si="2"/>
        <v>БизнесМусорное ведро</v>
      </c>
      <c r="F99">
        <v>50</v>
      </c>
      <c r="G99">
        <v>1</v>
      </c>
      <c r="H99">
        <v>50</v>
      </c>
    </row>
    <row r="100" spans="1:8" x14ac:dyDescent="0.3">
      <c r="A100" t="s">
        <v>7</v>
      </c>
      <c r="B100" t="s">
        <v>237</v>
      </c>
      <c r="C100" t="s">
        <v>0</v>
      </c>
      <c r="D100" t="s">
        <v>21</v>
      </c>
      <c r="E100" t="str">
        <f t="shared" si="2"/>
        <v>Бизнес2 вешалки</v>
      </c>
      <c r="F100">
        <v>500</v>
      </c>
      <c r="G100">
        <v>2</v>
      </c>
      <c r="H100">
        <v>1000</v>
      </c>
    </row>
    <row r="101" spans="1:8" x14ac:dyDescent="0.3">
      <c r="A101" t="s">
        <v>7</v>
      </c>
      <c r="B101" t="s">
        <v>237</v>
      </c>
      <c r="C101" t="s">
        <v>0</v>
      </c>
      <c r="D101" t="s">
        <v>76</v>
      </c>
      <c r="E101" t="str">
        <f t="shared" si="2"/>
        <v>БизнесПлечики (10 шт в 1 наборе)</v>
      </c>
      <c r="F101">
        <v>150</v>
      </c>
      <c r="G101">
        <v>4</v>
      </c>
      <c r="H101">
        <v>600</v>
      </c>
    </row>
    <row r="102" spans="1:8" x14ac:dyDescent="0.3">
      <c r="A102" t="s">
        <v>7</v>
      </c>
      <c r="B102" t="s">
        <v>237</v>
      </c>
      <c r="C102" t="s">
        <v>34</v>
      </c>
      <c r="D102" t="s">
        <v>22</v>
      </c>
      <c r="E102" t="str">
        <f t="shared" si="2"/>
        <v>БизнесСРМ-система. 1 аккаунт (1000 рублей на 12 мес)</v>
      </c>
      <c r="F102">
        <v>4500</v>
      </c>
      <c r="G102">
        <v>1</v>
      </c>
      <c r="H102">
        <v>4500</v>
      </c>
    </row>
    <row r="103" spans="1:8" x14ac:dyDescent="0.3">
      <c r="A103" t="s">
        <v>7</v>
      </c>
      <c r="B103" t="s">
        <v>237</v>
      </c>
      <c r="C103" t="s">
        <v>34</v>
      </c>
      <c r="D103" t="s">
        <v>23</v>
      </c>
      <c r="E103" t="str">
        <f t="shared" si="2"/>
        <v>БизнесУслуги телефонии (первые 2 мес - бесплатно)</v>
      </c>
      <c r="F103">
        <v>0</v>
      </c>
      <c r="G103">
        <v>0</v>
      </c>
      <c r="H103">
        <v>0</v>
      </c>
    </row>
    <row r="104" spans="1:8" x14ac:dyDescent="0.3">
      <c r="A104" t="s">
        <v>7</v>
      </c>
      <c r="B104" t="s">
        <v>237</v>
      </c>
      <c r="C104" t="s">
        <v>34</v>
      </c>
      <c r="D104" t="s">
        <v>24</v>
      </c>
      <c r="E104" t="str">
        <f t="shared" si="2"/>
        <v>Бизнес3 карточки для телефонии</v>
      </c>
      <c r="F104">
        <v>200</v>
      </c>
      <c r="G104">
        <v>3</v>
      </c>
      <c r="H104">
        <v>600</v>
      </c>
    </row>
    <row r="105" spans="1:8" x14ac:dyDescent="0.3">
      <c r="A105" t="s">
        <v>7</v>
      </c>
      <c r="B105" t="s">
        <v>237</v>
      </c>
      <c r="C105" t="s">
        <v>11</v>
      </c>
      <c r="D105" t="s">
        <v>13</v>
      </c>
      <c r="E105" t="str">
        <f t="shared" si="2"/>
        <v>БизнесЗаказ печатных материалов</v>
      </c>
      <c r="F105">
        <v>3000</v>
      </c>
      <c r="G105">
        <v>1</v>
      </c>
      <c r="H105">
        <v>3000</v>
      </c>
    </row>
    <row r="106" spans="1:8" x14ac:dyDescent="0.3">
      <c r="A106" t="s">
        <v>7</v>
      </c>
      <c r="B106" t="s">
        <v>237</v>
      </c>
      <c r="C106" t="s">
        <v>11</v>
      </c>
      <c r="D106" t="s">
        <v>35</v>
      </c>
      <c r="E106" t="str">
        <f t="shared" si="2"/>
        <v>БизнесРемонтные работы</v>
      </c>
      <c r="F106">
        <v>15000</v>
      </c>
      <c r="G106">
        <v>1</v>
      </c>
      <c r="H106">
        <v>15000</v>
      </c>
    </row>
    <row r="107" spans="1:8" x14ac:dyDescent="0.3">
      <c r="A107" t="s">
        <v>7</v>
      </c>
      <c r="B107" t="s">
        <v>237</v>
      </c>
      <c r="C107" t="s">
        <v>11</v>
      </c>
      <c r="D107" t="s">
        <v>36</v>
      </c>
      <c r="E107" t="str">
        <f t="shared" si="2"/>
        <v xml:space="preserve">БизнесМаркетинг </v>
      </c>
      <c r="F107">
        <v>65000</v>
      </c>
      <c r="G107">
        <v>1</v>
      </c>
      <c r="H107">
        <v>65000</v>
      </c>
    </row>
    <row r="108" spans="1:8" x14ac:dyDescent="0.3">
      <c r="A108" t="s">
        <v>7</v>
      </c>
      <c r="B108" t="s">
        <v>237</v>
      </c>
      <c r="C108" t="s">
        <v>11</v>
      </c>
      <c r="D108" t="s">
        <v>37</v>
      </c>
      <c r="E108" t="str">
        <f t="shared" si="2"/>
        <v>БизнесАренда первый и последний мес</v>
      </c>
      <c r="F108">
        <v>20000</v>
      </c>
      <c r="G108">
        <v>2</v>
      </c>
      <c r="H108">
        <v>40000</v>
      </c>
    </row>
    <row r="109" spans="1:8" x14ac:dyDescent="0.3">
      <c r="A109" t="s">
        <v>7</v>
      </c>
      <c r="B109" t="s">
        <v>237</v>
      </c>
      <c r="C109" t="s">
        <v>11</v>
      </c>
      <c r="D109" t="s">
        <v>69</v>
      </c>
      <c r="E109" t="str">
        <f t="shared" si="2"/>
        <v>БизнесУслуги брокера</v>
      </c>
      <c r="F109">
        <v>0.5</v>
      </c>
      <c r="G109">
        <v>1</v>
      </c>
      <c r="H109">
        <v>10000</v>
      </c>
    </row>
    <row r="110" spans="1:8" x14ac:dyDescent="0.3">
      <c r="A110" t="s">
        <v>7</v>
      </c>
      <c r="B110" t="s">
        <v>237</v>
      </c>
      <c r="C110" t="s">
        <v>11</v>
      </c>
      <c r="D110" t="s">
        <v>71</v>
      </c>
      <c r="E110" t="str">
        <f t="shared" si="2"/>
        <v>БизнесКанцтовары (ручки, бумага, ножницы, степлеры, фломастеры, стерки для досок)</v>
      </c>
      <c r="F110">
        <v>4000</v>
      </c>
      <c r="G110">
        <v>1</v>
      </c>
      <c r="H110">
        <v>4000</v>
      </c>
    </row>
    <row r="111" spans="1:8" x14ac:dyDescent="0.3">
      <c r="A111" t="s">
        <v>7</v>
      </c>
      <c r="B111" t="s">
        <v>237</v>
      </c>
      <c r="C111" t="s">
        <v>11</v>
      </c>
      <c r="D111" t="s">
        <v>38</v>
      </c>
      <c r="E111" t="str">
        <f t="shared" si="2"/>
        <v>БизнесБейджики</v>
      </c>
      <c r="F111">
        <v>350</v>
      </c>
      <c r="G111">
        <v>4</v>
      </c>
      <c r="H111">
        <v>1400</v>
      </c>
    </row>
    <row r="112" spans="1:8" x14ac:dyDescent="0.3">
      <c r="A112" t="s">
        <v>7</v>
      </c>
      <c r="B112" t="s">
        <v>237</v>
      </c>
      <c r="C112" t="s">
        <v>11</v>
      </c>
      <c r="D112" t="s">
        <v>40</v>
      </c>
      <c r="E112" t="str">
        <f t="shared" si="2"/>
        <v>БизнесВывеска</v>
      </c>
      <c r="F112">
        <v>4000</v>
      </c>
      <c r="G112">
        <v>1</v>
      </c>
      <c r="H112">
        <v>4000</v>
      </c>
    </row>
    <row r="113" spans="1:8" x14ac:dyDescent="0.3">
      <c r="A113" t="s">
        <v>7</v>
      </c>
      <c r="B113" t="s">
        <v>237</v>
      </c>
      <c r="C113" t="s">
        <v>11</v>
      </c>
      <c r="D113" t="s">
        <v>41</v>
      </c>
      <c r="E113" t="str">
        <f t="shared" si="2"/>
        <v>БизнесУслуги юриста</v>
      </c>
      <c r="F113">
        <v>2000</v>
      </c>
      <c r="G113">
        <v>1</v>
      </c>
      <c r="H113">
        <v>2000</v>
      </c>
    </row>
    <row r="114" spans="1:8" x14ac:dyDescent="0.3">
      <c r="A114" t="s">
        <v>7</v>
      </c>
      <c r="B114" t="s">
        <v>237</v>
      </c>
      <c r="C114" t="s">
        <v>11</v>
      </c>
      <c r="D114" t="s">
        <v>42</v>
      </c>
      <c r="E114" t="str">
        <f t="shared" si="2"/>
        <v>БизнесУслуги бухгалтера</v>
      </c>
      <c r="F114">
        <v>2000</v>
      </c>
      <c r="G114">
        <v>1</v>
      </c>
      <c r="H114">
        <v>2000</v>
      </c>
    </row>
    <row r="115" spans="1:8" x14ac:dyDescent="0.3">
      <c r="A115" t="s">
        <v>7</v>
      </c>
      <c r="B115" t="s">
        <v>237</v>
      </c>
      <c r="C115" t="s">
        <v>11</v>
      </c>
      <c r="D115" t="s">
        <v>70</v>
      </c>
      <c r="E115" t="str">
        <f t="shared" si="2"/>
        <v>БизнесПошлины за оформление документов (открытие ФОП)</v>
      </c>
      <c r="F115">
        <v>1500</v>
      </c>
      <c r="G115">
        <v>1</v>
      </c>
      <c r="H115">
        <v>1500</v>
      </c>
    </row>
    <row r="116" spans="1:8" x14ac:dyDescent="0.3">
      <c r="A116" t="s">
        <v>7</v>
      </c>
      <c r="B116" t="s">
        <v>237</v>
      </c>
      <c r="C116" t="s">
        <v>11</v>
      </c>
      <c r="D116" t="s">
        <v>44</v>
      </c>
      <c r="E116" t="str">
        <f t="shared" si="2"/>
        <v>БизнесРазмещение вакансий</v>
      </c>
      <c r="F116">
        <v>1500</v>
      </c>
      <c r="G116">
        <v>2</v>
      </c>
      <c r="H116">
        <v>3000</v>
      </c>
    </row>
    <row r="117" spans="1:8" x14ac:dyDescent="0.3">
      <c r="A117" t="s">
        <v>7</v>
      </c>
      <c r="B117" t="s">
        <v>237</v>
      </c>
      <c r="C117" t="s">
        <v>11</v>
      </c>
      <c r="D117" t="s">
        <v>51</v>
      </c>
      <c r="E117" t="str">
        <f t="shared" si="2"/>
        <v>БизнесШвабры, ведра, тряпки</v>
      </c>
      <c r="F117">
        <v>500</v>
      </c>
      <c r="G117">
        <v>1</v>
      </c>
      <c r="H117">
        <v>500</v>
      </c>
    </row>
    <row r="118" spans="1:8" x14ac:dyDescent="0.3">
      <c r="A118" t="s">
        <v>7</v>
      </c>
      <c r="B118" t="s">
        <v>237</v>
      </c>
      <c r="C118" t="s">
        <v>11</v>
      </c>
      <c r="D118" t="s">
        <v>45</v>
      </c>
      <c r="E118" t="str">
        <f t="shared" si="2"/>
        <v>БизнесДругие расходы</v>
      </c>
      <c r="G118">
        <v>0.05</v>
      </c>
      <c r="H118">
        <v>12250</v>
      </c>
    </row>
    <row r="119" spans="1:8" x14ac:dyDescent="0.3">
      <c r="A119" t="s">
        <v>7</v>
      </c>
      <c r="B119" t="s">
        <v>237</v>
      </c>
      <c r="C119" t="s">
        <v>11</v>
      </c>
      <c r="D119" t="s">
        <v>261</v>
      </c>
      <c r="E119" t="str">
        <f t="shared" si="2"/>
        <v>Бизнес*для регионов вне Киева (один день проживания франчайзера при обучении франчайзи)</v>
      </c>
      <c r="F119">
        <v>1000</v>
      </c>
      <c r="G119">
        <v>7</v>
      </c>
      <c r="H119">
        <v>7000</v>
      </c>
    </row>
    <row r="120" spans="1:8" x14ac:dyDescent="0.3">
      <c r="A120" t="s">
        <v>7</v>
      </c>
      <c r="B120" t="s">
        <v>237</v>
      </c>
      <c r="C120" t="s">
        <v>46</v>
      </c>
      <c r="D120" t="s">
        <v>47</v>
      </c>
      <c r="E120" t="str">
        <f t="shared" si="2"/>
        <v>БизнесПуфики</v>
      </c>
      <c r="F120">
        <v>700</v>
      </c>
      <c r="G120">
        <v>10</v>
      </c>
      <c r="H120">
        <v>7000</v>
      </c>
    </row>
    <row r="121" spans="1:8" x14ac:dyDescent="0.3">
      <c r="A121" t="s">
        <v>7</v>
      </c>
      <c r="B121" t="s">
        <v>237</v>
      </c>
      <c r="C121" t="s">
        <v>46</v>
      </c>
      <c r="D121" t="s">
        <v>48</v>
      </c>
      <c r="E121" t="str">
        <f t="shared" si="2"/>
        <v>БизнесНастольные игры</v>
      </c>
      <c r="F121">
        <v>2000</v>
      </c>
      <c r="G121">
        <v>1</v>
      </c>
      <c r="H121">
        <v>2000</v>
      </c>
    </row>
    <row r="122" spans="1:8" x14ac:dyDescent="0.3">
      <c r="A122" t="s">
        <v>7</v>
      </c>
      <c r="B122" t="s">
        <v>237</v>
      </c>
      <c r="C122" t="s">
        <v>46</v>
      </c>
      <c r="D122" t="s">
        <v>49</v>
      </c>
      <c r="E122" t="str">
        <f t="shared" si="2"/>
        <v>БизнесСпортинвентарь</v>
      </c>
      <c r="F122">
        <v>2000</v>
      </c>
      <c r="G122">
        <v>1</v>
      </c>
      <c r="H122">
        <v>2000</v>
      </c>
    </row>
    <row r="123" spans="1:8" x14ac:dyDescent="0.3">
      <c r="A123" t="s">
        <v>7</v>
      </c>
      <c r="B123" t="s">
        <v>237</v>
      </c>
      <c r="C123" t="s">
        <v>46</v>
      </c>
      <c r="D123" t="s">
        <v>50</v>
      </c>
      <c r="E123" t="str">
        <f t="shared" si="2"/>
        <v>БизнесВентилятор</v>
      </c>
      <c r="F123">
        <v>500</v>
      </c>
      <c r="G123">
        <v>2</v>
      </c>
      <c r="H123">
        <v>1000</v>
      </c>
    </row>
    <row r="124" spans="1:8" x14ac:dyDescent="0.3">
      <c r="A124" t="s">
        <v>7</v>
      </c>
      <c r="B124" t="s">
        <v>237</v>
      </c>
      <c r="C124" t="s">
        <v>46</v>
      </c>
      <c r="D124" t="s">
        <v>52</v>
      </c>
      <c r="E124" t="str">
        <f t="shared" si="2"/>
        <v>БизнесПазлы, разрисовки</v>
      </c>
      <c r="F124">
        <v>1000</v>
      </c>
      <c r="G124">
        <v>1</v>
      </c>
      <c r="H124">
        <v>1000</v>
      </c>
    </row>
    <row r="125" spans="1:8" x14ac:dyDescent="0.3">
      <c r="D125" t="s">
        <v>85</v>
      </c>
      <c r="E125" t="str">
        <f t="shared" si="2"/>
        <v>Сумма инвестиций:</v>
      </c>
      <c r="F125">
        <v>540605</v>
      </c>
    </row>
    <row r="126" spans="1:8" x14ac:dyDescent="0.3">
      <c r="D126" t="s">
        <v>86</v>
      </c>
      <c r="E126" t="str">
        <f t="shared" si="2"/>
        <v>Паушальный взнос:</v>
      </c>
      <c r="F126">
        <v>159600</v>
      </c>
    </row>
    <row r="127" spans="1:8" x14ac:dyDescent="0.3">
      <c r="D127" t="s">
        <v>87</v>
      </c>
      <c r="E127" t="str">
        <f t="shared" si="2"/>
        <v>Общая сумма:</v>
      </c>
      <c r="F127">
        <v>700205</v>
      </c>
    </row>
    <row r="128" spans="1:8" x14ac:dyDescent="0.3">
      <c r="A128" t="s">
        <v>8</v>
      </c>
      <c r="B128" t="s">
        <v>237</v>
      </c>
      <c r="C128" t="s">
        <v>54</v>
      </c>
      <c r="D128" t="s">
        <v>26</v>
      </c>
      <c r="E128" t="str">
        <f t="shared" si="2"/>
        <v>ПлатинумУчебный набор WeDo</v>
      </c>
      <c r="F128">
        <v>7100</v>
      </c>
      <c r="G128">
        <v>5</v>
      </c>
      <c r="H128">
        <v>35500</v>
      </c>
    </row>
    <row r="129" spans="1:8" x14ac:dyDescent="0.3">
      <c r="A129" t="s">
        <v>8</v>
      </c>
      <c r="B129" t="s">
        <v>237</v>
      </c>
      <c r="C129" t="s">
        <v>54</v>
      </c>
      <c r="D129" t="s">
        <v>65</v>
      </c>
      <c r="E129" t="str">
        <f t="shared" si="2"/>
        <v>ПлатинумБатарейки</v>
      </c>
      <c r="F129">
        <v>15</v>
      </c>
      <c r="G129">
        <v>20</v>
      </c>
      <c r="H129">
        <v>300</v>
      </c>
    </row>
    <row r="130" spans="1:8" x14ac:dyDescent="0.3">
      <c r="A130" t="s">
        <v>8</v>
      </c>
      <c r="B130" t="s">
        <v>237</v>
      </c>
      <c r="C130" t="s">
        <v>54</v>
      </c>
      <c r="D130" t="s">
        <v>30</v>
      </c>
      <c r="E130" t="str">
        <f t="shared" si="2"/>
        <v>ПлатинумНоутбуки для детей</v>
      </c>
      <c r="F130">
        <v>6000</v>
      </c>
      <c r="G130">
        <v>5</v>
      </c>
      <c r="H130">
        <v>30000</v>
      </c>
    </row>
    <row r="131" spans="1:8" x14ac:dyDescent="0.3">
      <c r="A131" t="s">
        <v>8</v>
      </c>
      <c r="B131" t="s">
        <v>237</v>
      </c>
      <c r="C131" t="s">
        <v>54</v>
      </c>
      <c r="D131" t="s">
        <v>62</v>
      </c>
      <c r="E131" t="str">
        <f t="shared" si="2"/>
        <v>ПлатинумНоутбук для преподавателя</v>
      </c>
      <c r="F131">
        <v>6000</v>
      </c>
      <c r="G131">
        <v>1</v>
      </c>
      <c r="H131">
        <v>6000</v>
      </c>
    </row>
    <row r="132" spans="1:8" x14ac:dyDescent="0.3">
      <c r="A132" t="s">
        <v>8</v>
      </c>
      <c r="B132" t="s">
        <v>237</v>
      </c>
      <c r="C132" t="s">
        <v>54</v>
      </c>
      <c r="D132" t="s">
        <v>32</v>
      </c>
      <c r="E132" t="str">
        <f t="shared" ref="E132:E195" si="3">A132&amp;D132</f>
        <v>ПлатинумМышки для детей</v>
      </c>
      <c r="F132">
        <v>150</v>
      </c>
      <c r="G132">
        <v>6</v>
      </c>
      <c r="H132">
        <v>900</v>
      </c>
    </row>
    <row r="133" spans="1:8" x14ac:dyDescent="0.3">
      <c r="A133" t="s">
        <v>8</v>
      </c>
      <c r="B133" t="s">
        <v>237</v>
      </c>
      <c r="C133" t="s">
        <v>54</v>
      </c>
      <c r="D133" t="s">
        <v>63</v>
      </c>
      <c r="E133" t="str">
        <f t="shared" si="3"/>
        <v>ПлатинумМышка для преподавателя</v>
      </c>
      <c r="F133">
        <v>150</v>
      </c>
      <c r="G133">
        <v>1</v>
      </c>
      <c r="H133">
        <v>150</v>
      </c>
    </row>
    <row r="134" spans="1:8" x14ac:dyDescent="0.3">
      <c r="A134" t="s">
        <v>8</v>
      </c>
      <c r="B134" t="s">
        <v>237</v>
      </c>
      <c r="C134" t="s">
        <v>54</v>
      </c>
      <c r="D134" t="s">
        <v>9</v>
      </c>
      <c r="E134" t="str">
        <f t="shared" si="3"/>
        <v>ПлатинумПереноски</v>
      </c>
      <c r="F134">
        <v>100</v>
      </c>
      <c r="G134">
        <v>5</v>
      </c>
      <c r="H134">
        <v>500</v>
      </c>
    </row>
    <row r="135" spans="1:8" x14ac:dyDescent="0.3">
      <c r="A135" t="s">
        <v>8</v>
      </c>
      <c r="B135" t="s">
        <v>237</v>
      </c>
      <c r="C135" t="s">
        <v>54</v>
      </c>
      <c r="D135" t="s">
        <v>14</v>
      </c>
      <c r="E135" t="str">
        <f t="shared" si="3"/>
        <v>ПлатинумПроектор</v>
      </c>
      <c r="F135">
        <v>8000</v>
      </c>
      <c r="G135">
        <v>1</v>
      </c>
      <c r="H135">
        <v>8000</v>
      </c>
    </row>
    <row r="136" spans="1:8" x14ac:dyDescent="0.3">
      <c r="A136" t="s">
        <v>8</v>
      </c>
      <c r="B136" t="s">
        <v>237</v>
      </c>
      <c r="C136" t="s">
        <v>54</v>
      </c>
      <c r="D136" t="s">
        <v>15</v>
      </c>
      <c r="E136" t="str">
        <f t="shared" si="3"/>
        <v>ПлатинумШтатив под проектор</v>
      </c>
      <c r="F136">
        <v>400</v>
      </c>
      <c r="G136">
        <v>1</v>
      </c>
      <c r="H136">
        <v>400</v>
      </c>
    </row>
    <row r="137" spans="1:8" x14ac:dyDescent="0.3">
      <c r="A137" t="s">
        <v>8</v>
      </c>
      <c r="B137" t="s">
        <v>237</v>
      </c>
      <c r="C137" t="s">
        <v>54</v>
      </c>
      <c r="D137" t="s">
        <v>39</v>
      </c>
      <c r="E137" t="str">
        <f t="shared" si="3"/>
        <v>ПлатинумМаркерная доска</v>
      </c>
      <c r="F137">
        <v>1600</v>
      </c>
      <c r="G137">
        <v>1</v>
      </c>
      <c r="H137">
        <v>1600</v>
      </c>
    </row>
    <row r="138" spans="1:8" x14ac:dyDescent="0.3">
      <c r="A138" t="s">
        <v>8</v>
      </c>
      <c r="B138" t="s">
        <v>237</v>
      </c>
      <c r="C138" t="s">
        <v>81</v>
      </c>
      <c r="D138" t="s">
        <v>82</v>
      </c>
      <c r="E138" t="str">
        <f t="shared" si="3"/>
        <v>ПлатинумУчебный набор Arduino</v>
      </c>
      <c r="F138">
        <v>10000</v>
      </c>
      <c r="G138">
        <v>5</v>
      </c>
      <c r="H138">
        <v>50000</v>
      </c>
    </row>
    <row r="139" spans="1:8" x14ac:dyDescent="0.3">
      <c r="A139" t="s">
        <v>8</v>
      </c>
      <c r="B139" t="s">
        <v>237</v>
      </c>
      <c r="C139" t="s">
        <v>81</v>
      </c>
      <c r="D139" t="s">
        <v>55</v>
      </c>
      <c r="E139" t="str">
        <f t="shared" si="3"/>
        <v>ПлатинумУчебный набор EV3 Education (45544)</v>
      </c>
      <c r="F139">
        <v>12900</v>
      </c>
      <c r="G139">
        <v>5</v>
      </c>
      <c r="H139">
        <v>64500</v>
      </c>
    </row>
    <row r="140" spans="1:8" x14ac:dyDescent="0.3">
      <c r="A140" t="s">
        <v>8</v>
      </c>
      <c r="B140" t="s">
        <v>237</v>
      </c>
      <c r="C140" t="s">
        <v>81</v>
      </c>
      <c r="D140" t="s">
        <v>56</v>
      </c>
      <c r="E140" t="str">
        <f t="shared" si="3"/>
        <v>ПлатинумУчебный ресурсный набор к EV3 (45560)</v>
      </c>
      <c r="F140">
        <v>3800</v>
      </c>
      <c r="G140">
        <v>3</v>
      </c>
      <c r="H140">
        <v>11400</v>
      </c>
    </row>
    <row r="141" spans="1:8" x14ac:dyDescent="0.3">
      <c r="A141" t="s">
        <v>8</v>
      </c>
      <c r="B141" t="s">
        <v>237</v>
      </c>
      <c r="C141" t="s">
        <v>81</v>
      </c>
      <c r="D141" t="s">
        <v>57</v>
      </c>
      <c r="E141" t="str">
        <f t="shared" si="3"/>
        <v>ПлатинумИнфракрасный датчик (45509)</v>
      </c>
      <c r="F141">
        <v>1503</v>
      </c>
      <c r="G141">
        <v>5</v>
      </c>
      <c r="H141">
        <v>7515</v>
      </c>
    </row>
    <row r="142" spans="1:8" x14ac:dyDescent="0.3">
      <c r="A142" t="s">
        <v>8</v>
      </c>
      <c r="B142" t="s">
        <v>237</v>
      </c>
      <c r="C142" t="s">
        <v>81</v>
      </c>
      <c r="D142" t="s">
        <v>58</v>
      </c>
      <c r="E142" t="str">
        <f t="shared" si="3"/>
        <v>ПлатинумИнфракрасный пульт (45508)</v>
      </c>
      <c r="F142">
        <v>1330</v>
      </c>
      <c r="G142">
        <v>5</v>
      </c>
      <c r="H142">
        <v>6650</v>
      </c>
    </row>
    <row r="143" spans="1:8" x14ac:dyDescent="0.3">
      <c r="A143" t="s">
        <v>8</v>
      </c>
      <c r="B143" t="s">
        <v>237</v>
      </c>
      <c r="C143" t="s">
        <v>81</v>
      </c>
      <c r="D143" t="s">
        <v>59</v>
      </c>
      <c r="E143" t="str">
        <f t="shared" si="3"/>
        <v>ПлатинумЗарядка (45517)</v>
      </c>
      <c r="F143">
        <v>1224</v>
      </c>
      <c r="G143">
        <v>2</v>
      </c>
      <c r="H143">
        <v>2448</v>
      </c>
    </row>
    <row r="144" spans="1:8" x14ac:dyDescent="0.3">
      <c r="A144" t="s">
        <v>8</v>
      </c>
      <c r="B144" t="s">
        <v>237</v>
      </c>
      <c r="C144" t="s">
        <v>81</v>
      </c>
      <c r="D144" t="s">
        <v>60</v>
      </c>
      <c r="E144" t="str">
        <f t="shared" si="3"/>
        <v>ПлатинумДатчик цвета (45506)</v>
      </c>
      <c r="F144">
        <v>1330</v>
      </c>
      <c r="G144">
        <v>5</v>
      </c>
      <c r="H144">
        <v>6650</v>
      </c>
    </row>
    <row r="145" spans="1:8" x14ac:dyDescent="0.3">
      <c r="A145" t="s">
        <v>8</v>
      </c>
      <c r="B145" t="s">
        <v>237</v>
      </c>
      <c r="C145" t="s">
        <v>81</v>
      </c>
      <c r="D145" t="s">
        <v>61</v>
      </c>
      <c r="E145" t="str">
        <f t="shared" si="3"/>
        <v>ПлатинумДатчик температуры (9749)</v>
      </c>
      <c r="F145">
        <v>1664</v>
      </c>
      <c r="G145">
        <v>5</v>
      </c>
      <c r="H145">
        <v>8320</v>
      </c>
    </row>
    <row r="146" spans="1:8" x14ac:dyDescent="0.3">
      <c r="A146" t="s">
        <v>8</v>
      </c>
      <c r="B146" t="s">
        <v>237</v>
      </c>
      <c r="C146" t="s">
        <v>81</v>
      </c>
      <c r="D146" t="s">
        <v>224</v>
      </c>
      <c r="E146" t="str">
        <f t="shared" si="3"/>
        <v>ПлатинумДатчик ультразвука (45504)</v>
      </c>
      <c r="F146">
        <v>1227</v>
      </c>
      <c r="G146">
        <v>5</v>
      </c>
      <c r="H146">
        <v>6135</v>
      </c>
    </row>
    <row r="147" spans="1:8" x14ac:dyDescent="0.3">
      <c r="A147" t="s">
        <v>8</v>
      </c>
      <c r="B147" t="s">
        <v>237</v>
      </c>
      <c r="C147" t="s">
        <v>81</v>
      </c>
      <c r="D147" t="s">
        <v>223</v>
      </c>
      <c r="E147" t="str">
        <f t="shared" si="3"/>
        <v>ПлатинумГироскопический датчик (45505)</v>
      </c>
      <c r="F147">
        <v>1227</v>
      </c>
      <c r="G147">
        <v>5</v>
      </c>
      <c r="H147">
        <v>6135</v>
      </c>
    </row>
    <row r="148" spans="1:8" x14ac:dyDescent="0.3">
      <c r="A148" t="s">
        <v>8</v>
      </c>
      <c r="B148" t="s">
        <v>237</v>
      </c>
      <c r="C148" t="s">
        <v>81</v>
      </c>
      <c r="D148" t="s">
        <v>30</v>
      </c>
      <c r="E148" t="str">
        <f t="shared" si="3"/>
        <v>ПлатинумНоутбуки для детей</v>
      </c>
      <c r="F148">
        <v>6000</v>
      </c>
      <c r="G148">
        <v>5</v>
      </c>
      <c r="H148">
        <v>30000</v>
      </c>
    </row>
    <row r="149" spans="1:8" x14ac:dyDescent="0.3">
      <c r="A149" t="s">
        <v>8</v>
      </c>
      <c r="B149" t="s">
        <v>237</v>
      </c>
      <c r="C149" t="s">
        <v>81</v>
      </c>
      <c r="D149" t="s">
        <v>62</v>
      </c>
      <c r="E149" t="str">
        <f t="shared" si="3"/>
        <v>ПлатинумНоутбук для преподавателя</v>
      </c>
      <c r="F149">
        <v>6000</v>
      </c>
      <c r="G149">
        <v>1</v>
      </c>
      <c r="H149">
        <v>6000</v>
      </c>
    </row>
    <row r="150" spans="1:8" x14ac:dyDescent="0.3">
      <c r="A150" t="s">
        <v>8</v>
      </c>
      <c r="B150" t="s">
        <v>237</v>
      </c>
      <c r="C150" t="s">
        <v>81</v>
      </c>
      <c r="D150" t="s">
        <v>32</v>
      </c>
      <c r="E150" t="str">
        <f t="shared" si="3"/>
        <v>ПлатинумМышки для детей</v>
      </c>
      <c r="F150">
        <v>150</v>
      </c>
      <c r="G150">
        <v>6</v>
      </c>
      <c r="H150">
        <v>900</v>
      </c>
    </row>
    <row r="151" spans="1:8" x14ac:dyDescent="0.3">
      <c r="A151" t="s">
        <v>8</v>
      </c>
      <c r="B151" t="s">
        <v>237</v>
      </c>
      <c r="C151" t="s">
        <v>81</v>
      </c>
      <c r="D151" t="s">
        <v>63</v>
      </c>
      <c r="E151" t="str">
        <f t="shared" si="3"/>
        <v>ПлатинумМышка для преподавателя</v>
      </c>
      <c r="F151">
        <v>150</v>
      </c>
      <c r="G151">
        <v>1</v>
      </c>
      <c r="H151">
        <v>150</v>
      </c>
    </row>
    <row r="152" spans="1:8" x14ac:dyDescent="0.3">
      <c r="A152" t="s">
        <v>8</v>
      </c>
      <c r="B152" t="s">
        <v>237</v>
      </c>
      <c r="C152" t="s">
        <v>81</v>
      </c>
      <c r="D152" t="s">
        <v>9</v>
      </c>
      <c r="E152" t="str">
        <f t="shared" si="3"/>
        <v>ПлатинумПереноски</v>
      </c>
      <c r="F152">
        <v>100</v>
      </c>
      <c r="G152">
        <v>5</v>
      </c>
      <c r="H152">
        <v>500</v>
      </c>
    </row>
    <row r="153" spans="1:8" x14ac:dyDescent="0.3">
      <c r="A153" t="s">
        <v>8</v>
      </c>
      <c r="B153" t="s">
        <v>237</v>
      </c>
      <c r="C153" t="s">
        <v>81</v>
      </c>
      <c r="D153" t="s">
        <v>14</v>
      </c>
      <c r="E153" t="str">
        <f t="shared" si="3"/>
        <v>ПлатинумПроектор</v>
      </c>
      <c r="F153">
        <v>8000</v>
      </c>
      <c r="G153">
        <v>1</v>
      </c>
      <c r="H153">
        <v>8000</v>
      </c>
    </row>
    <row r="154" spans="1:8" x14ac:dyDescent="0.3">
      <c r="A154" t="s">
        <v>8</v>
      </c>
      <c r="B154" t="s">
        <v>237</v>
      </c>
      <c r="C154" t="s">
        <v>81</v>
      </c>
      <c r="D154" t="s">
        <v>15</v>
      </c>
      <c r="E154" t="str">
        <f t="shared" si="3"/>
        <v>ПлатинумШтатив под проектор</v>
      </c>
      <c r="F154">
        <v>400</v>
      </c>
      <c r="G154">
        <v>1</v>
      </c>
      <c r="H154">
        <v>400</v>
      </c>
    </row>
    <row r="155" spans="1:8" x14ac:dyDescent="0.3">
      <c r="A155" t="s">
        <v>8</v>
      </c>
      <c r="B155" t="s">
        <v>237</v>
      </c>
      <c r="C155" t="s">
        <v>81</v>
      </c>
      <c r="D155" t="s">
        <v>39</v>
      </c>
      <c r="E155" t="str">
        <f t="shared" si="3"/>
        <v>ПлатинумМаркерная доска</v>
      </c>
      <c r="F155">
        <v>1600</v>
      </c>
      <c r="G155">
        <v>1</v>
      </c>
      <c r="H155">
        <v>1600</v>
      </c>
    </row>
    <row r="156" spans="1:8" x14ac:dyDescent="0.3">
      <c r="A156" t="s">
        <v>8</v>
      </c>
      <c r="B156" t="s">
        <v>237</v>
      </c>
      <c r="C156" t="s">
        <v>53</v>
      </c>
      <c r="D156" t="s">
        <v>31</v>
      </c>
      <c r="E156" t="str">
        <f t="shared" si="3"/>
        <v>ПлатинумНоутбук  для администратора</v>
      </c>
      <c r="F156">
        <v>6000</v>
      </c>
      <c r="G156">
        <v>6</v>
      </c>
      <c r="H156">
        <v>36000</v>
      </c>
    </row>
    <row r="157" spans="1:8" x14ac:dyDescent="0.3">
      <c r="A157" t="s">
        <v>8</v>
      </c>
      <c r="B157" t="s">
        <v>237</v>
      </c>
      <c r="C157" t="s">
        <v>53</v>
      </c>
      <c r="D157" t="s">
        <v>33</v>
      </c>
      <c r="E157" t="str">
        <f t="shared" si="3"/>
        <v>ПлатинумМышка для администратора</v>
      </c>
      <c r="F157">
        <v>150</v>
      </c>
      <c r="G157">
        <v>1</v>
      </c>
      <c r="H157">
        <v>150</v>
      </c>
    </row>
    <row r="158" spans="1:8" x14ac:dyDescent="0.3">
      <c r="A158" t="s">
        <v>8</v>
      </c>
      <c r="B158" t="s">
        <v>237</v>
      </c>
      <c r="C158" t="s">
        <v>53</v>
      </c>
      <c r="D158" t="s">
        <v>19</v>
      </c>
      <c r="E158" t="str">
        <f t="shared" si="3"/>
        <v>ПлатинумIP телефон</v>
      </c>
      <c r="F158">
        <v>1000</v>
      </c>
      <c r="G158">
        <v>1</v>
      </c>
      <c r="H158">
        <v>1000</v>
      </c>
    </row>
    <row r="159" spans="1:8" x14ac:dyDescent="0.3">
      <c r="A159" t="s">
        <v>8</v>
      </c>
      <c r="B159" t="s">
        <v>237</v>
      </c>
      <c r="C159" t="s">
        <v>53</v>
      </c>
      <c r="D159" t="s">
        <v>18</v>
      </c>
      <c r="E159" t="str">
        <f t="shared" si="3"/>
        <v>ПлатинумГарнитура для ноутбука и IP телефона</v>
      </c>
      <c r="F159">
        <v>900</v>
      </c>
      <c r="G159">
        <v>1</v>
      </c>
      <c r="H159">
        <v>900</v>
      </c>
    </row>
    <row r="160" spans="1:8" x14ac:dyDescent="0.3">
      <c r="A160" t="s">
        <v>8</v>
      </c>
      <c r="B160" t="s">
        <v>237</v>
      </c>
      <c r="C160" t="s">
        <v>53</v>
      </c>
      <c r="D160" t="s">
        <v>68</v>
      </c>
      <c r="E160" t="str">
        <f t="shared" si="3"/>
        <v>ПлатинумПереходник под гарнитуру на IP телефон</v>
      </c>
      <c r="F160">
        <v>200</v>
      </c>
      <c r="G160">
        <v>1</v>
      </c>
      <c r="H160">
        <v>200</v>
      </c>
    </row>
    <row r="161" spans="1:8" x14ac:dyDescent="0.3">
      <c r="A161" t="s">
        <v>8</v>
      </c>
      <c r="B161" t="s">
        <v>237</v>
      </c>
      <c r="C161" t="s">
        <v>53</v>
      </c>
      <c r="D161" t="s">
        <v>265</v>
      </c>
      <c r="E161" t="str">
        <f t="shared" si="3"/>
        <v>ПлатинумПереходник под гарнитуру на ноутбук</v>
      </c>
      <c r="F161">
        <v>80</v>
      </c>
      <c r="G161">
        <v>1</v>
      </c>
      <c r="H161">
        <v>80</v>
      </c>
    </row>
    <row r="162" spans="1:8" x14ac:dyDescent="0.3">
      <c r="A162" t="s">
        <v>8</v>
      </c>
      <c r="B162" t="s">
        <v>237</v>
      </c>
      <c r="C162" t="s">
        <v>53</v>
      </c>
      <c r="D162" t="s">
        <v>66</v>
      </c>
      <c r="E162" t="str">
        <f t="shared" si="3"/>
        <v>ПлатинумWiFi роутер</v>
      </c>
      <c r="F162">
        <v>700</v>
      </c>
      <c r="G162">
        <v>1</v>
      </c>
      <c r="H162">
        <v>700</v>
      </c>
    </row>
    <row r="163" spans="1:8" x14ac:dyDescent="0.3">
      <c r="A163" t="s">
        <v>8</v>
      </c>
      <c r="B163" t="s">
        <v>237</v>
      </c>
      <c r="C163" t="s">
        <v>53</v>
      </c>
      <c r="D163" t="s">
        <v>12</v>
      </c>
      <c r="E163" t="str">
        <f t="shared" si="3"/>
        <v>ПлатинумПринтер</v>
      </c>
      <c r="F163">
        <v>6000</v>
      </c>
      <c r="G163">
        <v>1</v>
      </c>
      <c r="H163">
        <v>6000</v>
      </c>
    </row>
    <row r="164" spans="1:8" x14ac:dyDescent="0.3">
      <c r="A164" t="s">
        <v>8</v>
      </c>
      <c r="B164" t="s">
        <v>237</v>
      </c>
      <c r="C164" t="s">
        <v>53</v>
      </c>
      <c r="D164" t="s">
        <v>67</v>
      </c>
      <c r="E164" t="str">
        <f t="shared" si="3"/>
        <v>ПлатинумКуллер</v>
      </c>
      <c r="F164">
        <v>1000</v>
      </c>
      <c r="G164">
        <v>1</v>
      </c>
      <c r="H164">
        <v>1000</v>
      </c>
    </row>
    <row r="165" spans="1:8" x14ac:dyDescent="0.3">
      <c r="A165" t="s">
        <v>8</v>
      </c>
      <c r="B165" t="s">
        <v>237</v>
      </c>
      <c r="C165" t="s">
        <v>53</v>
      </c>
      <c r="D165" t="s">
        <v>72</v>
      </c>
      <c r="E165" t="str">
        <f t="shared" si="3"/>
        <v>ПлатинумОхранная система</v>
      </c>
      <c r="F165">
        <v>6500</v>
      </c>
      <c r="G165">
        <v>1</v>
      </c>
      <c r="H165">
        <v>6500</v>
      </c>
    </row>
    <row r="166" spans="1:8" x14ac:dyDescent="0.3">
      <c r="A166" t="s">
        <v>8</v>
      </c>
      <c r="B166" t="s">
        <v>237</v>
      </c>
      <c r="C166" t="s">
        <v>53</v>
      </c>
      <c r="D166" t="s">
        <v>158</v>
      </c>
      <c r="E166" t="str">
        <f t="shared" si="3"/>
        <v>ПлатинумУстановка терминала</v>
      </c>
      <c r="F166">
        <v>0</v>
      </c>
      <c r="G166">
        <v>1</v>
      </c>
      <c r="H166">
        <v>0</v>
      </c>
    </row>
    <row r="167" spans="1:8" x14ac:dyDescent="0.3">
      <c r="A167" t="s">
        <v>8</v>
      </c>
      <c r="B167" t="s">
        <v>237</v>
      </c>
      <c r="C167" t="s">
        <v>0</v>
      </c>
      <c r="D167" t="s">
        <v>16</v>
      </c>
      <c r="E167" t="str">
        <f t="shared" si="3"/>
        <v>ПлатинумСтол для администратора</v>
      </c>
      <c r="G167">
        <v>1</v>
      </c>
      <c r="H167">
        <v>1000</v>
      </c>
    </row>
    <row r="168" spans="1:8" x14ac:dyDescent="0.3">
      <c r="A168" t="s">
        <v>8</v>
      </c>
      <c r="B168" t="s">
        <v>237</v>
      </c>
      <c r="C168" t="s">
        <v>0</v>
      </c>
      <c r="D168" t="s">
        <v>17</v>
      </c>
      <c r="E168" t="str">
        <f t="shared" si="3"/>
        <v>ПлатинумСтул для администратора</v>
      </c>
      <c r="F168">
        <v>500</v>
      </c>
      <c r="G168">
        <v>1</v>
      </c>
      <c r="H168">
        <v>500</v>
      </c>
    </row>
    <row r="169" spans="1:8" x14ac:dyDescent="0.3">
      <c r="A169" t="s">
        <v>8</v>
      </c>
      <c r="B169" t="s">
        <v>237</v>
      </c>
      <c r="C169" t="s">
        <v>0</v>
      </c>
      <c r="D169" t="s">
        <v>73</v>
      </c>
      <c r="E169" t="str">
        <f t="shared" si="3"/>
        <v>ПлатинумУчебные парты для учеников</v>
      </c>
      <c r="F169">
        <v>1000</v>
      </c>
      <c r="G169">
        <v>10</v>
      </c>
      <c r="H169">
        <v>10000</v>
      </c>
    </row>
    <row r="170" spans="1:8" x14ac:dyDescent="0.3">
      <c r="A170" t="s">
        <v>8</v>
      </c>
      <c r="B170" t="s">
        <v>237</v>
      </c>
      <c r="C170" t="s">
        <v>0</v>
      </c>
      <c r="D170" t="s">
        <v>74</v>
      </c>
      <c r="E170" t="str">
        <f t="shared" si="3"/>
        <v>ПлатинумУчебная парта для преподавателя</v>
      </c>
      <c r="F170">
        <v>1000</v>
      </c>
      <c r="G170">
        <v>2</v>
      </c>
      <c r="H170">
        <v>2000</v>
      </c>
    </row>
    <row r="171" spans="1:8" x14ac:dyDescent="0.3">
      <c r="A171" t="s">
        <v>8</v>
      </c>
      <c r="B171" t="s">
        <v>237</v>
      </c>
      <c r="C171" t="s">
        <v>0</v>
      </c>
      <c r="D171" t="s">
        <v>10</v>
      </c>
      <c r="E171" t="str">
        <f t="shared" si="3"/>
        <v>ПлатинумУчебные стулья</v>
      </c>
      <c r="F171">
        <v>400</v>
      </c>
      <c r="G171">
        <v>30</v>
      </c>
      <c r="H171">
        <v>12000</v>
      </c>
    </row>
    <row r="172" spans="1:8" x14ac:dyDescent="0.3">
      <c r="A172" t="s">
        <v>8</v>
      </c>
      <c r="B172" t="s">
        <v>237</v>
      </c>
      <c r="C172" t="s">
        <v>0</v>
      </c>
      <c r="D172" t="s">
        <v>20</v>
      </c>
      <c r="E172" t="str">
        <f t="shared" si="3"/>
        <v>ПлатинумМусорное ведро</v>
      </c>
      <c r="F172">
        <v>50</v>
      </c>
      <c r="G172">
        <v>1</v>
      </c>
      <c r="H172">
        <v>50</v>
      </c>
    </row>
    <row r="173" spans="1:8" x14ac:dyDescent="0.3">
      <c r="A173" t="s">
        <v>8</v>
      </c>
      <c r="B173" t="s">
        <v>237</v>
      </c>
      <c r="C173" t="s">
        <v>0</v>
      </c>
      <c r="D173" t="s">
        <v>21</v>
      </c>
      <c r="E173" t="str">
        <f t="shared" si="3"/>
        <v>Платинум2 вешалки</v>
      </c>
      <c r="F173">
        <v>500</v>
      </c>
      <c r="G173">
        <v>2</v>
      </c>
      <c r="H173">
        <v>1000</v>
      </c>
    </row>
    <row r="174" spans="1:8" x14ac:dyDescent="0.3">
      <c r="A174" t="s">
        <v>8</v>
      </c>
      <c r="B174" t="s">
        <v>237</v>
      </c>
      <c r="C174" t="s">
        <v>0</v>
      </c>
      <c r="D174" t="s">
        <v>76</v>
      </c>
      <c r="E174" t="str">
        <f t="shared" si="3"/>
        <v>ПлатинумПлечики (10 шт в 1 наборе)</v>
      </c>
      <c r="F174">
        <v>150</v>
      </c>
      <c r="G174">
        <v>4</v>
      </c>
      <c r="H174">
        <v>600</v>
      </c>
    </row>
    <row r="175" spans="1:8" x14ac:dyDescent="0.3">
      <c r="A175" t="s">
        <v>8</v>
      </c>
      <c r="B175" t="s">
        <v>237</v>
      </c>
      <c r="C175" t="s">
        <v>34</v>
      </c>
      <c r="D175" t="s">
        <v>22</v>
      </c>
      <c r="E175" t="str">
        <f t="shared" si="3"/>
        <v>ПлатинумСРМ-система. 1 аккаунт (1000 рублей на 12 мес)</v>
      </c>
      <c r="F175">
        <v>4500</v>
      </c>
      <c r="G175">
        <v>1</v>
      </c>
      <c r="H175">
        <v>4500</v>
      </c>
    </row>
    <row r="176" spans="1:8" x14ac:dyDescent="0.3">
      <c r="A176" t="s">
        <v>8</v>
      </c>
      <c r="B176" t="s">
        <v>237</v>
      </c>
      <c r="C176" t="s">
        <v>34</v>
      </c>
      <c r="D176" t="s">
        <v>23</v>
      </c>
      <c r="E176" t="str">
        <f t="shared" si="3"/>
        <v>ПлатинумУслуги телефонии (первые 2 мес - бесплатно)</v>
      </c>
      <c r="F176">
        <v>0</v>
      </c>
      <c r="G176">
        <v>0</v>
      </c>
      <c r="H176">
        <v>0</v>
      </c>
    </row>
    <row r="177" spans="1:8" x14ac:dyDescent="0.3">
      <c r="A177" t="s">
        <v>8</v>
      </c>
      <c r="B177" t="s">
        <v>237</v>
      </c>
      <c r="C177" t="s">
        <v>34</v>
      </c>
      <c r="D177" t="s">
        <v>24</v>
      </c>
      <c r="E177" t="str">
        <f t="shared" si="3"/>
        <v>Платинум3 карточки для телефонии</v>
      </c>
      <c r="F177">
        <v>200</v>
      </c>
      <c r="G177">
        <v>3</v>
      </c>
      <c r="H177">
        <v>600</v>
      </c>
    </row>
    <row r="178" spans="1:8" x14ac:dyDescent="0.3">
      <c r="A178" t="s">
        <v>8</v>
      </c>
      <c r="B178" t="s">
        <v>237</v>
      </c>
      <c r="C178" t="s">
        <v>11</v>
      </c>
      <c r="D178" t="s">
        <v>13</v>
      </c>
      <c r="E178" t="str">
        <f t="shared" si="3"/>
        <v>ПлатинумЗаказ печатных материалов</v>
      </c>
      <c r="F178">
        <v>3000</v>
      </c>
      <c r="G178">
        <v>1</v>
      </c>
      <c r="H178">
        <v>3000</v>
      </c>
    </row>
    <row r="179" spans="1:8" x14ac:dyDescent="0.3">
      <c r="A179" t="s">
        <v>8</v>
      </c>
      <c r="B179" t="s">
        <v>237</v>
      </c>
      <c r="C179" t="s">
        <v>11</v>
      </c>
      <c r="D179" t="s">
        <v>35</v>
      </c>
      <c r="E179" t="str">
        <f t="shared" si="3"/>
        <v>ПлатинумРемонтные работы</v>
      </c>
      <c r="F179">
        <v>15000</v>
      </c>
      <c r="G179">
        <v>1</v>
      </c>
      <c r="H179">
        <v>15000</v>
      </c>
    </row>
    <row r="180" spans="1:8" x14ac:dyDescent="0.3">
      <c r="A180" t="s">
        <v>8</v>
      </c>
      <c r="B180" t="s">
        <v>237</v>
      </c>
      <c r="C180" t="s">
        <v>11</v>
      </c>
      <c r="D180" t="s">
        <v>36</v>
      </c>
      <c r="E180" t="str">
        <f t="shared" si="3"/>
        <v xml:space="preserve">ПлатинумМаркетинг </v>
      </c>
      <c r="F180">
        <v>75000</v>
      </c>
      <c r="G180">
        <v>1</v>
      </c>
      <c r="H180">
        <v>75000</v>
      </c>
    </row>
    <row r="181" spans="1:8" x14ac:dyDescent="0.3">
      <c r="A181" t="s">
        <v>8</v>
      </c>
      <c r="B181" t="s">
        <v>237</v>
      </c>
      <c r="C181" t="s">
        <v>11</v>
      </c>
      <c r="D181" t="s">
        <v>37</v>
      </c>
      <c r="E181" t="str">
        <f t="shared" si="3"/>
        <v>ПлатинумАренда первый и последний мес</v>
      </c>
      <c r="F181">
        <v>20000</v>
      </c>
      <c r="G181">
        <v>2</v>
      </c>
      <c r="H181">
        <v>40000</v>
      </c>
    </row>
    <row r="182" spans="1:8" x14ac:dyDescent="0.3">
      <c r="A182" t="s">
        <v>8</v>
      </c>
      <c r="B182" t="s">
        <v>237</v>
      </c>
      <c r="C182" t="s">
        <v>11</v>
      </c>
      <c r="D182" t="s">
        <v>69</v>
      </c>
      <c r="E182" t="str">
        <f t="shared" si="3"/>
        <v>ПлатинумУслуги брокера</v>
      </c>
      <c r="F182">
        <v>0.5</v>
      </c>
      <c r="G182">
        <v>1</v>
      </c>
      <c r="H182">
        <v>10000</v>
      </c>
    </row>
    <row r="183" spans="1:8" x14ac:dyDescent="0.3">
      <c r="A183" t="s">
        <v>8</v>
      </c>
      <c r="B183" t="s">
        <v>237</v>
      </c>
      <c r="C183" t="s">
        <v>11</v>
      </c>
      <c r="D183" t="s">
        <v>71</v>
      </c>
      <c r="E183" t="str">
        <f t="shared" si="3"/>
        <v>ПлатинумКанцтовары (ручки, бумага, ножницы, степлеры, фломастеры, стерки для досок)</v>
      </c>
      <c r="F183">
        <v>4000</v>
      </c>
      <c r="G183">
        <v>1</v>
      </c>
      <c r="H183">
        <v>4000</v>
      </c>
    </row>
    <row r="184" spans="1:8" x14ac:dyDescent="0.3">
      <c r="A184" t="s">
        <v>8</v>
      </c>
      <c r="B184" t="s">
        <v>237</v>
      </c>
      <c r="C184" t="s">
        <v>11</v>
      </c>
      <c r="D184" t="s">
        <v>38</v>
      </c>
      <c r="E184" t="str">
        <f t="shared" si="3"/>
        <v>ПлатинумБейджики</v>
      </c>
      <c r="F184">
        <v>350</v>
      </c>
      <c r="G184">
        <v>4</v>
      </c>
      <c r="H184">
        <v>1400</v>
      </c>
    </row>
    <row r="185" spans="1:8" x14ac:dyDescent="0.3">
      <c r="A185" t="s">
        <v>8</v>
      </c>
      <c r="B185" t="s">
        <v>237</v>
      </c>
      <c r="C185" t="s">
        <v>11</v>
      </c>
      <c r="D185" t="s">
        <v>40</v>
      </c>
      <c r="E185" t="str">
        <f t="shared" si="3"/>
        <v>ПлатинумВывеска</v>
      </c>
      <c r="F185">
        <v>4000</v>
      </c>
      <c r="G185">
        <v>1</v>
      </c>
      <c r="H185">
        <v>4000</v>
      </c>
    </row>
    <row r="186" spans="1:8" x14ac:dyDescent="0.3">
      <c r="A186" t="s">
        <v>8</v>
      </c>
      <c r="B186" t="s">
        <v>237</v>
      </c>
      <c r="C186" t="s">
        <v>11</v>
      </c>
      <c r="D186" t="s">
        <v>41</v>
      </c>
      <c r="E186" t="str">
        <f t="shared" si="3"/>
        <v>ПлатинумУслуги юриста</v>
      </c>
      <c r="F186">
        <v>2000</v>
      </c>
      <c r="G186">
        <v>1</v>
      </c>
      <c r="H186">
        <v>2000</v>
      </c>
    </row>
    <row r="187" spans="1:8" x14ac:dyDescent="0.3">
      <c r="A187" t="s">
        <v>8</v>
      </c>
      <c r="B187" t="s">
        <v>237</v>
      </c>
      <c r="C187" t="s">
        <v>11</v>
      </c>
      <c r="D187" t="s">
        <v>42</v>
      </c>
      <c r="E187" t="str">
        <f t="shared" si="3"/>
        <v>ПлатинумУслуги бухгалтера</v>
      </c>
      <c r="F187">
        <v>2000</v>
      </c>
      <c r="G187">
        <v>1</v>
      </c>
      <c r="H187">
        <v>2000</v>
      </c>
    </row>
    <row r="188" spans="1:8" x14ac:dyDescent="0.3">
      <c r="A188" t="s">
        <v>8</v>
      </c>
      <c r="B188" t="s">
        <v>237</v>
      </c>
      <c r="C188" t="s">
        <v>11</v>
      </c>
      <c r="D188" t="s">
        <v>70</v>
      </c>
      <c r="E188" t="str">
        <f t="shared" si="3"/>
        <v>ПлатинумПошлины за оформление документов (открытие ФОП)</v>
      </c>
      <c r="F188">
        <v>1500</v>
      </c>
      <c r="G188">
        <v>1</v>
      </c>
      <c r="H188">
        <v>1500</v>
      </c>
    </row>
    <row r="189" spans="1:8" x14ac:dyDescent="0.3">
      <c r="A189" t="s">
        <v>8</v>
      </c>
      <c r="B189" t="s">
        <v>237</v>
      </c>
      <c r="C189" t="s">
        <v>11</v>
      </c>
      <c r="D189" t="s">
        <v>44</v>
      </c>
      <c r="E189" t="str">
        <f t="shared" si="3"/>
        <v>ПлатинумРазмещение вакансий</v>
      </c>
      <c r="F189">
        <v>1500</v>
      </c>
      <c r="G189">
        <v>2</v>
      </c>
      <c r="H189">
        <v>3000</v>
      </c>
    </row>
    <row r="190" spans="1:8" x14ac:dyDescent="0.3">
      <c r="A190" t="s">
        <v>8</v>
      </c>
      <c r="B190" t="s">
        <v>237</v>
      </c>
      <c r="C190" t="s">
        <v>11</v>
      </c>
      <c r="D190" t="s">
        <v>51</v>
      </c>
      <c r="E190" t="str">
        <f t="shared" si="3"/>
        <v>ПлатинумШвабры, ведра, тряпки</v>
      </c>
      <c r="F190">
        <v>500</v>
      </c>
      <c r="G190">
        <v>1</v>
      </c>
      <c r="H190">
        <v>500</v>
      </c>
    </row>
    <row r="191" spans="1:8" x14ac:dyDescent="0.3">
      <c r="A191" t="s">
        <v>8</v>
      </c>
      <c r="B191" t="s">
        <v>237</v>
      </c>
      <c r="C191" t="s">
        <v>11</v>
      </c>
      <c r="D191" t="s">
        <v>45</v>
      </c>
      <c r="E191" t="str">
        <f t="shared" si="3"/>
        <v>ПлатинумДругие расходы</v>
      </c>
      <c r="G191">
        <v>0.05</v>
      </c>
      <c r="H191">
        <v>12250</v>
      </c>
    </row>
    <row r="192" spans="1:8" x14ac:dyDescent="0.3">
      <c r="A192" t="s">
        <v>8</v>
      </c>
      <c r="B192" t="s">
        <v>237</v>
      </c>
      <c r="C192" t="s">
        <v>11</v>
      </c>
      <c r="D192" t="s">
        <v>261</v>
      </c>
      <c r="E192" t="str">
        <f t="shared" si="3"/>
        <v>Платинум*для регионов вне Киева (один день проживания франчайзера при обучении франчайзи)</v>
      </c>
      <c r="F192">
        <v>1000</v>
      </c>
      <c r="G192">
        <v>7</v>
      </c>
      <c r="H192">
        <v>7000</v>
      </c>
    </row>
    <row r="193" spans="1:8" x14ac:dyDescent="0.3">
      <c r="A193" t="s">
        <v>8</v>
      </c>
      <c r="B193" t="s">
        <v>237</v>
      </c>
      <c r="C193" t="s">
        <v>46</v>
      </c>
      <c r="D193" t="s">
        <v>47</v>
      </c>
      <c r="E193" t="str">
        <f t="shared" si="3"/>
        <v>ПлатинумПуфики</v>
      </c>
      <c r="F193">
        <v>700</v>
      </c>
      <c r="G193">
        <v>6</v>
      </c>
      <c r="H193">
        <v>4200</v>
      </c>
    </row>
    <row r="194" spans="1:8" x14ac:dyDescent="0.3">
      <c r="A194" t="s">
        <v>8</v>
      </c>
      <c r="B194" t="s">
        <v>237</v>
      </c>
      <c r="C194" t="s">
        <v>46</v>
      </c>
      <c r="D194" t="s">
        <v>48</v>
      </c>
      <c r="E194" t="str">
        <f t="shared" si="3"/>
        <v>ПлатинумНастольные игры</v>
      </c>
      <c r="F194">
        <v>2000</v>
      </c>
      <c r="G194">
        <v>1</v>
      </c>
      <c r="H194">
        <v>2000</v>
      </c>
    </row>
    <row r="195" spans="1:8" x14ac:dyDescent="0.3">
      <c r="A195" t="s">
        <v>8</v>
      </c>
      <c r="B195" t="s">
        <v>237</v>
      </c>
      <c r="C195" t="s">
        <v>46</v>
      </c>
      <c r="D195" t="s">
        <v>49</v>
      </c>
      <c r="E195" t="str">
        <f t="shared" si="3"/>
        <v>ПлатинумСпортинвентарь</v>
      </c>
      <c r="F195">
        <v>2000</v>
      </c>
      <c r="G195">
        <v>1</v>
      </c>
      <c r="H195">
        <v>2000</v>
      </c>
    </row>
    <row r="196" spans="1:8" x14ac:dyDescent="0.3">
      <c r="A196" t="s">
        <v>8</v>
      </c>
      <c r="B196" t="s">
        <v>237</v>
      </c>
      <c r="C196" t="s">
        <v>46</v>
      </c>
      <c r="D196" t="s">
        <v>50</v>
      </c>
      <c r="E196" t="str">
        <f t="shared" ref="E196:E214" si="4">A196&amp;D196</f>
        <v>ПлатинумВентилятор</v>
      </c>
      <c r="F196">
        <v>500</v>
      </c>
      <c r="G196">
        <v>2</v>
      </c>
      <c r="H196">
        <v>1000</v>
      </c>
    </row>
    <row r="197" spans="1:8" x14ac:dyDescent="0.3">
      <c r="A197" t="s">
        <v>8</v>
      </c>
      <c r="B197" t="s">
        <v>237</v>
      </c>
      <c r="C197" t="s">
        <v>46</v>
      </c>
      <c r="D197" t="s">
        <v>52</v>
      </c>
      <c r="E197" t="str">
        <f t="shared" si="4"/>
        <v>ПлатинумПазлы, разрисовки</v>
      </c>
      <c r="F197">
        <v>1000</v>
      </c>
      <c r="G197">
        <v>1</v>
      </c>
      <c r="H197">
        <v>1000</v>
      </c>
    </row>
    <row r="198" spans="1:8" x14ac:dyDescent="0.3">
      <c r="A198" t="s">
        <v>7</v>
      </c>
      <c r="B198" t="s">
        <v>237</v>
      </c>
      <c r="C198" t="s">
        <v>81</v>
      </c>
      <c r="D198" t="s">
        <v>55</v>
      </c>
      <c r="E198" t="str">
        <f t="shared" si="4"/>
        <v>БизнесУчебный набор EV3 Education (45544)</v>
      </c>
      <c r="F198">
        <v>17074</v>
      </c>
      <c r="G198">
        <v>5</v>
      </c>
      <c r="H198">
        <v>85370</v>
      </c>
    </row>
    <row r="199" spans="1:8" x14ac:dyDescent="0.3">
      <c r="A199" t="s">
        <v>7</v>
      </c>
      <c r="B199" t="s">
        <v>237</v>
      </c>
      <c r="C199" t="s">
        <v>81</v>
      </c>
      <c r="D199" t="s">
        <v>56</v>
      </c>
      <c r="E199" t="str">
        <f t="shared" si="4"/>
        <v>БизнесУчебный ресурсный набор к EV3 (45560)</v>
      </c>
      <c r="F199">
        <v>4600</v>
      </c>
      <c r="G199">
        <v>3</v>
      </c>
      <c r="H199">
        <v>13800</v>
      </c>
    </row>
    <row r="200" spans="1:8" x14ac:dyDescent="0.3">
      <c r="A200" t="s">
        <v>7</v>
      </c>
      <c r="B200" t="s">
        <v>237</v>
      </c>
      <c r="C200" t="s">
        <v>81</v>
      </c>
      <c r="D200" t="s">
        <v>57</v>
      </c>
      <c r="E200" t="str">
        <f t="shared" si="4"/>
        <v>БизнесИнфракрасный датчик (45509)</v>
      </c>
      <c r="F200">
        <v>1503</v>
      </c>
      <c r="G200">
        <v>5</v>
      </c>
      <c r="H200">
        <v>7515</v>
      </c>
    </row>
    <row r="201" spans="1:8" x14ac:dyDescent="0.3">
      <c r="A201" t="s">
        <v>7</v>
      </c>
      <c r="B201" t="s">
        <v>237</v>
      </c>
      <c r="C201" t="s">
        <v>81</v>
      </c>
      <c r="D201" t="s">
        <v>58</v>
      </c>
      <c r="E201" t="str">
        <f t="shared" si="4"/>
        <v>БизнесИнфракрасный пульт (45508)</v>
      </c>
      <c r="F201">
        <v>1330</v>
      </c>
      <c r="G201">
        <v>5</v>
      </c>
      <c r="H201">
        <v>6650</v>
      </c>
    </row>
    <row r="202" spans="1:8" x14ac:dyDescent="0.3">
      <c r="A202" t="s">
        <v>7</v>
      </c>
      <c r="B202" t="s">
        <v>237</v>
      </c>
      <c r="C202" t="s">
        <v>81</v>
      </c>
      <c r="D202" t="s">
        <v>59</v>
      </c>
      <c r="E202" t="str">
        <f t="shared" si="4"/>
        <v>БизнесЗарядка (45517)</v>
      </c>
      <c r="F202">
        <v>350</v>
      </c>
      <c r="G202">
        <v>2</v>
      </c>
      <c r="H202">
        <v>700</v>
      </c>
    </row>
    <row r="203" spans="1:8" x14ac:dyDescent="0.3">
      <c r="A203" t="s">
        <v>7</v>
      </c>
      <c r="B203" t="s">
        <v>237</v>
      </c>
      <c r="C203" t="s">
        <v>81</v>
      </c>
      <c r="D203" t="s">
        <v>60</v>
      </c>
      <c r="E203" t="str">
        <f t="shared" si="4"/>
        <v>БизнесДатчик цвета (45506)</v>
      </c>
      <c r="F203">
        <v>1330</v>
      </c>
      <c r="G203">
        <v>5</v>
      </c>
      <c r="H203">
        <v>6650</v>
      </c>
    </row>
    <row r="204" spans="1:8" x14ac:dyDescent="0.3">
      <c r="A204" t="s">
        <v>7</v>
      </c>
      <c r="B204" t="s">
        <v>237</v>
      </c>
      <c r="C204" t="s">
        <v>81</v>
      </c>
      <c r="D204" t="s">
        <v>61</v>
      </c>
      <c r="E204" t="str">
        <f t="shared" si="4"/>
        <v>БизнесДатчик температуры (9749)</v>
      </c>
      <c r="F204">
        <v>1664</v>
      </c>
      <c r="G204">
        <v>5</v>
      </c>
      <c r="H204">
        <v>8320</v>
      </c>
    </row>
    <row r="205" spans="1:8" x14ac:dyDescent="0.3">
      <c r="A205" t="s">
        <v>7</v>
      </c>
      <c r="B205" t="s">
        <v>237</v>
      </c>
      <c r="C205" t="s">
        <v>81</v>
      </c>
      <c r="D205" t="s">
        <v>224</v>
      </c>
      <c r="E205" t="str">
        <f t="shared" si="4"/>
        <v>БизнесДатчик ультразвука (45504)</v>
      </c>
      <c r="F205">
        <v>1227</v>
      </c>
      <c r="G205">
        <v>5</v>
      </c>
      <c r="H205">
        <v>6135</v>
      </c>
    </row>
    <row r="206" spans="1:8" x14ac:dyDescent="0.3">
      <c r="A206" t="s">
        <v>7</v>
      </c>
      <c r="B206" t="s">
        <v>237</v>
      </c>
      <c r="C206" t="s">
        <v>81</v>
      </c>
      <c r="D206" t="s">
        <v>223</v>
      </c>
      <c r="E206" t="str">
        <f t="shared" si="4"/>
        <v>БизнесГироскопический датчик (45505)</v>
      </c>
      <c r="F206">
        <v>1227</v>
      </c>
      <c r="G206">
        <v>5</v>
      </c>
      <c r="H206">
        <v>6135</v>
      </c>
    </row>
    <row r="207" spans="1:8" x14ac:dyDescent="0.3">
      <c r="A207" t="s">
        <v>7</v>
      </c>
      <c r="B207" t="s">
        <v>237</v>
      </c>
      <c r="C207" t="s">
        <v>81</v>
      </c>
      <c r="D207" t="s">
        <v>30</v>
      </c>
      <c r="E207" t="str">
        <f t="shared" si="4"/>
        <v>БизнесНоутбуки для детей</v>
      </c>
      <c r="F207">
        <v>6000</v>
      </c>
      <c r="G207">
        <v>5</v>
      </c>
      <c r="H207">
        <v>30000</v>
      </c>
    </row>
    <row r="208" spans="1:8" x14ac:dyDescent="0.3">
      <c r="A208" t="s">
        <v>7</v>
      </c>
      <c r="B208" t="s">
        <v>237</v>
      </c>
      <c r="C208" t="s">
        <v>81</v>
      </c>
      <c r="D208" t="s">
        <v>62</v>
      </c>
      <c r="E208" t="str">
        <f t="shared" si="4"/>
        <v>БизнесНоутбук для преподавателя</v>
      </c>
      <c r="F208">
        <v>6000</v>
      </c>
      <c r="G208">
        <v>1</v>
      </c>
      <c r="H208">
        <v>6000</v>
      </c>
    </row>
    <row r="209" spans="1:8" x14ac:dyDescent="0.3">
      <c r="A209" t="s">
        <v>7</v>
      </c>
      <c r="B209" t="s">
        <v>237</v>
      </c>
      <c r="C209" t="s">
        <v>81</v>
      </c>
      <c r="D209" t="s">
        <v>32</v>
      </c>
      <c r="E209" t="str">
        <f t="shared" si="4"/>
        <v>БизнесМышки для детей</v>
      </c>
      <c r="F209">
        <v>150</v>
      </c>
      <c r="G209">
        <v>6</v>
      </c>
      <c r="H209">
        <v>900</v>
      </c>
    </row>
    <row r="210" spans="1:8" x14ac:dyDescent="0.3">
      <c r="A210" t="s">
        <v>7</v>
      </c>
      <c r="B210" t="s">
        <v>237</v>
      </c>
      <c r="C210" t="s">
        <v>81</v>
      </c>
      <c r="D210" t="s">
        <v>63</v>
      </c>
      <c r="E210" t="str">
        <f t="shared" si="4"/>
        <v>БизнесМышка для преподавателя</v>
      </c>
      <c r="F210">
        <v>150</v>
      </c>
      <c r="G210">
        <v>1</v>
      </c>
      <c r="H210">
        <v>150</v>
      </c>
    </row>
    <row r="211" spans="1:8" x14ac:dyDescent="0.3">
      <c r="A211" t="s">
        <v>7</v>
      </c>
      <c r="B211" t="s">
        <v>237</v>
      </c>
      <c r="C211" t="s">
        <v>81</v>
      </c>
      <c r="D211" t="s">
        <v>9</v>
      </c>
      <c r="E211" t="str">
        <f t="shared" si="4"/>
        <v>БизнесПереноски</v>
      </c>
      <c r="F211">
        <v>100</v>
      </c>
      <c r="G211">
        <v>5</v>
      </c>
      <c r="H211">
        <v>500</v>
      </c>
    </row>
    <row r="212" spans="1:8" x14ac:dyDescent="0.3">
      <c r="A212" t="s">
        <v>7</v>
      </c>
      <c r="B212" t="s">
        <v>237</v>
      </c>
      <c r="C212" t="s">
        <v>81</v>
      </c>
      <c r="D212" t="s">
        <v>14</v>
      </c>
      <c r="E212" t="str">
        <f t="shared" si="4"/>
        <v>БизнесПроектор</v>
      </c>
      <c r="F212">
        <v>8000</v>
      </c>
      <c r="G212">
        <v>1</v>
      </c>
      <c r="H212">
        <v>8000</v>
      </c>
    </row>
    <row r="213" spans="1:8" x14ac:dyDescent="0.3">
      <c r="A213" t="s">
        <v>7</v>
      </c>
      <c r="B213" t="s">
        <v>237</v>
      </c>
      <c r="C213" t="s">
        <v>81</v>
      </c>
      <c r="D213" t="s">
        <v>15</v>
      </c>
      <c r="E213" t="str">
        <f t="shared" si="4"/>
        <v>БизнесШтатив под проектор</v>
      </c>
      <c r="F213">
        <v>400</v>
      </c>
      <c r="G213">
        <v>1</v>
      </c>
      <c r="H213">
        <v>400</v>
      </c>
    </row>
    <row r="214" spans="1:8" x14ac:dyDescent="0.3">
      <c r="A214" t="s">
        <v>7</v>
      </c>
      <c r="B214" t="s">
        <v>237</v>
      </c>
      <c r="C214" t="s">
        <v>81</v>
      </c>
      <c r="D214" t="s">
        <v>39</v>
      </c>
      <c r="E214" t="str">
        <f t="shared" si="4"/>
        <v>БизнесМаркерная доска</v>
      </c>
      <c r="F214">
        <v>1600</v>
      </c>
      <c r="G214">
        <v>1</v>
      </c>
      <c r="H214">
        <v>1600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347"/>
  <sheetViews>
    <sheetView topLeftCell="A334" workbookViewId="0">
      <selection activeCell="B345" sqref="B345"/>
    </sheetView>
  </sheetViews>
  <sheetFormatPr defaultRowHeight="15.6" x14ac:dyDescent="0.3"/>
  <cols>
    <col min="2" max="3" width="25.5" customWidth="1"/>
    <col min="4" max="4" width="51.19921875" customWidth="1"/>
    <col min="33" max="33" width="11.09765625" customWidth="1"/>
  </cols>
  <sheetData>
    <row r="1" spans="1:33" ht="16.2" thickBot="1" x14ac:dyDescent="0.35">
      <c r="D1" t="s">
        <v>238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  <c r="X1">
        <v>21</v>
      </c>
      <c r="Y1">
        <v>22</v>
      </c>
      <c r="Z1">
        <v>23</v>
      </c>
      <c r="AA1">
        <v>24</v>
      </c>
      <c r="AB1">
        <v>25</v>
      </c>
      <c r="AC1">
        <v>26</v>
      </c>
      <c r="AD1">
        <v>27</v>
      </c>
      <c r="AE1">
        <v>28</v>
      </c>
      <c r="AF1">
        <v>29</v>
      </c>
      <c r="AG1">
        <v>30</v>
      </c>
    </row>
    <row r="2" spans="1:33" ht="39.75" customHeight="1" thickBot="1" x14ac:dyDescent="0.35">
      <c r="E2" s="194" t="s">
        <v>91</v>
      </c>
      <c r="F2" s="195" t="s">
        <v>92</v>
      </c>
      <c r="G2" s="196" t="s">
        <v>93</v>
      </c>
      <c r="H2" s="197" t="s">
        <v>134</v>
      </c>
      <c r="I2" s="198" t="s">
        <v>94</v>
      </c>
      <c r="J2" s="199" t="s">
        <v>95</v>
      </c>
      <c r="K2" s="200" t="s">
        <v>96</v>
      </c>
      <c r="L2" s="200" t="s">
        <v>97</v>
      </c>
      <c r="M2" s="200" t="s">
        <v>98</v>
      </c>
      <c r="N2" s="200" t="s">
        <v>99</v>
      </c>
      <c r="O2" s="199" t="s">
        <v>100</v>
      </c>
      <c r="P2" s="200" t="s">
        <v>101</v>
      </c>
      <c r="Q2" s="200" t="s">
        <v>102</v>
      </c>
      <c r="R2" s="195" t="s">
        <v>103</v>
      </c>
      <c r="S2" s="196" t="s">
        <v>104</v>
      </c>
      <c r="T2" s="196" t="s">
        <v>105</v>
      </c>
      <c r="U2" s="197" t="s">
        <v>90</v>
      </c>
      <c r="V2" s="196" t="s">
        <v>106</v>
      </c>
      <c r="W2" s="202" t="s">
        <v>107</v>
      </c>
      <c r="X2" s="196" t="s">
        <v>108</v>
      </c>
      <c r="Y2" s="202" t="s">
        <v>109</v>
      </c>
      <c r="Z2" s="203" t="s">
        <v>110</v>
      </c>
      <c r="AA2" s="200" t="s">
        <v>111</v>
      </c>
      <c r="AB2" s="200" t="s">
        <v>112</v>
      </c>
      <c r="AC2" s="200" t="s">
        <v>113</v>
      </c>
      <c r="AD2" s="200" t="s">
        <v>135</v>
      </c>
      <c r="AE2" s="200" t="s">
        <v>136</v>
      </c>
      <c r="AF2" s="200" t="s">
        <v>115</v>
      </c>
      <c r="AG2" s="201" t="s">
        <v>116</v>
      </c>
    </row>
    <row r="3" spans="1:33" x14ac:dyDescent="0.3">
      <c r="A3" t="s">
        <v>236</v>
      </c>
      <c r="B3" t="s">
        <v>182</v>
      </c>
      <c r="C3" t="s">
        <v>131</v>
      </c>
      <c r="D3" t="str">
        <f>A3&amp;B3&amp;C3&amp;R3</f>
        <v>СТАРТОптимистичный вариантПромоутеры1</v>
      </c>
      <c r="E3" s="17">
        <v>150</v>
      </c>
      <c r="F3" s="24">
        <v>10</v>
      </c>
      <c r="G3" s="24">
        <v>15</v>
      </c>
      <c r="H3" s="24">
        <v>3</v>
      </c>
      <c r="I3" s="49">
        <v>0.25</v>
      </c>
      <c r="J3" s="50">
        <v>37.5</v>
      </c>
      <c r="K3" s="50">
        <v>10</v>
      </c>
      <c r="L3" s="50">
        <v>3.75</v>
      </c>
      <c r="M3" s="51">
        <v>0.89285714285714279</v>
      </c>
      <c r="N3" s="52">
        <v>0.5</v>
      </c>
      <c r="O3" s="50">
        <v>18</v>
      </c>
      <c r="P3" s="52">
        <v>0.35</v>
      </c>
      <c r="Q3" s="69">
        <v>0.5</v>
      </c>
      <c r="R3" s="77">
        <v>1</v>
      </c>
      <c r="S3" s="78">
        <v>350</v>
      </c>
      <c r="T3" s="78">
        <v>400</v>
      </c>
      <c r="U3" s="79">
        <v>5490</v>
      </c>
      <c r="V3" s="218">
        <v>7200</v>
      </c>
      <c r="W3" s="218">
        <v>7</v>
      </c>
      <c r="X3" s="218">
        <v>38430</v>
      </c>
      <c r="Y3" s="218">
        <v>7</v>
      </c>
      <c r="Z3" s="219">
        <v>6300</v>
      </c>
      <c r="AA3" s="204">
        <v>0</v>
      </c>
      <c r="AB3" s="205">
        <v>0</v>
      </c>
      <c r="AC3" s="205">
        <v>45630</v>
      </c>
      <c r="AD3" s="205">
        <v>2</v>
      </c>
      <c r="AE3" s="205">
        <v>2</v>
      </c>
      <c r="AF3" s="205">
        <v>6880</v>
      </c>
      <c r="AG3" s="206">
        <v>32450</v>
      </c>
    </row>
    <row r="4" spans="1:33" x14ac:dyDescent="0.3">
      <c r="A4" t="s">
        <v>236</v>
      </c>
      <c r="B4" t="s">
        <v>182</v>
      </c>
      <c r="C4" t="s">
        <v>131</v>
      </c>
      <c r="D4" t="str">
        <f t="shared" ref="D4:D34" si="0">A4&amp;B4&amp;C4&amp;R4</f>
        <v>СТАРТОптимистичный вариантПромоутеры2</v>
      </c>
      <c r="E4" s="18">
        <v>150</v>
      </c>
      <c r="F4" s="24">
        <v>10</v>
      </c>
      <c r="G4" s="24">
        <v>15</v>
      </c>
      <c r="H4" s="24">
        <v>3</v>
      </c>
      <c r="I4" s="26">
        <v>0.25</v>
      </c>
      <c r="J4" s="27">
        <v>37.5</v>
      </c>
      <c r="K4" s="27">
        <v>10</v>
      </c>
      <c r="L4" s="27">
        <v>3.75</v>
      </c>
      <c r="M4" s="48">
        <v>0.89285714285714279</v>
      </c>
      <c r="N4" s="28">
        <v>0.5</v>
      </c>
      <c r="O4" s="27">
        <v>18</v>
      </c>
      <c r="P4" s="28">
        <v>0.35</v>
      </c>
      <c r="Q4" s="70">
        <v>0.5</v>
      </c>
      <c r="R4" s="29">
        <v>2</v>
      </c>
      <c r="S4" s="30">
        <v>350</v>
      </c>
      <c r="T4" s="30">
        <v>400</v>
      </c>
      <c r="U4" s="31">
        <v>5490</v>
      </c>
      <c r="V4" s="222">
        <v>7200</v>
      </c>
      <c r="W4" s="222">
        <v>7</v>
      </c>
      <c r="X4" s="222">
        <v>38430</v>
      </c>
      <c r="Y4" s="222">
        <v>14</v>
      </c>
      <c r="Z4" s="223">
        <v>6300</v>
      </c>
      <c r="AA4" s="207">
        <v>0</v>
      </c>
      <c r="AB4" s="208">
        <v>0</v>
      </c>
      <c r="AC4" s="208">
        <v>45630</v>
      </c>
      <c r="AD4" s="208">
        <v>3</v>
      </c>
      <c r="AE4" s="208">
        <v>2</v>
      </c>
      <c r="AF4" s="208">
        <v>8600</v>
      </c>
      <c r="AG4" s="138">
        <v>37030</v>
      </c>
    </row>
    <row r="5" spans="1:33" x14ac:dyDescent="0.3">
      <c r="A5" t="s">
        <v>236</v>
      </c>
      <c r="B5" t="s">
        <v>182</v>
      </c>
      <c r="C5" t="s">
        <v>131</v>
      </c>
      <c r="D5" t="str">
        <f t="shared" si="0"/>
        <v>СТАРТОптимистичный вариантПромоутеры3</v>
      </c>
      <c r="E5" s="18">
        <v>150</v>
      </c>
      <c r="F5" s="24">
        <v>10</v>
      </c>
      <c r="G5" s="24">
        <v>15</v>
      </c>
      <c r="H5" s="24">
        <v>3</v>
      </c>
      <c r="I5" s="26">
        <v>0.25</v>
      </c>
      <c r="J5" s="27">
        <v>37.5</v>
      </c>
      <c r="K5" s="27">
        <v>10</v>
      </c>
      <c r="L5" s="27">
        <v>3.75</v>
      </c>
      <c r="M5" s="48">
        <v>0.89285714285714279</v>
      </c>
      <c r="N5" s="28">
        <v>0.5</v>
      </c>
      <c r="O5" s="27">
        <v>18</v>
      </c>
      <c r="P5" s="28">
        <v>0.35</v>
      </c>
      <c r="Q5" s="70">
        <v>0.5</v>
      </c>
      <c r="R5" s="29">
        <v>3</v>
      </c>
      <c r="S5" s="30">
        <v>350</v>
      </c>
      <c r="T5" s="30">
        <v>400</v>
      </c>
      <c r="U5" s="31">
        <v>5490</v>
      </c>
      <c r="V5" s="222">
        <v>7200</v>
      </c>
      <c r="W5" s="222">
        <v>7</v>
      </c>
      <c r="X5" s="222">
        <v>38430</v>
      </c>
      <c r="Y5" s="222">
        <v>21</v>
      </c>
      <c r="Z5" s="223">
        <v>6300</v>
      </c>
      <c r="AA5" s="207">
        <v>0</v>
      </c>
      <c r="AB5" s="208">
        <v>0</v>
      </c>
      <c r="AC5" s="208">
        <v>45630</v>
      </c>
      <c r="AD5" s="208">
        <v>4</v>
      </c>
      <c r="AE5" s="208">
        <v>2</v>
      </c>
      <c r="AF5" s="208">
        <v>10320</v>
      </c>
      <c r="AG5" s="138">
        <v>35310</v>
      </c>
    </row>
    <row r="6" spans="1:33" x14ac:dyDescent="0.3">
      <c r="A6" t="s">
        <v>236</v>
      </c>
      <c r="B6" t="s">
        <v>182</v>
      </c>
      <c r="C6" t="s">
        <v>131</v>
      </c>
      <c r="D6" t="str">
        <f t="shared" si="0"/>
        <v>СТАРТОптимистичный вариантПромоутеры4</v>
      </c>
      <c r="E6" s="18">
        <v>150</v>
      </c>
      <c r="F6" s="24">
        <v>10</v>
      </c>
      <c r="G6" s="24">
        <v>15</v>
      </c>
      <c r="H6" s="24">
        <v>3</v>
      </c>
      <c r="I6" s="26">
        <v>0.25</v>
      </c>
      <c r="J6" s="27">
        <v>37.5</v>
      </c>
      <c r="K6" s="27">
        <v>10</v>
      </c>
      <c r="L6" s="27">
        <v>3.75</v>
      </c>
      <c r="M6" s="48">
        <v>0.89285714285714279</v>
      </c>
      <c r="N6" s="28">
        <v>0.5</v>
      </c>
      <c r="O6" s="27">
        <v>18</v>
      </c>
      <c r="P6" s="28">
        <v>0.35</v>
      </c>
      <c r="Q6" s="70">
        <v>0.5</v>
      </c>
      <c r="R6" s="29">
        <v>4</v>
      </c>
      <c r="S6" s="30">
        <v>350</v>
      </c>
      <c r="T6" s="30">
        <v>400</v>
      </c>
      <c r="U6" s="31">
        <v>5490</v>
      </c>
      <c r="V6" s="222">
        <v>7200</v>
      </c>
      <c r="W6" s="222">
        <v>7</v>
      </c>
      <c r="X6" s="222">
        <v>38430</v>
      </c>
      <c r="Y6" s="222">
        <v>28</v>
      </c>
      <c r="Z6" s="223">
        <v>6300</v>
      </c>
      <c r="AA6" s="207">
        <v>0</v>
      </c>
      <c r="AB6" s="208">
        <v>0</v>
      </c>
      <c r="AC6" s="208">
        <v>45630</v>
      </c>
      <c r="AD6" s="208">
        <v>5</v>
      </c>
      <c r="AE6" s="208">
        <v>2</v>
      </c>
      <c r="AF6" s="208">
        <v>12040</v>
      </c>
      <c r="AG6" s="138">
        <v>33590</v>
      </c>
    </row>
    <row r="7" spans="1:33" x14ac:dyDescent="0.3">
      <c r="A7" t="s">
        <v>236</v>
      </c>
      <c r="B7" t="s">
        <v>182</v>
      </c>
      <c r="C7" t="s">
        <v>131</v>
      </c>
      <c r="D7" t="str">
        <f t="shared" si="0"/>
        <v>СТАРТОптимистичный вариантПромоутеры5</v>
      </c>
      <c r="E7" s="18">
        <v>150</v>
      </c>
      <c r="F7" s="32">
        <v>10</v>
      </c>
      <c r="G7" s="32">
        <v>15</v>
      </c>
      <c r="H7" s="32">
        <v>3</v>
      </c>
      <c r="I7" s="73">
        <v>0.25</v>
      </c>
      <c r="J7" s="34">
        <v>37.5</v>
      </c>
      <c r="K7" s="34">
        <v>10</v>
      </c>
      <c r="L7" s="34">
        <v>3.75</v>
      </c>
      <c r="M7" s="74">
        <v>0.89285714285714279</v>
      </c>
      <c r="N7" s="75">
        <v>0.5</v>
      </c>
      <c r="O7" s="80">
        <v>18</v>
      </c>
      <c r="P7" s="75">
        <v>0.35</v>
      </c>
      <c r="Q7" s="71">
        <v>0.5</v>
      </c>
      <c r="R7" s="35">
        <v>5</v>
      </c>
      <c r="S7" s="76">
        <v>350</v>
      </c>
      <c r="T7" s="36">
        <v>400</v>
      </c>
      <c r="U7" s="37">
        <v>5490</v>
      </c>
      <c r="V7" s="227">
        <v>7200</v>
      </c>
      <c r="W7" s="227">
        <v>7</v>
      </c>
      <c r="X7" s="227">
        <v>38430</v>
      </c>
      <c r="Y7" s="227">
        <v>32</v>
      </c>
      <c r="Z7" s="228">
        <v>6300</v>
      </c>
      <c r="AA7" s="209">
        <v>3</v>
      </c>
      <c r="AB7" s="210">
        <v>16470</v>
      </c>
      <c r="AC7" s="211">
        <v>62100</v>
      </c>
      <c r="AD7" s="211">
        <v>5</v>
      </c>
      <c r="AE7" s="211">
        <v>2</v>
      </c>
      <c r="AF7" s="211">
        <v>12040</v>
      </c>
      <c r="AG7" s="212">
        <v>50060</v>
      </c>
    </row>
    <row r="8" spans="1:33" x14ac:dyDescent="0.3">
      <c r="A8" t="s">
        <v>236</v>
      </c>
      <c r="B8" t="s">
        <v>182</v>
      </c>
      <c r="C8" t="s">
        <v>131</v>
      </c>
      <c r="D8" t="str">
        <f t="shared" si="0"/>
        <v>СТАРТОптимистичный вариантПромоутеры6</v>
      </c>
      <c r="E8" s="18">
        <v>150</v>
      </c>
      <c r="F8" s="24">
        <v>10</v>
      </c>
      <c r="G8" s="24">
        <v>15</v>
      </c>
      <c r="H8" s="24">
        <v>3</v>
      </c>
      <c r="I8" s="26">
        <v>0.25</v>
      </c>
      <c r="J8" s="27">
        <v>37.5</v>
      </c>
      <c r="K8" s="27">
        <v>10</v>
      </c>
      <c r="L8" s="27">
        <v>3.75</v>
      </c>
      <c r="M8" s="48">
        <v>0.89285714285714279</v>
      </c>
      <c r="N8" s="28">
        <v>0.5</v>
      </c>
      <c r="O8" s="27">
        <v>18</v>
      </c>
      <c r="P8" s="28">
        <v>0.35</v>
      </c>
      <c r="Q8" s="70">
        <v>0.5</v>
      </c>
      <c r="R8" s="29">
        <v>6</v>
      </c>
      <c r="S8" s="30">
        <v>350</v>
      </c>
      <c r="T8" s="30">
        <v>400</v>
      </c>
      <c r="U8" s="31">
        <v>5490</v>
      </c>
      <c r="V8" s="222">
        <v>7200</v>
      </c>
      <c r="W8" s="229">
        <v>7</v>
      </c>
      <c r="X8" s="222">
        <v>38430</v>
      </c>
      <c r="Y8" s="222">
        <v>36</v>
      </c>
      <c r="Z8" s="223">
        <v>6300</v>
      </c>
      <c r="AA8" s="209">
        <v>3</v>
      </c>
      <c r="AB8" s="208">
        <v>16470</v>
      </c>
      <c r="AC8" s="208">
        <v>62100</v>
      </c>
      <c r="AD8" s="208">
        <v>6</v>
      </c>
      <c r="AE8" s="208">
        <v>2</v>
      </c>
      <c r="AF8" s="208">
        <v>13760</v>
      </c>
      <c r="AG8" s="138">
        <v>48340</v>
      </c>
    </row>
    <row r="9" spans="1:33" x14ac:dyDescent="0.3">
      <c r="A9" t="s">
        <v>236</v>
      </c>
      <c r="B9" t="s">
        <v>182</v>
      </c>
      <c r="C9" t="s">
        <v>131</v>
      </c>
      <c r="D9" t="str">
        <f t="shared" si="0"/>
        <v>СТАРТОптимистичный вариантПромоутеры7</v>
      </c>
      <c r="E9" s="18">
        <v>150</v>
      </c>
      <c r="F9" s="24">
        <v>10</v>
      </c>
      <c r="G9" s="24">
        <v>15</v>
      </c>
      <c r="H9" s="24">
        <v>3</v>
      </c>
      <c r="I9" s="26">
        <v>0.25</v>
      </c>
      <c r="J9" s="27">
        <v>37.5</v>
      </c>
      <c r="K9" s="27">
        <v>10</v>
      </c>
      <c r="L9" s="27">
        <v>3.75</v>
      </c>
      <c r="M9" s="48">
        <v>0.89285714285714279</v>
      </c>
      <c r="N9" s="28">
        <v>0.5</v>
      </c>
      <c r="O9" s="27">
        <v>18</v>
      </c>
      <c r="P9" s="28">
        <v>0.35</v>
      </c>
      <c r="Q9" s="70">
        <v>0.5</v>
      </c>
      <c r="R9" s="29">
        <v>7</v>
      </c>
      <c r="S9" s="30">
        <v>350</v>
      </c>
      <c r="T9" s="30">
        <v>400</v>
      </c>
      <c r="U9" s="31">
        <v>5490</v>
      </c>
      <c r="V9" s="222">
        <v>7200</v>
      </c>
      <c r="W9" s="229">
        <v>7</v>
      </c>
      <c r="X9" s="222">
        <v>38430</v>
      </c>
      <c r="Y9" s="222">
        <v>40</v>
      </c>
      <c r="Z9" s="223">
        <v>6300</v>
      </c>
      <c r="AA9" s="209">
        <v>3</v>
      </c>
      <c r="AB9" s="208">
        <v>16470</v>
      </c>
      <c r="AC9" s="208">
        <v>62100</v>
      </c>
      <c r="AD9" s="208">
        <v>7</v>
      </c>
      <c r="AE9" s="208">
        <v>2</v>
      </c>
      <c r="AF9" s="208">
        <v>15480</v>
      </c>
      <c r="AG9" s="138">
        <v>46620</v>
      </c>
    </row>
    <row r="10" spans="1:33" x14ac:dyDescent="0.3">
      <c r="A10" t="s">
        <v>236</v>
      </c>
      <c r="B10" t="s">
        <v>182</v>
      </c>
      <c r="C10" t="s">
        <v>131</v>
      </c>
      <c r="D10" t="str">
        <f t="shared" si="0"/>
        <v>СТАРТОптимистичный вариантПромоутеры8</v>
      </c>
      <c r="E10" s="18">
        <v>150</v>
      </c>
      <c r="F10" s="24">
        <v>10</v>
      </c>
      <c r="G10" s="24">
        <v>15</v>
      </c>
      <c r="H10" s="24">
        <v>3</v>
      </c>
      <c r="I10" s="26">
        <v>0.25</v>
      </c>
      <c r="J10" s="27">
        <v>37.5</v>
      </c>
      <c r="K10" s="27">
        <v>10</v>
      </c>
      <c r="L10" s="27">
        <v>3.75</v>
      </c>
      <c r="M10" s="48">
        <v>0.89285714285714279</v>
      </c>
      <c r="N10" s="28">
        <v>0.4</v>
      </c>
      <c r="O10" s="27">
        <v>15</v>
      </c>
      <c r="P10" s="28">
        <v>0.24999999999999997</v>
      </c>
      <c r="Q10" s="70">
        <v>0.35</v>
      </c>
      <c r="R10" s="29">
        <v>8</v>
      </c>
      <c r="S10" s="30">
        <v>350</v>
      </c>
      <c r="T10" s="30">
        <v>400</v>
      </c>
      <c r="U10" s="31">
        <v>5490</v>
      </c>
      <c r="V10" s="222">
        <v>6000</v>
      </c>
      <c r="W10" s="229">
        <v>4</v>
      </c>
      <c r="X10" s="222">
        <v>21960</v>
      </c>
      <c r="Y10" s="222">
        <v>42</v>
      </c>
      <c r="Z10" s="223">
        <v>5250</v>
      </c>
      <c r="AA10" s="209">
        <v>2</v>
      </c>
      <c r="AB10" s="208">
        <v>10980</v>
      </c>
      <c r="AC10" s="208">
        <v>38940</v>
      </c>
      <c r="AD10" s="208">
        <v>7</v>
      </c>
      <c r="AE10" s="208">
        <v>1</v>
      </c>
      <c r="AF10" s="208">
        <v>13760</v>
      </c>
      <c r="AG10" s="138">
        <v>25180</v>
      </c>
    </row>
    <row r="11" spans="1:33" x14ac:dyDescent="0.3">
      <c r="A11" t="s">
        <v>236</v>
      </c>
      <c r="B11" t="s">
        <v>182</v>
      </c>
      <c r="C11" t="s">
        <v>131</v>
      </c>
      <c r="D11" t="str">
        <f t="shared" si="0"/>
        <v>СТАРТОптимистичный вариантПромоутеры9</v>
      </c>
      <c r="E11" s="18">
        <v>150</v>
      </c>
      <c r="F11" s="24">
        <v>10</v>
      </c>
      <c r="G11" s="24">
        <v>15</v>
      </c>
      <c r="H11" s="24">
        <v>3</v>
      </c>
      <c r="I11" s="26">
        <v>0.25</v>
      </c>
      <c r="J11" s="27">
        <v>37.5</v>
      </c>
      <c r="K11" s="27">
        <v>10</v>
      </c>
      <c r="L11" s="27">
        <v>3.75</v>
      </c>
      <c r="M11" s="48">
        <v>0.89285714285714279</v>
      </c>
      <c r="N11" s="28">
        <v>0.30000000000000004</v>
      </c>
      <c r="O11" s="27">
        <v>11</v>
      </c>
      <c r="P11" s="28">
        <v>0.14999999999999997</v>
      </c>
      <c r="Q11" s="70">
        <v>0.2</v>
      </c>
      <c r="R11" s="29">
        <v>9</v>
      </c>
      <c r="S11" s="30">
        <v>350</v>
      </c>
      <c r="T11" s="30">
        <v>400</v>
      </c>
      <c r="U11" s="31">
        <v>5490</v>
      </c>
      <c r="V11" s="222">
        <v>4400</v>
      </c>
      <c r="W11" s="229">
        <v>2</v>
      </c>
      <c r="X11" s="222">
        <v>10980</v>
      </c>
      <c r="Y11" s="222">
        <v>43</v>
      </c>
      <c r="Z11" s="223">
        <v>3850</v>
      </c>
      <c r="AA11" s="209">
        <v>1</v>
      </c>
      <c r="AB11" s="208">
        <v>5490</v>
      </c>
      <c r="AC11" s="208">
        <v>20870</v>
      </c>
      <c r="AD11" s="208">
        <v>7</v>
      </c>
      <c r="AE11" s="208">
        <v>1</v>
      </c>
      <c r="AF11" s="208">
        <v>13760</v>
      </c>
      <c r="AG11" s="138">
        <v>7110</v>
      </c>
    </row>
    <row r="12" spans="1:33" ht="16.2" thickBot="1" x14ac:dyDescent="0.35">
      <c r="E12" s="19"/>
      <c r="F12" s="40"/>
      <c r="G12" s="40"/>
      <c r="H12" s="40"/>
      <c r="I12" s="42"/>
      <c r="J12" s="43"/>
      <c r="K12" s="43"/>
      <c r="L12" s="43"/>
      <c r="M12" s="53"/>
      <c r="N12" s="44"/>
      <c r="O12" s="43"/>
      <c r="P12" s="44"/>
      <c r="Q12" s="72"/>
      <c r="R12" s="45"/>
      <c r="S12" s="46"/>
      <c r="T12" s="46"/>
      <c r="U12" s="47"/>
      <c r="V12" s="234"/>
      <c r="W12" s="235"/>
      <c r="X12" s="234"/>
      <c r="Y12" s="234"/>
      <c r="Z12" s="236"/>
      <c r="AA12" s="213"/>
      <c r="AB12" s="214"/>
      <c r="AC12" s="214"/>
      <c r="AD12" s="214"/>
      <c r="AE12" s="214"/>
      <c r="AF12" s="214" t="s">
        <v>64</v>
      </c>
      <c r="AG12" s="139">
        <v>315690</v>
      </c>
    </row>
    <row r="13" spans="1:33" ht="49.5" customHeight="1" thickBot="1" x14ac:dyDescent="0.35">
      <c r="E13" s="194" t="s">
        <v>91</v>
      </c>
      <c r="F13" s="195" t="s">
        <v>92</v>
      </c>
      <c r="G13" s="196" t="s">
        <v>93</v>
      </c>
      <c r="H13" s="197" t="s">
        <v>134</v>
      </c>
      <c r="I13" s="198" t="s">
        <v>94</v>
      </c>
      <c r="J13" s="199" t="s">
        <v>95</v>
      </c>
      <c r="K13" s="200" t="s">
        <v>96</v>
      </c>
      <c r="L13" s="200" t="s">
        <v>97</v>
      </c>
      <c r="M13" s="200" t="s">
        <v>98</v>
      </c>
      <c r="N13" s="200" t="s">
        <v>99</v>
      </c>
      <c r="O13" s="199" t="s">
        <v>100</v>
      </c>
      <c r="P13" s="200" t="s">
        <v>101</v>
      </c>
      <c r="Q13" s="200" t="s">
        <v>102</v>
      </c>
      <c r="R13" s="195" t="s">
        <v>103</v>
      </c>
      <c r="S13" s="196" t="s">
        <v>104</v>
      </c>
      <c r="T13" s="196" t="s">
        <v>105</v>
      </c>
      <c r="U13" s="197" t="s">
        <v>90</v>
      </c>
      <c r="V13" s="196" t="s">
        <v>106</v>
      </c>
      <c r="W13" s="202" t="s">
        <v>107</v>
      </c>
      <c r="X13" s="196" t="s">
        <v>108</v>
      </c>
      <c r="Y13" s="202" t="s">
        <v>109</v>
      </c>
      <c r="Z13" s="203" t="s">
        <v>110</v>
      </c>
      <c r="AA13" s="200" t="s">
        <v>111</v>
      </c>
      <c r="AB13" s="200" t="s">
        <v>112</v>
      </c>
      <c r="AC13" s="200" t="s">
        <v>113</v>
      </c>
      <c r="AD13" s="200" t="s">
        <v>135</v>
      </c>
      <c r="AE13" s="200" t="s">
        <v>136</v>
      </c>
      <c r="AF13" s="200" t="s">
        <v>115</v>
      </c>
      <c r="AG13" s="201" t="s">
        <v>116</v>
      </c>
    </row>
    <row r="14" spans="1:33" x14ac:dyDescent="0.3">
      <c r="A14" t="s">
        <v>236</v>
      </c>
      <c r="B14" t="s">
        <v>183</v>
      </c>
      <c r="C14" t="s">
        <v>131</v>
      </c>
      <c r="D14" t="str">
        <f t="shared" si="0"/>
        <v>СТАРТСтандартный вариантПромоутеры1</v>
      </c>
      <c r="E14" s="17">
        <v>150</v>
      </c>
      <c r="F14" s="24">
        <v>10</v>
      </c>
      <c r="G14" s="24">
        <v>15</v>
      </c>
      <c r="H14" s="24">
        <v>3</v>
      </c>
      <c r="I14" s="49">
        <v>0.2</v>
      </c>
      <c r="J14" s="50">
        <v>30</v>
      </c>
      <c r="K14" s="50">
        <v>10</v>
      </c>
      <c r="L14" s="50">
        <v>3</v>
      </c>
      <c r="M14" s="51">
        <v>0.7142857142857143</v>
      </c>
      <c r="N14" s="52">
        <v>0.45</v>
      </c>
      <c r="O14" s="50">
        <v>13</v>
      </c>
      <c r="P14" s="52">
        <v>0.3</v>
      </c>
      <c r="Q14" s="69">
        <v>0.5</v>
      </c>
      <c r="R14" s="77">
        <v>1</v>
      </c>
      <c r="S14" s="78">
        <v>400</v>
      </c>
      <c r="T14" s="78">
        <v>400</v>
      </c>
      <c r="U14" s="79">
        <v>5490</v>
      </c>
      <c r="V14" s="218">
        <v>5200</v>
      </c>
      <c r="W14" s="218">
        <v>4</v>
      </c>
      <c r="X14" s="218">
        <v>21960</v>
      </c>
      <c r="Y14" s="218">
        <v>4</v>
      </c>
      <c r="Z14" s="219">
        <v>5200</v>
      </c>
      <c r="AA14" s="204">
        <v>0</v>
      </c>
      <c r="AB14" s="205">
        <v>0</v>
      </c>
      <c r="AC14" s="205">
        <v>27160</v>
      </c>
      <c r="AD14" s="205">
        <v>1</v>
      </c>
      <c r="AE14" s="205">
        <v>1</v>
      </c>
      <c r="AF14" s="205">
        <v>3440</v>
      </c>
      <c r="AG14" s="206">
        <v>18520</v>
      </c>
    </row>
    <row r="15" spans="1:33" x14ac:dyDescent="0.3">
      <c r="A15" t="s">
        <v>236</v>
      </c>
      <c r="B15" t="s">
        <v>183</v>
      </c>
      <c r="C15" t="s">
        <v>131</v>
      </c>
      <c r="D15" t="str">
        <f t="shared" si="0"/>
        <v>СТАРТСтандартный вариантПромоутеры2</v>
      </c>
      <c r="E15" s="18">
        <v>150</v>
      </c>
      <c r="F15" s="24">
        <v>10</v>
      </c>
      <c r="G15" s="24">
        <v>15</v>
      </c>
      <c r="H15" s="24">
        <v>3</v>
      </c>
      <c r="I15" s="26">
        <v>0.2</v>
      </c>
      <c r="J15" s="27">
        <v>30</v>
      </c>
      <c r="K15" s="27">
        <v>10</v>
      </c>
      <c r="L15" s="27">
        <v>3</v>
      </c>
      <c r="M15" s="48">
        <v>0.7142857142857143</v>
      </c>
      <c r="N15" s="28">
        <v>0.45</v>
      </c>
      <c r="O15" s="27">
        <v>13</v>
      </c>
      <c r="P15" s="28">
        <v>0.3</v>
      </c>
      <c r="Q15" s="70">
        <v>0.5</v>
      </c>
      <c r="R15" s="29">
        <v>2</v>
      </c>
      <c r="S15" s="30">
        <v>400</v>
      </c>
      <c r="T15" s="30">
        <v>400</v>
      </c>
      <c r="U15" s="31">
        <v>5490</v>
      </c>
      <c r="V15" s="222">
        <v>5200</v>
      </c>
      <c r="W15" s="222">
        <v>4</v>
      </c>
      <c r="X15" s="222">
        <v>21960</v>
      </c>
      <c r="Y15" s="222">
        <v>8</v>
      </c>
      <c r="Z15" s="223">
        <v>5200</v>
      </c>
      <c r="AA15" s="207">
        <v>0</v>
      </c>
      <c r="AB15" s="208">
        <v>0</v>
      </c>
      <c r="AC15" s="208">
        <v>27160</v>
      </c>
      <c r="AD15" s="208">
        <v>2</v>
      </c>
      <c r="AE15" s="208">
        <v>1</v>
      </c>
      <c r="AF15" s="208">
        <v>5160</v>
      </c>
      <c r="AG15" s="138">
        <v>22000</v>
      </c>
    </row>
    <row r="16" spans="1:33" x14ac:dyDescent="0.3">
      <c r="A16" t="s">
        <v>236</v>
      </c>
      <c r="B16" t="s">
        <v>183</v>
      </c>
      <c r="C16" t="s">
        <v>131</v>
      </c>
      <c r="D16" t="str">
        <f t="shared" si="0"/>
        <v>СТАРТСтандартный вариантПромоутеры3</v>
      </c>
      <c r="E16" s="18">
        <v>150</v>
      </c>
      <c r="F16" s="24">
        <v>10</v>
      </c>
      <c r="G16" s="24">
        <v>15</v>
      </c>
      <c r="H16" s="24">
        <v>3</v>
      </c>
      <c r="I16" s="26">
        <v>0.2</v>
      </c>
      <c r="J16" s="27">
        <v>30</v>
      </c>
      <c r="K16" s="27">
        <v>10</v>
      </c>
      <c r="L16" s="27">
        <v>3</v>
      </c>
      <c r="M16" s="48">
        <v>0.7142857142857143</v>
      </c>
      <c r="N16" s="28">
        <v>0.45</v>
      </c>
      <c r="O16" s="27">
        <v>13</v>
      </c>
      <c r="P16" s="28">
        <v>0.3</v>
      </c>
      <c r="Q16" s="70">
        <v>0.5</v>
      </c>
      <c r="R16" s="29">
        <v>3</v>
      </c>
      <c r="S16" s="30">
        <v>400</v>
      </c>
      <c r="T16" s="30">
        <v>400</v>
      </c>
      <c r="U16" s="31">
        <v>5490</v>
      </c>
      <c r="V16" s="222">
        <v>5200</v>
      </c>
      <c r="W16" s="222">
        <v>4</v>
      </c>
      <c r="X16" s="222">
        <v>21960</v>
      </c>
      <c r="Y16" s="222">
        <v>12</v>
      </c>
      <c r="Z16" s="223">
        <v>5200</v>
      </c>
      <c r="AA16" s="207">
        <v>0</v>
      </c>
      <c r="AB16" s="208">
        <v>0</v>
      </c>
      <c r="AC16" s="208">
        <v>27160</v>
      </c>
      <c r="AD16" s="208">
        <v>2</v>
      </c>
      <c r="AE16" s="208">
        <v>1</v>
      </c>
      <c r="AF16" s="208">
        <v>5160</v>
      </c>
      <c r="AG16" s="138">
        <v>22000</v>
      </c>
    </row>
    <row r="17" spans="1:33" x14ac:dyDescent="0.3">
      <c r="A17" t="s">
        <v>236</v>
      </c>
      <c r="B17" t="s">
        <v>183</v>
      </c>
      <c r="C17" t="s">
        <v>131</v>
      </c>
      <c r="D17" t="str">
        <f t="shared" si="0"/>
        <v>СТАРТСтандартный вариантПромоутеры4</v>
      </c>
      <c r="E17" s="18">
        <v>150</v>
      </c>
      <c r="F17" s="24">
        <v>10</v>
      </c>
      <c r="G17" s="24">
        <v>15</v>
      </c>
      <c r="H17" s="24">
        <v>3</v>
      </c>
      <c r="I17" s="26">
        <v>0.2</v>
      </c>
      <c r="J17" s="27">
        <v>30</v>
      </c>
      <c r="K17" s="27">
        <v>10</v>
      </c>
      <c r="L17" s="27">
        <v>3</v>
      </c>
      <c r="M17" s="48">
        <v>0.7142857142857143</v>
      </c>
      <c r="N17" s="28">
        <v>0.45</v>
      </c>
      <c r="O17" s="27">
        <v>13</v>
      </c>
      <c r="P17" s="28">
        <v>0.3</v>
      </c>
      <c r="Q17" s="70">
        <v>0.5</v>
      </c>
      <c r="R17" s="29">
        <v>4</v>
      </c>
      <c r="S17" s="30">
        <v>400</v>
      </c>
      <c r="T17" s="30">
        <v>400</v>
      </c>
      <c r="U17" s="31">
        <v>5490</v>
      </c>
      <c r="V17" s="222">
        <v>5200</v>
      </c>
      <c r="W17" s="222">
        <v>4</v>
      </c>
      <c r="X17" s="222">
        <v>21960</v>
      </c>
      <c r="Y17" s="222">
        <v>16</v>
      </c>
      <c r="Z17" s="223">
        <v>5200</v>
      </c>
      <c r="AA17" s="207">
        <v>0</v>
      </c>
      <c r="AB17" s="208">
        <v>0</v>
      </c>
      <c r="AC17" s="208">
        <v>27160</v>
      </c>
      <c r="AD17" s="208">
        <v>3</v>
      </c>
      <c r="AE17" s="208">
        <v>1</v>
      </c>
      <c r="AF17" s="208">
        <v>6880</v>
      </c>
      <c r="AG17" s="138">
        <v>20280</v>
      </c>
    </row>
    <row r="18" spans="1:33" x14ac:dyDescent="0.3">
      <c r="A18" t="s">
        <v>236</v>
      </c>
      <c r="B18" t="s">
        <v>183</v>
      </c>
      <c r="C18" t="s">
        <v>131</v>
      </c>
      <c r="D18" t="str">
        <f t="shared" si="0"/>
        <v>СТАРТСтандартный вариантПромоутеры5</v>
      </c>
      <c r="E18" s="18">
        <v>150</v>
      </c>
      <c r="F18" s="32">
        <v>10</v>
      </c>
      <c r="G18" s="32">
        <v>15</v>
      </c>
      <c r="H18" s="32">
        <v>3</v>
      </c>
      <c r="I18" s="73">
        <v>0.2</v>
      </c>
      <c r="J18" s="34">
        <v>30</v>
      </c>
      <c r="K18" s="34">
        <v>10</v>
      </c>
      <c r="L18" s="34">
        <v>3</v>
      </c>
      <c r="M18" s="74">
        <v>0.7142857142857143</v>
      </c>
      <c r="N18" s="75">
        <v>0.45</v>
      </c>
      <c r="O18" s="80">
        <v>13</v>
      </c>
      <c r="P18" s="75">
        <v>0.3</v>
      </c>
      <c r="Q18" s="71">
        <v>0.5</v>
      </c>
      <c r="R18" s="35">
        <v>5</v>
      </c>
      <c r="S18" s="76">
        <v>400</v>
      </c>
      <c r="T18" s="36">
        <v>400</v>
      </c>
      <c r="U18" s="37">
        <v>5490</v>
      </c>
      <c r="V18" s="227">
        <v>5200</v>
      </c>
      <c r="W18" s="227">
        <v>4</v>
      </c>
      <c r="X18" s="227">
        <v>21960</v>
      </c>
      <c r="Y18" s="227">
        <v>18</v>
      </c>
      <c r="Z18" s="228">
        <v>5200</v>
      </c>
      <c r="AA18" s="209">
        <v>2</v>
      </c>
      <c r="AB18" s="210">
        <v>10980</v>
      </c>
      <c r="AC18" s="211">
        <v>38140</v>
      </c>
      <c r="AD18" s="211">
        <v>3</v>
      </c>
      <c r="AE18" s="211">
        <v>1</v>
      </c>
      <c r="AF18" s="211">
        <v>6880</v>
      </c>
      <c r="AG18" s="212">
        <v>31260</v>
      </c>
    </row>
    <row r="19" spans="1:33" x14ac:dyDescent="0.3">
      <c r="A19" t="s">
        <v>236</v>
      </c>
      <c r="B19" t="s">
        <v>183</v>
      </c>
      <c r="C19" t="s">
        <v>131</v>
      </c>
      <c r="D19" t="str">
        <f t="shared" si="0"/>
        <v>СТАРТСтандартный вариантПромоутеры6</v>
      </c>
      <c r="E19" s="18">
        <v>150</v>
      </c>
      <c r="F19" s="24">
        <v>10</v>
      </c>
      <c r="G19" s="24">
        <v>15</v>
      </c>
      <c r="H19" s="24">
        <v>3</v>
      </c>
      <c r="I19" s="26">
        <v>0.2</v>
      </c>
      <c r="J19" s="27">
        <v>30</v>
      </c>
      <c r="K19" s="27">
        <v>10</v>
      </c>
      <c r="L19" s="27">
        <v>3</v>
      </c>
      <c r="M19" s="48">
        <v>0.7142857142857143</v>
      </c>
      <c r="N19" s="28">
        <v>0.45</v>
      </c>
      <c r="O19" s="27">
        <v>13</v>
      </c>
      <c r="P19" s="28">
        <v>0.3</v>
      </c>
      <c r="Q19" s="70">
        <v>0.5</v>
      </c>
      <c r="R19" s="29">
        <v>6</v>
      </c>
      <c r="S19" s="30">
        <v>400</v>
      </c>
      <c r="T19" s="30">
        <v>400</v>
      </c>
      <c r="U19" s="31">
        <v>5490</v>
      </c>
      <c r="V19" s="222">
        <v>5200</v>
      </c>
      <c r="W19" s="229">
        <v>4</v>
      </c>
      <c r="X19" s="222">
        <v>21960</v>
      </c>
      <c r="Y19" s="222">
        <v>20</v>
      </c>
      <c r="Z19" s="223">
        <v>5200</v>
      </c>
      <c r="AA19" s="209">
        <v>2</v>
      </c>
      <c r="AB19" s="208">
        <v>10980</v>
      </c>
      <c r="AC19" s="208">
        <v>38140</v>
      </c>
      <c r="AD19" s="208">
        <v>4</v>
      </c>
      <c r="AE19" s="208">
        <v>1</v>
      </c>
      <c r="AF19" s="208">
        <v>8600</v>
      </c>
      <c r="AG19" s="138">
        <v>29540</v>
      </c>
    </row>
    <row r="20" spans="1:33" x14ac:dyDescent="0.3">
      <c r="A20" t="s">
        <v>236</v>
      </c>
      <c r="B20" t="s">
        <v>183</v>
      </c>
      <c r="C20" t="s">
        <v>131</v>
      </c>
      <c r="D20" t="str">
        <f t="shared" si="0"/>
        <v>СТАРТСтандартный вариантПромоутеры7</v>
      </c>
      <c r="E20" s="18">
        <v>150</v>
      </c>
      <c r="F20" s="24">
        <v>10</v>
      </c>
      <c r="G20" s="24">
        <v>15</v>
      </c>
      <c r="H20" s="24">
        <v>3</v>
      </c>
      <c r="I20" s="26">
        <v>0.2</v>
      </c>
      <c r="J20" s="27">
        <v>30</v>
      </c>
      <c r="K20" s="27">
        <v>10</v>
      </c>
      <c r="L20" s="27">
        <v>3</v>
      </c>
      <c r="M20" s="48">
        <v>0.7142857142857143</v>
      </c>
      <c r="N20" s="28">
        <v>0.45</v>
      </c>
      <c r="O20" s="27">
        <v>13</v>
      </c>
      <c r="P20" s="28">
        <v>0.3</v>
      </c>
      <c r="Q20" s="70">
        <v>0.5</v>
      </c>
      <c r="R20" s="29">
        <v>7</v>
      </c>
      <c r="S20" s="30">
        <v>400</v>
      </c>
      <c r="T20" s="30">
        <v>400</v>
      </c>
      <c r="U20" s="31">
        <v>5490</v>
      </c>
      <c r="V20" s="222">
        <v>5200</v>
      </c>
      <c r="W20" s="229">
        <v>4</v>
      </c>
      <c r="X20" s="222">
        <v>21960</v>
      </c>
      <c r="Y20" s="222">
        <v>22</v>
      </c>
      <c r="Z20" s="223">
        <v>5200</v>
      </c>
      <c r="AA20" s="209">
        <v>2</v>
      </c>
      <c r="AB20" s="208">
        <v>10980</v>
      </c>
      <c r="AC20" s="208">
        <v>38140</v>
      </c>
      <c r="AD20" s="208">
        <v>4</v>
      </c>
      <c r="AE20" s="208">
        <v>1</v>
      </c>
      <c r="AF20" s="208">
        <v>8600</v>
      </c>
      <c r="AG20" s="138">
        <v>29540</v>
      </c>
    </row>
    <row r="21" spans="1:33" x14ac:dyDescent="0.3">
      <c r="A21" t="s">
        <v>236</v>
      </c>
      <c r="B21" t="s">
        <v>183</v>
      </c>
      <c r="C21" t="s">
        <v>131</v>
      </c>
      <c r="D21" t="str">
        <f t="shared" si="0"/>
        <v>СТАРТСтандартный вариантПромоутеры8</v>
      </c>
      <c r="E21" s="18">
        <v>150</v>
      </c>
      <c r="F21" s="24">
        <v>10</v>
      </c>
      <c r="G21" s="24">
        <v>15</v>
      </c>
      <c r="H21" s="24">
        <v>3</v>
      </c>
      <c r="I21" s="26">
        <v>0.2</v>
      </c>
      <c r="J21" s="27">
        <v>30</v>
      </c>
      <c r="K21" s="27">
        <v>10</v>
      </c>
      <c r="L21" s="27">
        <v>3</v>
      </c>
      <c r="M21" s="48">
        <v>0.7142857142857143</v>
      </c>
      <c r="N21" s="28">
        <v>0.35</v>
      </c>
      <c r="O21" s="27">
        <v>10</v>
      </c>
      <c r="P21" s="28">
        <v>0.19999999999999998</v>
      </c>
      <c r="Q21" s="70">
        <v>0.35</v>
      </c>
      <c r="R21" s="29">
        <v>8</v>
      </c>
      <c r="S21" s="30">
        <v>400</v>
      </c>
      <c r="T21" s="30">
        <v>400</v>
      </c>
      <c r="U21" s="31">
        <v>5490</v>
      </c>
      <c r="V21" s="222">
        <v>4000</v>
      </c>
      <c r="W21" s="229">
        <v>2</v>
      </c>
      <c r="X21" s="222">
        <v>10980</v>
      </c>
      <c r="Y21" s="222">
        <v>23</v>
      </c>
      <c r="Z21" s="223">
        <v>4000</v>
      </c>
      <c r="AA21" s="209">
        <v>1</v>
      </c>
      <c r="AB21" s="208">
        <v>5490</v>
      </c>
      <c r="AC21" s="208">
        <v>20470</v>
      </c>
      <c r="AD21" s="208">
        <v>4</v>
      </c>
      <c r="AE21" s="208">
        <v>1</v>
      </c>
      <c r="AF21" s="208">
        <v>8600</v>
      </c>
      <c r="AG21" s="138">
        <v>11870</v>
      </c>
    </row>
    <row r="22" spans="1:33" x14ac:dyDescent="0.3">
      <c r="A22" t="s">
        <v>236</v>
      </c>
      <c r="B22" t="s">
        <v>183</v>
      </c>
      <c r="C22" t="s">
        <v>131</v>
      </c>
      <c r="D22" t="str">
        <f t="shared" si="0"/>
        <v>СТАРТСтандартный вариантПромоутеры9</v>
      </c>
      <c r="E22" s="18">
        <v>150</v>
      </c>
      <c r="F22" s="24">
        <v>10</v>
      </c>
      <c r="G22" s="24">
        <v>15</v>
      </c>
      <c r="H22" s="24">
        <v>3</v>
      </c>
      <c r="I22" s="26">
        <v>0.2</v>
      </c>
      <c r="J22" s="27">
        <v>30</v>
      </c>
      <c r="K22" s="27">
        <v>10</v>
      </c>
      <c r="L22" s="27">
        <v>3</v>
      </c>
      <c r="M22" s="48">
        <v>0.7142857142857143</v>
      </c>
      <c r="N22" s="28">
        <v>0.24999999999999997</v>
      </c>
      <c r="O22" s="27">
        <v>7</v>
      </c>
      <c r="P22" s="28">
        <v>9.9999999999999978E-2</v>
      </c>
      <c r="Q22" s="70">
        <v>0.2</v>
      </c>
      <c r="R22" s="29">
        <v>9</v>
      </c>
      <c r="S22" s="30">
        <v>400</v>
      </c>
      <c r="T22" s="30">
        <v>400</v>
      </c>
      <c r="U22" s="31">
        <v>5490</v>
      </c>
      <c r="V22" s="222">
        <v>2800</v>
      </c>
      <c r="W22" s="229">
        <v>1</v>
      </c>
      <c r="X22" s="222">
        <v>5490</v>
      </c>
      <c r="Y22" s="222">
        <v>24</v>
      </c>
      <c r="Z22" s="223">
        <v>2800</v>
      </c>
      <c r="AA22" s="209">
        <v>0</v>
      </c>
      <c r="AB22" s="208">
        <v>0</v>
      </c>
      <c r="AC22" s="208">
        <v>8290</v>
      </c>
      <c r="AD22" s="208">
        <v>4</v>
      </c>
      <c r="AE22" s="208">
        <v>0</v>
      </c>
      <c r="AF22" s="208">
        <v>6880</v>
      </c>
      <c r="AG22" s="138">
        <v>1410</v>
      </c>
    </row>
    <row r="23" spans="1:33" ht="16.2" thickBot="1" x14ac:dyDescent="0.35">
      <c r="E23" s="19"/>
      <c r="F23" s="40"/>
      <c r="G23" s="40"/>
      <c r="H23" s="40"/>
      <c r="I23" s="42"/>
      <c r="J23" s="43"/>
      <c r="K23" s="43"/>
      <c r="L23" s="43"/>
      <c r="M23" s="53"/>
      <c r="N23" s="44"/>
      <c r="O23" s="43"/>
      <c r="P23" s="44"/>
      <c r="Q23" s="72"/>
      <c r="R23" s="45"/>
      <c r="S23" s="46"/>
      <c r="T23" s="46"/>
      <c r="U23" s="47"/>
      <c r="V23" s="234"/>
      <c r="W23" s="235"/>
      <c r="X23" s="234"/>
      <c r="Y23" s="234"/>
      <c r="Z23" s="236"/>
      <c r="AA23" s="213"/>
      <c r="AB23" s="214"/>
      <c r="AC23" s="214"/>
      <c r="AD23" s="214"/>
      <c r="AE23" s="214"/>
      <c r="AF23" s="214" t="s">
        <v>64</v>
      </c>
      <c r="AG23" s="139">
        <v>186420</v>
      </c>
    </row>
    <row r="24" spans="1:33" ht="16.2" thickBot="1" x14ac:dyDescent="0.35">
      <c r="E24" s="18"/>
      <c r="F24" s="40"/>
      <c r="G24" s="40"/>
      <c r="H24" s="40"/>
      <c r="I24" s="26"/>
      <c r="J24" s="27"/>
      <c r="K24" s="27"/>
      <c r="L24" s="27"/>
      <c r="M24" s="48"/>
      <c r="N24" s="28"/>
      <c r="O24" s="27"/>
      <c r="P24" s="28"/>
      <c r="Q24" s="28"/>
      <c r="R24" s="45"/>
      <c r="S24" s="46"/>
      <c r="T24" s="46"/>
      <c r="U24" s="47"/>
      <c r="V24" s="234"/>
      <c r="W24" s="235"/>
      <c r="X24" s="234"/>
      <c r="Y24" s="234"/>
      <c r="Z24" s="236"/>
      <c r="AA24" s="210"/>
      <c r="AB24" s="208"/>
      <c r="AC24" s="208"/>
      <c r="AD24" s="208"/>
      <c r="AE24" s="208"/>
      <c r="AF24" s="208"/>
      <c r="AG24" s="138"/>
    </row>
    <row r="25" spans="1:33" ht="27" customHeight="1" thickBot="1" x14ac:dyDescent="0.35">
      <c r="E25" s="194" t="s">
        <v>91</v>
      </c>
      <c r="F25" s="195" t="s">
        <v>92</v>
      </c>
      <c r="G25" s="196" t="s">
        <v>93</v>
      </c>
      <c r="H25" s="197" t="s">
        <v>134</v>
      </c>
      <c r="I25" s="198" t="s">
        <v>94</v>
      </c>
      <c r="J25" s="199" t="s">
        <v>95</v>
      </c>
      <c r="K25" s="200" t="s">
        <v>96</v>
      </c>
      <c r="L25" s="200" t="s">
        <v>97</v>
      </c>
      <c r="M25" s="200" t="s">
        <v>98</v>
      </c>
      <c r="N25" s="200" t="s">
        <v>99</v>
      </c>
      <c r="O25" s="199" t="s">
        <v>100</v>
      </c>
      <c r="P25" s="200" t="s">
        <v>101</v>
      </c>
      <c r="Q25" s="200" t="s">
        <v>102</v>
      </c>
      <c r="R25" s="195" t="s">
        <v>103</v>
      </c>
      <c r="S25" s="196" t="s">
        <v>104</v>
      </c>
      <c r="T25" s="196" t="s">
        <v>105</v>
      </c>
      <c r="U25" s="197" t="s">
        <v>90</v>
      </c>
      <c r="V25" s="196" t="s">
        <v>106</v>
      </c>
      <c r="W25" s="202" t="s">
        <v>107</v>
      </c>
      <c r="X25" s="196" t="s">
        <v>108</v>
      </c>
      <c r="Y25" s="202" t="s">
        <v>109</v>
      </c>
      <c r="Z25" s="203" t="s">
        <v>110</v>
      </c>
      <c r="AA25" s="200" t="s">
        <v>111</v>
      </c>
      <c r="AB25" s="200" t="s">
        <v>112</v>
      </c>
      <c r="AC25" s="200" t="s">
        <v>113</v>
      </c>
      <c r="AD25" s="200" t="s">
        <v>135</v>
      </c>
      <c r="AE25" s="200" t="s">
        <v>136</v>
      </c>
      <c r="AF25" s="200" t="s">
        <v>115</v>
      </c>
      <c r="AG25" s="201" t="s">
        <v>116</v>
      </c>
    </row>
    <row r="26" spans="1:33" x14ac:dyDescent="0.3">
      <c r="A26" t="s">
        <v>236</v>
      </c>
      <c r="B26" t="s">
        <v>184</v>
      </c>
      <c r="C26" t="s">
        <v>131</v>
      </c>
      <c r="D26" t="str">
        <f t="shared" si="0"/>
        <v>СТАРТПессиместичный вариантПромоутеры1</v>
      </c>
      <c r="E26" s="17">
        <v>150</v>
      </c>
      <c r="F26" s="24">
        <v>10</v>
      </c>
      <c r="G26" s="24">
        <v>15</v>
      </c>
      <c r="H26" s="24">
        <v>3</v>
      </c>
      <c r="I26" s="49">
        <v>0.17</v>
      </c>
      <c r="J26" s="50">
        <v>25.500000000000004</v>
      </c>
      <c r="K26" s="50">
        <v>10</v>
      </c>
      <c r="L26" s="50">
        <v>2.5500000000000003</v>
      </c>
      <c r="M26" s="51">
        <v>0.60714285714285721</v>
      </c>
      <c r="N26" s="52">
        <v>0.42</v>
      </c>
      <c r="O26" s="50">
        <v>10</v>
      </c>
      <c r="P26" s="52">
        <v>0.27</v>
      </c>
      <c r="Q26" s="69">
        <v>0.5</v>
      </c>
      <c r="R26" s="77">
        <v>1</v>
      </c>
      <c r="S26" s="78">
        <v>450</v>
      </c>
      <c r="T26" s="78">
        <v>400</v>
      </c>
      <c r="U26" s="79">
        <v>5490</v>
      </c>
      <c r="V26" s="218">
        <v>4000</v>
      </c>
      <c r="W26" s="218">
        <v>3</v>
      </c>
      <c r="X26" s="218">
        <v>16470</v>
      </c>
      <c r="Y26" s="218">
        <v>3</v>
      </c>
      <c r="Z26" s="219">
        <v>4500</v>
      </c>
      <c r="AA26" s="204">
        <v>0</v>
      </c>
      <c r="AB26" s="205">
        <v>0</v>
      </c>
      <c r="AC26" s="205">
        <v>20470</v>
      </c>
      <c r="AD26" s="205">
        <v>1</v>
      </c>
      <c r="AE26" s="205">
        <v>1</v>
      </c>
      <c r="AF26" s="205">
        <v>3440</v>
      </c>
      <c r="AG26" s="206">
        <v>12530</v>
      </c>
    </row>
    <row r="27" spans="1:33" x14ac:dyDescent="0.3">
      <c r="A27" t="s">
        <v>236</v>
      </c>
      <c r="B27" t="s">
        <v>184</v>
      </c>
      <c r="C27" t="s">
        <v>131</v>
      </c>
      <c r="D27" t="str">
        <f t="shared" si="0"/>
        <v>СТАРТПессиместичный вариантПромоутеры2</v>
      </c>
      <c r="E27" s="18">
        <v>150</v>
      </c>
      <c r="F27" s="24">
        <v>10</v>
      </c>
      <c r="G27" s="24">
        <v>15</v>
      </c>
      <c r="H27" s="24">
        <v>3</v>
      </c>
      <c r="I27" s="26">
        <v>0.17</v>
      </c>
      <c r="J27" s="27">
        <v>25.500000000000004</v>
      </c>
      <c r="K27" s="27">
        <v>10</v>
      </c>
      <c r="L27" s="27">
        <v>2.5500000000000003</v>
      </c>
      <c r="M27" s="48">
        <v>0.60714285714285721</v>
      </c>
      <c r="N27" s="28">
        <v>0.42</v>
      </c>
      <c r="O27" s="27">
        <v>10</v>
      </c>
      <c r="P27" s="28">
        <v>0.27</v>
      </c>
      <c r="Q27" s="70">
        <v>0.5</v>
      </c>
      <c r="R27" s="29">
        <v>2</v>
      </c>
      <c r="S27" s="30">
        <v>450</v>
      </c>
      <c r="T27" s="30">
        <v>400</v>
      </c>
      <c r="U27" s="31">
        <v>5490</v>
      </c>
      <c r="V27" s="222">
        <v>4000</v>
      </c>
      <c r="W27" s="222">
        <v>3</v>
      </c>
      <c r="X27" s="222">
        <v>16470</v>
      </c>
      <c r="Y27" s="222">
        <v>6</v>
      </c>
      <c r="Z27" s="223">
        <v>4500</v>
      </c>
      <c r="AA27" s="207">
        <v>0</v>
      </c>
      <c r="AB27" s="208">
        <v>0</v>
      </c>
      <c r="AC27" s="208">
        <v>20470</v>
      </c>
      <c r="AD27" s="208">
        <v>1</v>
      </c>
      <c r="AE27" s="208">
        <v>1</v>
      </c>
      <c r="AF27" s="208">
        <v>3440</v>
      </c>
      <c r="AG27" s="138">
        <v>17030</v>
      </c>
    </row>
    <row r="28" spans="1:33" x14ac:dyDescent="0.3">
      <c r="A28" t="s">
        <v>236</v>
      </c>
      <c r="B28" t="s">
        <v>184</v>
      </c>
      <c r="C28" t="s">
        <v>131</v>
      </c>
      <c r="D28" t="str">
        <f t="shared" si="0"/>
        <v>СТАРТПессиместичный вариантПромоутеры3</v>
      </c>
      <c r="E28" s="18">
        <v>150</v>
      </c>
      <c r="F28" s="24">
        <v>10</v>
      </c>
      <c r="G28" s="24">
        <v>15</v>
      </c>
      <c r="H28" s="24">
        <v>3</v>
      </c>
      <c r="I28" s="26">
        <v>0.17</v>
      </c>
      <c r="J28" s="27">
        <v>25.500000000000004</v>
      </c>
      <c r="K28" s="27">
        <v>10</v>
      </c>
      <c r="L28" s="27">
        <v>2.5500000000000003</v>
      </c>
      <c r="M28" s="48">
        <v>0.60714285714285721</v>
      </c>
      <c r="N28" s="28">
        <v>0.42</v>
      </c>
      <c r="O28" s="27">
        <v>10</v>
      </c>
      <c r="P28" s="28">
        <v>0.27</v>
      </c>
      <c r="Q28" s="70">
        <v>0.5</v>
      </c>
      <c r="R28" s="29">
        <v>3</v>
      </c>
      <c r="S28" s="30">
        <v>450</v>
      </c>
      <c r="T28" s="30">
        <v>400</v>
      </c>
      <c r="U28" s="31">
        <v>5490</v>
      </c>
      <c r="V28" s="222">
        <v>4000</v>
      </c>
      <c r="W28" s="222">
        <v>3</v>
      </c>
      <c r="X28" s="222">
        <v>16470</v>
      </c>
      <c r="Y28" s="222">
        <v>9</v>
      </c>
      <c r="Z28" s="223">
        <v>4500</v>
      </c>
      <c r="AA28" s="207">
        <v>0</v>
      </c>
      <c r="AB28" s="208">
        <v>0</v>
      </c>
      <c r="AC28" s="208">
        <v>20470</v>
      </c>
      <c r="AD28" s="208">
        <v>2</v>
      </c>
      <c r="AE28" s="208">
        <v>1</v>
      </c>
      <c r="AF28" s="208">
        <v>5160</v>
      </c>
      <c r="AG28" s="138">
        <v>15310</v>
      </c>
    </row>
    <row r="29" spans="1:33" x14ac:dyDescent="0.3">
      <c r="A29" t="s">
        <v>236</v>
      </c>
      <c r="B29" t="s">
        <v>184</v>
      </c>
      <c r="C29" t="s">
        <v>131</v>
      </c>
      <c r="D29" t="str">
        <f t="shared" si="0"/>
        <v>СТАРТПессиместичный вариантПромоутеры4</v>
      </c>
      <c r="E29" s="18">
        <v>150</v>
      </c>
      <c r="F29" s="24">
        <v>10</v>
      </c>
      <c r="G29" s="24">
        <v>15</v>
      </c>
      <c r="H29" s="24">
        <v>3</v>
      </c>
      <c r="I29" s="26">
        <v>0.17</v>
      </c>
      <c r="J29" s="27">
        <v>25.500000000000004</v>
      </c>
      <c r="K29" s="27">
        <v>10</v>
      </c>
      <c r="L29" s="27">
        <v>2.5500000000000003</v>
      </c>
      <c r="M29" s="48">
        <v>0.60714285714285721</v>
      </c>
      <c r="N29" s="28">
        <v>0.42</v>
      </c>
      <c r="O29" s="27">
        <v>10</v>
      </c>
      <c r="P29" s="28">
        <v>0.27</v>
      </c>
      <c r="Q29" s="70">
        <v>0.5</v>
      </c>
      <c r="R29" s="29">
        <v>4</v>
      </c>
      <c r="S29" s="30">
        <v>450</v>
      </c>
      <c r="T29" s="30">
        <v>400</v>
      </c>
      <c r="U29" s="31">
        <v>5490</v>
      </c>
      <c r="V29" s="222">
        <v>4000</v>
      </c>
      <c r="W29" s="222">
        <v>3</v>
      </c>
      <c r="X29" s="222">
        <v>16470</v>
      </c>
      <c r="Y29" s="222">
        <v>12</v>
      </c>
      <c r="Z29" s="223">
        <v>4500</v>
      </c>
      <c r="AA29" s="207">
        <v>0</v>
      </c>
      <c r="AB29" s="208">
        <v>0</v>
      </c>
      <c r="AC29" s="208">
        <v>20470</v>
      </c>
      <c r="AD29" s="208">
        <v>2</v>
      </c>
      <c r="AE29" s="208">
        <v>1</v>
      </c>
      <c r="AF29" s="208">
        <v>5160</v>
      </c>
      <c r="AG29" s="138">
        <v>15310</v>
      </c>
    </row>
    <row r="30" spans="1:33" x14ac:dyDescent="0.3">
      <c r="A30" t="s">
        <v>236</v>
      </c>
      <c r="B30" t="s">
        <v>184</v>
      </c>
      <c r="C30" t="s">
        <v>131</v>
      </c>
      <c r="D30" t="str">
        <f t="shared" si="0"/>
        <v>СТАРТПессиместичный вариантПромоутеры5</v>
      </c>
      <c r="E30" s="18">
        <v>150</v>
      </c>
      <c r="F30" s="32">
        <v>10</v>
      </c>
      <c r="G30" s="32">
        <v>15</v>
      </c>
      <c r="H30" s="32">
        <v>3</v>
      </c>
      <c r="I30" s="73">
        <v>0.17</v>
      </c>
      <c r="J30" s="34">
        <v>25.500000000000004</v>
      </c>
      <c r="K30" s="34">
        <v>10</v>
      </c>
      <c r="L30" s="34">
        <v>2.5500000000000003</v>
      </c>
      <c r="M30" s="74">
        <v>0.60714285714285721</v>
      </c>
      <c r="N30" s="75">
        <v>0.42</v>
      </c>
      <c r="O30" s="80">
        <v>10</v>
      </c>
      <c r="P30" s="75">
        <v>0.27</v>
      </c>
      <c r="Q30" s="71">
        <v>0.5</v>
      </c>
      <c r="R30" s="35">
        <v>5</v>
      </c>
      <c r="S30" s="76">
        <v>450</v>
      </c>
      <c r="T30" s="36">
        <v>400</v>
      </c>
      <c r="U30" s="37">
        <v>5490</v>
      </c>
      <c r="V30" s="227">
        <v>4000</v>
      </c>
      <c r="W30" s="227">
        <v>3</v>
      </c>
      <c r="X30" s="227">
        <v>16470</v>
      </c>
      <c r="Y30" s="227">
        <v>14</v>
      </c>
      <c r="Z30" s="228">
        <v>4500</v>
      </c>
      <c r="AA30" s="209">
        <v>1</v>
      </c>
      <c r="AB30" s="210">
        <v>5490</v>
      </c>
      <c r="AC30" s="211">
        <v>25960</v>
      </c>
      <c r="AD30" s="211">
        <v>3</v>
      </c>
      <c r="AE30" s="211">
        <v>1</v>
      </c>
      <c r="AF30" s="211">
        <v>6880</v>
      </c>
      <c r="AG30" s="212">
        <v>19080</v>
      </c>
    </row>
    <row r="31" spans="1:33" x14ac:dyDescent="0.3">
      <c r="A31" t="s">
        <v>236</v>
      </c>
      <c r="B31" t="s">
        <v>184</v>
      </c>
      <c r="C31" t="s">
        <v>131</v>
      </c>
      <c r="D31" t="str">
        <f t="shared" si="0"/>
        <v>СТАРТПессиместичный вариантПромоутеры6</v>
      </c>
      <c r="E31" s="18">
        <v>150</v>
      </c>
      <c r="F31" s="24">
        <v>10</v>
      </c>
      <c r="G31" s="24">
        <v>15</v>
      </c>
      <c r="H31" s="24">
        <v>3</v>
      </c>
      <c r="I31" s="26">
        <v>0.17</v>
      </c>
      <c r="J31" s="27">
        <v>25.500000000000004</v>
      </c>
      <c r="K31" s="27">
        <v>10</v>
      </c>
      <c r="L31" s="27">
        <v>2.5500000000000003</v>
      </c>
      <c r="M31" s="48">
        <v>0.60714285714285721</v>
      </c>
      <c r="N31" s="28">
        <v>0.42</v>
      </c>
      <c r="O31" s="27">
        <v>10</v>
      </c>
      <c r="P31" s="28">
        <v>0.27</v>
      </c>
      <c r="Q31" s="70">
        <v>0.5</v>
      </c>
      <c r="R31" s="29">
        <v>6</v>
      </c>
      <c r="S31" s="30">
        <v>450</v>
      </c>
      <c r="T31" s="30">
        <v>400</v>
      </c>
      <c r="U31" s="31">
        <v>5490</v>
      </c>
      <c r="V31" s="222">
        <v>4000</v>
      </c>
      <c r="W31" s="229">
        <v>3</v>
      </c>
      <c r="X31" s="222">
        <v>16470</v>
      </c>
      <c r="Y31" s="222">
        <v>16</v>
      </c>
      <c r="Z31" s="223">
        <v>4500</v>
      </c>
      <c r="AA31" s="209">
        <v>1</v>
      </c>
      <c r="AB31" s="208">
        <v>5490</v>
      </c>
      <c r="AC31" s="208">
        <v>25960</v>
      </c>
      <c r="AD31" s="208">
        <v>3</v>
      </c>
      <c r="AE31" s="208">
        <v>1</v>
      </c>
      <c r="AF31" s="208">
        <v>6880</v>
      </c>
      <c r="AG31" s="138">
        <v>19080</v>
      </c>
    </row>
    <row r="32" spans="1:33" x14ac:dyDescent="0.3">
      <c r="A32" t="s">
        <v>236</v>
      </c>
      <c r="B32" t="s">
        <v>184</v>
      </c>
      <c r="C32" t="s">
        <v>131</v>
      </c>
      <c r="D32" t="str">
        <f t="shared" si="0"/>
        <v>СТАРТПессиместичный вариантПромоутеры7</v>
      </c>
      <c r="E32" s="18">
        <v>150</v>
      </c>
      <c r="F32" s="24">
        <v>10</v>
      </c>
      <c r="G32" s="24">
        <v>15</v>
      </c>
      <c r="H32" s="24">
        <v>3</v>
      </c>
      <c r="I32" s="26">
        <v>0.17</v>
      </c>
      <c r="J32" s="27">
        <v>25.500000000000004</v>
      </c>
      <c r="K32" s="27">
        <v>10</v>
      </c>
      <c r="L32" s="27">
        <v>2.5500000000000003</v>
      </c>
      <c r="M32" s="48">
        <v>0.60714285714285721</v>
      </c>
      <c r="N32" s="28">
        <v>0.42</v>
      </c>
      <c r="O32" s="27">
        <v>10</v>
      </c>
      <c r="P32" s="28">
        <v>0.27</v>
      </c>
      <c r="Q32" s="70">
        <v>0.5</v>
      </c>
      <c r="R32" s="29">
        <v>7</v>
      </c>
      <c r="S32" s="30">
        <v>450</v>
      </c>
      <c r="T32" s="30">
        <v>400</v>
      </c>
      <c r="U32" s="31">
        <v>5490</v>
      </c>
      <c r="V32" s="222">
        <v>4000</v>
      </c>
      <c r="W32" s="229">
        <v>3</v>
      </c>
      <c r="X32" s="222">
        <v>16470</v>
      </c>
      <c r="Y32" s="222">
        <v>18</v>
      </c>
      <c r="Z32" s="223">
        <v>4500</v>
      </c>
      <c r="AA32" s="209">
        <v>1</v>
      </c>
      <c r="AB32" s="208">
        <v>5490</v>
      </c>
      <c r="AC32" s="208">
        <v>25960</v>
      </c>
      <c r="AD32" s="208">
        <v>3</v>
      </c>
      <c r="AE32" s="208">
        <v>1</v>
      </c>
      <c r="AF32" s="208">
        <v>6880</v>
      </c>
      <c r="AG32" s="138">
        <v>19080</v>
      </c>
    </row>
    <row r="33" spans="1:33" x14ac:dyDescent="0.3">
      <c r="A33" t="s">
        <v>236</v>
      </c>
      <c r="B33" t="s">
        <v>184</v>
      </c>
      <c r="C33" t="s">
        <v>131</v>
      </c>
      <c r="D33" t="str">
        <f t="shared" si="0"/>
        <v>СТАРТПессиместичный вариантПромоутеры8</v>
      </c>
      <c r="E33" s="18">
        <v>150</v>
      </c>
      <c r="F33" s="24">
        <v>10</v>
      </c>
      <c r="G33" s="24">
        <v>15</v>
      </c>
      <c r="H33" s="24">
        <v>3</v>
      </c>
      <c r="I33" s="26">
        <v>0.17</v>
      </c>
      <c r="J33" s="27">
        <v>25.500000000000004</v>
      </c>
      <c r="K33" s="27">
        <v>10</v>
      </c>
      <c r="L33" s="27">
        <v>2.5500000000000003</v>
      </c>
      <c r="M33" s="48">
        <v>0.60714285714285721</v>
      </c>
      <c r="N33" s="28">
        <v>0.31999999999999995</v>
      </c>
      <c r="O33" s="27">
        <v>8</v>
      </c>
      <c r="P33" s="28">
        <v>0.17</v>
      </c>
      <c r="Q33" s="70">
        <v>0.35</v>
      </c>
      <c r="R33" s="29">
        <v>8</v>
      </c>
      <c r="S33" s="30">
        <v>450</v>
      </c>
      <c r="T33" s="30">
        <v>400</v>
      </c>
      <c r="U33" s="31">
        <v>5490</v>
      </c>
      <c r="V33" s="222">
        <v>3200</v>
      </c>
      <c r="W33" s="229">
        <v>2</v>
      </c>
      <c r="X33" s="222">
        <v>10980</v>
      </c>
      <c r="Y33" s="222">
        <v>19</v>
      </c>
      <c r="Z33" s="223">
        <v>3600</v>
      </c>
      <c r="AA33" s="209">
        <v>1</v>
      </c>
      <c r="AB33" s="208">
        <v>5490</v>
      </c>
      <c r="AC33" s="208">
        <v>19670</v>
      </c>
      <c r="AD33" s="208">
        <v>3</v>
      </c>
      <c r="AE33" s="208">
        <v>0</v>
      </c>
      <c r="AF33" s="208">
        <v>5160</v>
      </c>
      <c r="AG33" s="138">
        <v>14510</v>
      </c>
    </row>
    <row r="34" spans="1:33" x14ac:dyDescent="0.3">
      <c r="A34" t="s">
        <v>236</v>
      </c>
      <c r="B34" t="s">
        <v>184</v>
      </c>
      <c r="C34" t="s">
        <v>131</v>
      </c>
      <c r="D34" t="str">
        <f t="shared" si="0"/>
        <v>СТАРТПессиместичный вариантПромоутеры9</v>
      </c>
      <c r="E34" s="18">
        <v>150</v>
      </c>
      <c r="F34" s="24">
        <v>10</v>
      </c>
      <c r="G34" s="24">
        <v>15</v>
      </c>
      <c r="H34" s="24">
        <v>3</v>
      </c>
      <c r="I34" s="26">
        <v>0.17</v>
      </c>
      <c r="J34" s="27">
        <v>25.500000000000004</v>
      </c>
      <c r="K34" s="27">
        <v>10</v>
      </c>
      <c r="L34" s="27">
        <v>2.5500000000000003</v>
      </c>
      <c r="M34" s="48">
        <v>0.60714285714285721</v>
      </c>
      <c r="N34" s="28">
        <v>0.21999999999999995</v>
      </c>
      <c r="O34" s="27">
        <v>5</v>
      </c>
      <c r="P34" s="28">
        <v>7.0000000000000007E-2</v>
      </c>
      <c r="Q34" s="70">
        <v>0.2</v>
      </c>
      <c r="R34" s="29">
        <v>9</v>
      </c>
      <c r="S34" s="30">
        <v>450</v>
      </c>
      <c r="T34" s="30">
        <v>400</v>
      </c>
      <c r="U34" s="31">
        <v>5490</v>
      </c>
      <c r="V34" s="222">
        <v>2000</v>
      </c>
      <c r="W34" s="229">
        <v>1</v>
      </c>
      <c r="X34" s="222">
        <v>5490</v>
      </c>
      <c r="Y34" s="222">
        <v>20</v>
      </c>
      <c r="Z34" s="223">
        <v>2250</v>
      </c>
      <c r="AA34" s="209">
        <v>0</v>
      </c>
      <c r="AB34" s="208">
        <v>0</v>
      </c>
      <c r="AC34" s="208">
        <v>7490</v>
      </c>
      <c r="AD34" s="208">
        <v>4</v>
      </c>
      <c r="AE34" s="208">
        <v>0</v>
      </c>
      <c r="AF34" s="208">
        <v>6880</v>
      </c>
      <c r="AG34" s="138">
        <v>610</v>
      </c>
    </row>
    <row r="35" spans="1:33" ht="16.2" thickBot="1" x14ac:dyDescent="0.35">
      <c r="E35" s="19"/>
      <c r="F35" s="40"/>
      <c r="G35" s="40"/>
      <c r="H35" s="40"/>
      <c r="I35" s="42"/>
      <c r="J35" s="43"/>
      <c r="K35" s="43"/>
      <c r="L35" s="43"/>
      <c r="M35" s="53"/>
      <c r="N35" s="44"/>
      <c r="O35" s="43"/>
      <c r="P35" s="44"/>
      <c r="Q35" s="72"/>
      <c r="R35" s="45"/>
      <c r="S35" s="46"/>
      <c r="T35" s="46"/>
      <c r="U35" s="47"/>
      <c r="V35" s="234"/>
      <c r="W35" s="235"/>
      <c r="X35" s="234"/>
      <c r="Y35" s="234"/>
      <c r="Z35" s="236"/>
      <c r="AA35" s="213"/>
      <c r="AB35" s="214"/>
      <c r="AC35" s="214"/>
      <c r="AD35" s="214"/>
      <c r="AE35" s="214"/>
      <c r="AF35" s="214" t="s">
        <v>64</v>
      </c>
      <c r="AG35" s="139">
        <v>132540</v>
      </c>
    </row>
    <row r="36" spans="1:33" ht="16.2" thickBot="1" x14ac:dyDescent="0.35"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215"/>
      <c r="AG36" s="127"/>
    </row>
    <row r="37" spans="1:33" ht="24" thickBot="1" x14ac:dyDescent="0.5">
      <c r="E37" s="193" t="s">
        <v>132</v>
      </c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</row>
    <row r="38" spans="1:33" ht="41.25" customHeight="1" thickBot="1" x14ac:dyDescent="0.35">
      <c r="E38" s="194" t="s">
        <v>138</v>
      </c>
      <c r="F38" s="195" t="s">
        <v>92</v>
      </c>
      <c r="G38" s="196" t="s">
        <v>93</v>
      </c>
      <c r="H38" s="197" t="s">
        <v>134</v>
      </c>
      <c r="I38" s="198" t="s">
        <v>94</v>
      </c>
      <c r="J38" s="199" t="s">
        <v>95</v>
      </c>
      <c r="K38" s="200" t="s">
        <v>96</v>
      </c>
      <c r="L38" s="200" t="s">
        <v>97</v>
      </c>
      <c r="M38" s="200" t="s">
        <v>98</v>
      </c>
      <c r="N38" s="200" t="s">
        <v>99</v>
      </c>
      <c r="O38" s="199" t="s">
        <v>100</v>
      </c>
      <c r="P38" s="200" t="s">
        <v>101</v>
      </c>
      <c r="Q38" s="200" t="s">
        <v>102</v>
      </c>
      <c r="R38" s="198" t="s">
        <v>103</v>
      </c>
      <c r="S38" s="200" t="s">
        <v>104</v>
      </c>
      <c r="T38" s="200" t="s">
        <v>105</v>
      </c>
      <c r="U38" s="201" t="s">
        <v>90</v>
      </c>
      <c r="V38" s="250" t="s">
        <v>106</v>
      </c>
      <c r="W38" s="251" t="s">
        <v>107</v>
      </c>
      <c r="X38" s="250" t="s">
        <v>108</v>
      </c>
      <c r="Y38" s="251" t="s">
        <v>109</v>
      </c>
      <c r="Z38" s="252" t="s">
        <v>110</v>
      </c>
      <c r="AA38" s="248" t="s">
        <v>111</v>
      </c>
      <c r="AB38" s="248" t="s">
        <v>112</v>
      </c>
      <c r="AC38" s="248" t="s">
        <v>113</v>
      </c>
      <c r="AD38" s="248" t="s">
        <v>114</v>
      </c>
      <c r="AE38" s="248" t="s">
        <v>136</v>
      </c>
      <c r="AF38" s="248" t="s">
        <v>115</v>
      </c>
      <c r="AG38" s="249" t="s">
        <v>116</v>
      </c>
    </row>
    <row r="39" spans="1:33" x14ac:dyDescent="0.3">
      <c r="A39" t="s">
        <v>236</v>
      </c>
      <c r="B39" t="s">
        <v>182</v>
      </c>
      <c r="C39" t="s">
        <v>132</v>
      </c>
      <c r="D39" t="str">
        <f t="shared" ref="D39:D47" si="1">A39&amp;B39&amp;C39&amp;R39</f>
        <v>СТАРТОптимистичный вариантФБ/Инстаграмм1</v>
      </c>
      <c r="E39" s="17">
        <v>150</v>
      </c>
      <c r="F39" s="24">
        <v>0</v>
      </c>
      <c r="G39" s="24">
        <v>0</v>
      </c>
      <c r="H39" s="25">
        <v>0</v>
      </c>
      <c r="I39" s="49">
        <v>0</v>
      </c>
      <c r="J39" s="50">
        <v>0</v>
      </c>
      <c r="K39" s="50">
        <v>0</v>
      </c>
      <c r="L39" s="50">
        <v>0</v>
      </c>
      <c r="M39" s="50">
        <v>0</v>
      </c>
      <c r="N39" s="52">
        <v>0.3</v>
      </c>
      <c r="O39" s="50">
        <v>45</v>
      </c>
      <c r="P39" s="52">
        <v>0.35</v>
      </c>
      <c r="Q39" s="69">
        <v>0.5</v>
      </c>
      <c r="R39" s="77">
        <v>1</v>
      </c>
      <c r="S39" s="78">
        <v>600</v>
      </c>
      <c r="T39" s="78">
        <v>400</v>
      </c>
      <c r="U39" s="79">
        <v>5490</v>
      </c>
      <c r="V39" s="222">
        <v>18000</v>
      </c>
      <c r="W39" s="222">
        <v>16</v>
      </c>
      <c r="X39" s="222">
        <v>87840</v>
      </c>
      <c r="Y39" s="222">
        <v>16</v>
      </c>
      <c r="Z39" s="237">
        <v>27000</v>
      </c>
      <c r="AA39" s="204">
        <v>0</v>
      </c>
      <c r="AB39" s="205">
        <v>0</v>
      </c>
      <c r="AC39" s="205">
        <v>105840</v>
      </c>
      <c r="AD39" s="205">
        <v>3</v>
      </c>
      <c r="AE39" s="205">
        <v>5</v>
      </c>
      <c r="AF39" s="205">
        <v>13760</v>
      </c>
      <c r="AG39" s="206">
        <v>65080</v>
      </c>
    </row>
    <row r="40" spans="1:33" x14ac:dyDescent="0.3">
      <c r="A40" t="s">
        <v>236</v>
      </c>
      <c r="B40" t="s">
        <v>182</v>
      </c>
      <c r="C40" t="s">
        <v>132</v>
      </c>
      <c r="D40" t="str">
        <f t="shared" si="1"/>
        <v>СТАРТОптимистичный вариантФБ/Инстаграмм2</v>
      </c>
      <c r="E40" s="18">
        <v>150</v>
      </c>
      <c r="F40" s="24">
        <v>0</v>
      </c>
      <c r="G40" s="24">
        <v>0</v>
      </c>
      <c r="H40" s="25">
        <v>0</v>
      </c>
      <c r="I40" s="26">
        <v>0</v>
      </c>
      <c r="J40" s="27">
        <v>0</v>
      </c>
      <c r="K40" s="27">
        <v>0</v>
      </c>
      <c r="L40" s="27">
        <v>0</v>
      </c>
      <c r="M40" s="27">
        <v>0</v>
      </c>
      <c r="N40" s="28">
        <v>0.3</v>
      </c>
      <c r="O40" s="27">
        <v>45</v>
      </c>
      <c r="P40" s="28">
        <v>0.35</v>
      </c>
      <c r="Q40" s="70">
        <v>0.5</v>
      </c>
      <c r="R40" s="29">
        <v>2</v>
      </c>
      <c r="S40" s="30">
        <v>600</v>
      </c>
      <c r="T40" s="30">
        <v>400</v>
      </c>
      <c r="U40" s="31">
        <v>5490</v>
      </c>
      <c r="V40" s="222">
        <v>18000</v>
      </c>
      <c r="W40" s="222">
        <v>16</v>
      </c>
      <c r="X40" s="222">
        <v>87840</v>
      </c>
      <c r="Y40" s="222">
        <v>32</v>
      </c>
      <c r="Z40" s="237">
        <v>27000</v>
      </c>
      <c r="AA40" s="207">
        <v>0</v>
      </c>
      <c r="AB40" s="208">
        <v>0</v>
      </c>
      <c r="AC40" s="208">
        <v>105840</v>
      </c>
      <c r="AD40" s="208">
        <v>5</v>
      </c>
      <c r="AE40" s="208">
        <v>5</v>
      </c>
      <c r="AF40" s="208">
        <v>17200</v>
      </c>
      <c r="AG40" s="138">
        <v>88640</v>
      </c>
    </row>
    <row r="41" spans="1:33" x14ac:dyDescent="0.3">
      <c r="A41" t="s">
        <v>236</v>
      </c>
      <c r="B41" t="s">
        <v>182</v>
      </c>
      <c r="C41" t="s">
        <v>132</v>
      </c>
      <c r="D41" t="str">
        <f t="shared" si="1"/>
        <v>СТАРТОптимистичный вариантФБ/Инстаграмм3</v>
      </c>
      <c r="E41" s="18">
        <v>150</v>
      </c>
      <c r="F41" s="24">
        <v>0</v>
      </c>
      <c r="G41" s="24">
        <v>0</v>
      </c>
      <c r="H41" s="25">
        <v>0</v>
      </c>
      <c r="I41" s="26">
        <v>0</v>
      </c>
      <c r="J41" s="27">
        <v>0</v>
      </c>
      <c r="K41" s="27">
        <v>0</v>
      </c>
      <c r="L41" s="27">
        <v>0</v>
      </c>
      <c r="M41" s="27">
        <v>0</v>
      </c>
      <c r="N41" s="28">
        <v>0.3</v>
      </c>
      <c r="O41" s="27">
        <v>45</v>
      </c>
      <c r="P41" s="28">
        <v>0.35</v>
      </c>
      <c r="Q41" s="70">
        <v>0.5</v>
      </c>
      <c r="R41" s="29">
        <v>3</v>
      </c>
      <c r="S41" s="30">
        <v>600</v>
      </c>
      <c r="T41" s="30">
        <v>400</v>
      </c>
      <c r="U41" s="31">
        <v>5490</v>
      </c>
      <c r="V41" s="222">
        <v>18000</v>
      </c>
      <c r="W41" s="222">
        <v>16</v>
      </c>
      <c r="X41" s="222">
        <v>87840</v>
      </c>
      <c r="Y41" s="222">
        <v>48</v>
      </c>
      <c r="Z41" s="237">
        <v>27000</v>
      </c>
      <c r="AA41" s="207">
        <v>0</v>
      </c>
      <c r="AB41" s="208">
        <v>0</v>
      </c>
      <c r="AC41" s="208">
        <v>105840</v>
      </c>
      <c r="AD41" s="208">
        <v>8</v>
      </c>
      <c r="AE41" s="208">
        <v>5</v>
      </c>
      <c r="AF41" s="208">
        <v>22360</v>
      </c>
      <c r="AG41" s="138">
        <v>83480</v>
      </c>
    </row>
    <row r="42" spans="1:33" x14ac:dyDescent="0.3">
      <c r="A42" t="s">
        <v>236</v>
      </c>
      <c r="B42" t="s">
        <v>182</v>
      </c>
      <c r="C42" t="s">
        <v>132</v>
      </c>
      <c r="D42" t="str">
        <f t="shared" si="1"/>
        <v>СТАРТОптимистичный вариантФБ/Инстаграмм4</v>
      </c>
      <c r="E42" s="18">
        <v>150</v>
      </c>
      <c r="F42" s="24">
        <v>0</v>
      </c>
      <c r="G42" s="24">
        <v>0</v>
      </c>
      <c r="H42" s="25">
        <v>0</v>
      </c>
      <c r="I42" s="26">
        <v>0</v>
      </c>
      <c r="J42" s="27">
        <v>0</v>
      </c>
      <c r="K42" s="27">
        <v>0</v>
      </c>
      <c r="L42" s="27">
        <v>0</v>
      </c>
      <c r="M42" s="27">
        <v>0</v>
      </c>
      <c r="N42" s="28">
        <v>0.3</v>
      </c>
      <c r="O42" s="27">
        <v>45</v>
      </c>
      <c r="P42" s="28">
        <v>0.35</v>
      </c>
      <c r="Q42" s="70">
        <v>0.5</v>
      </c>
      <c r="R42" s="29">
        <v>4</v>
      </c>
      <c r="S42" s="30">
        <v>600</v>
      </c>
      <c r="T42" s="30">
        <v>400</v>
      </c>
      <c r="U42" s="31">
        <v>5490</v>
      </c>
      <c r="V42" s="222">
        <v>18000</v>
      </c>
      <c r="W42" s="222">
        <v>16</v>
      </c>
      <c r="X42" s="222">
        <v>87840</v>
      </c>
      <c r="Y42" s="222">
        <v>64</v>
      </c>
      <c r="Z42" s="237">
        <v>27000</v>
      </c>
      <c r="AA42" s="207">
        <v>0</v>
      </c>
      <c r="AB42" s="208">
        <v>0</v>
      </c>
      <c r="AC42" s="208">
        <v>105840</v>
      </c>
      <c r="AD42" s="208">
        <v>10</v>
      </c>
      <c r="AE42" s="208">
        <v>5</v>
      </c>
      <c r="AF42" s="208">
        <v>25800</v>
      </c>
      <c r="AG42" s="138">
        <v>80040</v>
      </c>
    </row>
    <row r="43" spans="1:33" x14ac:dyDescent="0.3">
      <c r="A43" t="s">
        <v>236</v>
      </c>
      <c r="B43" t="s">
        <v>182</v>
      </c>
      <c r="C43" t="s">
        <v>132</v>
      </c>
      <c r="D43" t="str">
        <f t="shared" si="1"/>
        <v>СТАРТОптимистичный вариантФБ/Инстаграмм5</v>
      </c>
      <c r="E43" s="18">
        <v>150</v>
      </c>
      <c r="F43" s="32">
        <v>0</v>
      </c>
      <c r="G43" s="81">
        <v>0</v>
      </c>
      <c r="H43" s="82">
        <v>0</v>
      </c>
      <c r="I43" s="33">
        <v>0</v>
      </c>
      <c r="J43" s="34">
        <v>0</v>
      </c>
      <c r="K43" s="34">
        <v>0</v>
      </c>
      <c r="L43" s="80">
        <v>0</v>
      </c>
      <c r="M43" s="34">
        <v>0</v>
      </c>
      <c r="N43" s="75">
        <v>0.3</v>
      </c>
      <c r="O43" s="34">
        <v>45</v>
      </c>
      <c r="P43" s="75">
        <v>0.35</v>
      </c>
      <c r="Q43" s="71">
        <v>0.5</v>
      </c>
      <c r="R43" s="35">
        <v>5</v>
      </c>
      <c r="S43" s="76">
        <v>600</v>
      </c>
      <c r="T43" s="36">
        <v>400</v>
      </c>
      <c r="U43" s="37">
        <v>5490</v>
      </c>
      <c r="V43" s="227">
        <v>18000</v>
      </c>
      <c r="W43" s="227">
        <v>16</v>
      </c>
      <c r="X43" s="227">
        <v>87840</v>
      </c>
      <c r="Y43" s="227">
        <v>72</v>
      </c>
      <c r="Z43" s="238">
        <v>27000</v>
      </c>
      <c r="AA43" s="209">
        <v>8</v>
      </c>
      <c r="AB43" s="210">
        <v>43920</v>
      </c>
      <c r="AC43" s="211">
        <v>149760</v>
      </c>
      <c r="AD43" s="211">
        <v>11</v>
      </c>
      <c r="AE43" s="211">
        <v>5</v>
      </c>
      <c r="AF43" s="211">
        <v>27520</v>
      </c>
      <c r="AG43" s="212">
        <v>122240</v>
      </c>
    </row>
    <row r="44" spans="1:33" x14ac:dyDescent="0.3">
      <c r="A44" t="s">
        <v>236</v>
      </c>
      <c r="B44" t="s">
        <v>182</v>
      </c>
      <c r="C44" t="s">
        <v>132</v>
      </c>
      <c r="D44" t="str">
        <f t="shared" si="1"/>
        <v>СТАРТОптимистичный вариантФБ/Инстаграмм6</v>
      </c>
      <c r="E44" s="18">
        <v>150</v>
      </c>
      <c r="F44" s="24">
        <v>0</v>
      </c>
      <c r="G44" s="24">
        <v>0</v>
      </c>
      <c r="H44" s="25">
        <v>0</v>
      </c>
      <c r="I44" s="26">
        <v>0</v>
      </c>
      <c r="J44" s="27">
        <v>0</v>
      </c>
      <c r="K44" s="27">
        <v>0</v>
      </c>
      <c r="L44" s="27">
        <v>0</v>
      </c>
      <c r="M44" s="27">
        <v>0</v>
      </c>
      <c r="N44" s="28">
        <v>0.3</v>
      </c>
      <c r="O44" s="27">
        <v>45</v>
      </c>
      <c r="P44" s="28">
        <v>0.35</v>
      </c>
      <c r="Q44" s="70">
        <v>0.5</v>
      </c>
      <c r="R44" s="29">
        <v>6</v>
      </c>
      <c r="S44" s="30">
        <v>600</v>
      </c>
      <c r="T44" s="30">
        <v>400</v>
      </c>
      <c r="U44" s="31">
        <v>5490</v>
      </c>
      <c r="V44" s="222">
        <v>18000</v>
      </c>
      <c r="W44" s="229">
        <v>16</v>
      </c>
      <c r="X44" s="222">
        <v>87840</v>
      </c>
      <c r="Y44" s="222">
        <v>80</v>
      </c>
      <c r="Z44" s="237">
        <v>27000</v>
      </c>
      <c r="AA44" s="209">
        <v>8</v>
      </c>
      <c r="AB44" s="208">
        <v>43920</v>
      </c>
      <c r="AC44" s="208">
        <v>149760</v>
      </c>
      <c r="AD44" s="208">
        <v>13</v>
      </c>
      <c r="AE44" s="208">
        <v>5</v>
      </c>
      <c r="AF44" s="208">
        <v>30960</v>
      </c>
      <c r="AG44" s="138">
        <v>118800</v>
      </c>
    </row>
    <row r="45" spans="1:33" x14ac:dyDescent="0.3">
      <c r="A45" t="s">
        <v>236</v>
      </c>
      <c r="B45" t="s">
        <v>182</v>
      </c>
      <c r="C45" t="s">
        <v>132</v>
      </c>
      <c r="D45" t="str">
        <f t="shared" si="1"/>
        <v>СТАРТОптимистичный вариантФБ/Инстаграмм7</v>
      </c>
      <c r="E45" s="18">
        <v>150</v>
      </c>
      <c r="F45" s="24">
        <v>0</v>
      </c>
      <c r="G45" s="24">
        <v>0</v>
      </c>
      <c r="H45" s="25">
        <v>0</v>
      </c>
      <c r="I45" s="26">
        <v>0</v>
      </c>
      <c r="J45" s="27">
        <v>0</v>
      </c>
      <c r="K45" s="27">
        <v>0</v>
      </c>
      <c r="L45" s="27">
        <v>0</v>
      </c>
      <c r="M45" s="27">
        <v>0</v>
      </c>
      <c r="N45" s="28">
        <v>0.3</v>
      </c>
      <c r="O45" s="27">
        <v>45</v>
      </c>
      <c r="P45" s="28">
        <v>0.35</v>
      </c>
      <c r="Q45" s="70">
        <v>0.5</v>
      </c>
      <c r="R45" s="29">
        <v>7</v>
      </c>
      <c r="S45" s="30">
        <v>600</v>
      </c>
      <c r="T45" s="30">
        <v>400</v>
      </c>
      <c r="U45" s="31">
        <v>5490</v>
      </c>
      <c r="V45" s="222">
        <v>18000</v>
      </c>
      <c r="W45" s="229">
        <v>16</v>
      </c>
      <c r="X45" s="222">
        <v>87840</v>
      </c>
      <c r="Y45" s="222">
        <v>88</v>
      </c>
      <c r="Z45" s="237">
        <v>27000</v>
      </c>
      <c r="AA45" s="209">
        <v>8</v>
      </c>
      <c r="AB45" s="208">
        <v>43920</v>
      </c>
      <c r="AC45" s="208">
        <v>149760</v>
      </c>
      <c r="AD45" s="208">
        <v>14</v>
      </c>
      <c r="AE45" s="208">
        <v>5</v>
      </c>
      <c r="AF45" s="208">
        <v>32680</v>
      </c>
      <c r="AG45" s="138">
        <v>117080</v>
      </c>
    </row>
    <row r="46" spans="1:33" x14ac:dyDescent="0.3">
      <c r="A46" t="s">
        <v>236</v>
      </c>
      <c r="B46" t="s">
        <v>182</v>
      </c>
      <c r="C46" t="s">
        <v>132</v>
      </c>
      <c r="D46" t="str">
        <f t="shared" si="1"/>
        <v>СТАРТОптимистичный вариантФБ/Инстаграмм8</v>
      </c>
      <c r="E46" s="18">
        <v>150</v>
      </c>
      <c r="F46" s="24">
        <v>0</v>
      </c>
      <c r="G46" s="24">
        <v>0</v>
      </c>
      <c r="H46" s="25">
        <v>0</v>
      </c>
      <c r="I46" s="26">
        <v>0</v>
      </c>
      <c r="J46" s="27">
        <v>0</v>
      </c>
      <c r="K46" s="27">
        <v>0</v>
      </c>
      <c r="L46" s="27">
        <v>0</v>
      </c>
      <c r="M46" s="27">
        <v>0</v>
      </c>
      <c r="N46" s="28">
        <v>0.25</v>
      </c>
      <c r="O46" s="27">
        <v>37.5</v>
      </c>
      <c r="P46" s="28">
        <v>0.3</v>
      </c>
      <c r="Q46" s="70">
        <v>0.35</v>
      </c>
      <c r="R46" s="29">
        <v>8</v>
      </c>
      <c r="S46" s="30">
        <v>600</v>
      </c>
      <c r="T46" s="30">
        <v>400</v>
      </c>
      <c r="U46" s="31">
        <v>5490</v>
      </c>
      <c r="V46" s="222">
        <v>15000</v>
      </c>
      <c r="W46" s="229">
        <v>12</v>
      </c>
      <c r="X46" s="222">
        <v>65880</v>
      </c>
      <c r="Y46" s="222">
        <v>95</v>
      </c>
      <c r="Z46" s="237">
        <v>22500</v>
      </c>
      <c r="AA46" s="209">
        <v>5</v>
      </c>
      <c r="AB46" s="208">
        <v>27450</v>
      </c>
      <c r="AC46" s="208">
        <v>108330</v>
      </c>
      <c r="AD46" s="208">
        <v>15</v>
      </c>
      <c r="AE46" s="208">
        <v>4</v>
      </c>
      <c r="AF46" s="208">
        <v>32680</v>
      </c>
      <c r="AG46" s="138">
        <v>75650</v>
      </c>
    </row>
    <row r="47" spans="1:33" x14ac:dyDescent="0.3">
      <c r="A47" t="s">
        <v>236</v>
      </c>
      <c r="B47" t="s">
        <v>182</v>
      </c>
      <c r="C47" t="s">
        <v>132</v>
      </c>
      <c r="D47" t="str">
        <f t="shared" si="1"/>
        <v>СТАРТОптимистичный вариантФБ/Инстаграмм9</v>
      </c>
      <c r="E47" s="18">
        <v>150</v>
      </c>
      <c r="F47" s="24">
        <v>0</v>
      </c>
      <c r="G47" s="24">
        <v>0</v>
      </c>
      <c r="H47" s="25">
        <v>0</v>
      </c>
      <c r="I47" s="26">
        <v>0</v>
      </c>
      <c r="J47" s="27">
        <v>0</v>
      </c>
      <c r="K47" s="27">
        <v>0</v>
      </c>
      <c r="L47" s="27">
        <v>0</v>
      </c>
      <c r="M47" s="27">
        <v>0</v>
      </c>
      <c r="N47" s="28">
        <v>0.2</v>
      </c>
      <c r="O47" s="27">
        <v>30</v>
      </c>
      <c r="P47" s="28">
        <v>0.25</v>
      </c>
      <c r="Q47" s="70">
        <v>0.2</v>
      </c>
      <c r="R47" s="29">
        <v>9</v>
      </c>
      <c r="S47" s="102">
        <v>600</v>
      </c>
      <c r="T47" s="30">
        <v>400</v>
      </c>
      <c r="U47" s="31">
        <v>5490</v>
      </c>
      <c r="V47" s="222">
        <v>12000</v>
      </c>
      <c r="W47" s="229">
        <v>8</v>
      </c>
      <c r="X47" s="222">
        <v>43920</v>
      </c>
      <c r="Y47" s="222">
        <v>100</v>
      </c>
      <c r="Z47" s="237">
        <v>18000</v>
      </c>
      <c r="AA47" s="209">
        <v>3</v>
      </c>
      <c r="AB47" s="208">
        <v>16470</v>
      </c>
      <c r="AC47" s="208">
        <v>72390</v>
      </c>
      <c r="AD47" s="208">
        <v>16</v>
      </c>
      <c r="AE47" s="208">
        <v>3</v>
      </c>
      <c r="AF47" s="208">
        <v>32680</v>
      </c>
      <c r="AG47" s="138">
        <v>39710</v>
      </c>
    </row>
    <row r="48" spans="1:33" ht="16.2" thickBot="1" x14ac:dyDescent="0.35">
      <c r="E48" s="19"/>
      <c r="F48" s="40"/>
      <c r="G48" s="40"/>
      <c r="H48" s="41"/>
      <c r="I48" s="42"/>
      <c r="J48" s="43"/>
      <c r="K48" s="43"/>
      <c r="L48" s="43"/>
      <c r="M48" s="43"/>
      <c r="N48" s="44"/>
      <c r="O48" s="43"/>
      <c r="P48" s="44"/>
      <c r="Q48" s="72"/>
      <c r="R48" s="45"/>
      <c r="S48" s="103"/>
      <c r="T48" s="46"/>
      <c r="U48" s="47"/>
      <c r="V48" s="234"/>
      <c r="W48" s="235"/>
      <c r="X48" s="234"/>
      <c r="Y48" s="234"/>
      <c r="Z48" s="239"/>
      <c r="AA48" s="213"/>
      <c r="AB48" s="214"/>
      <c r="AC48" s="214"/>
      <c r="AD48" s="214"/>
      <c r="AE48" s="214"/>
      <c r="AF48" s="214" t="s">
        <v>64</v>
      </c>
      <c r="AG48" s="139">
        <v>790720</v>
      </c>
    </row>
    <row r="49" spans="1:33" ht="24" thickBot="1" x14ac:dyDescent="0.5">
      <c r="E49" s="193" t="s">
        <v>132</v>
      </c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</row>
    <row r="50" spans="1:33" ht="37.5" customHeight="1" thickBot="1" x14ac:dyDescent="0.35">
      <c r="A50" t="s">
        <v>236</v>
      </c>
      <c r="B50" t="s">
        <v>183</v>
      </c>
      <c r="C50" t="s">
        <v>132</v>
      </c>
      <c r="D50" t="str">
        <f t="shared" ref="D50:D59" si="2">A50&amp;B50&amp;C50&amp;R50</f>
        <v>СТАРТСтандартный вариантФБ/Инстаграмммес</v>
      </c>
      <c r="E50" s="194" t="s">
        <v>138</v>
      </c>
      <c r="F50" s="195" t="s">
        <v>92</v>
      </c>
      <c r="G50" s="196" t="s">
        <v>93</v>
      </c>
      <c r="H50" s="197" t="s">
        <v>134</v>
      </c>
      <c r="I50" s="198" t="s">
        <v>94</v>
      </c>
      <c r="J50" s="199" t="s">
        <v>95</v>
      </c>
      <c r="K50" s="200" t="s">
        <v>96</v>
      </c>
      <c r="L50" s="200" t="s">
        <v>97</v>
      </c>
      <c r="M50" s="200" t="s">
        <v>98</v>
      </c>
      <c r="N50" s="200" t="s">
        <v>99</v>
      </c>
      <c r="O50" s="199" t="s">
        <v>100</v>
      </c>
      <c r="P50" s="200" t="s">
        <v>101</v>
      </c>
      <c r="Q50" s="200" t="s">
        <v>102</v>
      </c>
      <c r="R50" s="198" t="s">
        <v>103</v>
      </c>
      <c r="S50" s="200" t="s">
        <v>104</v>
      </c>
      <c r="T50" s="200" t="s">
        <v>105</v>
      </c>
      <c r="U50" s="201" t="s">
        <v>90</v>
      </c>
      <c r="V50" s="250" t="s">
        <v>106</v>
      </c>
      <c r="W50" s="251" t="s">
        <v>107</v>
      </c>
      <c r="X50" s="250" t="s">
        <v>108</v>
      </c>
      <c r="Y50" s="251" t="s">
        <v>109</v>
      </c>
      <c r="Z50" s="252" t="s">
        <v>110</v>
      </c>
      <c r="AA50" s="248" t="s">
        <v>111</v>
      </c>
      <c r="AB50" s="248" t="s">
        <v>112</v>
      </c>
      <c r="AC50" s="248" t="s">
        <v>113</v>
      </c>
      <c r="AD50" s="248" t="s">
        <v>114</v>
      </c>
      <c r="AE50" s="248" t="s">
        <v>136</v>
      </c>
      <c r="AF50" s="248" t="s">
        <v>115</v>
      </c>
      <c r="AG50" s="249" t="s">
        <v>116</v>
      </c>
    </row>
    <row r="51" spans="1:33" x14ac:dyDescent="0.3">
      <c r="A51" t="s">
        <v>236</v>
      </c>
      <c r="B51" t="s">
        <v>183</v>
      </c>
      <c r="C51" t="s">
        <v>132</v>
      </c>
      <c r="D51" t="str">
        <f t="shared" si="2"/>
        <v>СТАРТСтандартный вариантФБ/Инстаграмм1</v>
      </c>
      <c r="E51" s="17">
        <v>150</v>
      </c>
      <c r="F51" s="24">
        <v>0</v>
      </c>
      <c r="G51" s="24">
        <v>0</v>
      </c>
      <c r="H51" s="25">
        <v>0</v>
      </c>
      <c r="I51" s="49">
        <v>0</v>
      </c>
      <c r="J51" s="50">
        <v>0</v>
      </c>
      <c r="K51" s="50">
        <v>0</v>
      </c>
      <c r="L51" s="50">
        <v>0</v>
      </c>
      <c r="M51" s="50">
        <v>0</v>
      </c>
      <c r="N51" s="52">
        <v>0.25</v>
      </c>
      <c r="O51" s="50">
        <v>37.5</v>
      </c>
      <c r="P51" s="52">
        <v>0.3</v>
      </c>
      <c r="Q51" s="69">
        <v>0.5</v>
      </c>
      <c r="R51" s="77">
        <v>1</v>
      </c>
      <c r="S51" s="78">
        <v>700</v>
      </c>
      <c r="T51" s="78">
        <v>400</v>
      </c>
      <c r="U51" s="79">
        <v>5490</v>
      </c>
      <c r="V51" s="222">
        <v>15000</v>
      </c>
      <c r="W51" s="222">
        <v>12</v>
      </c>
      <c r="X51" s="222">
        <v>65880</v>
      </c>
      <c r="Y51" s="222">
        <v>12</v>
      </c>
      <c r="Z51" s="237">
        <v>26250</v>
      </c>
      <c r="AA51" s="204">
        <v>0</v>
      </c>
      <c r="AB51" s="205">
        <v>0</v>
      </c>
      <c r="AC51" s="205">
        <v>80880</v>
      </c>
      <c r="AD51" s="205">
        <v>2</v>
      </c>
      <c r="AE51" s="205">
        <v>4</v>
      </c>
      <c r="AF51" s="205">
        <v>10320</v>
      </c>
      <c r="AG51" s="206">
        <v>44310</v>
      </c>
    </row>
    <row r="52" spans="1:33" x14ac:dyDescent="0.3">
      <c r="A52" t="s">
        <v>236</v>
      </c>
      <c r="B52" t="s">
        <v>183</v>
      </c>
      <c r="C52" t="s">
        <v>132</v>
      </c>
      <c r="D52" t="str">
        <f t="shared" si="2"/>
        <v>СТАРТСтандартный вариантФБ/Инстаграмм2</v>
      </c>
      <c r="E52" s="18">
        <v>150</v>
      </c>
      <c r="F52" s="24">
        <v>0</v>
      </c>
      <c r="G52" s="24">
        <v>0</v>
      </c>
      <c r="H52" s="25">
        <v>0</v>
      </c>
      <c r="I52" s="26">
        <v>0</v>
      </c>
      <c r="J52" s="27">
        <v>0</v>
      </c>
      <c r="K52" s="27">
        <v>0</v>
      </c>
      <c r="L52" s="27">
        <v>0</v>
      </c>
      <c r="M52" s="27">
        <v>0</v>
      </c>
      <c r="N52" s="28">
        <v>0.25</v>
      </c>
      <c r="O52" s="27">
        <v>37.5</v>
      </c>
      <c r="P52" s="28">
        <v>0.3</v>
      </c>
      <c r="Q52" s="70">
        <v>0.5</v>
      </c>
      <c r="R52" s="29">
        <v>2</v>
      </c>
      <c r="S52" s="30">
        <v>700</v>
      </c>
      <c r="T52" s="30">
        <v>400</v>
      </c>
      <c r="U52" s="31">
        <v>5490</v>
      </c>
      <c r="V52" s="222">
        <v>15000</v>
      </c>
      <c r="W52" s="222">
        <v>12</v>
      </c>
      <c r="X52" s="222">
        <v>65880</v>
      </c>
      <c r="Y52" s="222">
        <v>24</v>
      </c>
      <c r="Z52" s="237">
        <v>26250</v>
      </c>
      <c r="AA52" s="207">
        <v>0</v>
      </c>
      <c r="AB52" s="208">
        <v>0</v>
      </c>
      <c r="AC52" s="208">
        <v>80880</v>
      </c>
      <c r="AD52" s="208">
        <v>4</v>
      </c>
      <c r="AE52" s="208">
        <v>4</v>
      </c>
      <c r="AF52" s="208">
        <v>13760</v>
      </c>
      <c r="AG52" s="138">
        <v>67120</v>
      </c>
    </row>
    <row r="53" spans="1:33" x14ac:dyDescent="0.3">
      <c r="A53" t="s">
        <v>236</v>
      </c>
      <c r="B53" t="s">
        <v>183</v>
      </c>
      <c r="C53" t="s">
        <v>132</v>
      </c>
      <c r="D53" t="str">
        <f t="shared" si="2"/>
        <v>СТАРТСтандартный вариантФБ/Инстаграмм3</v>
      </c>
      <c r="E53" s="18">
        <v>150</v>
      </c>
      <c r="F53" s="24">
        <v>0</v>
      </c>
      <c r="G53" s="24">
        <v>0</v>
      </c>
      <c r="H53" s="25">
        <v>0</v>
      </c>
      <c r="I53" s="26">
        <v>0</v>
      </c>
      <c r="J53" s="27">
        <v>0</v>
      </c>
      <c r="K53" s="27">
        <v>0</v>
      </c>
      <c r="L53" s="27">
        <v>0</v>
      </c>
      <c r="M53" s="27">
        <v>0</v>
      </c>
      <c r="N53" s="28">
        <v>0.25</v>
      </c>
      <c r="O53" s="27">
        <v>37.5</v>
      </c>
      <c r="P53" s="28">
        <v>0.3</v>
      </c>
      <c r="Q53" s="70">
        <v>0.5</v>
      </c>
      <c r="R53" s="29">
        <v>3</v>
      </c>
      <c r="S53" s="30">
        <v>700</v>
      </c>
      <c r="T53" s="30">
        <v>400</v>
      </c>
      <c r="U53" s="31">
        <v>5490</v>
      </c>
      <c r="V53" s="222">
        <v>15000</v>
      </c>
      <c r="W53" s="222">
        <v>12</v>
      </c>
      <c r="X53" s="222">
        <v>65880</v>
      </c>
      <c r="Y53" s="222">
        <v>36</v>
      </c>
      <c r="Z53" s="237">
        <v>26250</v>
      </c>
      <c r="AA53" s="207">
        <v>0</v>
      </c>
      <c r="AB53" s="208">
        <v>0</v>
      </c>
      <c r="AC53" s="208">
        <v>80880</v>
      </c>
      <c r="AD53" s="208">
        <v>6</v>
      </c>
      <c r="AE53" s="208">
        <v>4</v>
      </c>
      <c r="AF53" s="208">
        <v>17200</v>
      </c>
      <c r="AG53" s="138">
        <v>63680</v>
      </c>
    </row>
    <row r="54" spans="1:33" x14ac:dyDescent="0.3">
      <c r="A54" t="s">
        <v>236</v>
      </c>
      <c r="B54" t="s">
        <v>183</v>
      </c>
      <c r="C54" t="s">
        <v>132</v>
      </c>
      <c r="D54" t="str">
        <f t="shared" si="2"/>
        <v>СТАРТСтандартный вариантФБ/Инстаграмм4</v>
      </c>
      <c r="E54" s="18">
        <v>150</v>
      </c>
      <c r="F54" s="24">
        <v>0</v>
      </c>
      <c r="G54" s="24">
        <v>0</v>
      </c>
      <c r="H54" s="25">
        <v>0</v>
      </c>
      <c r="I54" s="26">
        <v>0</v>
      </c>
      <c r="J54" s="27">
        <v>0</v>
      </c>
      <c r="K54" s="27">
        <v>0</v>
      </c>
      <c r="L54" s="27">
        <v>0</v>
      </c>
      <c r="M54" s="27">
        <v>0</v>
      </c>
      <c r="N54" s="28">
        <v>0.25</v>
      </c>
      <c r="O54" s="27">
        <v>37.5</v>
      </c>
      <c r="P54" s="28">
        <v>0.3</v>
      </c>
      <c r="Q54" s="70">
        <v>0.5</v>
      </c>
      <c r="R54" s="29">
        <v>4</v>
      </c>
      <c r="S54" s="30">
        <v>700</v>
      </c>
      <c r="T54" s="30">
        <v>400</v>
      </c>
      <c r="U54" s="31">
        <v>5490</v>
      </c>
      <c r="V54" s="222">
        <v>15000</v>
      </c>
      <c r="W54" s="222">
        <v>12</v>
      </c>
      <c r="X54" s="222">
        <v>65880</v>
      </c>
      <c r="Y54" s="222">
        <v>48</v>
      </c>
      <c r="Z54" s="237">
        <v>26250</v>
      </c>
      <c r="AA54" s="207">
        <v>0</v>
      </c>
      <c r="AB54" s="208">
        <v>0</v>
      </c>
      <c r="AC54" s="208">
        <v>80880</v>
      </c>
      <c r="AD54" s="208">
        <v>8</v>
      </c>
      <c r="AE54" s="208">
        <v>4</v>
      </c>
      <c r="AF54" s="208">
        <v>20640</v>
      </c>
      <c r="AG54" s="138">
        <v>60240</v>
      </c>
    </row>
    <row r="55" spans="1:33" x14ac:dyDescent="0.3">
      <c r="A55" t="s">
        <v>236</v>
      </c>
      <c r="B55" t="s">
        <v>183</v>
      </c>
      <c r="C55" t="s">
        <v>132</v>
      </c>
      <c r="D55" t="str">
        <f t="shared" si="2"/>
        <v>СТАРТСтандартный вариантФБ/Инстаграмм5</v>
      </c>
      <c r="E55" s="18">
        <v>150</v>
      </c>
      <c r="F55" s="32">
        <v>0</v>
      </c>
      <c r="G55" s="81">
        <v>0</v>
      </c>
      <c r="H55" s="82">
        <v>0</v>
      </c>
      <c r="I55" s="33">
        <v>0</v>
      </c>
      <c r="J55" s="34">
        <v>0</v>
      </c>
      <c r="K55" s="34">
        <v>0</v>
      </c>
      <c r="L55" s="80">
        <v>0</v>
      </c>
      <c r="M55" s="34">
        <v>0</v>
      </c>
      <c r="N55" s="75">
        <v>0.25</v>
      </c>
      <c r="O55" s="34">
        <v>37.5</v>
      </c>
      <c r="P55" s="75">
        <v>0.3</v>
      </c>
      <c r="Q55" s="71">
        <v>0.5</v>
      </c>
      <c r="R55" s="35">
        <v>5</v>
      </c>
      <c r="S55" s="76">
        <v>700</v>
      </c>
      <c r="T55" s="36">
        <v>400</v>
      </c>
      <c r="U55" s="37">
        <v>5490</v>
      </c>
      <c r="V55" s="227">
        <v>15000</v>
      </c>
      <c r="W55" s="227">
        <v>12</v>
      </c>
      <c r="X55" s="227">
        <v>65880</v>
      </c>
      <c r="Y55" s="227">
        <v>54</v>
      </c>
      <c r="Z55" s="238">
        <v>26250</v>
      </c>
      <c r="AA55" s="209">
        <v>6</v>
      </c>
      <c r="AB55" s="210">
        <v>32940</v>
      </c>
      <c r="AC55" s="211">
        <v>113820</v>
      </c>
      <c r="AD55" s="211">
        <v>9</v>
      </c>
      <c r="AE55" s="211">
        <v>4</v>
      </c>
      <c r="AF55" s="211">
        <v>22360</v>
      </c>
      <c r="AG55" s="212">
        <v>91460</v>
      </c>
    </row>
    <row r="56" spans="1:33" x14ac:dyDescent="0.3">
      <c r="A56" t="s">
        <v>236</v>
      </c>
      <c r="B56" t="s">
        <v>183</v>
      </c>
      <c r="C56" t="s">
        <v>132</v>
      </c>
      <c r="D56" t="str">
        <f t="shared" si="2"/>
        <v>СТАРТСтандартный вариантФБ/Инстаграмм6</v>
      </c>
      <c r="E56" s="18">
        <v>150</v>
      </c>
      <c r="F56" s="24">
        <v>0</v>
      </c>
      <c r="G56" s="24">
        <v>0</v>
      </c>
      <c r="H56" s="25">
        <v>0</v>
      </c>
      <c r="I56" s="26">
        <v>0</v>
      </c>
      <c r="J56" s="27">
        <v>0</v>
      </c>
      <c r="K56" s="27">
        <v>0</v>
      </c>
      <c r="L56" s="27">
        <v>0</v>
      </c>
      <c r="M56" s="27">
        <v>0</v>
      </c>
      <c r="N56" s="28">
        <v>0.25</v>
      </c>
      <c r="O56" s="27">
        <v>37.5</v>
      </c>
      <c r="P56" s="28">
        <v>0.3</v>
      </c>
      <c r="Q56" s="70">
        <v>0.5</v>
      </c>
      <c r="R56" s="29">
        <v>6</v>
      </c>
      <c r="S56" s="30">
        <v>700</v>
      </c>
      <c r="T56" s="30">
        <v>400</v>
      </c>
      <c r="U56" s="31">
        <v>5490</v>
      </c>
      <c r="V56" s="222">
        <v>15000</v>
      </c>
      <c r="W56" s="229">
        <v>12</v>
      </c>
      <c r="X56" s="222">
        <v>65880</v>
      </c>
      <c r="Y56" s="222">
        <v>60</v>
      </c>
      <c r="Z56" s="237">
        <v>26250</v>
      </c>
      <c r="AA56" s="209">
        <v>6</v>
      </c>
      <c r="AB56" s="208">
        <v>32940</v>
      </c>
      <c r="AC56" s="208">
        <v>113820</v>
      </c>
      <c r="AD56" s="208">
        <v>10</v>
      </c>
      <c r="AE56" s="208">
        <v>4</v>
      </c>
      <c r="AF56" s="208">
        <v>24080</v>
      </c>
      <c r="AG56" s="138">
        <v>89740</v>
      </c>
    </row>
    <row r="57" spans="1:33" x14ac:dyDescent="0.3">
      <c r="A57" t="s">
        <v>236</v>
      </c>
      <c r="B57" t="s">
        <v>183</v>
      </c>
      <c r="C57" t="s">
        <v>132</v>
      </c>
      <c r="D57" t="str">
        <f t="shared" si="2"/>
        <v>СТАРТСтандартный вариантФБ/Инстаграмм7</v>
      </c>
      <c r="E57" s="18">
        <v>150</v>
      </c>
      <c r="F57" s="24">
        <v>0</v>
      </c>
      <c r="G57" s="24">
        <v>0</v>
      </c>
      <c r="H57" s="25">
        <v>0</v>
      </c>
      <c r="I57" s="26">
        <v>0</v>
      </c>
      <c r="J57" s="27">
        <v>0</v>
      </c>
      <c r="K57" s="27">
        <v>0</v>
      </c>
      <c r="L57" s="27">
        <v>0</v>
      </c>
      <c r="M57" s="27">
        <v>0</v>
      </c>
      <c r="N57" s="28">
        <v>0.25</v>
      </c>
      <c r="O57" s="27">
        <v>37.5</v>
      </c>
      <c r="P57" s="28">
        <v>0.3</v>
      </c>
      <c r="Q57" s="70">
        <v>0.5</v>
      </c>
      <c r="R57" s="29">
        <v>7</v>
      </c>
      <c r="S57" s="30">
        <v>700</v>
      </c>
      <c r="T57" s="30">
        <v>400</v>
      </c>
      <c r="U57" s="31">
        <v>5490</v>
      </c>
      <c r="V57" s="222">
        <v>15000</v>
      </c>
      <c r="W57" s="229">
        <v>12</v>
      </c>
      <c r="X57" s="222">
        <v>65880</v>
      </c>
      <c r="Y57" s="222">
        <v>66</v>
      </c>
      <c r="Z57" s="237">
        <v>26250</v>
      </c>
      <c r="AA57" s="209">
        <v>6</v>
      </c>
      <c r="AB57" s="208">
        <v>32940</v>
      </c>
      <c r="AC57" s="208">
        <v>113820</v>
      </c>
      <c r="AD57" s="208">
        <v>10</v>
      </c>
      <c r="AE57" s="208">
        <v>4</v>
      </c>
      <c r="AF57" s="208">
        <v>24080</v>
      </c>
      <c r="AG57" s="138">
        <v>89740</v>
      </c>
    </row>
    <row r="58" spans="1:33" x14ac:dyDescent="0.3">
      <c r="A58" t="s">
        <v>236</v>
      </c>
      <c r="B58" t="s">
        <v>183</v>
      </c>
      <c r="C58" t="s">
        <v>132</v>
      </c>
      <c r="D58" t="str">
        <f t="shared" si="2"/>
        <v>СТАРТСтандартный вариантФБ/Инстаграмм8</v>
      </c>
      <c r="E58" s="18">
        <v>150</v>
      </c>
      <c r="F58" s="24">
        <v>0</v>
      </c>
      <c r="G58" s="24">
        <v>0</v>
      </c>
      <c r="H58" s="25">
        <v>0</v>
      </c>
      <c r="I58" s="26">
        <v>0</v>
      </c>
      <c r="J58" s="27">
        <v>0</v>
      </c>
      <c r="K58" s="27">
        <v>0</v>
      </c>
      <c r="L58" s="27">
        <v>0</v>
      </c>
      <c r="M58" s="27">
        <v>0</v>
      </c>
      <c r="N58" s="28">
        <v>0.2</v>
      </c>
      <c r="O58" s="27">
        <v>30</v>
      </c>
      <c r="P58" s="28">
        <v>0.25</v>
      </c>
      <c r="Q58" s="70">
        <v>0.35</v>
      </c>
      <c r="R58" s="29">
        <v>8</v>
      </c>
      <c r="S58" s="30">
        <v>700</v>
      </c>
      <c r="T58" s="30">
        <v>400</v>
      </c>
      <c r="U58" s="31">
        <v>5490</v>
      </c>
      <c r="V58" s="222">
        <v>12000</v>
      </c>
      <c r="W58" s="229">
        <v>8</v>
      </c>
      <c r="X58" s="222">
        <v>43920</v>
      </c>
      <c r="Y58" s="222">
        <v>70</v>
      </c>
      <c r="Z58" s="237">
        <v>21000</v>
      </c>
      <c r="AA58" s="209">
        <v>4</v>
      </c>
      <c r="AB58" s="208">
        <v>21960</v>
      </c>
      <c r="AC58" s="208">
        <v>77880</v>
      </c>
      <c r="AD58" s="208">
        <v>11</v>
      </c>
      <c r="AE58" s="208">
        <v>3</v>
      </c>
      <c r="AF58" s="208">
        <v>24080</v>
      </c>
      <c r="AG58" s="138">
        <v>53800</v>
      </c>
    </row>
    <row r="59" spans="1:33" x14ac:dyDescent="0.3">
      <c r="A59" t="s">
        <v>236</v>
      </c>
      <c r="B59" t="s">
        <v>183</v>
      </c>
      <c r="C59" t="s">
        <v>132</v>
      </c>
      <c r="D59" t="str">
        <f t="shared" si="2"/>
        <v>СТАРТСтандартный вариантФБ/Инстаграмм9</v>
      </c>
      <c r="E59" s="18">
        <v>150</v>
      </c>
      <c r="F59" s="24">
        <v>0</v>
      </c>
      <c r="G59" s="24">
        <v>0</v>
      </c>
      <c r="H59" s="25">
        <v>0</v>
      </c>
      <c r="I59" s="26">
        <v>0</v>
      </c>
      <c r="J59" s="27">
        <v>0</v>
      </c>
      <c r="K59" s="27">
        <v>0</v>
      </c>
      <c r="L59" s="27">
        <v>0</v>
      </c>
      <c r="M59" s="27">
        <v>0</v>
      </c>
      <c r="N59" s="28">
        <v>0.15000000000000002</v>
      </c>
      <c r="O59" s="27">
        <v>22.500000000000004</v>
      </c>
      <c r="P59" s="28">
        <v>0.2</v>
      </c>
      <c r="Q59" s="70">
        <v>0.2</v>
      </c>
      <c r="R59" s="29">
        <v>9</v>
      </c>
      <c r="S59" s="102">
        <v>700</v>
      </c>
      <c r="T59" s="30">
        <v>400</v>
      </c>
      <c r="U59" s="31">
        <v>5490</v>
      </c>
      <c r="V59" s="222">
        <v>9000.0000000000018</v>
      </c>
      <c r="W59" s="229">
        <v>5</v>
      </c>
      <c r="X59" s="222">
        <v>27450</v>
      </c>
      <c r="Y59" s="222">
        <v>73</v>
      </c>
      <c r="Z59" s="237">
        <v>15750.000000000002</v>
      </c>
      <c r="AA59" s="209">
        <v>2</v>
      </c>
      <c r="AB59" s="208">
        <v>10980</v>
      </c>
      <c r="AC59" s="208">
        <v>47430</v>
      </c>
      <c r="AD59" s="208">
        <v>12</v>
      </c>
      <c r="AE59" s="208">
        <v>2</v>
      </c>
      <c r="AF59" s="208">
        <v>24080</v>
      </c>
      <c r="AG59" s="138">
        <v>23350</v>
      </c>
    </row>
    <row r="60" spans="1:33" ht="16.2" thickBot="1" x14ac:dyDescent="0.35">
      <c r="E60" s="19"/>
      <c r="F60" s="40"/>
      <c r="G60" s="40"/>
      <c r="H60" s="41"/>
      <c r="I60" s="42"/>
      <c r="J60" s="43"/>
      <c r="K60" s="43"/>
      <c r="L60" s="43"/>
      <c r="M60" s="43"/>
      <c r="N60" s="44"/>
      <c r="O60" s="43"/>
      <c r="P60" s="44"/>
      <c r="Q60" s="72"/>
      <c r="R60" s="45"/>
      <c r="S60" s="103"/>
      <c r="T60" s="46"/>
      <c r="U60" s="47"/>
      <c r="V60" s="234"/>
      <c r="W60" s="235"/>
      <c r="X60" s="234"/>
      <c r="Y60" s="234"/>
      <c r="Z60" s="239"/>
      <c r="AA60" s="213"/>
      <c r="AB60" s="214"/>
      <c r="AC60" s="214"/>
      <c r="AD60" s="214"/>
      <c r="AE60" s="214"/>
      <c r="AF60" s="214" t="s">
        <v>64</v>
      </c>
      <c r="AG60" s="139">
        <v>583440</v>
      </c>
    </row>
    <row r="61" spans="1:33" ht="24" thickBot="1" x14ac:dyDescent="0.5">
      <c r="E61" s="193" t="s">
        <v>132</v>
      </c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</row>
    <row r="62" spans="1:33" ht="24.75" customHeight="1" thickBot="1" x14ac:dyDescent="0.35">
      <c r="A62" t="s">
        <v>236</v>
      </c>
      <c r="B62" t="s">
        <v>184</v>
      </c>
      <c r="C62" t="s">
        <v>132</v>
      </c>
      <c r="D62" t="str">
        <f t="shared" ref="D62:D72" si="3">A62&amp;B62&amp;C62&amp;R62</f>
        <v>СТАРТПессиместичный вариантФБ/Инстаграмммес</v>
      </c>
      <c r="E62" s="194" t="s">
        <v>138</v>
      </c>
      <c r="F62" s="195" t="s">
        <v>92</v>
      </c>
      <c r="G62" s="196" t="s">
        <v>93</v>
      </c>
      <c r="H62" s="197" t="s">
        <v>134</v>
      </c>
      <c r="I62" s="198" t="s">
        <v>94</v>
      </c>
      <c r="J62" s="199" t="s">
        <v>95</v>
      </c>
      <c r="K62" s="200" t="s">
        <v>96</v>
      </c>
      <c r="L62" s="200" t="s">
        <v>97</v>
      </c>
      <c r="M62" s="200" t="s">
        <v>98</v>
      </c>
      <c r="N62" s="200" t="s">
        <v>99</v>
      </c>
      <c r="O62" s="199" t="s">
        <v>100</v>
      </c>
      <c r="P62" s="200" t="s">
        <v>101</v>
      </c>
      <c r="Q62" s="200" t="s">
        <v>102</v>
      </c>
      <c r="R62" s="198" t="s">
        <v>103</v>
      </c>
      <c r="S62" s="200" t="s">
        <v>104</v>
      </c>
      <c r="T62" s="200" t="s">
        <v>105</v>
      </c>
      <c r="U62" s="201" t="s">
        <v>90</v>
      </c>
      <c r="V62" s="250" t="s">
        <v>106</v>
      </c>
      <c r="W62" s="251" t="s">
        <v>107</v>
      </c>
      <c r="X62" s="250" t="s">
        <v>108</v>
      </c>
      <c r="Y62" s="251" t="s">
        <v>109</v>
      </c>
      <c r="Z62" s="252" t="s">
        <v>110</v>
      </c>
      <c r="AA62" s="248" t="s">
        <v>111</v>
      </c>
      <c r="AB62" s="248" t="s">
        <v>112</v>
      </c>
      <c r="AC62" s="248" t="s">
        <v>113</v>
      </c>
      <c r="AD62" s="248" t="s">
        <v>114</v>
      </c>
      <c r="AE62" s="248" t="s">
        <v>136</v>
      </c>
      <c r="AF62" s="248" t="s">
        <v>115</v>
      </c>
      <c r="AG62" s="249" t="s">
        <v>116</v>
      </c>
    </row>
    <row r="63" spans="1:33" x14ac:dyDescent="0.3">
      <c r="A63" t="s">
        <v>236</v>
      </c>
      <c r="B63" t="s">
        <v>184</v>
      </c>
      <c r="C63" t="s">
        <v>132</v>
      </c>
      <c r="D63" t="str">
        <f t="shared" si="3"/>
        <v>СТАРТПессиместичный вариантФБ/Инстаграмм1</v>
      </c>
      <c r="E63" s="17">
        <v>150</v>
      </c>
      <c r="F63" s="24">
        <v>0</v>
      </c>
      <c r="G63" s="24">
        <v>0</v>
      </c>
      <c r="H63" s="25">
        <v>0</v>
      </c>
      <c r="I63" s="49">
        <v>0</v>
      </c>
      <c r="J63" s="50">
        <v>0</v>
      </c>
      <c r="K63" s="50">
        <v>0</v>
      </c>
      <c r="L63" s="50">
        <v>0</v>
      </c>
      <c r="M63" s="50">
        <v>0</v>
      </c>
      <c r="N63" s="52">
        <v>0.23</v>
      </c>
      <c r="O63" s="50">
        <v>34.5</v>
      </c>
      <c r="P63" s="52">
        <v>0.27</v>
      </c>
      <c r="Q63" s="69">
        <v>0.5</v>
      </c>
      <c r="R63" s="77">
        <v>1</v>
      </c>
      <c r="S63" s="78">
        <v>750</v>
      </c>
      <c r="T63" s="78">
        <v>400</v>
      </c>
      <c r="U63" s="79">
        <v>5490</v>
      </c>
      <c r="V63" s="222">
        <v>13800</v>
      </c>
      <c r="W63" s="222">
        <v>10</v>
      </c>
      <c r="X63" s="222">
        <v>54900</v>
      </c>
      <c r="Y63" s="222">
        <v>10</v>
      </c>
      <c r="Z63" s="237">
        <v>25875</v>
      </c>
      <c r="AA63" s="204">
        <v>0</v>
      </c>
      <c r="AB63" s="205">
        <v>0</v>
      </c>
      <c r="AC63" s="205">
        <v>68700</v>
      </c>
      <c r="AD63" s="205">
        <v>2</v>
      </c>
      <c r="AE63" s="205">
        <v>4</v>
      </c>
      <c r="AF63" s="205">
        <v>10320</v>
      </c>
      <c r="AG63" s="206">
        <v>32505</v>
      </c>
    </row>
    <row r="64" spans="1:33" x14ac:dyDescent="0.3">
      <c r="A64" t="s">
        <v>236</v>
      </c>
      <c r="B64" t="s">
        <v>184</v>
      </c>
      <c r="C64" t="s">
        <v>132</v>
      </c>
      <c r="D64" t="str">
        <f t="shared" si="3"/>
        <v>СТАРТПессиместичный вариантФБ/Инстаграмм2</v>
      </c>
      <c r="E64" s="18">
        <v>150</v>
      </c>
      <c r="F64" s="24">
        <v>0</v>
      </c>
      <c r="G64" s="24">
        <v>0</v>
      </c>
      <c r="H64" s="25">
        <v>0</v>
      </c>
      <c r="I64" s="26">
        <v>0</v>
      </c>
      <c r="J64" s="27">
        <v>0</v>
      </c>
      <c r="K64" s="27">
        <v>0</v>
      </c>
      <c r="L64" s="27">
        <v>0</v>
      </c>
      <c r="M64" s="27">
        <v>0</v>
      </c>
      <c r="N64" s="28">
        <v>0.23</v>
      </c>
      <c r="O64" s="27">
        <v>34.5</v>
      </c>
      <c r="P64" s="28">
        <v>0.27</v>
      </c>
      <c r="Q64" s="70">
        <v>0.5</v>
      </c>
      <c r="R64" s="29">
        <v>2</v>
      </c>
      <c r="S64" s="30">
        <v>750</v>
      </c>
      <c r="T64" s="30">
        <v>400</v>
      </c>
      <c r="U64" s="31">
        <v>5490</v>
      </c>
      <c r="V64" s="222">
        <v>13800</v>
      </c>
      <c r="W64" s="222">
        <v>10</v>
      </c>
      <c r="X64" s="222">
        <v>54900</v>
      </c>
      <c r="Y64" s="222">
        <v>20</v>
      </c>
      <c r="Z64" s="237">
        <v>25875</v>
      </c>
      <c r="AA64" s="207">
        <v>0</v>
      </c>
      <c r="AB64" s="208">
        <v>0</v>
      </c>
      <c r="AC64" s="208">
        <v>68700</v>
      </c>
      <c r="AD64" s="208">
        <v>4</v>
      </c>
      <c r="AE64" s="208">
        <v>4</v>
      </c>
      <c r="AF64" s="208">
        <v>13760</v>
      </c>
      <c r="AG64" s="138">
        <v>54940</v>
      </c>
    </row>
    <row r="65" spans="1:33" x14ac:dyDescent="0.3">
      <c r="A65" t="s">
        <v>236</v>
      </c>
      <c r="B65" t="s">
        <v>184</v>
      </c>
      <c r="C65" t="s">
        <v>132</v>
      </c>
      <c r="D65" t="str">
        <f t="shared" si="3"/>
        <v>СТАРТПессиместичный вариантФБ/Инстаграмм3</v>
      </c>
      <c r="E65" s="18">
        <v>150</v>
      </c>
      <c r="F65" s="24">
        <v>0</v>
      </c>
      <c r="G65" s="24">
        <v>0</v>
      </c>
      <c r="H65" s="25">
        <v>0</v>
      </c>
      <c r="I65" s="26">
        <v>0</v>
      </c>
      <c r="J65" s="27">
        <v>0</v>
      </c>
      <c r="K65" s="27">
        <v>0</v>
      </c>
      <c r="L65" s="27">
        <v>0</v>
      </c>
      <c r="M65" s="27">
        <v>0</v>
      </c>
      <c r="N65" s="28">
        <v>0.23</v>
      </c>
      <c r="O65" s="27">
        <v>34.5</v>
      </c>
      <c r="P65" s="28">
        <v>0.27</v>
      </c>
      <c r="Q65" s="70">
        <v>0.5</v>
      </c>
      <c r="R65" s="29">
        <v>3</v>
      </c>
      <c r="S65" s="30">
        <v>750</v>
      </c>
      <c r="T65" s="30">
        <v>400</v>
      </c>
      <c r="U65" s="31">
        <v>5490</v>
      </c>
      <c r="V65" s="222">
        <v>13800</v>
      </c>
      <c r="W65" s="222">
        <v>10</v>
      </c>
      <c r="X65" s="222">
        <v>54900</v>
      </c>
      <c r="Y65" s="222">
        <v>30</v>
      </c>
      <c r="Z65" s="237">
        <v>25875</v>
      </c>
      <c r="AA65" s="207">
        <v>0</v>
      </c>
      <c r="AB65" s="208">
        <v>0</v>
      </c>
      <c r="AC65" s="208">
        <v>68700</v>
      </c>
      <c r="AD65" s="208">
        <v>5</v>
      </c>
      <c r="AE65" s="208">
        <v>4</v>
      </c>
      <c r="AF65" s="208">
        <v>15480</v>
      </c>
      <c r="AG65" s="138">
        <v>53220</v>
      </c>
    </row>
    <row r="66" spans="1:33" x14ac:dyDescent="0.3">
      <c r="A66" t="s">
        <v>236</v>
      </c>
      <c r="B66" t="s">
        <v>184</v>
      </c>
      <c r="C66" t="s">
        <v>132</v>
      </c>
      <c r="D66" t="str">
        <f t="shared" si="3"/>
        <v>СТАРТПессиместичный вариантФБ/Инстаграмм4</v>
      </c>
      <c r="E66" s="18">
        <v>150</v>
      </c>
      <c r="F66" s="24">
        <v>0</v>
      </c>
      <c r="G66" s="24">
        <v>0</v>
      </c>
      <c r="H66" s="25">
        <v>0</v>
      </c>
      <c r="I66" s="26">
        <v>0</v>
      </c>
      <c r="J66" s="27">
        <v>0</v>
      </c>
      <c r="K66" s="27">
        <v>0</v>
      </c>
      <c r="L66" s="27">
        <v>0</v>
      </c>
      <c r="M66" s="27">
        <v>0</v>
      </c>
      <c r="N66" s="28">
        <v>0.23</v>
      </c>
      <c r="O66" s="27">
        <v>34.5</v>
      </c>
      <c r="P66" s="28">
        <v>0.27</v>
      </c>
      <c r="Q66" s="70">
        <v>0.5</v>
      </c>
      <c r="R66" s="29">
        <v>4</v>
      </c>
      <c r="S66" s="30">
        <v>750</v>
      </c>
      <c r="T66" s="30">
        <v>400</v>
      </c>
      <c r="U66" s="31">
        <v>5490</v>
      </c>
      <c r="V66" s="222">
        <v>13800</v>
      </c>
      <c r="W66" s="222">
        <v>10</v>
      </c>
      <c r="X66" s="222">
        <v>54900</v>
      </c>
      <c r="Y66" s="222">
        <v>40</v>
      </c>
      <c r="Z66" s="237">
        <v>25875</v>
      </c>
      <c r="AA66" s="207">
        <v>0</v>
      </c>
      <c r="AB66" s="208">
        <v>0</v>
      </c>
      <c r="AC66" s="208">
        <v>68700</v>
      </c>
      <c r="AD66" s="208">
        <v>7</v>
      </c>
      <c r="AE66" s="208">
        <v>4</v>
      </c>
      <c r="AF66" s="208">
        <v>18920</v>
      </c>
      <c r="AG66" s="138">
        <v>49780</v>
      </c>
    </row>
    <row r="67" spans="1:33" x14ac:dyDescent="0.3">
      <c r="A67" t="s">
        <v>236</v>
      </c>
      <c r="B67" t="s">
        <v>184</v>
      </c>
      <c r="C67" t="s">
        <v>132</v>
      </c>
      <c r="D67" t="str">
        <f t="shared" si="3"/>
        <v>СТАРТПессиместичный вариантФБ/Инстаграмм5</v>
      </c>
      <c r="E67" s="18">
        <v>150</v>
      </c>
      <c r="F67" s="32">
        <v>0</v>
      </c>
      <c r="G67" s="81">
        <v>0</v>
      </c>
      <c r="H67" s="82">
        <v>0</v>
      </c>
      <c r="I67" s="33">
        <v>0</v>
      </c>
      <c r="J67" s="34">
        <v>0</v>
      </c>
      <c r="K67" s="34">
        <v>0</v>
      </c>
      <c r="L67" s="80">
        <v>0</v>
      </c>
      <c r="M67" s="34">
        <v>0</v>
      </c>
      <c r="N67" s="75">
        <v>0.23</v>
      </c>
      <c r="O67" s="34">
        <v>34.5</v>
      </c>
      <c r="P67" s="75">
        <v>0.27</v>
      </c>
      <c r="Q67" s="71">
        <v>0.5</v>
      </c>
      <c r="R67" s="35">
        <v>5</v>
      </c>
      <c r="S67" s="76">
        <v>750</v>
      </c>
      <c r="T67" s="36">
        <v>400</v>
      </c>
      <c r="U67" s="37">
        <v>5490</v>
      </c>
      <c r="V67" s="227">
        <v>13800</v>
      </c>
      <c r="W67" s="227">
        <v>10</v>
      </c>
      <c r="X67" s="227">
        <v>54900</v>
      </c>
      <c r="Y67" s="227">
        <v>45</v>
      </c>
      <c r="Z67" s="238">
        <v>25875</v>
      </c>
      <c r="AA67" s="209">
        <v>5</v>
      </c>
      <c r="AB67" s="210">
        <v>27450</v>
      </c>
      <c r="AC67" s="211">
        <v>96150</v>
      </c>
      <c r="AD67" s="211">
        <v>7</v>
      </c>
      <c r="AE67" s="211">
        <v>4</v>
      </c>
      <c r="AF67" s="211">
        <v>18920</v>
      </c>
      <c r="AG67" s="212">
        <v>77230</v>
      </c>
    </row>
    <row r="68" spans="1:33" x14ac:dyDescent="0.3">
      <c r="A68" t="s">
        <v>236</v>
      </c>
      <c r="B68" t="s">
        <v>184</v>
      </c>
      <c r="C68" t="s">
        <v>132</v>
      </c>
      <c r="D68" t="str">
        <f t="shared" si="3"/>
        <v>СТАРТПессиместичный вариантФБ/Инстаграмм6</v>
      </c>
      <c r="E68" s="18">
        <v>150</v>
      </c>
      <c r="F68" s="24">
        <v>0</v>
      </c>
      <c r="G68" s="24">
        <v>0</v>
      </c>
      <c r="H68" s="25">
        <v>0</v>
      </c>
      <c r="I68" s="26">
        <v>0</v>
      </c>
      <c r="J68" s="27">
        <v>0</v>
      </c>
      <c r="K68" s="27">
        <v>0</v>
      </c>
      <c r="L68" s="27">
        <v>0</v>
      </c>
      <c r="M68" s="27">
        <v>0</v>
      </c>
      <c r="N68" s="28">
        <v>0.23</v>
      </c>
      <c r="O68" s="27">
        <v>34.5</v>
      </c>
      <c r="P68" s="28">
        <v>0.27</v>
      </c>
      <c r="Q68" s="70">
        <v>0.5</v>
      </c>
      <c r="R68" s="29">
        <v>6</v>
      </c>
      <c r="S68" s="30">
        <v>750</v>
      </c>
      <c r="T68" s="30">
        <v>400</v>
      </c>
      <c r="U68" s="31">
        <v>5490</v>
      </c>
      <c r="V68" s="222">
        <v>13800</v>
      </c>
      <c r="W68" s="229">
        <v>10</v>
      </c>
      <c r="X68" s="222">
        <v>54900</v>
      </c>
      <c r="Y68" s="222">
        <v>50</v>
      </c>
      <c r="Z68" s="237">
        <v>25875</v>
      </c>
      <c r="AA68" s="209">
        <v>5</v>
      </c>
      <c r="AB68" s="208">
        <v>27450</v>
      </c>
      <c r="AC68" s="208">
        <v>96150</v>
      </c>
      <c r="AD68" s="208">
        <v>8</v>
      </c>
      <c r="AE68" s="208">
        <v>4</v>
      </c>
      <c r="AF68" s="208">
        <v>20640</v>
      </c>
      <c r="AG68" s="138">
        <v>75510</v>
      </c>
    </row>
    <row r="69" spans="1:33" x14ac:dyDescent="0.3">
      <c r="A69" t="s">
        <v>236</v>
      </c>
      <c r="B69" t="s">
        <v>184</v>
      </c>
      <c r="C69" t="s">
        <v>132</v>
      </c>
      <c r="D69" t="str">
        <f t="shared" si="3"/>
        <v>СТАРТПессиместичный вариантФБ/Инстаграмм7</v>
      </c>
      <c r="E69" s="18">
        <v>150</v>
      </c>
      <c r="F69" s="24">
        <v>0</v>
      </c>
      <c r="G69" s="24">
        <v>0</v>
      </c>
      <c r="H69" s="25">
        <v>0</v>
      </c>
      <c r="I69" s="26">
        <v>0</v>
      </c>
      <c r="J69" s="27">
        <v>0</v>
      </c>
      <c r="K69" s="27">
        <v>0</v>
      </c>
      <c r="L69" s="27">
        <v>0</v>
      </c>
      <c r="M69" s="27">
        <v>0</v>
      </c>
      <c r="N69" s="28">
        <v>0.23</v>
      </c>
      <c r="O69" s="27">
        <v>34.5</v>
      </c>
      <c r="P69" s="28">
        <v>0.27</v>
      </c>
      <c r="Q69" s="70">
        <v>0.5</v>
      </c>
      <c r="R69" s="29">
        <v>7</v>
      </c>
      <c r="S69" s="30">
        <v>750</v>
      </c>
      <c r="T69" s="30">
        <v>400</v>
      </c>
      <c r="U69" s="31">
        <v>5490</v>
      </c>
      <c r="V69" s="222">
        <v>13800</v>
      </c>
      <c r="W69" s="229">
        <v>10</v>
      </c>
      <c r="X69" s="222">
        <v>54900</v>
      </c>
      <c r="Y69" s="222">
        <v>55</v>
      </c>
      <c r="Z69" s="237">
        <v>25875</v>
      </c>
      <c r="AA69" s="209">
        <v>5</v>
      </c>
      <c r="AB69" s="208">
        <v>27450</v>
      </c>
      <c r="AC69" s="208">
        <v>96150</v>
      </c>
      <c r="AD69" s="208">
        <v>9</v>
      </c>
      <c r="AE69" s="208">
        <v>4</v>
      </c>
      <c r="AF69" s="208">
        <v>22360</v>
      </c>
      <c r="AG69" s="138">
        <v>73790</v>
      </c>
    </row>
    <row r="70" spans="1:33" x14ac:dyDescent="0.3">
      <c r="A70" t="s">
        <v>236</v>
      </c>
      <c r="B70" t="s">
        <v>184</v>
      </c>
      <c r="C70" t="s">
        <v>132</v>
      </c>
      <c r="D70" t="str">
        <f t="shared" si="3"/>
        <v>СТАРТПессиместичный вариантФБ/Инстаграмм8</v>
      </c>
      <c r="E70" s="18">
        <v>150</v>
      </c>
      <c r="F70" s="24">
        <v>0</v>
      </c>
      <c r="G70" s="24">
        <v>0</v>
      </c>
      <c r="H70" s="25">
        <v>0</v>
      </c>
      <c r="I70" s="26">
        <v>0</v>
      </c>
      <c r="J70" s="27">
        <v>0</v>
      </c>
      <c r="K70" s="27">
        <v>0</v>
      </c>
      <c r="L70" s="27">
        <v>0</v>
      </c>
      <c r="M70" s="27">
        <v>0</v>
      </c>
      <c r="N70" s="28">
        <v>0.18</v>
      </c>
      <c r="O70" s="27">
        <v>27</v>
      </c>
      <c r="P70" s="28">
        <v>0.22000000000000003</v>
      </c>
      <c r="Q70" s="70">
        <v>0.35</v>
      </c>
      <c r="R70" s="29">
        <v>8</v>
      </c>
      <c r="S70" s="30">
        <v>750</v>
      </c>
      <c r="T70" s="30">
        <v>400</v>
      </c>
      <c r="U70" s="31">
        <v>5490</v>
      </c>
      <c r="V70" s="222">
        <v>10800</v>
      </c>
      <c r="W70" s="229">
        <v>6</v>
      </c>
      <c r="X70" s="222">
        <v>32940</v>
      </c>
      <c r="Y70" s="222">
        <v>58</v>
      </c>
      <c r="Z70" s="237">
        <v>20250</v>
      </c>
      <c r="AA70" s="209">
        <v>3</v>
      </c>
      <c r="AB70" s="208">
        <v>16470</v>
      </c>
      <c r="AC70" s="208">
        <v>60210</v>
      </c>
      <c r="AD70" s="208">
        <v>9</v>
      </c>
      <c r="AE70" s="208">
        <v>3</v>
      </c>
      <c r="AF70" s="208">
        <v>20640</v>
      </c>
      <c r="AG70" s="138">
        <v>39570</v>
      </c>
    </row>
    <row r="71" spans="1:33" x14ac:dyDescent="0.3">
      <c r="A71" t="s">
        <v>236</v>
      </c>
      <c r="B71" t="s">
        <v>184</v>
      </c>
      <c r="C71" t="s">
        <v>132</v>
      </c>
      <c r="D71" t="str">
        <f t="shared" si="3"/>
        <v>СТАРТПессиместичный вариантФБ/Инстаграмм9</v>
      </c>
      <c r="E71" s="18">
        <v>150</v>
      </c>
      <c r="F71" s="24">
        <v>0</v>
      </c>
      <c r="G71" s="24">
        <v>0</v>
      </c>
      <c r="H71" s="25">
        <v>0</v>
      </c>
      <c r="I71" s="26">
        <v>0</v>
      </c>
      <c r="J71" s="27">
        <v>0</v>
      </c>
      <c r="K71" s="27">
        <v>0</v>
      </c>
      <c r="L71" s="27">
        <v>0</v>
      </c>
      <c r="M71" s="27">
        <v>0</v>
      </c>
      <c r="N71" s="28">
        <v>0.13</v>
      </c>
      <c r="O71" s="27">
        <v>19.5</v>
      </c>
      <c r="P71" s="28">
        <v>0.17000000000000004</v>
      </c>
      <c r="Q71" s="70">
        <v>0.2</v>
      </c>
      <c r="R71" s="29">
        <v>9</v>
      </c>
      <c r="S71" s="102">
        <v>750</v>
      </c>
      <c r="T71" s="30">
        <v>400</v>
      </c>
      <c r="U71" s="31">
        <v>5490</v>
      </c>
      <c r="V71" s="222">
        <v>7800</v>
      </c>
      <c r="W71" s="229">
        <v>4</v>
      </c>
      <c r="X71" s="222">
        <v>21960</v>
      </c>
      <c r="Y71" s="222">
        <v>60</v>
      </c>
      <c r="Z71" s="237">
        <v>14625</v>
      </c>
      <c r="AA71" s="209">
        <v>2</v>
      </c>
      <c r="AB71" s="208">
        <v>10980</v>
      </c>
      <c r="AC71" s="208">
        <v>40740</v>
      </c>
      <c r="AD71" s="208">
        <v>10</v>
      </c>
      <c r="AE71" s="208">
        <v>2</v>
      </c>
      <c r="AF71" s="208">
        <v>20640</v>
      </c>
      <c r="AG71" s="138">
        <v>20100</v>
      </c>
    </row>
    <row r="72" spans="1:33" ht="16.2" thickBot="1" x14ac:dyDescent="0.35">
      <c r="A72" t="s">
        <v>236</v>
      </c>
      <c r="B72" t="s">
        <v>184</v>
      </c>
      <c r="C72" t="s">
        <v>132</v>
      </c>
      <c r="D72" t="str">
        <f t="shared" si="3"/>
        <v>СТАРТПессиместичный вариантФБ/Инстаграмм</v>
      </c>
      <c r="E72" s="19"/>
      <c r="F72" s="40"/>
      <c r="G72" s="40"/>
      <c r="H72" s="41"/>
      <c r="I72" s="42"/>
      <c r="J72" s="43"/>
      <c r="K72" s="43"/>
      <c r="L72" s="43"/>
      <c r="M72" s="43"/>
      <c r="N72" s="44"/>
      <c r="O72" s="43"/>
      <c r="P72" s="44"/>
      <c r="Q72" s="72"/>
      <c r="R72" s="45"/>
      <c r="S72" s="103"/>
      <c r="T72" s="46"/>
      <c r="U72" s="47"/>
      <c r="V72" s="234"/>
      <c r="W72" s="235"/>
      <c r="X72" s="234"/>
      <c r="Y72" s="234"/>
      <c r="Z72" s="239"/>
      <c r="AA72" s="213"/>
      <c r="AB72" s="214"/>
      <c r="AC72" s="214"/>
      <c r="AD72" s="214"/>
      <c r="AE72" s="214"/>
      <c r="AF72" s="214" t="s">
        <v>64</v>
      </c>
      <c r="AG72" s="139">
        <v>476645</v>
      </c>
    </row>
    <row r="73" spans="1:33" ht="24" thickBot="1" x14ac:dyDescent="0.5">
      <c r="E73" s="193" t="s">
        <v>133</v>
      </c>
      <c r="O73" s="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</row>
    <row r="74" spans="1:33" ht="44.25" customHeight="1" thickBot="1" x14ac:dyDescent="0.35">
      <c r="E74" s="95" t="s">
        <v>127</v>
      </c>
      <c r="F74" s="195" t="s">
        <v>92</v>
      </c>
      <c r="G74" s="196" t="s">
        <v>93</v>
      </c>
      <c r="H74" s="197" t="s">
        <v>134</v>
      </c>
      <c r="I74" s="195" t="s">
        <v>94</v>
      </c>
      <c r="J74" s="202" t="s">
        <v>95</v>
      </c>
      <c r="K74" s="196" t="s">
        <v>96</v>
      </c>
      <c r="L74" s="196" t="s">
        <v>97</v>
      </c>
      <c r="M74" s="196" t="s">
        <v>98</v>
      </c>
      <c r="N74" s="196" t="s">
        <v>128</v>
      </c>
      <c r="O74" s="202" t="s">
        <v>100</v>
      </c>
      <c r="P74" s="196" t="s">
        <v>129</v>
      </c>
      <c r="Q74" s="196" t="s">
        <v>102</v>
      </c>
      <c r="R74" s="195" t="s">
        <v>103</v>
      </c>
      <c r="S74" s="196" t="s">
        <v>104</v>
      </c>
      <c r="T74" s="196" t="s">
        <v>105</v>
      </c>
      <c r="U74" s="197" t="s">
        <v>90</v>
      </c>
      <c r="V74" s="250" t="s">
        <v>106</v>
      </c>
      <c r="W74" s="251" t="s">
        <v>107</v>
      </c>
      <c r="X74" s="250" t="s">
        <v>108</v>
      </c>
      <c r="Y74" s="251" t="s">
        <v>109</v>
      </c>
      <c r="Z74" s="252" t="s">
        <v>110</v>
      </c>
      <c r="AA74" s="248" t="s">
        <v>111</v>
      </c>
      <c r="AB74" s="248" t="s">
        <v>112</v>
      </c>
      <c r="AC74" s="248" t="s">
        <v>113</v>
      </c>
      <c r="AD74" s="248" t="s">
        <v>114</v>
      </c>
      <c r="AE74" s="248" t="s">
        <v>136</v>
      </c>
      <c r="AF74" s="248" t="s">
        <v>115</v>
      </c>
      <c r="AG74" s="249" t="s">
        <v>116</v>
      </c>
    </row>
    <row r="75" spans="1:33" x14ac:dyDescent="0.3">
      <c r="A75" t="s">
        <v>236</v>
      </c>
      <c r="B75" t="s">
        <v>182</v>
      </c>
      <c r="C75" t="s">
        <v>133</v>
      </c>
      <c r="D75" t="str">
        <f t="shared" ref="D75:D83" si="4">A75&amp;B75&amp;C75&amp;R75</f>
        <v>СТАРТОптимистичный вариантИтого (промоутеры+ФБ/инстаграмм)1</v>
      </c>
      <c r="E75" s="60">
        <v>300</v>
      </c>
      <c r="F75" s="23">
        <v>10</v>
      </c>
      <c r="G75" s="24">
        <v>15</v>
      </c>
      <c r="H75" s="25">
        <v>3</v>
      </c>
      <c r="I75" s="56">
        <v>0.25</v>
      </c>
      <c r="J75" s="27">
        <v>37.5</v>
      </c>
      <c r="K75" s="27">
        <v>10</v>
      </c>
      <c r="L75" s="27">
        <v>3.75</v>
      </c>
      <c r="M75" s="48">
        <v>0.89285714285714279</v>
      </c>
      <c r="N75" s="57">
        <v>0.4</v>
      </c>
      <c r="O75" s="27">
        <v>63</v>
      </c>
      <c r="P75" s="57">
        <v>0.35</v>
      </c>
      <c r="Q75" s="57">
        <v>0.5</v>
      </c>
      <c r="R75" s="29">
        <v>1</v>
      </c>
      <c r="S75" s="30">
        <v>475</v>
      </c>
      <c r="T75" s="30">
        <v>400</v>
      </c>
      <c r="U75" s="31">
        <v>5490</v>
      </c>
      <c r="V75" s="218">
        <v>25200</v>
      </c>
      <c r="W75" s="218">
        <v>23</v>
      </c>
      <c r="X75" s="218">
        <v>126270</v>
      </c>
      <c r="Y75" s="218">
        <v>23</v>
      </c>
      <c r="Z75" s="219">
        <v>33300</v>
      </c>
      <c r="AA75" s="204">
        <v>0</v>
      </c>
      <c r="AB75" s="205">
        <v>0</v>
      </c>
      <c r="AC75" s="205">
        <v>151470</v>
      </c>
      <c r="AD75" s="205">
        <v>5</v>
      </c>
      <c r="AE75" s="205">
        <v>7</v>
      </c>
      <c r="AF75" s="205">
        <v>20640</v>
      </c>
      <c r="AG75" s="206">
        <v>97530</v>
      </c>
    </row>
    <row r="76" spans="1:33" x14ac:dyDescent="0.3">
      <c r="A76" t="s">
        <v>236</v>
      </c>
      <c r="B76" t="s">
        <v>182</v>
      </c>
      <c r="C76" t="s">
        <v>133</v>
      </c>
      <c r="D76" t="str">
        <f t="shared" si="4"/>
        <v>СТАРТОптимистичный вариантИтого (промоутеры+ФБ/инстаграмм)2</v>
      </c>
      <c r="E76" s="60">
        <v>300</v>
      </c>
      <c r="F76" s="23">
        <v>10</v>
      </c>
      <c r="G76" s="24">
        <v>15</v>
      </c>
      <c r="H76" s="25">
        <v>3</v>
      </c>
      <c r="I76" s="56">
        <v>0.25</v>
      </c>
      <c r="J76" s="24">
        <v>37.5</v>
      </c>
      <c r="K76" s="24">
        <v>10</v>
      </c>
      <c r="L76" s="27">
        <v>3.75</v>
      </c>
      <c r="M76" s="48">
        <v>0.89285714285714279</v>
      </c>
      <c r="N76" s="57">
        <v>0.4</v>
      </c>
      <c r="O76" s="27">
        <v>63</v>
      </c>
      <c r="P76" s="57">
        <v>0.35</v>
      </c>
      <c r="Q76" s="57">
        <v>0.5</v>
      </c>
      <c r="R76" s="29">
        <v>2</v>
      </c>
      <c r="S76" s="30">
        <v>475</v>
      </c>
      <c r="T76" s="30">
        <v>400</v>
      </c>
      <c r="U76" s="31">
        <v>5490</v>
      </c>
      <c r="V76" s="222">
        <v>25200</v>
      </c>
      <c r="W76" s="222">
        <v>23</v>
      </c>
      <c r="X76" s="222">
        <v>126270</v>
      </c>
      <c r="Y76" s="222">
        <v>46</v>
      </c>
      <c r="Z76" s="223">
        <v>33300</v>
      </c>
      <c r="AA76" s="207">
        <v>0</v>
      </c>
      <c r="AB76" s="208">
        <v>0</v>
      </c>
      <c r="AC76" s="208">
        <v>151470</v>
      </c>
      <c r="AD76" s="208">
        <v>8</v>
      </c>
      <c r="AE76" s="208">
        <v>7</v>
      </c>
      <c r="AF76" s="208">
        <v>25800</v>
      </c>
      <c r="AG76" s="138">
        <v>125670</v>
      </c>
    </row>
    <row r="77" spans="1:33" x14ac:dyDescent="0.3">
      <c r="A77" t="s">
        <v>236</v>
      </c>
      <c r="B77" t="s">
        <v>182</v>
      </c>
      <c r="C77" t="s">
        <v>133</v>
      </c>
      <c r="D77" t="str">
        <f t="shared" si="4"/>
        <v>СТАРТОптимистичный вариантИтого (промоутеры+ФБ/инстаграмм)3</v>
      </c>
      <c r="E77" s="60">
        <v>300</v>
      </c>
      <c r="F77" s="23">
        <v>10</v>
      </c>
      <c r="G77" s="24">
        <v>15</v>
      </c>
      <c r="H77" s="25">
        <v>3</v>
      </c>
      <c r="I77" s="56">
        <v>0.25</v>
      </c>
      <c r="J77" s="24">
        <v>37.5</v>
      </c>
      <c r="K77" s="24">
        <v>10</v>
      </c>
      <c r="L77" s="27">
        <v>3.75</v>
      </c>
      <c r="M77" s="48">
        <v>0.89285714285714279</v>
      </c>
      <c r="N77" s="57">
        <v>0.4</v>
      </c>
      <c r="O77" s="27">
        <v>63</v>
      </c>
      <c r="P77" s="57">
        <v>0.35</v>
      </c>
      <c r="Q77" s="57">
        <v>0.5</v>
      </c>
      <c r="R77" s="29">
        <v>3</v>
      </c>
      <c r="S77" s="30">
        <v>475</v>
      </c>
      <c r="T77" s="30">
        <v>400</v>
      </c>
      <c r="U77" s="31">
        <v>5490</v>
      </c>
      <c r="V77" s="222">
        <v>25200</v>
      </c>
      <c r="W77" s="222">
        <v>23</v>
      </c>
      <c r="X77" s="222">
        <v>126270</v>
      </c>
      <c r="Y77" s="222">
        <v>69</v>
      </c>
      <c r="Z77" s="223">
        <v>33300</v>
      </c>
      <c r="AA77" s="207">
        <v>0</v>
      </c>
      <c r="AB77" s="208">
        <v>0</v>
      </c>
      <c r="AC77" s="208">
        <v>151470</v>
      </c>
      <c r="AD77" s="208">
        <v>12</v>
      </c>
      <c r="AE77" s="208">
        <v>7</v>
      </c>
      <c r="AF77" s="208">
        <v>32680</v>
      </c>
      <c r="AG77" s="138">
        <v>118790</v>
      </c>
    </row>
    <row r="78" spans="1:33" x14ac:dyDescent="0.3">
      <c r="A78" t="s">
        <v>236</v>
      </c>
      <c r="B78" t="s">
        <v>182</v>
      </c>
      <c r="C78" t="s">
        <v>133</v>
      </c>
      <c r="D78" t="str">
        <f t="shared" si="4"/>
        <v>СТАРТОптимистичный вариантИтого (промоутеры+ФБ/инстаграмм)4</v>
      </c>
      <c r="E78" s="60">
        <v>300</v>
      </c>
      <c r="F78" s="23">
        <v>10</v>
      </c>
      <c r="G78" s="24">
        <v>15</v>
      </c>
      <c r="H78" s="25">
        <v>3</v>
      </c>
      <c r="I78" s="56">
        <v>0.25</v>
      </c>
      <c r="J78" s="24">
        <v>37.5</v>
      </c>
      <c r="K78" s="24">
        <v>10</v>
      </c>
      <c r="L78" s="27">
        <v>3.75</v>
      </c>
      <c r="M78" s="48">
        <v>0.89285714285714279</v>
      </c>
      <c r="N78" s="57">
        <v>0.4</v>
      </c>
      <c r="O78" s="27">
        <v>63</v>
      </c>
      <c r="P78" s="57">
        <v>0.35</v>
      </c>
      <c r="Q78" s="57">
        <v>0.5</v>
      </c>
      <c r="R78" s="29">
        <v>4</v>
      </c>
      <c r="S78" s="30">
        <v>475</v>
      </c>
      <c r="T78" s="30">
        <v>400</v>
      </c>
      <c r="U78" s="31">
        <v>5490</v>
      </c>
      <c r="V78" s="222">
        <v>25200</v>
      </c>
      <c r="W78" s="222">
        <v>23</v>
      </c>
      <c r="X78" s="222">
        <v>126270</v>
      </c>
      <c r="Y78" s="222">
        <v>92</v>
      </c>
      <c r="Z78" s="223">
        <v>33300</v>
      </c>
      <c r="AA78" s="207">
        <v>0</v>
      </c>
      <c r="AB78" s="208">
        <v>0</v>
      </c>
      <c r="AC78" s="208">
        <v>151470</v>
      </c>
      <c r="AD78" s="208">
        <v>15</v>
      </c>
      <c r="AE78" s="208">
        <v>7</v>
      </c>
      <c r="AF78" s="208">
        <v>37840</v>
      </c>
      <c r="AG78" s="138">
        <v>113630</v>
      </c>
    </row>
    <row r="79" spans="1:33" x14ac:dyDescent="0.3">
      <c r="A79" t="s">
        <v>236</v>
      </c>
      <c r="B79" t="s">
        <v>182</v>
      </c>
      <c r="C79" t="s">
        <v>133</v>
      </c>
      <c r="D79" t="str">
        <f t="shared" si="4"/>
        <v>СТАРТОптимистичный вариантИтого (промоутеры+ФБ/инстаграмм)5</v>
      </c>
      <c r="E79" s="60">
        <v>300</v>
      </c>
      <c r="F79" s="23">
        <v>10</v>
      </c>
      <c r="G79" s="24">
        <v>15</v>
      </c>
      <c r="H79" s="25">
        <v>3</v>
      </c>
      <c r="I79" s="98">
        <v>0.25</v>
      </c>
      <c r="J79" s="81">
        <v>37.5</v>
      </c>
      <c r="K79" s="81">
        <v>10</v>
      </c>
      <c r="L79" s="80">
        <v>3.75</v>
      </c>
      <c r="M79" s="74">
        <v>0.89285714285714279</v>
      </c>
      <c r="N79" s="99">
        <v>0.4</v>
      </c>
      <c r="O79" s="80">
        <v>63</v>
      </c>
      <c r="P79" s="99">
        <v>0.35</v>
      </c>
      <c r="Q79" s="99">
        <v>0.5</v>
      </c>
      <c r="R79" s="100">
        <v>5</v>
      </c>
      <c r="S79" s="76">
        <v>475</v>
      </c>
      <c r="T79" s="76">
        <v>400</v>
      </c>
      <c r="U79" s="101">
        <v>5490</v>
      </c>
      <c r="V79" s="241">
        <v>25200</v>
      </c>
      <c r="W79" s="241">
        <v>23</v>
      </c>
      <c r="X79" s="241">
        <v>126270</v>
      </c>
      <c r="Y79" s="241">
        <v>104</v>
      </c>
      <c r="Z79" s="242">
        <v>33300</v>
      </c>
      <c r="AA79" s="243">
        <v>11</v>
      </c>
      <c r="AB79" s="211">
        <v>60390</v>
      </c>
      <c r="AC79" s="211">
        <v>211860</v>
      </c>
      <c r="AD79" s="211">
        <v>16</v>
      </c>
      <c r="AE79" s="211">
        <v>7</v>
      </c>
      <c r="AF79" s="211">
        <v>39560</v>
      </c>
      <c r="AG79" s="244">
        <v>172300</v>
      </c>
    </row>
    <row r="80" spans="1:33" x14ac:dyDescent="0.3">
      <c r="A80" t="s">
        <v>236</v>
      </c>
      <c r="B80" t="s">
        <v>182</v>
      </c>
      <c r="C80" t="s">
        <v>133</v>
      </c>
      <c r="D80" t="str">
        <f t="shared" si="4"/>
        <v>СТАРТОптимистичный вариантИтого (промоутеры+ФБ/инстаграмм)6</v>
      </c>
      <c r="E80" s="60">
        <v>300</v>
      </c>
      <c r="F80" s="23">
        <v>10</v>
      </c>
      <c r="G80" s="24">
        <v>15</v>
      </c>
      <c r="H80" s="25">
        <v>3</v>
      </c>
      <c r="I80" s="56">
        <v>0.25</v>
      </c>
      <c r="J80" s="24">
        <v>37.5</v>
      </c>
      <c r="K80" s="24">
        <v>10</v>
      </c>
      <c r="L80" s="27">
        <v>3.75</v>
      </c>
      <c r="M80" s="48">
        <v>0.89285714285714279</v>
      </c>
      <c r="N80" s="57">
        <v>0.4</v>
      </c>
      <c r="O80" s="27">
        <v>63</v>
      </c>
      <c r="P80" s="57">
        <v>0.35</v>
      </c>
      <c r="Q80" s="57">
        <v>0.5</v>
      </c>
      <c r="R80" s="29">
        <v>6</v>
      </c>
      <c r="S80" s="30">
        <v>475</v>
      </c>
      <c r="T80" s="30">
        <v>400</v>
      </c>
      <c r="U80" s="31">
        <v>5490</v>
      </c>
      <c r="V80" s="222">
        <v>25200</v>
      </c>
      <c r="W80" s="222">
        <v>23</v>
      </c>
      <c r="X80" s="222">
        <v>126270</v>
      </c>
      <c r="Y80" s="222">
        <v>116</v>
      </c>
      <c r="Z80" s="223">
        <v>33300</v>
      </c>
      <c r="AA80" s="207">
        <v>11</v>
      </c>
      <c r="AB80" s="208">
        <v>60390</v>
      </c>
      <c r="AC80" s="208">
        <v>211860</v>
      </c>
      <c r="AD80" s="208">
        <v>19</v>
      </c>
      <c r="AE80" s="208">
        <v>7</v>
      </c>
      <c r="AF80" s="208">
        <v>44720</v>
      </c>
      <c r="AG80" s="138">
        <v>167140</v>
      </c>
    </row>
    <row r="81" spans="1:33" x14ac:dyDescent="0.3">
      <c r="A81" t="s">
        <v>236</v>
      </c>
      <c r="B81" t="s">
        <v>182</v>
      </c>
      <c r="C81" t="s">
        <v>133</v>
      </c>
      <c r="D81" t="str">
        <f t="shared" si="4"/>
        <v>СТАРТОптимистичный вариантИтого (промоутеры+ФБ/инстаграмм)7</v>
      </c>
      <c r="E81" s="60">
        <v>300</v>
      </c>
      <c r="F81" s="23">
        <v>10</v>
      </c>
      <c r="G81" s="24">
        <v>15</v>
      </c>
      <c r="H81" s="25">
        <v>3</v>
      </c>
      <c r="I81" s="56">
        <v>0.25</v>
      </c>
      <c r="J81" s="24">
        <v>37.5</v>
      </c>
      <c r="K81" s="24">
        <v>10</v>
      </c>
      <c r="L81" s="27">
        <v>3.75</v>
      </c>
      <c r="M81" s="48">
        <v>0.89285714285714279</v>
      </c>
      <c r="N81" s="57">
        <v>0.4</v>
      </c>
      <c r="O81" s="27">
        <v>63</v>
      </c>
      <c r="P81" s="57">
        <v>0.35</v>
      </c>
      <c r="Q81" s="57">
        <v>0.5</v>
      </c>
      <c r="R81" s="29">
        <v>7</v>
      </c>
      <c r="S81" s="30">
        <v>475</v>
      </c>
      <c r="T81" s="30">
        <v>400</v>
      </c>
      <c r="U81" s="31">
        <v>5490</v>
      </c>
      <c r="V81" s="222">
        <v>25200</v>
      </c>
      <c r="W81" s="222">
        <v>23</v>
      </c>
      <c r="X81" s="222">
        <v>126270</v>
      </c>
      <c r="Y81" s="222">
        <v>128</v>
      </c>
      <c r="Z81" s="223">
        <v>33300</v>
      </c>
      <c r="AA81" s="207">
        <v>11</v>
      </c>
      <c r="AB81" s="208">
        <v>60390</v>
      </c>
      <c r="AC81" s="208">
        <v>211860</v>
      </c>
      <c r="AD81" s="208">
        <v>21</v>
      </c>
      <c r="AE81" s="208">
        <v>7</v>
      </c>
      <c r="AF81" s="208">
        <v>48160</v>
      </c>
      <c r="AG81" s="138">
        <v>163700</v>
      </c>
    </row>
    <row r="82" spans="1:33" x14ac:dyDescent="0.3">
      <c r="A82" t="s">
        <v>236</v>
      </c>
      <c r="B82" t="s">
        <v>182</v>
      </c>
      <c r="C82" t="s">
        <v>133</v>
      </c>
      <c r="D82" t="str">
        <f t="shared" si="4"/>
        <v>СТАРТОптимистичный вариантИтого (промоутеры+ФБ/инстаграмм)8</v>
      </c>
      <c r="E82" s="60">
        <v>300</v>
      </c>
      <c r="F82" s="23">
        <v>10</v>
      </c>
      <c r="G82" s="24">
        <v>15</v>
      </c>
      <c r="H82" s="25">
        <v>3</v>
      </c>
      <c r="I82" s="56">
        <v>0.25</v>
      </c>
      <c r="J82" s="24">
        <v>37.5</v>
      </c>
      <c r="K82" s="24">
        <v>10</v>
      </c>
      <c r="L82" s="27">
        <v>3.75</v>
      </c>
      <c r="M82" s="48">
        <v>0.89285714285714279</v>
      </c>
      <c r="N82" s="57">
        <v>0.32500000000000001</v>
      </c>
      <c r="O82" s="27">
        <v>52.5</v>
      </c>
      <c r="P82" s="57">
        <v>0.35</v>
      </c>
      <c r="Q82" s="57">
        <v>0.35</v>
      </c>
      <c r="R82" s="29">
        <v>8</v>
      </c>
      <c r="S82" s="30">
        <v>475</v>
      </c>
      <c r="T82" s="30">
        <v>400</v>
      </c>
      <c r="U82" s="31">
        <v>5490</v>
      </c>
      <c r="V82" s="222">
        <v>21000</v>
      </c>
      <c r="W82" s="222">
        <v>16</v>
      </c>
      <c r="X82" s="222">
        <v>87840</v>
      </c>
      <c r="Y82" s="222">
        <v>137</v>
      </c>
      <c r="Z82" s="223">
        <v>27750</v>
      </c>
      <c r="AA82" s="207">
        <v>7</v>
      </c>
      <c r="AB82" s="208">
        <v>38430</v>
      </c>
      <c r="AC82" s="208">
        <v>147270</v>
      </c>
      <c r="AD82" s="208">
        <v>22</v>
      </c>
      <c r="AE82" s="208">
        <v>5</v>
      </c>
      <c r="AF82" s="208">
        <v>46440</v>
      </c>
      <c r="AG82" s="138">
        <v>100830</v>
      </c>
    </row>
    <row r="83" spans="1:33" x14ac:dyDescent="0.3">
      <c r="A83" t="s">
        <v>236</v>
      </c>
      <c r="B83" t="s">
        <v>182</v>
      </c>
      <c r="C83" t="s">
        <v>133</v>
      </c>
      <c r="D83" t="str">
        <f t="shared" si="4"/>
        <v>СТАРТОптимистичный вариантИтого (промоутеры+ФБ/инстаграмм)9</v>
      </c>
      <c r="E83" s="60">
        <v>300</v>
      </c>
      <c r="F83" s="23">
        <v>10</v>
      </c>
      <c r="G83" s="24">
        <v>15</v>
      </c>
      <c r="H83" s="25">
        <v>3</v>
      </c>
      <c r="I83" s="56">
        <v>0.25</v>
      </c>
      <c r="J83" s="24">
        <v>37.5</v>
      </c>
      <c r="K83" s="24">
        <v>10</v>
      </c>
      <c r="L83" s="27">
        <v>3.75</v>
      </c>
      <c r="M83" s="48">
        <v>0.89285714285714279</v>
      </c>
      <c r="N83" s="57">
        <v>0.25</v>
      </c>
      <c r="O83" s="27">
        <v>41</v>
      </c>
      <c r="P83" s="57">
        <v>0.2</v>
      </c>
      <c r="Q83" s="57">
        <v>0.2</v>
      </c>
      <c r="R83" s="29">
        <v>9</v>
      </c>
      <c r="S83" s="102">
        <v>475</v>
      </c>
      <c r="T83" s="30">
        <v>400</v>
      </c>
      <c r="U83" s="31">
        <v>5490</v>
      </c>
      <c r="V83" s="222">
        <v>16400</v>
      </c>
      <c r="W83" s="222">
        <v>10</v>
      </c>
      <c r="X83" s="222">
        <v>54900</v>
      </c>
      <c r="Y83" s="222">
        <v>143</v>
      </c>
      <c r="Z83" s="223">
        <v>21850</v>
      </c>
      <c r="AA83" s="207">
        <v>4</v>
      </c>
      <c r="AB83" s="208">
        <v>21960</v>
      </c>
      <c r="AC83" s="208">
        <v>93260</v>
      </c>
      <c r="AD83" s="208">
        <v>23</v>
      </c>
      <c r="AE83" s="208">
        <v>4</v>
      </c>
      <c r="AF83" s="208">
        <v>46440</v>
      </c>
      <c r="AG83" s="138">
        <v>46820</v>
      </c>
    </row>
    <row r="84" spans="1:33" ht="16.2" thickBot="1" x14ac:dyDescent="0.35">
      <c r="E84" s="61"/>
      <c r="F84" s="39"/>
      <c r="G84" s="40"/>
      <c r="H84" s="41"/>
      <c r="I84" s="58"/>
      <c r="J84" s="40"/>
      <c r="K84" s="40"/>
      <c r="L84" s="43"/>
      <c r="M84" s="53"/>
      <c r="N84" s="59"/>
      <c r="O84" s="43"/>
      <c r="P84" s="59"/>
      <c r="Q84" s="59"/>
      <c r="R84" s="45"/>
      <c r="S84" s="103"/>
      <c r="T84" s="46"/>
      <c r="U84" s="47"/>
      <c r="V84" s="234"/>
      <c r="W84" s="234"/>
      <c r="X84" s="234"/>
      <c r="Y84" s="234"/>
      <c r="Z84" s="236"/>
      <c r="AA84" s="245"/>
      <c r="AB84" s="214"/>
      <c r="AC84" s="214"/>
      <c r="AD84" s="214"/>
      <c r="AE84" s="214"/>
      <c r="AF84" s="214" t="s">
        <v>64</v>
      </c>
      <c r="AG84" s="139">
        <v>1106410</v>
      </c>
    </row>
    <row r="85" spans="1:33" ht="24" thickBot="1" x14ac:dyDescent="0.5">
      <c r="E85" s="193" t="s">
        <v>133</v>
      </c>
      <c r="O85" s="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</row>
    <row r="86" spans="1:33" ht="33.75" customHeight="1" thickBot="1" x14ac:dyDescent="0.35">
      <c r="E86" s="95" t="s">
        <v>127</v>
      </c>
      <c r="F86" s="195" t="s">
        <v>92</v>
      </c>
      <c r="G86" s="196" t="s">
        <v>93</v>
      </c>
      <c r="H86" s="197" t="s">
        <v>134</v>
      </c>
      <c r="I86" s="195" t="s">
        <v>94</v>
      </c>
      <c r="J86" s="202" t="s">
        <v>95</v>
      </c>
      <c r="K86" s="196" t="s">
        <v>96</v>
      </c>
      <c r="L86" s="196" t="s">
        <v>97</v>
      </c>
      <c r="M86" s="196" t="s">
        <v>98</v>
      </c>
      <c r="N86" s="196" t="s">
        <v>128</v>
      </c>
      <c r="O86" s="202" t="s">
        <v>100</v>
      </c>
      <c r="P86" s="196" t="s">
        <v>129</v>
      </c>
      <c r="Q86" s="196" t="s">
        <v>102</v>
      </c>
      <c r="R86" s="195" t="s">
        <v>103</v>
      </c>
      <c r="S86" s="196" t="s">
        <v>104</v>
      </c>
      <c r="T86" s="196" t="s">
        <v>105</v>
      </c>
      <c r="U86" s="197" t="s">
        <v>90</v>
      </c>
      <c r="V86" s="250" t="s">
        <v>106</v>
      </c>
      <c r="W86" s="251" t="s">
        <v>107</v>
      </c>
      <c r="X86" s="250" t="s">
        <v>108</v>
      </c>
      <c r="Y86" s="251" t="s">
        <v>109</v>
      </c>
      <c r="Z86" s="252" t="s">
        <v>110</v>
      </c>
      <c r="AA86" s="248" t="s">
        <v>111</v>
      </c>
      <c r="AB86" s="248" t="s">
        <v>112</v>
      </c>
      <c r="AC86" s="248" t="s">
        <v>113</v>
      </c>
      <c r="AD86" s="248" t="s">
        <v>114</v>
      </c>
      <c r="AE86" s="248" t="s">
        <v>136</v>
      </c>
      <c r="AF86" s="248" t="s">
        <v>115</v>
      </c>
      <c r="AG86" s="249" t="s">
        <v>116</v>
      </c>
    </row>
    <row r="87" spans="1:33" x14ac:dyDescent="0.3">
      <c r="A87" t="s">
        <v>236</v>
      </c>
      <c r="B87" t="s">
        <v>183</v>
      </c>
      <c r="C87" t="s">
        <v>133</v>
      </c>
      <c r="D87" t="str">
        <f t="shared" ref="D87:D95" si="5">A87&amp;B87&amp;C87&amp;R87</f>
        <v>СТАРТСтандартный вариантИтого (промоутеры+ФБ/инстаграмм)1</v>
      </c>
      <c r="E87" s="60">
        <v>300</v>
      </c>
      <c r="F87" s="23">
        <v>10</v>
      </c>
      <c r="G87" s="24">
        <v>15</v>
      </c>
      <c r="H87" s="25">
        <v>3</v>
      </c>
      <c r="I87" s="56">
        <v>0.2</v>
      </c>
      <c r="J87" s="27">
        <v>30</v>
      </c>
      <c r="K87" s="27">
        <v>10</v>
      </c>
      <c r="L87" s="27">
        <v>3</v>
      </c>
      <c r="M87" s="48">
        <v>0.7142857142857143</v>
      </c>
      <c r="N87" s="57">
        <v>0.35</v>
      </c>
      <c r="O87" s="27">
        <v>50.5</v>
      </c>
      <c r="P87" s="57">
        <v>0.35</v>
      </c>
      <c r="Q87" s="57">
        <v>0.5</v>
      </c>
      <c r="R87" s="29">
        <v>1</v>
      </c>
      <c r="S87" s="30">
        <v>550</v>
      </c>
      <c r="T87" s="30">
        <v>400</v>
      </c>
      <c r="U87" s="31">
        <v>5490</v>
      </c>
      <c r="V87" s="218">
        <v>20200</v>
      </c>
      <c r="W87" s="218">
        <v>16</v>
      </c>
      <c r="X87" s="218">
        <v>87840</v>
      </c>
      <c r="Y87" s="218">
        <v>16</v>
      </c>
      <c r="Z87" s="219">
        <v>31450</v>
      </c>
      <c r="AA87" s="204">
        <v>0</v>
      </c>
      <c r="AB87" s="205">
        <v>0</v>
      </c>
      <c r="AC87" s="205">
        <v>108040</v>
      </c>
      <c r="AD87" s="205">
        <v>3</v>
      </c>
      <c r="AE87" s="205">
        <v>5</v>
      </c>
      <c r="AF87" s="205">
        <v>13760</v>
      </c>
      <c r="AG87" s="206">
        <v>62830</v>
      </c>
    </row>
    <row r="88" spans="1:33" x14ac:dyDescent="0.3">
      <c r="A88" t="s">
        <v>236</v>
      </c>
      <c r="B88" t="s">
        <v>183</v>
      </c>
      <c r="C88" t="s">
        <v>133</v>
      </c>
      <c r="D88" t="str">
        <f t="shared" si="5"/>
        <v>СТАРТСтандартный вариантИтого (промоутеры+ФБ/инстаграмм)2</v>
      </c>
      <c r="E88" s="60">
        <v>300</v>
      </c>
      <c r="F88" s="23">
        <v>10</v>
      </c>
      <c r="G88" s="24">
        <v>15</v>
      </c>
      <c r="H88" s="25">
        <v>3</v>
      </c>
      <c r="I88" s="56">
        <v>0.2</v>
      </c>
      <c r="J88" s="24">
        <v>30</v>
      </c>
      <c r="K88" s="24">
        <v>10</v>
      </c>
      <c r="L88" s="27">
        <v>3</v>
      </c>
      <c r="M88" s="48">
        <v>0.7142857142857143</v>
      </c>
      <c r="N88" s="57">
        <v>0.35</v>
      </c>
      <c r="O88" s="27">
        <v>50.5</v>
      </c>
      <c r="P88" s="57">
        <v>0.35</v>
      </c>
      <c r="Q88" s="57">
        <v>0.5</v>
      </c>
      <c r="R88" s="29">
        <v>2</v>
      </c>
      <c r="S88" s="30">
        <v>550</v>
      </c>
      <c r="T88" s="30">
        <v>400</v>
      </c>
      <c r="U88" s="31">
        <v>5490</v>
      </c>
      <c r="V88" s="222">
        <v>20200</v>
      </c>
      <c r="W88" s="222">
        <v>16</v>
      </c>
      <c r="X88" s="222">
        <v>87840</v>
      </c>
      <c r="Y88" s="222">
        <v>32</v>
      </c>
      <c r="Z88" s="223">
        <v>31450</v>
      </c>
      <c r="AA88" s="207">
        <v>0</v>
      </c>
      <c r="AB88" s="208">
        <v>0</v>
      </c>
      <c r="AC88" s="208">
        <v>108040</v>
      </c>
      <c r="AD88" s="208">
        <v>6</v>
      </c>
      <c r="AE88" s="208">
        <v>5</v>
      </c>
      <c r="AF88" s="208">
        <v>18920</v>
      </c>
      <c r="AG88" s="138">
        <v>89120</v>
      </c>
    </row>
    <row r="89" spans="1:33" x14ac:dyDescent="0.3">
      <c r="A89" t="s">
        <v>236</v>
      </c>
      <c r="B89" t="s">
        <v>183</v>
      </c>
      <c r="C89" t="s">
        <v>133</v>
      </c>
      <c r="D89" t="str">
        <f t="shared" si="5"/>
        <v>СТАРТСтандартный вариантИтого (промоутеры+ФБ/инстаграмм)3</v>
      </c>
      <c r="E89" s="60">
        <v>300</v>
      </c>
      <c r="F89" s="23">
        <v>10</v>
      </c>
      <c r="G89" s="24">
        <v>15</v>
      </c>
      <c r="H89" s="25">
        <v>3</v>
      </c>
      <c r="I89" s="56">
        <v>0.2</v>
      </c>
      <c r="J89" s="24">
        <v>30</v>
      </c>
      <c r="K89" s="24">
        <v>10</v>
      </c>
      <c r="L89" s="27">
        <v>3</v>
      </c>
      <c r="M89" s="48">
        <v>0.7142857142857143</v>
      </c>
      <c r="N89" s="57">
        <v>0.35</v>
      </c>
      <c r="O89" s="27">
        <v>50.5</v>
      </c>
      <c r="P89" s="57">
        <v>0.35</v>
      </c>
      <c r="Q89" s="57">
        <v>0.5</v>
      </c>
      <c r="R89" s="29">
        <v>3</v>
      </c>
      <c r="S89" s="30">
        <v>550</v>
      </c>
      <c r="T89" s="30">
        <v>400</v>
      </c>
      <c r="U89" s="31">
        <v>5490</v>
      </c>
      <c r="V89" s="222">
        <v>20200</v>
      </c>
      <c r="W89" s="222">
        <v>16</v>
      </c>
      <c r="X89" s="222">
        <v>87840</v>
      </c>
      <c r="Y89" s="222">
        <v>48</v>
      </c>
      <c r="Z89" s="223">
        <v>31450</v>
      </c>
      <c r="AA89" s="207">
        <v>0</v>
      </c>
      <c r="AB89" s="208">
        <v>0</v>
      </c>
      <c r="AC89" s="208">
        <v>108040</v>
      </c>
      <c r="AD89" s="208">
        <v>8</v>
      </c>
      <c r="AE89" s="208">
        <v>5</v>
      </c>
      <c r="AF89" s="208">
        <v>22360</v>
      </c>
      <c r="AG89" s="138">
        <v>85680</v>
      </c>
    </row>
    <row r="90" spans="1:33" x14ac:dyDescent="0.3">
      <c r="A90" t="s">
        <v>236</v>
      </c>
      <c r="B90" t="s">
        <v>183</v>
      </c>
      <c r="C90" t="s">
        <v>133</v>
      </c>
      <c r="D90" t="str">
        <f t="shared" si="5"/>
        <v>СТАРТСтандартный вариантИтого (промоутеры+ФБ/инстаграмм)4</v>
      </c>
      <c r="E90" s="60">
        <v>300</v>
      </c>
      <c r="F90" s="23">
        <v>10</v>
      </c>
      <c r="G90" s="24">
        <v>15</v>
      </c>
      <c r="H90" s="25">
        <v>3</v>
      </c>
      <c r="I90" s="56">
        <v>0.2</v>
      </c>
      <c r="J90" s="24">
        <v>30</v>
      </c>
      <c r="K90" s="24">
        <v>10</v>
      </c>
      <c r="L90" s="27">
        <v>3</v>
      </c>
      <c r="M90" s="48">
        <v>0.7142857142857143</v>
      </c>
      <c r="N90" s="57">
        <v>0.35</v>
      </c>
      <c r="O90" s="27">
        <v>50.5</v>
      </c>
      <c r="P90" s="57">
        <v>0.35</v>
      </c>
      <c r="Q90" s="57">
        <v>0.5</v>
      </c>
      <c r="R90" s="29">
        <v>4</v>
      </c>
      <c r="S90" s="30">
        <v>550</v>
      </c>
      <c r="T90" s="30">
        <v>400</v>
      </c>
      <c r="U90" s="31">
        <v>5490</v>
      </c>
      <c r="V90" s="222">
        <v>20200</v>
      </c>
      <c r="W90" s="222">
        <v>16</v>
      </c>
      <c r="X90" s="222">
        <v>87840</v>
      </c>
      <c r="Y90" s="222">
        <v>64</v>
      </c>
      <c r="Z90" s="223">
        <v>31450</v>
      </c>
      <c r="AA90" s="207">
        <v>0</v>
      </c>
      <c r="AB90" s="208">
        <v>0</v>
      </c>
      <c r="AC90" s="208">
        <v>108040</v>
      </c>
      <c r="AD90" s="208">
        <v>11</v>
      </c>
      <c r="AE90" s="208">
        <v>5</v>
      </c>
      <c r="AF90" s="208">
        <v>27520</v>
      </c>
      <c r="AG90" s="138">
        <v>80520</v>
      </c>
    </row>
    <row r="91" spans="1:33" x14ac:dyDescent="0.3">
      <c r="A91" t="s">
        <v>236</v>
      </c>
      <c r="B91" t="s">
        <v>183</v>
      </c>
      <c r="C91" t="s">
        <v>133</v>
      </c>
      <c r="D91" t="str">
        <f t="shared" si="5"/>
        <v>СТАРТСтандартный вариантИтого (промоутеры+ФБ/инстаграмм)5</v>
      </c>
      <c r="E91" s="60">
        <v>300</v>
      </c>
      <c r="F91" s="23">
        <v>10</v>
      </c>
      <c r="G91" s="24">
        <v>15</v>
      </c>
      <c r="H91" s="25">
        <v>3</v>
      </c>
      <c r="I91" s="98">
        <v>0.2</v>
      </c>
      <c r="J91" s="81">
        <v>30</v>
      </c>
      <c r="K91" s="81">
        <v>10</v>
      </c>
      <c r="L91" s="80">
        <v>3</v>
      </c>
      <c r="M91" s="74">
        <v>0.7142857142857143</v>
      </c>
      <c r="N91" s="99">
        <v>0.35</v>
      </c>
      <c r="O91" s="80">
        <v>50.5</v>
      </c>
      <c r="P91" s="99">
        <v>0.35</v>
      </c>
      <c r="Q91" s="99">
        <v>0.5</v>
      </c>
      <c r="R91" s="100">
        <v>5</v>
      </c>
      <c r="S91" s="76">
        <v>550</v>
      </c>
      <c r="T91" s="76">
        <v>400</v>
      </c>
      <c r="U91" s="101">
        <v>5490</v>
      </c>
      <c r="V91" s="241">
        <v>20200</v>
      </c>
      <c r="W91" s="241">
        <v>16</v>
      </c>
      <c r="X91" s="241">
        <v>87840</v>
      </c>
      <c r="Y91" s="241">
        <v>72</v>
      </c>
      <c r="Z91" s="242">
        <v>31450</v>
      </c>
      <c r="AA91" s="243">
        <v>8</v>
      </c>
      <c r="AB91" s="211">
        <v>43920</v>
      </c>
      <c r="AC91" s="211">
        <v>151960</v>
      </c>
      <c r="AD91" s="211">
        <v>12</v>
      </c>
      <c r="AE91" s="211">
        <v>5</v>
      </c>
      <c r="AF91" s="211">
        <v>29240</v>
      </c>
      <c r="AG91" s="244">
        <v>122720</v>
      </c>
    </row>
    <row r="92" spans="1:33" x14ac:dyDescent="0.3">
      <c r="A92" t="s">
        <v>236</v>
      </c>
      <c r="B92" t="s">
        <v>183</v>
      </c>
      <c r="C92" t="s">
        <v>133</v>
      </c>
      <c r="D92" t="str">
        <f t="shared" si="5"/>
        <v>СТАРТСтандартный вариантИтого (промоутеры+ФБ/инстаграмм)6</v>
      </c>
      <c r="E92" s="60">
        <v>300</v>
      </c>
      <c r="F92" s="23">
        <v>10</v>
      </c>
      <c r="G92" s="24">
        <v>15</v>
      </c>
      <c r="H92" s="25">
        <v>3</v>
      </c>
      <c r="I92" s="56">
        <v>0.2</v>
      </c>
      <c r="J92" s="24">
        <v>30</v>
      </c>
      <c r="K92" s="24">
        <v>10</v>
      </c>
      <c r="L92" s="27">
        <v>3</v>
      </c>
      <c r="M92" s="48">
        <v>0.7142857142857143</v>
      </c>
      <c r="N92" s="57">
        <v>0.35</v>
      </c>
      <c r="O92" s="27">
        <v>50.5</v>
      </c>
      <c r="P92" s="57">
        <v>0.35</v>
      </c>
      <c r="Q92" s="57">
        <v>0.5</v>
      </c>
      <c r="R92" s="29">
        <v>6</v>
      </c>
      <c r="S92" s="30">
        <v>550</v>
      </c>
      <c r="T92" s="30">
        <v>400</v>
      </c>
      <c r="U92" s="31">
        <v>5490</v>
      </c>
      <c r="V92" s="222">
        <v>20200</v>
      </c>
      <c r="W92" s="222">
        <v>16</v>
      </c>
      <c r="X92" s="222">
        <v>87840</v>
      </c>
      <c r="Y92" s="222">
        <v>80</v>
      </c>
      <c r="Z92" s="223">
        <v>31450</v>
      </c>
      <c r="AA92" s="207">
        <v>8</v>
      </c>
      <c r="AB92" s="208">
        <v>43920</v>
      </c>
      <c r="AC92" s="208">
        <v>151960</v>
      </c>
      <c r="AD92" s="208">
        <v>14</v>
      </c>
      <c r="AE92" s="208">
        <v>5</v>
      </c>
      <c r="AF92" s="208">
        <v>32680</v>
      </c>
      <c r="AG92" s="138">
        <v>119280</v>
      </c>
    </row>
    <row r="93" spans="1:33" x14ac:dyDescent="0.3">
      <c r="A93" t="s">
        <v>236</v>
      </c>
      <c r="B93" t="s">
        <v>183</v>
      </c>
      <c r="C93" t="s">
        <v>133</v>
      </c>
      <c r="D93" t="str">
        <f t="shared" si="5"/>
        <v>СТАРТСтандартный вариантИтого (промоутеры+ФБ/инстаграмм)7</v>
      </c>
      <c r="E93" s="60">
        <v>300</v>
      </c>
      <c r="F93" s="23">
        <v>10</v>
      </c>
      <c r="G93" s="24">
        <v>15</v>
      </c>
      <c r="H93" s="25">
        <v>3</v>
      </c>
      <c r="I93" s="56">
        <v>0.2</v>
      </c>
      <c r="J93" s="24">
        <v>30</v>
      </c>
      <c r="K93" s="24">
        <v>10</v>
      </c>
      <c r="L93" s="27">
        <v>3</v>
      </c>
      <c r="M93" s="48">
        <v>0.7142857142857143</v>
      </c>
      <c r="N93" s="57">
        <v>0.35</v>
      </c>
      <c r="O93" s="27">
        <v>50.5</v>
      </c>
      <c r="P93" s="57">
        <v>0.35</v>
      </c>
      <c r="Q93" s="57">
        <v>0.5</v>
      </c>
      <c r="R93" s="29">
        <v>7</v>
      </c>
      <c r="S93" s="30">
        <v>550</v>
      </c>
      <c r="T93" s="30">
        <v>400</v>
      </c>
      <c r="U93" s="31">
        <v>5490</v>
      </c>
      <c r="V93" s="222">
        <v>20200</v>
      </c>
      <c r="W93" s="222">
        <v>16</v>
      </c>
      <c r="X93" s="222">
        <v>87840</v>
      </c>
      <c r="Y93" s="222">
        <v>88</v>
      </c>
      <c r="Z93" s="223">
        <v>31450</v>
      </c>
      <c r="AA93" s="207">
        <v>8</v>
      </c>
      <c r="AB93" s="208">
        <v>43920</v>
      </c>
      <c r="AC93" s="208">
        <v>151960</v>
      </c>
      <c r="AD93" s="208">
        <v>14</v>
      </c>
      <c r="AE93" s="208">
        <v>5</v>
      </c>
      <c r="AF93" s="208">
        <v>32680</v>
      </c>
      <c r="AG93" s="138">
        <v>119280</v>
      </c>
    </row>
    <row r="94" spans="1:33" x14ac:dyDescent="0.3">
      <c r="A94" t="s">
        <v>236</v>
      </c>
      <c r="B94" t="s">
        <v>183</v>
      </c>
      <c r="C94" t="s">
        <v>133</v>
      </c>
      <c r="D94" t="str">
        <f t="shared" si="5"/>
        <v>СТАРТСтандартный вариантИтого (промоутеры+ФБ/инстаграмм)8</v>
      </c>
      <c r="E94" s="60">
        <v>300</v>
      </c>
      <c r="F94" s="23">
        <v>10</v>
      </c>
      <c r="G94" s="24">
        <v>15</v>
      </c>
      <c r="H94" s="25">
        <v>3</v>
      </c>
      <c r="I94" s="56">
        <v>0.2</v>
      </c>
      <c r="J94" s="24">
        <v>30</v>
      </c>
      <c r="K94" s="24">
        <v>10</v>
      </c>
      <c r="L94" s="27">
        <v>3</v>
      </c>
      <c r="M94" s="48">
        <v>0.7142857142857143</v>
      </c>
      <c r="N94" s="57">
        <v>0.27500000000000002</v>
      </c>
      <c r="O94" s="27">
        <v>40</v>
      </c>
      <c r="P94" s="57">
        <v>0.35</v>
      </c>
      <c r="Q94" s="57">
        <v>0.35</v>
      </c>
      <c r="R94" s="29">
        <v>8</v>
      </c>
      <c r="S94" s="30">
        <v>550</v>
      </c>
      <c r="T94" s="30">
        <v>400</v>
      </c>
      <c r="U94" s="31">
        <v>5490</v>
      </c>
      <c r="V94" s="222">
        <v>16000</v>
      </c>
      <c r="W94" s="222">
        <v>10</v>
      </c>
      <c r="X94" s="222">
        <v>54900</v>
      </c>
      <c r="Y94" s="222">
        <v>93</v>
      </c>
      <c r="Z94" s="223">
        <v>25000</v>
      </c>
      <c r="AA94" s="207">
        <v>5</v>
      </c>
      <c r="AB94" s="208">
        <v>27450</v>
      </c>
      <c r="AC94" s="208">
        <v>98350</v>
      </c>
      <c r="AD94" s="208">
        <v>15</v>
      </c>
      <c r="AE94" s="208">
        <v>4</v>
      </c>
      <c r="AF94" s="208">
        <v>32680</v>
      </c>
      <c r="AG94" s="138">
        <v>65670</v>
      </c>
    </row>
    <row r="95" spans="1:33" x14ac:dyDescent="0.3">
      <c r="A95" t="s">
        <v>236</v>
      </c>
      <c r="B95" t="s">
        <v>183</v>
      </c>
      <c r="C95" t="s">
        <v>133</v>
      </c>
      <c r="D95" t="str">
        <f t="shared" si="5"/>
        <v>СТАРТСтандартный вариантИтого (промоутеры+ФБ/инстаграмм)9</v>
      </c>
      <c r="E95" s="60">
        <v>300</v>
      </c>
      <c r="F95" s="23">
        <v>10</v>
      </c>
      <c r="G95" s="24">
        <v>15</v>
      </c>
      <c r="H95" s="25">
        <v>3</v>
      </c>
      <c r="I95" s="56">
        <v>0.2</v>
      </c>
      <c r="J95" s="24">
        <v>30</v>
      </c>
      <c r="K95" s="24">
        <v>10</v>
      </c>
      <c r="L95" s="27">
        <v>3</v>
      </c>
      <c r="M95" s="48">
        <v>0.7142857142857143</v>
      </c>
      <c r="N95" s="57">
        <v>0.2</v>
      </c>
      <c r="O95" s="27">
        <v>29.500000000000004</v>
      </c>
      <c r="P95" s="57">
        <v>0.2</v>
      </c>
      <c r="Q95" s="57">
        <v>0.2</v>
      </c>
      <c r="R95" s="29">
        <v>9</v>
      </c>
      <c r="S95" s="102">
        <v>550</v>
      </c>
      <c r="T95" s="30">
        <v>400</v>
      </c>
      <c r="U95" s="31">
        <v>5490</v>
      </c>
      <c r="V95" s="222">
        <v>11800.000000000002</v>
      </c>
      <c r="W95" s="222">
        <v>6</v>
      </c>
      <c r="X95" s="222">
        <v>32940</v>
      </c>
      <c r="Y95" s="222">
        <v>97</v>
      </c>
      <c r="Z95" s="223">
        <v>18550</v>
      </c>
      <c r="AA95" s="207">
        <v>2</v>
      </c>
      <c r="AB95" s="208">
        <v>10980</v>
      </c>
      <c r="AC95" s="208">
        <v>55720</v>
      </c>
      <c r="AD95" s="208">
        <v>16</v>
      </c>
      <c r="AE95" s="208">
        <v>2</v>
      </c>
      <c r="AF95" s="208">
        <v>30960</v>
      </c>
      <c r="AG95" s="138">
        <v>24760</v>
      </c>
    </row>
    <row r="96" spans="1:33" ht="16.2" thickBot="1" x14ac:dyDescent="0.35">
      <c r="E96" s="61"/>
      <c r="F96" s="39"/>
      <c r="G96" s="40"/>
      <c r="H96" s="41"/>
      <c r="I96" s="58"/>
      <c r="J96" s="40"/>
      <c r="K96" s="40"/>
      <c r="L96" s="43"/>
      <c r="M96" s="53"/>
      <c r="N96" s="59"/>
      <c r="O96" s="43"/>
      <c r="P96" s="59"/>
      <c r="Q96" s="59"/>
      <c r="R96" s="45"/>
      <c r="S96" s="103"/>
      <c r="T96" s="46"/>
      <c r="U96" s="47"/>
      <c r="V96" s="234"/>
      <c r="W96" s="234"/>
      <c r="X96" s="234"/>
      <c r="Y96" s="234"/>
      <c r="Z96" s="236"/>
      <c r="AA96" s="245"/>
      <c r="AB96" s="214"/>
      <c r="AC96" s="214"/>
      <c r="AD96" s="214"/>
      <c r="AE96" s="214"/>
      <c r="AF96" s="214" t="s">
        <v>64</v>
      </c>
      <c r="AG96" s="139">
        <v>769860</v>
      </c>
    </row>
    <row r="97" spans="1:33" x14ac:dyDescent="0.3"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</row>
    <row r="98" spans="1:33" ht="24" thickBot="1" x14ac:dyDescent="0.5">
      <c r="E98" s="193" t="s">
        <v>133</v>
      </c>
      <c r="O98" s="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</row>
    <row r="99" spans="1:33" ht="29.25" customHeight="1" thickBot="1" x14ac:dyDescent="0.35">
      <c r="E99" s="95" t="s">
        <v>127</v>
      </c>
      <c r="F99" s="195" t="s">
        <v>92</v>
      </c>
      <c r="G99" s="196" t="s">
        <v>93</v>
      </c>
      <c r="H99" s="197" t="s">
        <v>134</v>
      </c>
      <c r="I99" s="195" t="s">
        <v>94</v>
      </c>
      <c r="J99" s="202" t="s">
        <v>95</v>
      </c>
      <c r="K99" s="196" t="s">
        <v>96</v>
      </c>
      <c r="L99" s="196" t="s">
        <v>97</v>
      </c>
      <c r="M99" s="196" t="s">
        <v>98</v>
      </c>
      <c r="N99" s="196" t="s">
        <v>128</v>
      </c>
      <c r="O99" s="202" t="s">
        <v>100</v>
      </c>
      <c r="P99" s="196" t="s">
        <v>129</v>
      </c>
      <c r="Q99" s="196" t="s">
        <v>102</v>
      </c>
      <c r="R99" s="195" t="s">
        <v>103</v>
      </c>
      <c r="S99" s="196" t="s">
        <v>104</v>
      </c>
      <c r="T99" s="196" t="s">
        <v>105</v>
      </c>
      <c r="U99" s="197" t="s">
        <v>90</v>
      </c>
      <c r="V99" s="250" t="s">
        <v>106</v>
      </c>
      <c r="W99" s="251" t="s">
        <v>107</v>
      </c>
      <c r="X99" s="250" t="s">
        <v>108</v>
      </c>
      <c r="Y99" s="251" t="s">
        <v>109</v>
      </c>
      <c r="Z99" s="252" t="s">
        <v>110</v>
      </c>
      <c r="AA99" s="248" t="s">
        <v>111</v>
      </c>
      <c r="AB99" s="248" t="s">
        <v>112</v>
      </c>
      <c r="AC99" s="248" t="s">
        <v>113</v>
      </c>
      <c r="AD99" s="248" t="s">
        <v>114</v>
      </c>
      <c r="AE99" s="248" t="s">
        <v>136</v>
      </c>
      <c r="AF99" s="248" t="s">
        <v>115</v>
      </c>
      <c r="AG99" s="249" t="s">
        <v>116</v>
      </c>
    </row>
    <row r="100" spans="1:33" x14ac:dyDescent="0.3">
      <c r="A100" t="s">
        <v>236</v>
      </c>
      <c r="B100" t="s">
        <v>184</v>
      </c>
      <c r="C100" t="s">
        <v>133</v>
      </c>
      <c r="D100" t="str">
        <f t="shared" ref="D100:D108" si="6">A100&amp;B100&amp;C100&amp;R100</f>
        <v>СТАРТПессиместичный вариантИтого (промоутеры+ФБ/инстаграмм)1</v>
      </c>
      <c r="E100" s="60">
        <v>300</v>
      </c>
      <c r="F100" s="23">
        <v>10</v>
      </c>
      <c r="G100" s="24">
        <v>15</v>
      </c>
      <c r="H100" s="25">
        <v>3</v>
      </c>
      <c r="I100" s="56">
        <v>0.17</v>
      </c>
      <c r="J100" s="27">
        <v>25.500000000000004</v>
      </c>
      <c r="K100" s="27">
        <v>10</v>
      </c>
      <c r="L100" s="27">
        <v>2.5500000000000003</v>
      </c>
      <c r="M100" s="48">
        <v>0.60714285714285721</v>
      </c>
      <c r="N100" s="57">
        <v>0.32500000000000001</v>
      </c>
      <c r="O100" s="27">
        <v>44.5</v>
      </c>
      <c r="P100" s="57">
        <v>0.35</v>
      </c>
      <c r="Q100" s="57">
        <v>0.5</v>
      </c>
      <c r="R100" s="29">
        <v>1</v>
      </c>
      <c r="S100" s="30">
        <v>600</v>
      </c>
      <c r="T100" s="30">
        <v>400</v>
      </c>
      <c r="U100" s="31">
        <v>5490</v>
      </c>
      <c r="V100" s="218">
        <v>17800</v>
      </c>
      <c r="W100" s="218">
        <v>13</v>
      </c>
      <c r="X100" s="218">
        <v>71370</v>
      </c>
      <c r="Y100" s="218">
        <v>13</v>
      </c>
      <c r="Z100" s="219">
        <v>30375</v>
      </c>
      <c r="AA100" s="204">
        <v>0</v>
      </c>
      <c r="AB100" s="205">
        <v>0</v>
      </c>
      <c r="AC100" s="205">
        <v>89170</v>
      </c>
      <c r="AD100" s="205">
        <v>3</v>
      </c>
      <c r="AE100" s="205">
        <v>5</v>
      </c>
      <c r="AF100" s="205">
        <v>13760</v>
      </c>
      <c r="AG100" s="206">
        <v>45035</v>
      </c>
    </row>
    <row r="101" spans="1:33" x14ac:dyDescent="0.3">
      <c r="A101" t="s">
        <v>236</v>
      </c>
      <c r="B101" t="s">
        <v>184</v>
      </c>
      <c r="C101" t="s">
        <v>133</v>
      </c>
      <c r="D101" t="str">
        <f t="shared" si="6"/>
        <v>СТАРТПессиместичный вариантИтого (промоутеры+ФБ/инстаграмм)2</v>
      </c>
      <c r="E101" s="60">
        <v>300</v>
      </c>
      <c r="F101" s="23">
        <v>10</v>
      </c>
      <c r="G101" s="24">
        <v>15</v>
      </c>
      <c r="H101" s="25">
        <v>3</v>
      </c>
      <c r="I101" s="56">
        <v>0.17</v>
      </c>
      <c r="J101" s="24">
        <v>25.500000000000004</v>
      </c>
      <c r="K101" s="24">
        <v>10</v>
      </c>
      <c r="L101" s="27">
        <v>2.5500000000000003</v>
      </c>
      <c r="M101" s="48">
        <v>0.60714285714285721</v>
      </c>
      <c r="N101" s="57">
        <v>0.32500000000000001</v>
      </c>
      <c r="O101" s="27">
        <v>44.5</v>
      </c>
      <c r="P101" s="57">
        <v>0.35</v>
      </c>
      <c r="Q101" s="57">
        <v>0.5</v>
      </c>
      <c r="R101" s="29">
        <v>2</v>
      </c>
      <c r="S101" s="30">
        <v>600</v>
      </c>
      <c r="T101" s="30">
        <v>400</v>
      </c>
      <c r="U101" s="31">
        <v>5490</v>
      </c>
      <c r="V101" s="222">
        <v>17800</v>
      </c>
      <c r="W101" s="222">
        <v>13</v>
      </c>
      <c r="X101" s="222">
        <v>71370</v>
      </c>
      <c r="Y101" s="222">
        <v>26</v>
      </c>
      <c r="Z101" s="223">
        <v>30375</v>
      </c>
      <c r="AA101" s="207">
        <v>0</v>
      </c>
      <c r="AB101" s="208">
        <v>0</v>
      </c>
      <c r="AC101" s="208">
        <v>89170</v>
      </c>
      <c r="AD101" s="208">
        <v>5</v>
      </c>
      <c r="AE101" s="208">
        <v>5</v>
      </c>
      <c r="AF101" s="208">
        <v>17200</v>
      </c>
      <c r="AG101" s="138">
        <v>71970</v>
      </c>
    </row>
    <row r="102" spans="1:33" x14ac:dyDescent="0.3">
      <c r="A102" t="s">
        <v>236</v>
      </c>
      <c r="B102" t="s">
        <v>184</v>
      </c>
      <c r="C102" t="s">
        <v>133</v>
      </c>
      <c r="D102" t="str">
        <f t="shared" si="6"/>
        <v>СТАРТПессиместичный вариантИтого (промоутеры+ФБ/инстаграмм)3</v>
      </c>
      <c r="E102" s="60">
        <v>300</v>
      </c>
      <c r="F102" s="23">
        <v>10</v>
      </c>
      <c r="G102" s="24">
        <v>15</v>
      </c>
      <c r="H102" s="25">
        <v>3</v>
      </c>
      <c r="I102" s="56">
        <v>0.17</v>
      </c>
      <c r="J102" s="24">
        <v>25.500000000000004</v>
      </c>
      <c r="K102" s="24">
        <v>10</v>
      </c>
      <c r="L102" s="27">
        <v>2.5500000000000003</v>
      </c>
      <c r="M102" s="48">
        <v>0.60714285714285721</v>
      </c>
      <c r="N102" s="57">
        <v>0.32500000000000001</v>
      </c>
      <c r="O102" s="27">
        <v>44.5</v>
      </c>
      <c r="P102" s="57">
        <v>0.35</v>
      </c>
      <c r="Q102" s="57">
        <v>0.5</v>
      </c>
      <c r="R102" s="29">
        <v>3</v>
      </c>
      <c r="S102" s="30">
        <v>600</v>
      </c>
      <c r="T102" s="30">
        <v>400</v>
      </c>
      <c r="U102" s="31">
        <v>5490</v>
      </c>
      <c r="V102" s="222">
        <v>17800</v>
      </c>
      <c r="W102" s="222">
        <v>13</v>
      </c>
      <c r="X102" s="222">
        <v>71370</v>
      </c>
      <c r="Y102" s="222">
        <v>39</v>
      </c>
      <c r="Z102" s="223">
        <v>30375</v>
      </c>
      <c r="AA102" s="207">
        <v>0</v>
      </c>
      <c r="AB102" s="208">
        <v>0</v>
      </c>
      <c r="AC102" s="208">
        <v>89170</v>
      </c>
      <c r="AD102" s="208">
        <v>7</v>
      </c>
      <c r="AE102" s="208">
        <v>5</v>
      </c>
      <c r="AF102" s="208">
        <v>20640</v>
      </c>
      <c r="AG102" s="138">
        <v>68530</v>
      </c>
    </row>
    <row r="103" spans="1:33" x14ac:dyDescent="0.3">
      <c r="A103" t="s">
        <v>236</v>
      </c>
      <c r="B103" t="s">
        <v>184</v>
      </c>
      <c r="C103" t="s">
        <v>133</v>
      </c>
      <c r="D103" t="str">
        <f t="shared" si="6"/>
        <v>СТАРТПессиместичный вариантИтого (промоутеры+ФБ/инстаграмм)4</v>
      </c>
      <c r="E103" s="60">
        <v>300</v>
      </c>
      <c r="F103" s="23">
        <v>10</v>
      </c>
      <c r="G103" s="24">
        <v>15</v>
      </c>
      <c r="H103" s="25">
        <v>3</v>
      </c>
      <c r="I103" s="56">
        <v>0.17</v>
      </c>
      <c r="J103" s="24">
        <v>25.500000000000004</v>
      </c>
      <c r="K103" s="24">
        <v>10</v>
      </c>
      <c r="L103" s="27">
        <v>2.5500000000000003</v>
      </c>
      <c r="M103" s="48">
        <v>0.60714285714285721</v>
      </c>
      <c r="N103" s="57">
        <v>0.32500000000000001</v>
      </c>
      <c r="O103" s="27">
        <v>44.5</v>
      </c>
      <c r="P103" s="57">
        <v>0.35</v>
      </c>
      <c r="Q103" s="57">
        <v>0.5</v>
      </c>
      <c r="R103" s="29">
        <v>4</v>
      </c>
      <c r="S103" s="30">
        <v>600</v>
      </c>
      <c r="T103" s="30">
        <v>400</v>
      </c>
      <c r="U103" s="31">
        <v>5490</v>
      </c>
      <c r="V103" s="222">
        <v>17800</v>
      </c>
      <c r="W103" s="222">
        <v>13</v>
      </c>
      <c r="X103" s="222">
        <v>71370</v>
      </c>
      <c r="Y103" s="222">
        <v>52</v>
      </c>
      <c r="Z103" s="223">
        <v>30375</v>
      </c>
      <c r="AA103" s="207">
        <v>0</v>
      </c>
      <c r="AB103" s="208">
        <v>0</v>
      </c>
      <c r="AC103" s="208">
        <v>89170</v>
      </c>
      <c r="AD103" s="208">
        <v>9</v>
      </c>
      <c r="AE103" s="208">
        <v>5</v>
      </c>
      <c r="AF103" s="208">
        <v>24080</v>
      </c>
      <c r="AG103" s="138">
        <v>65090</v>
      </c>
    </row>
    <row r="104" spans="1:33" x14ac:dyDescent="0.3">
      <c r="A104" t="s">
        <v>236</v>
      </c>
      <c r="B104" t="s">
        <v>184</v>
      </c>
      <c r="C104" t="s">
        <v>133</v>
      </c>
      <c r="D104" t="str">
        <f t="shared" si="6"/>
        <v>СТАРТПессиместичный вариантИтого (промоутеры+ФБ/инстаграмм)5</v>
      </c>
      <c r="E104" s="60">
        <v>300</v>
      </c>
      <c r="F104" s="23">
        <v>10</v>
      </c>
      <c r="G104" s="24">
        <v>15</v>
      </c>
      <c r="H104" s="25">
        <v>3</v>
      </c>
      <c r="I104" s="98">
        <v>0.17</v>
      </c>
      <c r="J104" s="81">
        <v>25.500000000000004</v>
      </c>
      <c r="K104" s="81">
        <v>10</v>
      </c>
      <c r="L104" s="80">
        <v>2.5500000000000003</v>
      </c>
      <c r="M104" s="74">
        <v>0.60714285714285721</v>
      </c>
      <c r="N104" s="99">
        <v>0.32500000000000001</v>
      </c>
      <c r="O104" s="80">
        <v>44.5</v>
      </c>
      <c r="P104" s="99">
        <v>0.35</v>
      </c>
      <c r="Q104" s="99">
        <v>0.5</v>
      </c>
      <c r="R104" s="100">
        <v>5</v>
      </c>
      <c r="S104" s="76">
        <v>600</v>
      </c>
      <c r="T104" s="76">
        <v>400</v>
      </c>
      <c r="U104" s="101">
        <v>5490</v>
      </c>
      <c r="V104" s="241">
        <v>17800</v>
      </c>
      <c r="W104" s="241">
        <v>13</v>
      </c>
      <c r="X104" s="241">
        <v>71370</v>
      </c>
      <c r="Y104" s="241">
        <v>59</v>
      </c>
      <c r="Z104" s="242">
        <v>30375</v>
      </c>
      <c r="AA104" s="243">
        <v>6</v>
      </c>
      <c r="AB104" s="211">
        <v>32940</v>
      </c>
      <c r="AC104" s="211">
        <v>122110</v>
      </c>
      <c r="AD104" s="211">
        <v>10</v>
      </c>
      <c r="AE104" s="211">
        <v>5</v>
      </c>
      <c r="AF104" s="211">
        <v>25800</v>
      </c>
      <c r="AG104" s="244">
        <v>96310</v>
      </c>
    </row>
    <row r="105" spans="1:33" x14ac:dyDescent="0.3">
      <c r="A105" t="s">
        <v>236</v>
      </c>
      <c r="B105" t="s">
        <v>184</v>
      </c>
      <c r="C105" t="s">
        <v>133</v>
      </c>
      <c r="D105" t="str">
        <f t="shared" si="6"/>
        <v>СТАРТПессиместичный вариантИтого (промоутеры+ФБ/инстаграмм)6</v>
      </c>
      <c r="E105" s="60">
        <v>300</v>
      </c>
      <c r="F105" s="23">
        <v>10</v>
      </c>
      <c r="G105" s="24">
        <v>15</v>
      </c>
      <c r="H105" s="25">
        <v>3</v>
      </c>
      <c r="I105" s="56">
        <v>0.17</v>
      </c>
      <c r="J105" s="24">
        <v>25.500000000000004</v>
      </c>
      <c r="K105" s="24">
        <v>10</v>
      </c>
      <c r="L105" s="27">
        <v>2.5500000000000003</v>
      </c>
      <c r="M105" s="48">
        <v>0.60714285714285721</v>
      </c>
      <c r="N105" s="57">
        <v>0.32500000000000001</v>
      </c>
      <c r="O105" s="27">
        <v>44.5</v>
      </c>
      <c r="P105" s="57">
        <v>0.35</v>
      </c>
      <c r="Q105" s="57">
        <v>0.5</v>
      </c>
      <c r="R105" s="29">
        <v>6</v>
      </c>
      <c r="S105" s="30">
        <v>600</v>
      </c>
      <c r="T105" s="30">
        <v>400</v>
      </c>
      <c r="U105" s="31">
        <v>5490</v>
      </c>
      <c r="V105" s="222">
        <v>17800</v>
      </c>
      <c r="W105" s="222">
        <v>13</v>
      </c>
      <c r="X105" s="222">
        <v>71370</v>
      </c>
      <c r="Y105" s="222">
        <v>66</v>
      </c>
      <c r="Z105" s="223">
        <v>30375</v>
      </c>
      <c r="AA105" s="207">
        <v>6</v>
      </c>
      <c r="AB105" s="208">
        <v>32940</v>
      </c>
      <c r="AC105" s="208">
        <v>122110</v>
      </c>
      <c r="AD105" s="208">
        <v>11</v>
      </c>
      <c r="AE105" s="208">
        <v>5</v>
      </c>
      <c r="AF105" s="208">
        <v>27520</v>
      </c>
      <c r="AG105" s="138">
        <v>94590</v>
      </c>
    </row>
    <row r="106" spans="1:33" x14ac:dyDescent="0.3">
      <c r="A106" t="s">
        <v>236</v>
      </c>
      <c r="B106" t="s">
        <v>184</v>
      </c>
      <c r="C106" t="s">
        <v>133</v>
      </c>
      <c r="D106" t="str">
        <f t="shared" si="6"/>
        <v>СТАРТПессиместичный вариантИтого (промоутеры+ФБ/инстаграмм)7</v>
      </c>
      <c r="E106" s="60">
        <v>300</v>
      </c>
      <c r="F106" s="23">
        <v>10</v>
      </c>
      <c r="G106" s="24">
        <v>15</v>
      </c>
      <c r="H106" s="25">
        <v>3</v>
      </c>
      <c r="I106" s="56">
        <v>0.17</v>
      </c>
      <c r="J106" s="24">
        <v>25.500000000000004</v>
      </c>
      <c r="K106" s="24">
        <v>10</v>
      </c>
      <c r="L106" s="27">
        <v>2.5500000000000003</v>
      </c>
      <c r="M106" s="48">
        <v>0.60714285714285721</v>
      </c>
      <c r="N106" s="57">
        <v>0.32500000000000001</v>
      </c>
      <c r="O106" s="27">
        <v>44.5</v>
      </c>
      <c r="P106" s="57">
        <v>0.35</v>
      </c>
      <c r="Q106" s="57">
        <v>0.5</v>
      </c>
      <c r="R106" s="29">
        <v>7</v>
      </c>
      <c r="S106" s="30">
        <v>600</v>
      </c>
      <c r="T106" s="30">
        <v>400</v>
      </c>
      <c r="U106" s="31">
        <v>5490</v>
      </c>
      <c r="V106" s="222">
        <v>17800</v>
      </c>
      <c r="W106" s="222">
        <v>13</v>
      </c>
      <c r="X106" s="222">
        <v>71370</v>
      </c>
      <c r="Y106" s="222">
        <v>73</v>
      </c>
      <c r="Z106" s="223">
        <v>30375</v>
      </c>
      <c r="AA106" s="207">
        <v>6</v>
      </c>
      <c r="AB106" s="208">
        <v>32940</v>
      </c>
      <c r="AC106" s="208">
        <v>122110</v>
      </c>
      <c r="AD106" s="208">
        <v>12</v>
      </c>
      <c r="AE106" s="208">
        <v>5</v>
      </c>
      <c r="AF106" s="208">
        <v>29240</v>
      </c>
      <c r="AG106" s="138">
        <v>92870</v>
      </c>
    </row>
    <row r="107" spans="1:33" x14ac:dyDescent="0.3">
      <c r="A107" t="s">
        <v>236</v>
      </c>
      <c r="B107" t="s">
        <v>184</v>
      </c>
      <c r="C107" t="s">
        <v>133</v>
      </c>
      <c r="D107" t="str">
        <f t="shared" si="6"/>
        <v>СТАРТПессиместичный вариантИтого (промоутеры+ФБ/инстаграмм)8</v>
      </c>
      <c r="E107" s="60">
        <v>300</v>
      </c>
      <c r="F107" s="23">
        <v>10</v>
      </c>
      <c r="G107" s="24">
        <v>15</v>
      </c>
      <c r="H107" s="25">
        <v>3</v>
      </c>
      <c r="I107" s="56">
        <v>0.17</v>
      </c>
      <c r="J107" s="24">
        <v>25.500000000000004</v>
      </c>
      <c r="K107" s="24">
        <v>10</v>
      </c>
      <c r="L107" s="27">
        <v>2.5500000000000003</v>
      </c>
      <c r="M107" s="48">
        <v>0.60714285714285721</v>
      </c>
      <c r="N107" s="57">
        <v>0.24999999999999997</v>
      </c>
      <c r="O107" s="27">
        <v>35</v>
      </c>
      <c r="P107" s="57">
        <v>0.35</v>
      </c>
      <c r="Q107" s="57">
        <v>0.35</v>
      </c>
      <c r="R107" s="29">
        <v>8</v>
      </c>
      <c r="S107" s="30">
        <v>600</v>
      </c>
      <c r="T107" s="30">
        <v>400</v>
      </c>
      <c r="U107" s="31">
        <v>5490</v>
      </c>
      <c r="V107" s="222">
        <v>14000</v>
      </c>
      <c r="W107" s="222">
        <v>8</v>
      </c>
      <c r="X107" s="222">
        <v>43920</v>
      </c>
      <c r="Y107" s="222">
        <v>77</v>
      </c>
      <c r="Z107" s="223">
        <v>23850</v>
      </c>
      <c r="AA107" s="207">
        <v>4</v>
      </c>
      <c r="AB107" s="208">
        <v>21960</v>
      </c>
      <c r="AC107" s="208">
        <v>79880</v>
      </c>
      <c r="AD107" s="208">
        <v>12</v>
      </c>
      <c r="AE107" s="208">
        <v>3</v>
      </c>
      <c r="AF107" s="208">
        <v>25800</v>
      </c>
      <c r="AG107" s="138">
        <v>54080</v>
      </c>
    </row>
    <row r="108" spans="1:33" x14ac:dyDescent="0.3">
      <c r="A108" t="s">
        <v>236</v>
      </c>
      <c r="B108" t="s">
        <v>184</v>
      </c>
      <c r="C108" t="s">
        <v>133</v>
      </c>
      <c r="D108" t="str">
        <f t="shared" si="6"/>
        <v>СТАРТПессиместичный вариантИтого (промоутеры+ФБ/инстаграмм)9</v>
      </c>
      <c r="E108" s="60">
        <v>300</v>
      </c>
      <c r="F108" s="23">
        <v>10</v>
      </c>
      <c r="G108" s="24">
        <v>15</v>
      </c>
      <c r="H108" s="25">
        <v>3</v>
      </c>
      <c r="I108" s="56">
        <v>0.17</v>
      </c>
      <c r="J108" s="24">
        <v>25.500000000000004</v>
      </c>
      <c r="K108" s="24">
        <v>10</v>
      </c>
      <c r="L108" s="27">
        <v>2.5500000000000003</v>
      </c>
      <c r="M108" s="48">
        <v>0.60714285714285721</v>
      </c>
      <c r="N108" s="57">
        <v>0.17499999999999999</v>
      </c>
      <c r="O108" s="27">
        <v>24.5</v>
      </c>
      <c r="P108" s="57">
        <v>0.2</v>
      </c>
      <c r="Q108" s="57">
        <v>0.2</v>
      </c>
      <c r="R108" s="29">
        <v>9</v>
      </c>
      <c r="S108" s="102">
        <v>600</v>
      </c>
      <c r="T108" s="30">
        <v>400</v>
      </c>
      <c r="U108" s="31">
        <v>5490</v>
      </c>
      <c r="V108" s="222">
        <v>9800</v>
      </c>
      <c r="W108" s="222">
        <v>5</v>
      </c>
      <c r="X108" s="222">
        <v>27450</v>
      </c>
      <c r="Y108" s="222">
        <v>80</v>
      </c>
      <c r="Z108" s="223">
        <v>16875</v>
      </c>
      <c r="AA108" s="207">
        <v>2</v>
      </c>
      <c r="AB108" s="208">
        <v>10980</v>
      </c>
      <c r="AC108" s="208">
        <v>48230</v>
      </c>
      <c r="AD108" s="208">
        <v>14</v>
      </c>
      <c r="AE108" s="208">
        <v>2</v>
      </c>
      <c r="AF108" s="208">
        <v>27520</v>
      </c>
      <c r="AG108" s="138">
        <v>20710</v>
      </c>
    </row>
    <row r="109" spans="1:33" ht="16.2" thickBot="1" x14ac:dyDescent="0.35">
      <c r="E109" s="61"/>
      <c r="F109" s="39"/>
      <c r="G109" s="40"/>
      <c r="H109" s="41"/>
      <c r="I109" s="58"/>
      <c r="J109" s="40"/>
      <c r="K109" s="40"/>
      <c r="L109" s="43"/>
      <c r="M109" s="53"/>
      <c r="N109" s="59"/>
      <c r="O109" s="43"/>
      <c r="P109" s="59"/>
      <c r="Q109" s="59"/>
      <c r="R109" s="45"/>
      <c r="S109" s="103"/>
      <c r="T109" s="46"/>
      <c r="U109" s="47"/>
      <c r="V109" s="234"/>
      <c r="W109" s="234"/>
      <c r="X109" s="234"/>
      <c r="Y109" s="234"/>
      <c r="Z109" s="236"/>
      <c r="AA109" s="245"/>
      <c r="AB109" s="214"/>
      <c r="AC109" s="214"/>
      <c r="AD109" s="214"/>
      <c r="AE109" s="214"/>
      <c r="AF109" s="214" t="s">
        <v>64</v>
      </c>
      <c r="AG109" s="139">
        <v>609185</v>
      </c>
    </row>
    <row r="110" spans="1:33" ht="16.2" thickBot="1" x14ac:dyDescent="0.35"/>
    <row r="111" spans="1:33" ht="57" customHeight="1" thickBot="1" x14ac:dyDescent="0.35">
      <c r="A111" t="s">
        <v>7</v>
      </c>
      <c r="E111" s="194" t="s">
        <v>91</v>
      </c>
      <c r="F111" s="195" t="s">
        <v>92</v>
      </c>
      <c r="G111" s="196" t="s">
        <v>93</v>
      </c>
      <c r="H111" s="197" t="s">
        <v>134</v>
      </c>
      <c r="I111" s="198" t="s">
        <v>94</v>
      </c>
      <c r="J111" s="199" t="s">
        <v>95</v>
      </c>
      <c r="K111" s="200" t="s">
        <v>96</v>
      </c>
      <c r="L111" s="200" t="s">
        <v>97</v>
      </c>
      <c r="M111" s="200" t="s">
        <v>98</v>
      </c>
      <c r="N111" s="200" t="s">
        <v>99</v>
      </c>
      <c r="O111" s="199" t="s">
        <v>100</v>
      </c>
      <c r="P111" s="200" t="s">
        <v>101</v>
      </c>
      <c r="Q111" s="200" t="s">
        <v>102</v>
      </c>
      <c r="R111" s="195" t="s">
        <v>103</v>
      </c>
      <c r="S111" s="196" t="s">
        <v>104</v>
      </c>
      <c r="T111" s="196" t="s">
        <v>105</v>
      </c>
      <c r="U111" s="197" t="s">
        <v>90</v>
      </c>
      <c r="V111" s="196" t="s">
        <v>106</v>
      </c>
      <c r="W111" s="202" t="s">
        <v>107</v>
      </c>
      <c r="X111" s="196" t="s">
        <v>108</v>
      </c>
      <c r="Y111" s="202" t="s">
        <v>109</v>
      </c>
      <c r="Z111" s="203" t="s">
        <v>110</v>
      </c>
      <c r="AA111" s="200" t="s">
        <v>111</v>
      </c>
      <c r="AB111" s="200" t="s">
        <v>112</v>
      </c>
      <c r="AC111" s="200" t="s">
        <v>113</v>
      </c>
      <c r="AD111" s="200" t="s">
        <v>135</v>
      </c>
      <c r="AE111" s="200" t="s">
        <v>136</v>
      </c>
      <c r="AF111" s="200" t="s">
        <v>115</v>
      </c>
      <c r="AG111" s="201" t="s">
        <v>116</v>
      </c>
    </row>
    <row r="112" spans="1:33" x14ac:dyDescent="0.3">
      <c r="A112" t="s">
        <v>7</v>
      </c>
      <c r="B112" t="s">
        <v>182</v>
      </c>
      <c r="C112" t="s">
        <v>131</v>
      </c>
      <c r="D112" t="str">
        <f>A112&amp;B112&amp;C112&amp;R112</f>
        <v>БизнесОптимистичный вариантПромоутеры1</v>
      </c>
      <c r="E112" s="17">
        <v>250</v>
      </c>
      <c r="F112" s="24">
        <v>10</v>
      </c>
      <c r="G112" s="24">
        <v>25</v>
      </c>
      <c r="H112" s="24">
        <v>5</v>
      </c>
      <c r="I112" s="49">
        <v>0.25</v>
      </c>
      <c r="J112" s="50">
        <v>62.5</v>
      </c>
      <c r="K112" s="50">
        <v>10</v>
      </c>
      <c r="L112" s="50">
        <v>6.25</v>
      </c>
      <c r="M112" s="51">
        <v>1.4880952380952381</v>
      </c>
      <c r="N112" s="52">
        <v>0.5</v>
      </c>
      <c r="O112" s="50">
        <v>31</v>
      </c>
      <c r="P112" s="52">
        <v>0.35</v>
      </c>
      <c r="Q112" s="69">
        <v>0.5</v>
      </c>
      <c r="R112" s="77">
        <v>1</v>
      </c>
      <c r="S112" s="78">
        <v>350</v>
      </c>
      <c r="T112" s="78">
        <v>400</v>
      </c>
      <c r="U112" s="79">
        <v>5490</v>
      </c>
      <c r="V112" s="218">
        <v>12400</v>
      </c>
      <c r="W112" s="218">
        <v>11</v>
      </c>
      <c r="X112" s="218">
        <v>60390</v>
      </c>
      <c r="Y112" s="218">
        <v>11</v>
      </c>
      <c r="Z112" s="219">
        <v>10850</v>
      </c>
      <c r="AA112" s="204">
        <v>0</v>
      </c>
      <c r="AB112" s="205">
        <v>0</v>
      </c>
      <c r="AC112" s="205">
        <v>72790</v>
      </c>
      <c r="AD112" s="205">
        <v>2</v>
      </c>
      <c r="AE112" s="205">
        <v>3</v>
      </c>
      <c r="AF112" s="205">
        <v>8600</v>
      </c>
      <c r="AG112" s="206">
        <v>53340</v>
      </c>
    </row>
    <row r="113" spans="1:33" x14ac:dyDescent="0.3">
      <c r="A113" t="s">
        <v>7</v>
      </c>
      <c r="B113" t="s">
        <v>182</v>
      </c>
      <c r="C113" t="s">
        <v>131</v>
      </c>
      <c r="D113" t="str">
        <f t="shared" ref="D113:D120" si="7">A113&amp;B113&amp;C113&amp;R113</f>
        <v>БизнесОптимистичный вариантПромоутеры2</v>
      </c>
      <c r="E113" s="18">
        <v>250</v>
      </c>
      <c r="F113" s="24">
        <v>10</v>
      </c>
      <c r="G113" s="24">
        <v>25</v>
      </c>
      <c r="H113" s="24">
        <v>5</v>
      </c>
      <c r="I113" s="26">
        <v>0.25</v>
      </c>
      <c r="J113" s="27">
        <v>62.5</v>
      </c>
      <c r="K113" s="27">
        <v>10</v>
      </c>
      <c r="L113" s="27">
        <v>6.25</v>
      </c>
      <c r="M113" s="48">
        <v>1.4880952380952381</v>
      </c>
      <c r="N113" s="28">
        <v>0.5</v>
      </c>
      <c r="O113" s="27">
        <v>31</v>
      </c>
      <c r="P113" s="28">
        <v>0.35</v>
      </c>
      <c r="Q113" s="70">
        <v>0.5</v>
      </c>
      <c r="R113" s="29">
        <v>2</v>
      </c>
      <c r="S113" s="30">
        <v>350</v>
      </c>
      <c r="T113" s="30">
        <v>400</v>
      </c>
      <c r="U113" s="31">
        <v>5490</v>
      </c>
      <c r="V113" s="222">
        <v>12400</v>
      </c>
      <c r="W113" s="222">
        <v>11</v>
      </c>
      <c r="X113" s="222">
        <v>60390</v>
      </c>
      <c r="Y113" s="222">
        <v>22</v>
      </c>
      <c r="Z113" s="223">
        <v>10850</v>
      </c>
      <c r="AA113" s="207">
        <v>0</v>
      </c>
      <c r="AB113" s="208">
        <v>0</v>
      </c>
      <c r="AC113" s="208">
        <v>72790</v>
      </c>
      <c r="AD113" s="208">
        <v>4</v>
      </c>
      <c r="AE113" s="208">
        <v>3</v>
      </c>
      <c r="AF113" s="208">
        <v>12040</v>
      </c>
      <c r="AG113" s="138">
        <v>60750</v>
      </c>
    </row>
    <row r="114" spans="1:33" x14ac:dyDescent="0.3">
      <c r="A114" t="s">
        <v>7</v>
      </c>
      <c r="B114" t="s">
        <v>182</v>
      </c>
      <c r="C114" t="s">
        <v>131</v>
      </c>
      <c r="D114" t="str">
        <f t="shared" si="7"/>
        <v>БизнесОптимистичный вариантПромоутеры3</v>
      </c>
      <c r="E114" s="18">
        <v>250</v>
      </c>
      <c r="F114" s="24">
        <v>10</v>
      </c>
      <c r="G114" s="24">
        <v>25</v>
      </c>
      <c r="H114" s="24">
        <v>5</v>
      </c>
      <c r="I114" s="26">
        <v>0.25</v>
      </c>
      <c r="J114" s="27">
        <v>62.5</v>
      </c>
      <c r="K114" s="27">
        <v>10</v>
      </c>
      <c r="L114" s="27">
        <v>6.25</v>
      </c>
      <c r="M114" s="48">
        <v>1.4880952380952381</v>
      </c>
      <c r="N114" s="28">
        <v>0.5</v>
      </c>
      <c r="O114" s="27">
        <v>31</v>
      </c>
      <c r="P114" s="28">
        <v>0.35</v>
      </c>
      <c r="Q114" s="70">
        <v>0.5</v>
      </c>
      <c r="R114" s="29">
        <v>3</v>
      </c>
      <c r="S114" s="30">
        <v>350</v>
      </c>
      <c r="T114" s="30">
        <v>400</v>
      </c>
      <c r="U114" s="31">
        <v>5490</v>
      </c>
      <c r="V114" s="222">
        <v>12400</v>
      </c>
      <c r="W114" s="222">
        <v>11</v>
      </c>
      <c r="X114" s="222">
        <v>60390</v>
      </c>
      <c r="Y114" s="222">
        <v>33</v>
      </c>
      <c r="Z114" s="223">
        <v>10850</v>
      </c>
      <c r="AA114" s="207">
        <v>0</v>
      </c>
      <c r="AB114" s="208">
        <v>0</v>
      </c>
      <c r="AC114" s="208">
        <v>72790</v>
      </c>
      <c r="AD114" s="208">
        <v>5</v>
      </c>
      <c r="AE114" s="208">
        <v>3</v>
      </c>
      <c r="AF114" s="208">
        <v>13760</v>
      </c>
      <c r="AG114" s="138">
        <v>59030</v>
      </c>
    </row>
    <row r="115" spans="1:33" x14ac:dyDescent="0.3">
      <c r="A115" t="s">
        <v>7</v>
      </c>
      <c r="B115" t="s">
        <v>182</v>
      </c>
      <c r="C115" t="s">
        <v>131</v>
      </c>
      <c r="D115" t="str">
        <f t="shared" si="7"/>
        <v>БизнесОптимистичный вариантПромоутеры4</v>
      </c>
      <c r="E115" s="18">
        <v>250</v>
      </c>
      <c r="F115" s="24">
        <v>10</v>
      </c>
      <c r="G115" s="24">
        <v>25</v>
      </c>
      <c r="H115" s="24">
        <v>5</v>
      </c>
      <c r="I115" s="26">
        <v>0.25</v>
      </c>
      <c r="J115" s="27">
        <v>62.5</v>
      </c>
      <c r="K115" s="27">
        <v>10</v>
      </c>
      <c r="L115" s="27">
        <v>6.25</v>
      </c>
      <c r="M115" s="48">
        <v>1.4880952380952381</v>
      </c>
      <c r="N115" s="28">
        <v>0.5</v>
      </c>
      <c r="O115" s="27">
        <v>31</v>
      </c>
      <c r="P115" s="28">
        <v>0.35</v>
      </c>
      <c r="Q115" s="70">
        <v>0.5</v>
      </c>
      <c r="R115" s="29">
        <v>4</v>
      </c>
      <c r="S115" s="30">
        <v>350</v>
      </c>
      <c r="T115" s="30">
        <v>400</v>
      </c>
      <c r="U115" s="31">
        <v>5490</v>
      </c>
      <c r="V115" s="222">
        <v>12400</v>
      </c>
      <c r="W115" s="222">
        <v>11</v>
      </c>
      <c r="X115" s="222">
        <v>60390</v>
      </c>
      <c r="Y115" s="222">
        <v>44</v>
      </c>
      <c r="Z115" s="223">
        <v>10850</v>
      </c>
      <c r="AA115" s="207">
        <v>0</v>
      </c>
      <c r="AB115" s="208">
        <v>0</v>
      </c>
      <c r="AC115" s="208">
        <v>72790</v>
      </c>
      <c r="AD115" s="208">
        <v>7</v>
      </c>
      <c r="AE115" s="208">
        <v>3</v>
      </c>
      <c r="AF115" s="208">
        <v>17200</v>
      </c>
      <c r="AG115" s="138">
        <v>55590</v>
      </c>
    </row>
    <row r="116" spans="1:33" x14ac:dyDescent="0.3">
      <c r="A116" t="s">
        <v>7</v>
      </c>
      <c r="B116" t="s">
        <v>182</v>
      </c>
      <c r="C116" t="s">
        <v>131</v>
      </c>
      <c r="D116" t="str">
        <f t="shared" si="7"/>
        <v>БизнесОптимистичный вариантПромоутеры5</v>
      </c>
      <c r="E116" s="18">
        <v>250</v>
      </c>
      <c r="F116" s="32">
        <v>10</v>
      </c>
      <c r="G116" s="32">
        <v>25</v>
      </c>
      <c r="H116" s="32">
        <v>5</v>
      </c>
      <c r="I116" s="73">
        <v>0.25</v>
      </c>
      <c r="J116" s="34">
        <v>62.5</v>
      </c>
      <c r="K116" s="34">
        <v>10</v>
      </c>
      <c r="L116" s="34">
        <v>6.25</v>
      </c>
      <c r="M116" s="74">
        <v>1.4880952380952381</v>
      </c>
      <c r="N116" s="75">
        <v>0.5</v>
      </c>
      <c r="O116" s="80">
        <v>31</v>
      </c>
      <c r="P116" s="75">
        <v>0.35</v>
      </c>
      <c r="Q116" s="71">
        <v>0.5</v>
      </c>
      <c r="R116" s="35">
        <v>5</v>
      </c>
      <c r="S116" s="76">
        <v>350</v>
      </c>
      <c r="T116" s="36">
        <v>400</v>
      </c>
      <c r="U116" s="37">
        <v>5490</v>
      </c>
      <c r="V116" s="227">
        <v>12400</v>
      </c>
      <c r="W116" s="227">
        <v>11</v>
      </c>
      <c r="X116" s="227">
        <v>60390</v>
      </c>
      <c r="Y116" s="227">
        <v>50</v>
      </c>
      <c r="Z116" s="228">
        <v>10850</v>
      </c>
      <c r="AA116" s="209">
        <v>5</v>
      </c>
      <c r="AB116" s="210">
        <v>27450</v>
      </c>
      <c r="AC116" s="211">
        <v>100240</v>
      </c>
      <c r="AD116" s="211">
        <v>8</v>
      </c>
      <c r="AE116" s="211">
        <v>3</v>
      </c>
      <c r="AF116" s="211">
        <v>18920</v>
      </c>
      <c r="AG116" s="212">
        <v>81320</v>
      </c>
    </row>
    <row r="117" spans="1:33" x14ac:dyDescent="0.3">
      <c r="A117" t="s">
        <v>7</v>
      </c>
      <c r="B117" t="s">
        <v>182</v>
      </c>
      <c r="C117" t="s">
        <v>131</v>
      </c>
      <c r="D117" t="str">
        <f t="shared" si="7"/>
        <v>БизнесОптимистичный вариантПромоутеры6</v>
      </c>
      <c r="E117" s="18">
        <v>250</v>
      </c>
      <c r="F117" s="24">
        <v>10</v>
      </c>
      <c r="G117" s="24">
        <v>25</v>
      </c>
      <c r="H117" s="24">
        <v>5</v>
      </c>
      <c r="I117" s="26">
        <v>0.25</v>
      </c>
      <c r="J117" s="27">
        <v>62.5</v>
      </c>
      <c r="K117" s="27">
        <v>10</v>
      </c>
      <c r="L117" s="27">
        <v>6.25</v>
      </c>
      <c r="M117" s="48">
        <v>1.4880952380952381</v>
      </c>
      <c r="N117" s="28">
        <v>0.5</v>
      </c>
      <c r="O117" s="27">
        <v>31</v>
      </c>
      <c r="P117" s="28">
        <v>0.35</v>
      </c>
      <c r="Q117" s="70">
        <v>0.5</v>
      </c>
      <c r="R117" s="29">
        <v>6</v>
      </c>
      <c r="S117" s="30">
        <v>350</v>
      </c>
      <c r="T117" s="30">
        <v>400</v>
      </c>
      <c r="U117" s="31">
        <v>5490</v>
      </c>
      <c r="V117" s="222">
        <v>12400</v>
      </c>
      <c r="W117" s="229">
        <v>11</v>
      </c>
      <c r="X117" s="222">
        <v>60390</v>
      </c>
      <c r="Y117" s="222">
        <v>56</v>
      </c>
      <c r="Z117" s="223">
        <v>10850</v>
      </c>
      <c r="AA117" s="209">
        <v>5</v>
      </c>
      <c r="AB117" s="208">
        <v>27450</v>
      </c>
      <c r="AC117" s="208">
        <v>100240</v>
      </c>
      <c r="AD117" s="208">
        <v>9</v>
      </c>
      <c r="AE117" s="208">
        <v>3</v>
      </c>
      <c r="AF117" s="208">
        <v>20640</v>
      </c>
      <c r="AG117" s="138">
        <v>79600</v>
      </c>
    </row>
    <row r="118" spans="1:33" x14ac:dyDescent="0.3">
      <c r="A118" t="s">
        <v>7</v>
      </c>
      <c r="B118" t="s">
        <v>182</v>
      </c>
      <c r="C118" t="s">
        <v>131</v>
      </c>
      <c r="D118" t="str">
        <f t="shared" si="7"/>
        <v>БизнесОптимистичный вариантПромоутеры7</v>
      </c>
      <c r="E118" s="18">
        <v>250</v>
      </c>
      <c r="F118" s="24">
        <v>10</v>
      </c>
      <c r="G118" s="24">
        <v>25</v>
      </c>
      <c r="H118" s="24">
        <v>5</v>
      </c>
      <c r="I118" s="26">
        <v>0.25</v>
      </c>
      <c r="J118" s="27">
        <v>62.5</v>
      </c>
      <c r="K118" s="27">
        <v>10</v>
      </c>
      <c r="L118" s="27">
        <v>6.25</v>
      </c>
      <c r="M118" s="48">
        <v>1.4880952380952381</v>
      </c>
      <c r="N118" s="28">
        <v>0.5</v>
      </c>
      <c r="O118" s="27">
        <v>31</v>
      </c>
      <c r="P118" s="28">
        <v>0.35</v>
      </c>
      <c r="Q118" s="70">
        <v>0.5</v>
      </c>
      <c r="R118" s="29">
        <v>7</v>
      </c>
      <c r="S118" s="30">
        <v>350</v>
      </c>
      <c r="T118" s="30">
        <v>400</v>
      </c>
      <c r="U118" s="31">
        <v>5490</v>
      </c>
      <c r="V118" s="222">
        <v>12400</v>
      </c>
      <c r="W118" s="229">
        <v>11</v>
      </c>
      <c r="X118" s="222">
        <v>60390</v>
      </c>
      <c r="Y118" s="222">
        <v>62</v>
      </c>
      <c r="Z118" s="223">
        <v>10850</v>
      </c>
      <c r="AA118" s="209">
        <v>5</v>
      </c>
      <c r="AB118" s="208">
        <v>27450</v>
      </c>
      <c r="AC118" s="208">
        <v>100240</v>
      </c>
      <c r="AD118" s="208">
        <v>10</v>
      </c>
      <c r="AE118" s="208">
        <v>3</v>
      </c>
      <c r="AF118" s="208">
        <v>22360</v>
      </c>
      <c r="AG118" s="138">
        <v>77880</v>
      </c>
    </row>
    <row r="119" spans="1:33" x14ac:dyDescent="0.3">
      <c r="A119" t="s">
        <v>7</v>
      </c>
      <c r="B119" t="s">
        <v>182</v>
      </c>
      <c r="C119" t="s">
        <v>131</v>
      </c>
      <c r="D119" t="str">
        <f t="shared" si="7"/>
        <v>БизнесОптимистичный вариантПромоутеры8</v>
      </c>
      <c r="E119" s="18">
        <v>250</v>
      </c>
      <c r="F119" s="24">
        <v>10</v>
      </c>
      <c r="G119" s="24">
        <v>25</v>
      </c>
      <c r="H119" s="24">
        <v>5</v>
      </c>
      <c r="I119" s="26">
        <v>0.25</v>
      </c>
      <c r="J119" s="27">
        <v>62.5</v>
      </c>
      <c r="K119" s="27">
        <v>10</v>
      </c>
      <c r="L119" s="27">
        <v>6.25</v>
      </c>
      <c r="M119" s="48">
        <v>1.4880952380952381</v>
      </c>
      <c r="N119" s="28">
        <v>0.4</v>
      </c>
      <c r="O119" s="27">
        <v>25</v>
      </c>
      <c r="P119" s="28">
        <v>0.24999999999999997</v>
      </c>
      <c r="Q119" s="70">
        <v>0.35</v>
      </c>
      <c r="R119" s="29">
        <v>8</v>
      </c>
      <c r="S119" s="30">
        <v>350</v>
      </c>
      <c r="T119" s="30">
        <v>400</v>
      </c>
      <c r="U119" s="31">
        <v>5490</v>
      </c>
      <c r="V119" s="222">
        <v>10000</v>
      </c>
      <c r="W119" s="229">
        <v>7</v>
      </c>
      <c r="X119" s="222">
        <v>38430</v>
      </c>
      <c r="Y119" s="222">
        <v>66</v>
      </c>
      <c r="Z119" s="223">
        <v>8750</v>
      </c>
      <c r="AA119" s="209">
        <v>3</v>
      </c>
      <c r="AB119" s="208">
        <v>16470</v>
      </c>
      <c r="AC119" s="208">
        <v>64900</v>
      </c>
      <c r="AD119" s="208">
        <v>10</v>
      </c>
      <c r="AE119" s="208">
        <v>2</v>
      </c>
      <c r="AF119" s="208">
        <v>20640</v>
      </c>
      <c r="AG119" s="138">
        <v>44260</v>
      </c>
    </row>
    <row r="120" spans="1:33" x14ac:dyDescent="0.3">
      <c r="A120" t="s">
        <v>7</v>
      </c>
      <c r="B120" t="s">
        <v>182</v>
      </c>
      <c r="C120" t="s">
        <v>131</v>
      </c>
      <c r="D120" t="str">
        <f t="shared" si="7"/>
        <v>БизнесОптимистичный вариантПромоутеры9</v>
      </c>
      <c r="E120" s="18">
        <v>250</v>
      </c>
      <c r="F120" s="24">
        <v>10</v>
      </c>
      <c r="G120" s="24">
        <v>25</v>
      </c>
      <c r="H120" s="24">
        <v>5</v>
      </c>
      <c r="I120" s="26">
        <v>0.25</v>
      </c>
      <c r="J120" s="27">
        <v>62.5</v>
      </c>
      <c r="K120" s="27">
        <v>10</v>
      </c>
      <c r="L120" s="27">
        <v>6.25</v>
      </c>
      <c r="M120" s="48">
        <v>1.4880952380952381</v>
      </c>
      <c r="N120" s="28">
        <v>0.30000000000000004</v>
      </c>
      <c r="O120" s="27">
        <v>18</v>
      </c>
      <c r="P120" s="28">
        <v>0.14999999999999997</v>
      </c>
      <c r="Q120" s="70">
        <v>0.2</v>
      </c>
      <c r="R120" s="29">
        <v>9</v>
      </c>
      <c r="S120" s="30">
        <v>350</v>
      </c>
      <c r="T120" s="30">
        <v>400</v>
      </c>
      <c r="U120" s="31">
        <v>5490</v>
      </c>
      <c r="V120" s="222">
        <v>7200</v>
      </c>
      <c r="W120" s="229">
        <v>3</v>
      </c>
      <c r="X120" s="222">
        <v>16470</v>
      </c>
      <c r="Y120" s="222">
        <v>67</v>
      </c>
      <c r="Z120" s="223">
        <v>6300</v>
      </c>
      <c r="AA120" s="209">
        <v>2</v>
      </c>
      <c r="AB120" s="208">
        <v>10980</v>
      </c>
      <c r="AC120" s="208">
        <v>34650</v>
      </c>
      <c r="AD120" s="208">
        <v>11</v>
      </c>
      <c r="AE120" s="208">
        <v>2</v>
      </c>
      <c r="AF120" s="208">
        <v>22360</v>
      </c>
      <c r="AG120" s="138">
        <v>12290</v>
      </c>
    </row>
    <row r="121" spans="1:33" ht="16.2" thickBot="1" x14ac:dyDescent="0.35">
      <c r="E121" s="19"/>
      <c r="F121" s="40"/>
      <c r="G121" s="40"/>
      <c r="H121" s="40"/>
      <c r="I121" s="42"/>
      <c r="J121" s="43"/>
      <c r="K121" s="43"/>
      <c r="L121" s="43"/>
      <c r="M121" s="53"/>
      <c r="N121" s="44"/>
      <c r="O121" s="43"/>
      <c r="P121" s="44"/>
      <c r="Q121" s="72"/>
      <c r="R121" s="45"/>
      <c r="S121" s="46"/>
      <c r="T121" s="46"/>
      <c r="U121" s="47"/>
      <c r="V121" s="234"/>
      <c r="W121" s="235"/>
      <c r="X121" s="234"/>
      <c r="Y121" s="234"/>
      <c r="Z121" s="236"/>
      <c r="AA121" s="213"/>
      <c r="AB121" s="214"/>
      <c r="AC121" s="214"/>
      <c r="AD121" s="214"/>
      <c r="AE121" s="214"/>
      <c r="AF121" s="214" t="s">
        <v>64</v>
      </c>
      <c r="AG121" s="139">
        <v>524060</v>
      </c>
    </row>
    <row r="122" spans="1:33" ht="63" customHeight="1" thickBot="1" x14ac:dyDescent="0.35">
      <c r="A122" t="s">
        <v>7</v>
      </c>
      <c r="E122" s="194" t="s">
        <v>91</v>
      </c>
      <c r="F122" s="195" t="s">
        <v>92</v>
      </c>
      <c r="G122" s="196" t="s">
        <v>93</v>
      </c>
      <c r="H122" s="197" t="s">
        <v>134</v>
      </c>
      <c r="I122" s="198" t="s">
        <v>94</v>
      </c>
      <c r="J122" s="199" t="s">
        <v>95</v>
      </c>
      <c r="K122" s="200" t="s">
        <v>96</v>
      </c>
      <c r="L122" s="200" t="s">
        <v>97</v>
      </c>
      <c r="M122" s="200" t="s">
        <v>98</v>
      </c>
      <c r="N122" s="200" t="s">
        <v>99</v>
      </c>
      <c r="O122" s="199" t="s">
        <v>100</v>
      </c>
      <c r="P122" s="200" t="s">
        <v>101</v>
      </c>
      <c r="Q122" s="200" t="s">
        <v>102</v>
      </c>
      <c r="R122" s="195" t="s">
        <v>103</v>
      </c>
      <c r="S122" s="196" t="s">
        <v>104</v>
      </c>
      <c r="T122" s="196" t="s">
        <v>105</v>
      </c>
      <c r="U122" s="197" t="s">
        <v>90</v>
      </c>
      <c r="V122" s="196" t="s">
        <v>106</v>
      </c>
      <c r="W122" s="202" t="s">
        <v>107</v>
      </c>
      <c r="X122" s="196" t="s">
        <v>108</v>
      </c>
      <c r="Y122" s="202" t="s">
        <v>109</v>
      </c>
      <c r="Z122" s="203" t="s">
        <v>110</v>
      </c>
      <c r="AA122" s="200" t="s">
        <v>111</v>
      </c>
      <c r="AB122" s="200" t="s">
        <v>112</v>
      </c>
      <c r="AC122" s="200" t="s">
        <v>113</v>
      </c>
      <c r="AD122" s="200" t="s">
        <v>135</v>
      </c>
      <c r="AE122" s="200" t="s">
        <v>136</v>
      </c>
      <c r="AF122" s="200" t="s">
        <v>115</v>
      </c>
      <c r="AG122" s="201" t="s">
        <v>116</v>
      </c>
    </row>
    <row r="123" spans="1:33" x14ac:dyDescent="0.3">
      <c r="A123" t="s">
        <v>7</v>
      </c>
      <c r="B123" t="s">
        <v>183</v>
      </c>
      <c r="C123" t="s">
        <v>131</v>
      </c>
      <c r="D123" t="str">
        <f t="shared" ref="D123:D131" si="8">A123&amp;B123&amp;C123&amp;R123</f>
        <v>БизнесСтандартный вариантПромоутеры1</v>
      </c>
      <c r="E123" s="17">
        <v>250</v>
      </c>
      <c r="F123" s="24">
        <v>10</v>
      </c>
      <c r="G123" s="24">
        <v>25</v>
      </c>
      <c r="H123" s="24">
        <v>5</v>
      </c>
      <c r="I123" s="49">
        <v>0.2</v>
      </c>
      <c r="J123" s="50">
        <v>50</v>
      </c>
      <c r="K123" s="50">
        <v>10</v>
      </c>
      <c r="L123" s="50">
        <v>5</v>
      </c>
      <c r="M123" s="51">
        <v>1.1904761904761905</v>
      </c>
      <c r="N123" s="52">
        <v>0.45</v>
      </c>
      <c r="O123" s="50">
        <v>22</v>
      </c>
      <c r="P123" s="52">
        <v>0.3</v>
      </c>
      <c r="Q123" s="69">
        <v>0.5</v>
      </c>
      <c r="R123" s="77">
        <v>1</v>
      </c>
      <c r="S123" s="78">
        <v>400</v>
      </c>
      <c r="T123" s="78">
        <v>400</v>
      </c>
      <c r="U123" s="79">
        <v>5490</v>
      </c>
      <c r="V123" s="218">
        <v>8800</v>
      </c>
      <c r="W123" s="218">
        <v>7</v>
      </c>
      <c r="X123" s="218">
        <v>38430</v>
      </c>
      <c r="Y123" s="218">
        <v>7</v>
      </c>
      <c r="Z123" s="219">
        <v>8800</v>
      </c>
      <c r="AA123" s="204">
        <v>0</v>
      </c>
      <c r="AB123" s="205">
        <v>0</v>
      </c>
      <c r="AC123" s="205">
        <v>47230</v>
      </c>
      <c r="AD123" s="205">
        <v>2</v>
      </c>
      <c r="AE123" s="205">
        <v>2</v>
      </c>
      <c r="AF123" s="205">
        <v>6880</v>
      </c>
      <c r="AG123" s="206">
        <v>31550</v>
      </c>
    </row>
    <row r="124" spans="1:33" x14ac:dyDescent="0.3">
      <c r="A124" t="s">
        <v>7</v>
      </c>
      <c r="B124" t="s">
        <v>183</v>
      </c>
      <c r="C124" t="s">
        <v>131</v>
      </c>
      <c r="D124" t="str">
        <f t="shared" si="8"/>
        <v>БизнесСтандартный вариантПромоутеры2</v>
      </c>
      <c r="E124" s="18">
        <v>250</v>
      </c>
      <c r="F124" s="24">
        <v>10</v>
      </c>
      <c r="G124" s="24">
        <v>25</v>
      </c>
      <c r="H124" s="24">
        <v>5</v>
      </c>
      <c r="I124" s="26">
        <v>0.2</v>
      </c>
      <c r="J124" s="27">
        <v>50</v>
      </c>
      <c r="K124" s="27">
        <v>10</v>
      </c>
      <c r="L124" s="27">
        <v>5</v>
      </c>
      <c r="M124" s="48">
        <v>1.1904761904761905</v>
      </c>
      <c r="N124" s="28">
        <v>0.45</v>
      </c>
      <c r="O124" s="27">
        <v>22</v>
      </c>
      <c r="P124" s="28">
        <v>0.3</v>
      </c>
      <c r="Q124" s="70">
        <v>0.5</v>
      </c>
      <c r="R124" s="29">
        <v>2</v>
      </c>
      <c r="S124" s="30">
        <v>400</v>
      </c>
      <c r="T124" s="30">
        <v>400</v>
      </c>
      <c r="U124" s="31">
        <v>5490</v>
      </c>
      <c r="V124" s="222">
        <v>8800</v>
      </c>
      <c r="W124" s="222">
        <v>7</v>
      </c>
      <c r="X124" s="222">
        <v>38430</v>
      </c>
      <c r="Y124" s="222">
        <v>14</v>
      </c>
      <c r="Z124" s="223">
        <v>8800</v>
      </c>
      <c r="AA124" s="207">
        <v>0</v>
      </c>
      <c r="AB124" s="208">
        <v>0</v>
      </c>
      <c r="AC124" s="208">
        <v>47230</v>
      </c>
      <c r="AD124" s="208">
        <v>3</v>
      </c>
      <c r="AE124" s="208">
        <v>2</v>
      </c>
      <c r="AF124" s="208">
        <v>8600</v>
      </c>
      <c r="AG124" s="138">
        <v>38630</v>
      </c>
    </row>
    <row r="125" spans="1:33" x14ac:dyDescent="0.3">
      <c r="A125" t="s">
        <v>7</v>
      </c>
      <c r="B125" t="s">
        <v>183</v>
      </c>
      <c r="C125" t="s">
        <v>131</v>
      </c>
      <c r="D125" t="str">
        <f t="shared" si="8"/>
        <v>БизнесСтандартный вариантПромоутеры3</v>
      </c>
      <c r="E125" s="18">
        <v>250</v>
      </c>
      <c r="F125" s="24">
        <v>10</v>
      </c>
      <c r="G125" s="24">
        <v>25</v>
      </c>
      <c r="H125" s="24">
        <v>5</v>
      </c>
      <c r="I125" s="26">
        <v>0.2</v>
      </c>
      <c r="J125" s="27">
        <v>50</v>
      </c>
      <c r="K125" s="27">
        <v>10</v>
      </c>
      <c r="L125" s="27">
        <v>5</v>
      </c>
      <c r="M125" s="48">
        <v>1.1904761904761905</v>
      </c>
      <c r="N125" s="28">
        <v>0.45</v>
      </c>
      <c r="O125" s="27">
        <v>22</v>
      </c>
      <c r="P125" s="28">
        <v>0.3</v>
      </c>
      <c r="Q125" s="70">
        <v>0.5</v>
      </c>
      <c r="R125" s="29">
        <v>3</v>
      </c>
      <c r="S125" s="30">
        <v>400</v>
      </c>
      <c r="T125" s="30">
        <v>400</v>
      </c>
      <c r="U125" s="31">
        <v>5490</v>
      </c>
      <c r="V125" s="222">
        <v>8800</v>
      </c>
      <c r="W125" s="222">
        <v>7</v>
      </c>
      <c r="X125" s="222">
        <v>38430</v>
      </c>
      <c r="Y125" s="222">
        <v>21</v>
      </c>
      <c r="Z125" s="223">
        <v>8800</v>
      </c>
      <c r="AA125" s="207">
        <v>0</v>
      </c>
      <c r="AB125" s="208">
        <v>0</v>
      </c>
      <c r="AC125" s="208">
        <v>47230</v>
      </c>
      <c r="AD125" s="208">
        <v>4</v>
      </c>
      <c r="AE125" s="208">
        <v>2</v>
      </c>
      <c r="AF125" s="208">
        <v>10320</v>
      </c>
      <c r="AG125" s="138">
        <v>36910</v>
      </c>
    </row>
    <row r="126" spans="1:33" x14ac:dyDescent="0.3">
      <c r="A126" t="s">
        <v>7</v>
      </c>
      <c r="B126" t="s">
        <v>183</v>
      </c>
      <c r="C126" t="s">
        <v>131</v>
      </c>
      <c r="D126" t="str">
        <f t="shared" si="8"/>
        <v>БизнесСтандартный вариантПромоутеры4</v>
      </c>
      <c r="E126" s="18">
        <v>250</v>
      </c>
      <c r="F126" s="24">
        <v>10</v>
      </c>
      <c r="G126" s="24">
        <v>25</v>
      </c>
      <c r="H126" s="24">
        <v>5</v>
      </c>
      <c r="I126" s="26">
        <v>0.2</v>
      </c>
      <c r="J126" s="27">
        <v>50</v>
      </c>
      <c r="K126" s="27">
        <v>10</v>
      </c>
      <c r="L126" s="27">
        <v>5</v>
      </c>
      <c r="M126" s="48">
        <v>1.1904761904761905</v>
      </c>
      <c r="N126" s="28">
        <v>0.45</v>
      </c>
      <c r="O126" s="27">
        <v>22</v>
      </c>
      <c r="P126" s="28">
        <v>0.3</v>
      </c>
      <c r="Q126" s="70">
        <v>0.5</v>
      </c>
      <c r="R126" s="29">
        <v>4</v>
      </c>
      <c r="S126" s="30">
        <v>400</v>
      </c>
      <c r="T126" s="30">
        <v>400</v>
      </c>
      <c r="U126" s="31">
        <v>5490</v>
      </c>
      <c r="V126" s="222">
        <v>8800</v>
      </c>
      <c r="W126" s="222">
        <v>7</v>
      </c>
      <c r="X126" s="222">
        <v>38430</v>
      </c>
      <c r="Y126" s="222">
        <v>28</v>
      </c>
      <c r="Z126" s="223">
        <v>8800</v>
      </c>
      <c r="AA126" s="207">
        <v>0</v>
      </c>
      <c r="AB126" s="208">
        <v>0</v>
      </c>
      <c r="AC126" s="208">
        <v>47230</v>
      </c>
      <c r="AD126" s="208">
        <v>5</v>
      </c>
      <c r="AE126" s="208">
        <v>2</v>
      </c>
      <c r="AF126" s="208">
        <v>12040</v>
      </c>
      <c r="AG126" s="138">
        <v>35190</v>
      </c>
    </row>
    <row r="127" spans="1:33" x14ac:dyDescent="0.3">
      <c r="A127" t="s">
        <v>7</v>
      </c>
      <c r="B127" t="s">
        <v>183</v>
      </c>
      <c r="C127" t="s">
        <v>131</v>
      </c>
      <c r="D127" t="str">
        <f t="shared" si="8"/>
        <v>БизнесСтандартный вариантПромоутеры5</v>
      </c>
      <c r="E127" s="18">
        <v>250</v>
      </c>
      <c r="F127" s="32">
        <v>10</v>
      </c>
      <c r="G127" s="32">
        <v>25</v>
      </c>
      <c r="H127" s="32">
        <v>5</v>
      </c>
      <c r="I127" s="73">
        <v>0.2</v>
      </c>
      <c r="J127" s="34">
        <v>50</v>
      </c>
      <c r="K127" s="34">
        <v>10</v>
      </c>
      <c r="L127" s="34">
        <v>5</v>
      </c>
      <c r="M127" s="74">
        <v>1.1904761904761905</v>
      </c>
      <c r="N127" s="75">
        <v>0.45</v>
      </c>
      <c r="O127" s="80">
        <v>22</v>
      </c>
      <c r="P127" s="75">
        <v>0.3</v>
      </c>
      <c r="Q127" s="71">
        <v>0.5</v>
      </c>
      <c r="R127" s="35">
        <v>5</v>
      </c>
      <c r="S127" s="76">
        <v>400</v>
      </c>
      <c r="T127" s="36">
        <v>400</v>
      </c>
      <c r="U127" s="37">
        <v>5490</v>
      </c>
      <c r="V127" s="227">
        <v>8800</v>
      </c>
      <c r="W127" s="227">
        <v>7</v>
      </c>
      <c r="X127" s="227">
        <v>38430</v>
      </c>
      <c r="Y127" s="227">
        <v>32</v>
      </c>
      <c r="Z127" s="228">
        <v>8800</v>
      </c>
      <c r="AA127" s="209">
        <v>3</v>
      </c>
      <c r="AB127" s="210">
        <v>16470</v>
      </c>
      <c r="AC127" s="211">
        <v>63700</v>
      </c>
      <c r="AD127" s="211">
        <v>5</v>
      </c>
      <c r="AE127" s="211">
        <v>2</v>
      </c>
      <c r="AF127" s="211">
        <v>12040</v>
      </c>
      <c r="AG127" s="212">
        <v>51660</v>
      </c>
    </row>
    <row r="128" spans="1:33" x14ac:dyDescent="0.3">
      <c r="A128" t="s">
        <v>7</v>
      </c>
      <c r="B128" t="s">
        <v>183</v>
      </c>
      <c r="C128" t="s">
        <v>131</v>
      </c>
      <c r="D128" t="str">
        <f t="shared" si="8"/>
        <v>БизнесСтандартный вариантПромоутеры6</v>
      </c>
      <c r="E128" s="18">
        <v>250</v>
      </c>
      <c r="F128" s="24">
        <v>10</v>
      </c>
      <c r="G128" s="24">
        <v>25</v>
      </c>
      <c r="H128" s="24">
        <v>5</v>
      </c>
      <c r="I128" s="26">
        <v>0.2</v>
      </c>
      <c r="J128" s="27">
        <v>50</v>
      </c>
      <c r="K128" s="27">
        <v>10</v>
      </c>
      <c r="L128" s="27">
        <v>5</v>
      </c>
      <c r="M128" s="48">
        <v>1.1904761904761905</v>
      </c>
      <c r="N128" s="28">
        <v>0.45</v>
      </c>
      <c r="O128" s="27">
        <v>22</v>
      </c>
      <c r="P128" s="28">
        <v>0.3</v>
      </c>
      <c r="Q128" s="70">
        <v>0.5</v>
      </c>
      <c r="R128" s="29">
        <v>6</v>
      </c>
      <c r="S128" s="30">
        <v>400</v>
      </c>
      <c r="T128" s="30">
        <v>400</v>
      </c>
      <c r="U128" s="31">
        <v>5490</v>
      </c>
      <c r="V128" s="222">
        <v>8800</v>
      </c>
      <c r="W128" s="229">
        <v>7</v>
      </c>
      <c r="X128" s="222">
        <v>38430</v>
      </c>
      <c r="Y128" s="222">
        <v>36</v>
      </c>
      <c r="Z128" s="223">
        <v>8800</v>
      </c>
      <c r="AA128" s="209">
        <v>3</v>
      </c>
      <c r="AB128" s="208">
        <v>16470</v>
      </c>
      <c r="AC128" s="208">
        <v>63700</v>
      </c>
      <c r="AD128" s="208">
        <v>6</v>
      </c>
      <c r="AE128" s="208">
        <v>2</v>
      </c>
      <c r="AF128" s="208">
        <v>13760</v>
      </c>
      <c r="AG128" s="138">
        <v>49940</v>
      </c>
    </row>
    <row r="129" spans="1:33" x14ac:dyDescent="0.3">
      <c r="A129" t="s">
        <v>7</v>
      </c>
      <c r="B129" t="s">
        <v>183</v>
      </c>
      <c r="C129" t="s">
        <v>131</v>
      </c>
      <c r="D129" t="str">
        <f t="shared" si="8"/>
        <v>БизнесСтандартный вариантПромоутеры7</v>
      </c>
      <c r="E129" s="18">
        <v>250</v>
      </c>
      <c r="F129" s="24">
        <v>10</v>
      </c>
      <c r="G129" s="24">
        <v>25</v>
      </c>
      <c r="H129" s="24">
        <v>5</v>
      </c>
      <c r="I129" s="26">
        <v>0.2</v>
      </c>
      <c r="J129" s="27">
        <v>50</v>
      </c>
      <c r="K129" s="27">
        <v>10</v>
      </c>
      <c r="L129" s="27">
        <v>5</v>
      </c>
      <c r="M129" s="48">
        <v>1.1904761904761905</v>
      </c>
      <c r="N129" s="28">
        <v>0.45</v>
      </c>
      <c r="O129" s="27">
        <v>22</v>
      </c>
      <c r="P129" s="28">
        <v>0.3</v>
      </c>
      <c r="Q129" s="70">
        <v>0.5</v>
      </c>
      <c r="R129" s="29">
        <v>7</v>
      </c>
      <c r="S129" s="30">
        <v>400</v>
      </c>
      <c r="T129" s="30">
        <v>400</v>
      </c>
      <c r="U129" s="31">
        <v>5490</v>
      </c>
      <c r="V129" s="222">
        <v>8800</v>
      </c>
      <c r="W129" s="229">
        <v>7</v>
      </c>
      <c r="X129" s="222">
        <v>38430</v>
      </c>
      <c r="Y129" s="222">
        <v>40</v>
      </c>
      <c r="Z129" s="223">
        <v>8800</v>
      </c>
      <c r="AA129" s="209">
        <v>3</v>
      </c>
      <c r="AB129" s="208">
        <v>16470</v>
      </c>
      <c r="AC129" s="208">
        <v>63700</v>
      </c>
      <c r="AD129" s="208">
        <v>7</v>
      </c>
      <c r="AE129" s="208">
        <v>2</v>
      </c>
      <c r="AF129" s="208">
        <v>15480</v>
      </c>
      <c r="AG129" s="138">
        <v>48220</v>
      </c>
    </row>
    <row r="130" spans="1:33" x14ac:dyDescent="0.3">
      <c r="A130" t="s">
        <v>7</v>
      </c>
      <c r="B130" t="s">
        <v>183</v>
      </c>
      <c r="C130" t="s">
        <v>131</v>
      </c>
      <c r="D130" t="str">
        <f t="shared" si="8"/>
        <v>БизнесСтандартный вариантПромоутеры8</v>
      </c>
      <c r="E130" s="18">
        <v>250</v>
      </c>
      <c r="F130" s="24">
        <v>10</v>
      </c>
      <c r="G130" s="24">
        <v>25</v>
      </c>
      <c r="H130" s="24">
        <v>5</v>
      </c>
      <c r="I130" s="26">
        <v>0.2</v>
      </c>
      <c r="J130" s="27">
        <v>50</v>
      </c>
      <c r="K130" s="27">
        <v>10</v>
      </c>
      <c r="L130" s="27">
        <v>5</v>
      </c>
      <c r="M130" s="48">
        <v>1.1904761904761905</v>
      </c>
      <c r="N130" s="28">
        <v>0.35</v>
      </c>
      <c r="O130" s="27">
        <v>17</v>
      </c>
      <c r="P130" s="28">
        <v>0.19999999999999998</v>
      </c>
      <c r="Q130" s="70">
        <v>0.35</v>
      </c>
      <c r="R130" s="29">
        <v>8</v>
      </c>
      <c r="S130" s="30">
        <v>400</v>
      </c>
      <c r="T130" s="30">
        <v>400</v>
      </c>
      <c r="U130" s="31">
        <v>5490</v>
      </c>
      <c r="V130" s="222">
        <v>6800</v>
      </c>
      <c r="W130" s="229">
        <v>4</v>
      </c>
      <c r="X130" s="222">
        <v>21960</v>
      </c>
      <c r="Y130" s="222">
        <v>42</v>
      </c>
      <c r="Z130" s="223">
        <v>6800</v>
      </c>
      <c r="AA130" s="209">
        <v>2</v>
      </c>
      <c r="AB130" s="208">
        <v>10980</v>
      </c>
      <c r="AC130" s="208">
        <v>39740</v>
      </c>
      <c r="AD130" s="208">
        <v>7</v>
      </c>
      <c r="AE130" s="208">
        <v>1</v>
      </c>
      <c r="AF130" s="208">
        <v>13760</v>
      </c>
      <c r="AG130" s="138">
        <v>25980</v>
      </c>
    </row>
    <row r="131" spans="1:33" x14ac:dyDescent="0.3">
      <c r="A131" t="s">
        <v>7</v>
      </c>
      <c r="B131" t="s">
        <v>183</v>
      </c>
      <c r="C131" t="s">
        <v>131</v>
      </c>
      <c r="D131" t="str">
        <f t="shared" si="8"/>
        <v>БизнесСтандартный вариантПромоутеры9</v>
      </c>
      <c r="E131" s="18">
        <v>250</v>
      </c>
      <c r="F131" s="24">
        <v>10</v>
      </c>
      <c r="G131" s="24">
        <v>25</v>
      </c>
      <c r="H131" s="24">
        <v>5</v>
      </c>
      <c r="I131" s="26">
        <v>0.2</v>
      </c>
      <c r="J131" s="27">
        <v>50</v>
      </c>
      <c r="K131" s="27">
        <v>10</v>
      </c>
      <c r="L131" s="27">
        <v>5</v>
      </c>
      <c r="M131" s="48">
        <v>1.1904761904761905</v>
      </c>
      <c r="N131" s="28">
        <v>0.24999999999999997</v>
      </c>
      <c r="O131" s="27">
        <v>12</v>
      </c>
      <c r="P131" s="28">
        <v>9.9999999999999978E-2</v>
      </c>
      <c r="Q131" s="70">
        <v>0.2</v>
      </c>
      <c r="R131" s="29">
        <v>9</v>
      </c>
      <c r="S131" s="30">
        <v>400</v>
      </c>
      <c r="T131" s="30">
        <v>400</v>
      </c>
      <c r="U131" s="31">
        <v>5490</v>
      </c>
      <c r="V131" s="222">
        <v>4800</v>
      </c>
      <c r="W131" s="229">
        <v>2</v>
      </c>
      <c r="X131" s="222">
        <v>10980</v>
      </c>
      <c r="Y131" s="222">
        <v>43</v>
      </c>
      <c r="Z131" s="223">
        <v>4800</v>
      </c>
      <c r="AA131" s="209">
        <v>1</v>
      </c>
      <c r="AB131" s="208">
        <v>5490</v>
      </c>
      <c r="AC131" s="208">
        <v>21270</v>
      </c>
      <c r="AD131" s="208">
        <v>7</v>
      </c>
      <c r="AE131" s="208">
        <v>1</v>
      </c>
      <c r="AF131" s="208">
        <v>13760</v>
      </c>
      <c r="AG131" s="138">
        <v>7510</v>
      </c>
    </row>
    <row r="132" spans="1:33" ht="16.2" thickBot="1" x14ac:dyDescent="0.35">
      <c r="E132" s="19"/>
      <c r="F132" s="40"/>
      <c r="G132" s="40"/>
      <c r="H132" s="40"/>
      <c r="I132" s="42"/>
      <c r="J132" s="43"/>
      <c r="K132" s="43"/>
      <c r="L132" s="43"/>
      <c r="M132" s="53"/>
      <c r="N132" s="44"/>
      <c r="O132" s="43"/>
      <c r="P132" s="44"/>
      <c r="Q132" s="72"/>
      <c r="R132" s="45"/>
      <c r="S132" s="46"/>
      <c r="T132" s="46"/>
      <c r="U132" s="47"/>
      <c r="V132" s="234"/>
      <c r="W132" s="235"/>
      <c r="X132" s="234"/>
      <c r="Y132" s="234"/>
      <c r="Z132" s="236"/>
      <c r="AA132" s="213"/>
      <c r="AB132" s="214"/>
      <c r="AC132" s="214"/>
      <c r="AD132" s="214"/>
      <c r="AE132" s="214"/>
      <c r="AF132" s="214" t="s">
        <v>64</v>
      </c>
      <c r="AG132" s="139">
        <v>325590</v>
      </c>
    </row>
    <row r="133" spans="1:33" ht="16.2" thickBot="1" x14ac:dyDescent="0.35">
      <c r="E133" s="18"/>
      <c r="F133" s="40"/>
      <c r="G133" s="40"/>
      <c r="H133" s="40"/>
      <c r="I133" s="26"/>
      <c r="J133" s="27"/>
      <c r="K133" s="27"/>
      <c r="L133" s="27"/>
      <c r="M133" s="48"/>
      <c r="N133" s="28"/>
      <c r="O133" s="27"/>
      <c r="P133" s="28"/>
      <c r="Q133" s="28"/>
      <c r="R133" s="45"/>
      <c r="S133" s="46"/>
      <c r="T133" s="46"/>
      <c r="U133" s="47"/>
      <c r="V133" s="234"/>
      <c r="W133" s="235"/>
      <c r="X133" s="234"/>
      <c r="Y133" s="234"/>
      <c r="Z133" s="236"/>
      <c r="AA133" s="210"/>
      <c r="AB133" s="208"/>
      <c r="AC133" s="208"/>
      <c r="AD133" s="208"/>
      <c r="AE133" s="208"/>
      <c r="AF133" s="208"/>
      <c r="AG133" s="138"/>
    </row>
    <row r="134" spans="1:33" ht="48.75" customHeight="1" thickBot="1" x14ac:dyDescent="0.35">
      <c r="A134" t="s">
        <v>7</v>
      </c>
      <c r="E134" s="194" t="s">
        <v>91</v>
      </c>
      <c r="F134" s="195" t="s">
        <v>92</v>
      </c>
      <c r="G134" s="196" t="s">
        <v>93</v>
      </c>
      <c r="H134" s="197" t="s">
        <v>134</v>
      </c>
      <c r="I134" s="198" t="s">
        <v>94</v>
      </c>
      <c r="J134" s="199" t="s">
        <v>95</v>
      </c>
      <c r="K134" s="200" t="s">
        <v>96</v>
      </c>
      <c r="L134" s="200" t="s">
        <v>97</v>
      </c>
      <c r="M134" s="200" t="s">
        <v>98</v>
      </c>
      <c r="N134" s="200" t="s">
        <v>99</v>
      </c>
      <c r="O134" s="199" t="s">
        <v>100</v>
      </c>
      <c r="P134" s="200" t="s">
        <v>101</v>
      </c>
      <c r="Q134" s="200" t="s">
        <v>102</v>
      </c>
      <c r="R134" s="195" t="s">
        <v>103</v>
      </c>
      <c r="S134" s="196" t="s">
        <v>104</v>
      </c>
      <c r="T134" s="196" t="s">
        <v>105</v>
      </c>
      <c r="U134" s="197" t="s">
        <v>90</v>
      </c>
      <c r="V134" s="196" t="s">
        <v>106</v>
      </c>
      <c r="W134" s="202" t="s">
        <v>107</v>
      </c>
      <c r="X134" s="196" t="s">
        <v>108</v>
      </c>
      <c r="Y134" s="202" t="s">
        <v>109</v>
      </c>
      <c r="Z134" s="203" t="s">
        <v>110</v>
      </c>
      <c r="AA134" s="200" t="s">
        <v>111</v>
      </c>
      <c r="AB134" s="200" t="s">
        <v>112</v>
      </c>
      <c r="AC134" s="200" t="s">
        <v>113</v>
      </c>
      <c r="AD134" s="200" t="s">
        <v>135</v>
      </c>
      <c r="AE134" s="200" t="s">
        <v>136</v>
      </c>
      <c r="AF134" s="200" t="s">
        <v>115</v>
      </c>
      <c r="AG134" s="201" t="s">
        <v>116</v>
      </c>
    </row>
    <row r="135" spans="1:33" x14ac:dyDescent="0.3">
      <c r="A135" t="s">
        <v>7</v>
      </c>
      <c r="B135" t="s">
        <v>184</v>
      </c>
      <c r="C135" t="s">
        <v>131</v>
      </c>
      <c r="D135" t="str">
        <f t="shared" ref="D135:D143" si="9">A135&amp;B135&amp;C135&amp;R135</f>
        <v>БизнесПессиместичный вариантПромоутеры1</v>
      </c>
      <c r="E135" s="17">
        <v>250</v>
      </c>
      <c r="F135" s="24">
        <v>10</v>
      </c>
      <c r="G135" s="24">
        <v>25</v>
      </c>
      <c r="H135" s="24">
        <v>5</v>
      </c>
      <c r="I135" s="49">
        <v>0.18</v>
      </c>
      <c r="J135" s="50">
        <v>45</v>
      </c>
      <c r="K135" s="50">
        <v>10</v>
      </c>
      <c r="L135" s="50">
        <v>4.5</v>
      </c>
      <c r="M135" s="51">
        <v>1.0714285714285714</v>
      </c>
      <c r="N135" s="52">
        <v>0.43</v>
      </c>
      <c r="O135" s="50">
        <v>19</v>
      </c>
      <c r="P135" s="52">
        <v>0.28000000000000003</v>
      </c>
      <c r="Q135" s="69">
        <v>0.5</v>
      </c>
      <c r="R135" s="77">
        <v>1</v>
      </c>
      <c r="S135" s="78">
        <v>425</v>
      </c>
      <c r="T135" s="78">
        <v>400</v>
      </c>
      <c r="U135" s="79">
        <v>5490</v>
      </c>
      <c r="V135" s="218">
        <v>7600</v>
      </c>
      <c r="W135" s="218">
        <v>6</v>
      </c>
      <c r="X135" s="218">
        <v>32940</v>
      </c>
      <c r="Y135" s="218">
        <v>6</v>
      </c>
      <c r="Z135" s="219">
        <v>8075</v>
      </c>
      <c r="AA135" s="204">
        <v>0</v>
      </c>
      <c r="AB135" s="205">
        <v>0</v>
      </c>
      <c r="AC135" s="205">
        <v>40540</v>
      </c>
      <c r="AD135" s="205">
        <v>1</v>
      </c>
      <c r="AE135" s="205">
        <v>2</v>
      </c>
      <c r="AF135" s="205">
        <v>5160</v>
      </c>
      <c r="AG135" s="206">
        <v>27305</v>
      </c>
    </row>
    <row r="136" spans="1:33" x14ac:dyDescent="0.3">
      <c r="A136" t="s">
        <v>7</v>
      </c>
      <c r="B136" t="s">
        <v>184</v>
      </c>
      <c r="C136" t="s">
        <v>131</v>
      </c>
      <c r="D136" t="str">
        <f t="shared" si="9"/>
        <v>БизнесПессиместичный вариантПромоутеры2</v>
      </c>
      <c r="E136" s="18">
        <v>250</v>
      </c>
      <c r="F136" s="24">
        <v>10</v>
      </c>
      <c r="G136" s="24">
        <v>25</v>
      </c>
      <c r="H136" s="24">
        <v>5</v>
      </c>
      <c r="I136" s="26">
        <v>0.18</v>
      </c>
      <c r="J136" s="27">
        <v>45</v>
      </c>
      <c r="K136" s="27">
        <v>10</v>
      </c>
      <c r="L136" s="27">
        <v>4.5</v>
      </c>
      <c r="M136" s="48">
        <v>1.0714285714285714</v>
      </c>
      <c r="N136" s="28">
        <v>0.43</v>
      </c>
      <c r="O136" s="27">
        <v>19</v>
      </c>
      <c r="P136" s="28">
        <v>0.28000000000000003</v>
      </c>
      <c r="Q136" s="70">
        <v>0.5</v>
      </c>
      <c r="R136" s="29">
        <v>2</v>
      </c>
      <c r="S136" s="30">
        <v>425</v>
      </c>
      <c r="T136" s="30">
        <v>400</v>
      </c>
      <c r="U136" s="31">
        <v>5490</v>
      </c>
      <c r="V136" s="222">
        <v>7600</v>
      </c>
      <c r="W136" s="222">
        <v>6</v>
      </c>
      <c r="X136" s="222">
        <v>32940</v>
      </c>
      <c r="Y136" s="222">
        <v>12</v>
      </c>
      <c r="Z136" s="223">
        <v>8075</v>
      </c>
      <c r="AA136" s="207">
        <v>0</v>
      </c>
      <c r="AB136" s="208">
        <v>0</v>
      </c>
      <c r="AC136" s="208">
        <v>40540</v>
      </c>
      <c r="AD136" s="208">
        <v>2</v>
      </c>
      <c r="AE136" s="208">
        <v>2</v>
      </c>
      <c r="AF136" s="208">
        <v>6880</v>
      </c>
      <c r="AG136" s="138">
        <v>33660</v>
      </c>
    </row>
    <row r="137" spans="1:33" x14ac:dyDescent="0.3">
      <c r="A137" t="s">
        <v>7</v>
      </c>
      <c r="B137" t="s">
        <v>184</v>
      </c>
      <c r="C137" t="s">
        <v>131</v>
      </c>
      <c r="D137" t="str">
        <f t="shared" si="9"/>
        <v>БизнесПессиместичный вариантПромоутеры3</v>
      </c>
      <c r="E137" s="18">
        <v>250</v>
      </c>
      <c r="F137" s="24">
        <v>10</v>
      </c>
      <c r="G137" s="24">
        <v>25</v>
      </c>
      <c r="H137" s="24">
        <v>5</v>
      </c>
      <c r="I137" s="26">
        <v>0.18</v>
      </c>
      <c r="J137" s="27">
        <v>45</v>
      </c>
      <c r="K137" s="27">
        <v>10</v>
      </c>
      <c r="L137" s="27">
        <v>4.5</v>
      </c>
      <c r="M137" s="48">
        <v>1.0714285714285714</v>
      </c>
      <c r="N137" s="28">
        <v>0.43</v>
      </c>
      <c r="O137" s="27">
        <v>19</v>
      </c>
      <c r="P137" s="28">
        <v>0.28000000000000003</v>
      </c>
      <c r="Q137" s="70">
        <v>0.5</v>
      </c>
      <c r="R137" s="29">
        <v>3</v>
      </c>
      <c r="S137" s="30">
        <v>425</v>
      </c>
      <c r="T137" s="30">
        <v>400</v>
      </c>
      <c r="U137" s="31">
        <v>5490</v>
      </c>
      <c r="V137" s="222">
        <v>7600</v>
      </c>
      <c r="W137" s="222">
        <v>6</v>
      </c>
      <c r="X137" s="222">
        <v>32940</v>
      </c>
      <c r="Y137" s="222">
        <v>18</v>
      </c>
      <c r="Z137" s="223">
        <v>8075</v>
      </c>
      <c r="AA137" s="207">
        <v>0</v>
      </c>
      <c r="AB137" s="208">
        <v>0</v>
      </c>
      <c r="AC137" s="208">
        <v>40540</v>
      </c>
      <c r="AD137" s="208">
        <v>3</v>
      </c>
      <c r="AE137" s="208">
        <v>2</v>
      </c>
      <c r="AF137" s="208">
        <v>8600</v>
      </c>
      <c r="AG137" s="138">
        <v>31940</v>
      </c>
    </row>
    <row r="138" spans="1:33" x14ac:dyDescent="0.3">
      <c r="A138" t="s">
        <v>7</v>
      </c>
      <c r="B138" t="s">
        <v>184</v>
      </c>
      <c r="C138" t="s">
        <v>131</v>
      </c>
      <c r="D138" t="str">
        <f t="shared" si="9"/>
        <v>БизнесПессиместичный вариантПромоутеры4</v>
      </c>
      <c r="E138" s="18">
        <v>250</v>
      </c>
      <c r="F138" s="24">
        <v>10</v>
      </c>
      <c r="G138" s="24">
        <v>25</v>
      </c>
      <c r="H138" s="24">
        <v>5</v>
      </c>
      <c r="I138" s="26">
        <v>0.18</v>
      </c>
      <c r="J138" s="27">
        <v>45</v>
      </c>
      <c r="K138" s="27">
        <v>10</v>
      </c>
      <c r="L138" s="27">
        <v>4.5</v>
      </c>
      <c r="M138" s="48">
        <v>1.0714285714285714</v>
      </c>
      <c r="N138" s="28">
        <v>0.43</v>
      </c>
      <c r="O138" s="27">
        <v>19</v>
      </c>
      <c r="P138" s="28">
        <v>0.28000000000000003</v>
      </c>
      <c r="Q138" s="70">
        <v>0.5</v>
      </c>
      <c r="R138" s="29">
        <v>4</v>
      </c>
      <c r="S138" s="30">
        <v>425</v>
      </c>
      <c r="T138" s="30">
        <v>400</v>
      </c>
      <c r="U138" s="31">
        <v>5490</v>
      </c>
      <c r="V138" s="222">
        <v>7600</v>
      </c>
      <c r="W138" s="222">
        <v>6</v>
      </c>
      <c r="X138" s="222">
        <v>32940</v>
      </c>
      <c r="Y138" s="222">
        <v>24</v>
      </c>
      <c r="Z138" s="223">
        <v>8075</v>
      </c>
      <c r="AA138" s="207">
        <v>0</v>
      </c>
      <c r="AB138" s="208">
        <v>0</v>
      </c>
      <c r="AC138" s="208">
        <v>40540</v>
      </c>
      <c r="AD138" s="208">
        <v>4</v>
      </c>
      <c r="AE138" s="208">
        <v>2</v>
      </c>
      <c r="AF138" s="208">
        <v>10320</v>
      </c>
      <c r="AG138" s="138">
        <v>30220</v>
      </c>
    </row>
    <row r="139" spans="1:33" x14ac:dyDescent="0.3">
      <c r="A139" t="s">
        <v>7</v>
      </c>
      <c r="B139" t="s">
        <v>184</v>
      </c>
      <c r="C139" t="s">
        <v>131</v>
      </c>
      <c r="D139" t="str">
        <f t="shared" si="9"/>
        <v>БизнесПессиместичный вариантПромоутеры5</v>
      </c>
      <c r="E139" s="18">
        <v>250</v>
      </c>
      <c r="F139" s="32">
        <v>10</v>
      </c>
      <c r="G139" s="32">
        <v>25</v>
      </c>
      <c r="H139" s="32">
        <v>5</v>
      </c>
      <c r="I139" s="73">
        <v>0.18</v>
      </c>
      <c r="J139" s="34">
        <v>45</v>
      </c>
      <c r="K139" s="34">
        <v>10</v>
      </c>
      <c r="L139" s="34">
        <v>4.5</v>
      </c>
      <c r="M139" s="74">
        <v>1.0714285714285714</v>
      </c>
      <c r="N139" s="75">
        <v>0.43</v>
      </c>
      <c r="O139" s="80">
        <v>19</v>
      </c>
      <c r="P139" s="75">
        <v>0.28000000000000003</v>
      </c>
      <c r="Q139" s="71">
        <v>0.5</v>
      </c>
      <c r="R139" s="35">
        <v>5</v>
      </c>
      <c r="S139" s="76">
        <v>425</v>
      </c>
      <c r="T139" s="36">
        <v>400</v>
      </c>
      <c r="U139" s="37">
        <v>5490</v>
      </c>
      <c r="V139" s="227">
        <v>7600</v>
      </c>
      <c r="W139" s="227">
        <v>6</v>
      </c>
      <c r="X139" s="227">
        <v>32940</v>
      </c>
      <c r="Y139" s="227">
        <v>27</v>
      </c>
      <c r="Z139" s="228">
        <v>8075</v>
      </c>
      <c r="AA139" s="209">
        <v>3</v>
      </c>
      <c r="AB139" s="210">
        <v>16470</v>
      </c>
      <c r="AC139" s="211">
        <v>57010</v>
      </c>
      <c r="AD139" s="211">
        <v>5</v>
      </c>
      <c r="AE139" s="211">
        <v>2</v>
      </c>
      <c r="AF139" s="211">
        <v>12040</v>
      </c>
      <c r="AG139" s="212">
        <v>44970</v>
      </c>
    </row>
    <row r="140" spans="1:33" x14ac:dyDescent="0.3">
      <c r="A140" t="s">
        <v>7</v>
      </c>
      <c r="B140" t="s">
        <v>184</v>
      </c>
      <c r="C140" t="s">
        <v>131</v>
      </c>
      <c r="D140" t="str">
        <f t="shared" si="9"/>
        <v>БизнесПессиместичный вариантПромоутеры6</v>
      </c>
      <c r="E140" s="18">
        <v>250</v>
      </c>
      <c r="F140" s="24">
        <v>10</v>
      </c>
      <c r="G140" s="24">
        <v>25</v>
      </c>
      <c r="H140" s="24">
        <v>5</v>
      </c>
      <c r="I140" s="26">
        <v>0.18</v>
      </c>
      <c r="J140" s="27">
        <v>45</v>
      </c>
      <c r="K140" s="27">
        <v>10</v>
      </c>
      <c r="L140" s="27">
        <v>4.5</v>
      </c>
      <c r="M140" s="48">
        <v>1.0714285714285714</v>
      </c>
      <c r="N140" s="28">
        <v>0.43</v>
      </c>
      <c r="O140" s="27">
        <v>19</v>
      </c>
      <c r="P140" s="28">
        <v>0.28000000000000003</v>
      </c>
      <c r="Q140" s="70">
        <v>0.5</v>
      </c>
      <c r="R140" s="29">
        <v>6</v>
      </c>
      <c r="S140" s="30">
        <v>425</v>
      </c>
      <c r="T140" s="30">
        <v>400</v>
      </c>
      <c r="U140" s="31">
        <v>5490</v>
      </c>
      <c r="V140" s="222">
        <v>7600</v>
      </c>
      <c r="W140" s="229">
        <v>6</v>
      </c>
      <c r="X140" s="222">
        <v>32940</v>
      </c>
      <c r="Y140" s="222">
        <v>30</v>
      </c>
      <c r="Z140" s="223">
        <v>8075</v>
      </c>
      <c r="AA140" s="209">
        <v>3</v>
      </c>
      <c r="AB140" s="208">
        <v>16470</v>
      </c>
      <c r="AC140" s="208">
        <v>57010</v>
      </c>
      <c r="AD140" s="208">
        <v>5</v>
      </c>
      <c r="AE140" s="208">
        <v>2</v>
      </c>
      <c r="AF140" s="208">
        <v>12040</v>
      </c>
      <c r="AG140" s="138">
        <v>44970</v>
      </c>
    </row>
    <row r="141" spans="1:33" x14ac:dyDescent="0.3">
      <c r="A141" t="s">
        <v>7</v>
      </c>
      <c r="B141" t="s">
        <v>184</v>
      </c>
      <c r="C141" t="s">
        <v>131</v>
      </c>
      <c r="D141" t="str">
        <f t="shared" si="9"/>
        <v>БизнесПессиместичный вариантПромоутеры7</v>
      </c>
      <c r="E141" s="18">
        <v>250</v>
      </c>
      <c r="F141" s="24">
        <v>10</v>
      </c>
      <c r="G141" s="24">
        <v>25</v>
      </c>
      <c r="H141" s="24">
        <v>5</v>
      </c>
      <c r="I141" s="26">
        <v>0.18</v>
      </c>
      <c r="J141" s="27">
        <v>45</v>
      </c>
      <c r="K141" s="27">
        <v>10</v>
      </c>
      <c r="L141" s="27">
        <v>4.5</v>
      </c>
      <c r="M141" s="48">
        <v>1.0714285714285714</v>
      </c>
      <c r="N141" s="28">
        <v>0.43</v>
      </c>
      <c r="O141" s="27">
        <v>19</v>
      </c>
      <c r="P141" s="28">
        <v>0.28000000000000003</v>
      </c>
      <c r="Q141" s="70">
        <v>0.5</v>
      </c>
      <c r="R141" s="29">
        <v>7</v>
      </c>
      <c r="S141" s="30">
        <v>425</v>
      </c>
      <c r="T141" s="30">
        <v>400</v>
      </c>
      <c r="U141" s="31">
        <v>5490</v>
      </c>
      <c r="V141" s="222">
        <v>7600</v>
      </c>
      <c r="W141" s="229">
        <v>6</v>
      </c>
      <c r="X141" s="222">
        <v>32940</v>
      </c>
      <c r="Y141" s="222">
        <v>33</v>
      </c>
      <c r="Z141" s="223">
        <v>8075</v>
      </c>
      <c r="AA141" s="209">
        <v>3</v>
      </c>
      <c r="AB141" s="208">
        <v>16470</v>
      </c>
      <c r="AC141" s="208">
        <v>57010</v>
      </c>
      <c r="AD141" s="208">
        <v>5</v>
      </c>
      <c r="AE141" s="208">
        <v>2</v>
      </c>
      <c r="AF141" s="208">
        <v>12040</v>
      </c>
      <c r="AG141" s="138">
        <v>44970</v>
      </c>
    </row>
    <row r="142" spans="1:33" x14ac:dyDescent="0.3">
      <c r="A142" t="s">
        <v>7</v>
      </c>
      <c r="B142" t="s">
        <v>184</v>
      </c>
      <c r="C142" t="s">
        <v>131</v>
      </c>
      <c r="D142" t="str">
        <f t="shared" si="9"/>
        <v>БизнесПессиместичный вариантПромоутеры8</v>
      </c>
      <c r="E142" s="18">
        <v>250</v>
      </c>
      <c r="F142" s="24">
        <v>10</v>
      </c>
      <c r="G142" s="24">
        <v>25</v>
      </c>
      <c r="H142" s="24">
        <v>5</v>
      </c>
      <c r="I142" s="26">
        <v>0.18</v>
      </c>
      <c r="J142" s="27">
        <v>45</v>
      </c>
      <c r="K142" s="27">
        <v>10</v>
      </c>
      <c r="L142" s="27">
        <v>4.5</v>
      </c>
      <c r="M142" s="48">
        <v>1.0714285714285714</v>
      </c>
      <c r="N142" s="28">
        <v>0.32999999999999996</v>
      </c>
      <c r="O142" s="27">
        <v>14</v>
      </c>
      <c r="P142" s="28">
        <v>0.18000000000000002</v>
      </c>
      <c r="Q142" s="70">
        <v>0.35</v>
      </c>
      <c r="R142" s="29">
        <v>8</v>
      </c>
      <c r="S142" s="30">
        <v>450</v>
      </c>
      <c r="T142" s="30">
        <v>400</v>
      </c>
      <c r="U142" s="31">
        <v>5490</v>
      </c>
      <c r="V142" s="222">
        <v>5600</v>
      </c>
      <c r="W142" s="229">
        <v>3</v>
      </c>
      <c r="X142" s="222">
        <v>16470</v>
      </c>
      <c r="Y142" s="222">
        <v>34</v>
      </c>
      <c r="Z142" s="223">
        <v>6300</v>
      </c>
      <c r="AA142" s="209">
        <v>2</v>
      </c>
      <c r="AB142" s="208">
        <v>10980</v>
      </c>
      <c r="AC142" s="208">
        <v>33050</v>
      </c>
      <c r="AD142" s="208">
        <v>6</v>
      </c>
      <c r="AE142" s="208">
        <v>1</v>
      </c>
      <c r="AF142" s="208">
        <v>12040</v>
      </c>
      <c r="AG142" s="138">
        <v>21010</v>
      </c>
    </row>
    <row r="143" spans="1:33" x14ac:dyDescent="0.3">
      <c r="A143" t="s">
        <v>7</v>
      </c>
      <c r="B143" t="s">
        <v>184</v>
      </c>
      <c r="C143" t="s">
        <v>131</v>
      </c>
      <c r="D143" t="str">
        <f t="shared" si="9"/>
        <v>БизнесПессиместичный вариантПромоутеры9</v>
      </c>
      <c r="E143" s="18">
        <v>250</v>
      </c>
      <c r="F143" s="24">
        <v>10</v>
      </c>
      <c r="G143" s="24">
        <v>25</v>
      </c>
      <c r="H143" s="24">
        <v>5</v>
      </c>
      <c r="I143" s="26">
        <v>0.18</v>
      </c>
      <c r="J143" s="27">
        <v>45</v>
      </c>
      <c r="K143" s="27">
        <v>10</v>
      </c>
      <c r="L143" s="27">
        <v>4.5</v>
      </c>
      <c r="M143" s="48">
        <v>1.0714285714285714</v>
      </c>
      <c r="N143" s="28">
        <v>0.22999999999999995</v>
      </c>
      <c r="O143" s="27">
        <v>10</v>
      </c>
      <c r="P143" s="28">
        <v>8.0000000000000016E-2</v>
      </c>
      <c r="Q143" s="70">
        <v>0.2</v>
      </c>
      <c r="R143" s="29">
        <v>9</v>
      </c>
      <c r="S143" s="30">
        <v>450</v>
      </c>
      <c r="T143" s="30">
        <v>400</v>
      </c>
      <c r="U143" s="31">
        <v>5490</v>
      </c>
      <c r="V143" s="222">
        <v>4000</v>
      </c>
      <c r="W143" s="229">
        <v>1</v>
      </c>
      <c r="X143" s="222">
        <v>5490</v>
      </c>
      <c r="Y143" s="222">
        <v>34</v>
      </c>
      <c r="Z143" s="223">
        <v>4500</v>
      </c>
      <c r="AA143" s="209">
        <v>1</v>
      </c>
      <c r="AB143" s="208">
        <v>5490</v>
      </c>
      <c r="AC143" s="208">
        <v>14980</v>
      </c>
      <c r="AD143" s="208">
        <v>6</v>
      </c>
      <c r="AE143" s="208">
        <v>1</v>
      </c>
      <c r="AF143" s="208">
        <v>12040</v>
      </c>
      <c r="AG143" s="138">
        <v>2940</v>
      </c>
    </row>
    <row r="144" spans="1:33" ht="16.2" thickBot="1" x14ac:dyDescent="0.35">
      <c r="E144" s="19"/>
      <c r="F144" s="40"/>
      <c r="G144" s="40"/>
      <c r="H144" s="40"/>
      <c r="I144" s="42"/>
      <c r="J144" s="43"/>
      <c r="K144" s="43"/>
      <c r="L144" s="43"/>
      <c r="M144" s="53"/>
      <c r="N144" s="44"/>
      <c r="O144" s="43"/>
      <c r="P144" s="44"/>
      <c r="Q144" s="72"/>
      <c r="R144" s="45"/>
      <c r="S144" s="46"/>
      <c r="T144" s="46"/>
      <c r="U144" s="47"/>
      <c r="V144" s="234"/>
      <c r="W144" s="235"/>
      <c r="X144" s="234"/>
      <c r="Y144" s="234"/>
      <c r="Z144" s="236"/>
      <c r="AA144" s="213"/>
      <c r="AB144" s="214"/>
      <c r="AC144" s="214"/>
      <c r="AD144" s="214"/>
      <c r="AE144" s="214"/>
      <c r="AF144" s="214" t="s">
        <v>64</v>
      </c>
      <c r="AG144" s="139">
        <v>281985</v>
      </c>
    </row>
    <row r="145" spans="1:33" ht="16.2" thickBot="1" x14ac:dyDescent="0.35">
      <c r="V145" s="114"/>
      <c r="W145" s="114"/>
      <c r="X145" s="114"/>
      <c r="Y145" s="114"/>
      <c r="Z145" s="114"/>
      <c r="AA145" s="114"/>
      <c r="AB145" s="114"/>
      <c r="AC145" s="114"/>
      <c r="AD145" s="114"/>
      <c r="AE145" s="114"/>
      <c r="AF145" s="215"/>
      <c r="AG145" s="127"/>
    </row>
    <row r="146" spans="1:33" ht="24" thickBot="1" x14ac:dyDescent="0.5">
      <c r="E146" s="193" t="s">
        <v>132</v>
      </c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4"/>
      <c r="AF146" s="114"/>
      <c r="AG146" s="114"/>
    </row>
    <row r="147" spans="1:33" ht="55.5" customHeight="1" thickBot="1" x14ac:dyDescent="0.35">
      <c r="A147" t="s">
        <v>7</v>
      </c>
      <c r="E147" s="194" t="s">
        <v>138</v>
      </c>
      <c r="F147" s="195" t="s">
        <v>92</v>
      </c>
      <c r="G147" s="196" t="s">
        <v>93</v>
      </c>
      <c r="H147" s="197" t="s">
        <v>134</v>
      </c>
      <c r="I147" s="198" t="s">
        <v>94</v>
      </c>
      <c r="J147" s="199" t="s">
        <v>95</v>
      </c>
      <c r="K147" s="200" t="s">
        <v>96</v>
      </c>
      <c r="L147" s="200" t="s">
        <v>97</v>
      </c>
      <c r="M147" s="200" t="s">
        <v>98</v>
      </c>
      <c r="N147" s="200" t="s">
        <v>99</v>
      </c>
      <c r="O147" s="199" t="s">
        <v>100</v>
      </c>
      <c r="P147" s="200" t="s">
        <v>101</v>
      </c>
      <c r="Q147" s="200" t="s">
        <v>102</v>
      </c>
      <c r="R147" s="198" t="s">
        <v>103</v>
      </c>
      <c r="S147" s="200" t="s">
        <v>104</v>
      </c>
      <c r="T147" s="200" t="s">
        <v>105</v>
      </c>
      <c r="U147" s="201" t="s">
        <v>90</v>
      </c>
      <c r="V147" s="250" t="s">
        <v>106</v>
      </c>
      <c r="W147" s="251" t="s">
        <v>107</v>
      </c>
      <c r="X147" s="250" t="s">
        <v>108</v>
      </c>
      <c r="Y147" s="251" t="s">
        <v>109</v>
      </c>
      <c r="Z147" s="252" t="s">
        <v>110</v>
      </c>
      <c r="AA147" s="248" t="s">
        <v>111</v>
      </c>
      <c r="AB147" s="248" t="s">
        <v>112</v>
      </c>
      <c r="AC147" s="248" t="s">
        <v>113</v>
      </c>
      <c r="AD147" s="248" t="s">
        <v>114</v>
      </c>
      <c r="AE147" s="248" t="s">
        <v>136</v>
      </c>
      <c r="AF147" s="248" t="s">
        <v>115</v>
      </c>
      <c r="AG147" s="249" t="s">
        <v>116</v>
      </c>
    </row>
    <row r="148" spans="1:33" x14ac:dyDescent="0.3">
      <c r="A148" t="s">
        <v>7</v>
      </c>
      <c r="B148" t="s">
        <v>182</v>
      </c>
      <c r="C148" t="s">
        <v>132</v>
      </c>
      <c r="D148" t="str">
        <f t="shared" ref="D148:D156" si="10">A148&amp;B148&amp;C148&amp;R148</f>
        <v>БизнесОптимистичный вариантФБ/Инстаграмм1</v>
      </c>
      <c r="E148" s="17">
        <v>250</v>
      </c>
      <c r="F148" s="24">
        <v>0</v>
      </c>
      <c r="G148" s="24">
        <v>0</v>
      </c>
      <c r="H148" s="25">
        <v>0</v>
      </c>
      <c r="I148" s="49">
        <v>0</v>
      </c>
      <c r="J148" s="50">
        <v>0</v>
      </c>
      <c r="K148" s="50">
        <v>0</v>
      </c>
      <c r="L148" s="50">
        <v>0</v>
      </c>
      <c r="M148" s="50">
        <v>0</v>
      </c>
      <c r="N148" s="52">
        <v>0.3</v>
      </c>
      <c r="O148" s="50">
        <v>75</v>
      </c>
      <c r="P148" s="52">
        <v>0.35</v>
      </c>
      <c r="Q148" s="69">
        <v>0.5</v>
      </c>
      <c r="R148" s="77">
        <v>1</v>
      </c>
      <c r="S148" s="78">
        <v>600</v>
      </c>
      <c r="T148" s="78">
        <v>400</v>
      </c>
      <c r="U148" s="79">
        <v>5490</v>
      </c>
      <c r="V148" s="222">
        <v>30000</v>
      </c>
      <c r="W148" s="222">
        <v>27</v>
      </c>
      <c r="X148" s="222">
        <v>148230</v>
      </c>
      <c r="Y148" s="222">
        <v>27</v>
      </c>
      <c r="Z148" s="237">
        <v>45000</v>
      </c>
      <c r="AA148" s="204">
        <v>0</v>
      </c>
      <c r="AB148" s="205">
        <v>0</v>
      </c>
      <c r="AC148" s="205">
        <v>178230</v>
      </c>
      <c r="AD148" s="205">
        <v>5</v>
      </c>
      <c r="AE148" s="205">
        <v>8</v>
      </c>
      <c r="AF148" s="205">
        <v>22360</v>
      </c>
      <c r="AG148" s="206">
        <v>110870</v>
      </c>
    </row>
    <row r="149" spans="1:33" x14ac:dyDescent="0.3">
      <c r="A149" t="s">
        <v>7</v>
      </c>
      <c r="B149" t="s">
        <v>182</v>
      </c>
      <c r="C149" t="s">
        <v>132</v>
      </c>
      <c r="D149" t="str">
        <f t="shared" si="10"/>
        <v>БизнесОптимистичный вариантФБ/Инстаграмм2</v>
      </c>
      <c r="E149" s="18">
        <v>250</v>
      </c>
      <c r="F149" s="24">
        <v>0</v>
      </c>
      <c r="G149" s="24">
        <v>0</v>
      </c>
      <c r="H149" s="25">
        <v>0</v>
      </c>
      <c r="I149" s="26">
        <v>0</v>
      </c>
      <c r="J149" s="27">
        <v>0</v>
      </c>
      <c r="K149" s="27">
        <v>0</v>
      </c>
      <c r="L149" s="27">
        <v>0</v>
      </c>
      <c r="M149" s="27">
        <v>0</v>
      </c>
      <c r="N149" s="28">
        <v>0.3</v>
      </c>
      <c r="O149" s="27">
        <v>75</v>
      </c>
      <c r="P149" s="28">
        <v>0.35</v>
      </c>
      <c r="Q149" s="70">
        <v>0.5</v>
      </c>
      <c r="R149" s="29">
        <v>2</v>
      </c>
      <c r="S149" s="30">
        <v>600</v>
      </c>
      <c r="T149" s="30">
        <v>400</v>
      </c>
      <c r="U149" s="31">
        <v>5490</v>
      </c>
      <c r="V149" s="222">
        <v>30000</v>
      </c>
      <c r="W149" s="222">
        <v>27</v>
      </c>
      <c r="X149" s="222">
        <v>148230</v>
      </c>
      <c r="Y149" s="222">
        <v>54</v>
      </c>
      <c r="Z149" s="237">
        <v>45000</v>
      </c>
      <c r="AA149" s="207">
        <v>0</v>
      </c>
      <c r="AB149" s="208">
        <v>0</v>
      </c>
      <c r="AC149" s="208">
        <v>178230</v>
      </c>
      <c r="AD149" s="208">
        <v>9</v>
      </c>
      <c r="AE149" s="208">
        <v>8</v>
      </c>
      <c r="AF149" s="208">
        <v>29240</v>
      </c>
      <c r="AG149" s="138">
        <v>148990</v>
      </c>
    </row>
    <row r="150" spans="1:33" x14ac:dyDescent="0.3">
      <c r="A150" t="s">
        <v>7</v>
      </c>
      <c r="B150" t="s">
        <v>182</v>
      </c>
      <c r="C150" t="s">
        <v>132</v>
      </c>
      <c r="D150" t="str">
        <f t="shared" si="10"/>
        <v>БизнесОптимистичный вариантФБ/Инстаграмм3</v>
      </c>
      <c r="E150" s="18">
        <v>250</v>
      </c>
      <c r="F150" s="24">
        <v>0</v>
      </c>
      <c r="G150" s="24">
        <v>0</v>
      </c>
      <c r="H150" s="25">
        <v>0</v>
      </c>
      <c r="I150" s="26">
        <v>0</v>
      </c>
      <c r="J150" s="27">
        <v>0</v>
      </c>
      <c r="K150" s="27">
        <v>0</v>
      </c>
      <c r="L150" s="27">
        <v>0</v>
      </c>
      <c r="M150" s="27">
        <v>0</v>
      </c>
      <c r="N150" s="28">
        <v>0.3</v>
      </c>
      <c r="O150" s="27">
        <v>75</v>
      </c>
      <c r="P150" s="28">
        <v>0.35</v>
      </c>
      <c r="Q150" s="70">
        <v>0.5</v>
      </c>
      <c r="R150" s="29">
        <v>3</v>
      </c>
      <c r="S150" s="30">
        <v>600</v>
      </c>
      <c r="T150" s="30">
        <v>400</v>
      </c>
      <c r="U150" s="31">
        <v>5490</v>
      </c>
      <c r="V150" s="222">
        <v>30000</v>
      </c>
      <c r="W150" s="222">
        <v>27</v>
      </c>
      <c r="X150" s="222">
        <v>148230</v>
      </c>
      <c r="Y150" s="222">
        <v>81</v>
      </c>
      <c r="Z150" s="237">
        <v>45000</v>
      </c>
      <c r="AA150" s="207">
        <v>0</v>
      </c>
      <c r="AB150" s="208">
        <v>0</v>
      </c>
      <c r="AC150" s="208">
        <v>178230</v>
      </c>
      <c r="AD150" s="208">
        <v>13</v>
      </c>
      <c r="AE150" s="208">
        <v>8</v>
      </c>
      <c r="AF150" s="208">
        <v>36120</v>
      </c>
      <c r="AG150" s="138">
        <v>142110</v>
      </c>
    </row>
    <row r="151" spans="1:33" x14ac:dyDescent="0.3">
      <c r="A151" t="s">
        <v>7</v>
      </c>
      <c r="B151" t="s">
        <v>182</v>
      </c>
      <c r="C151" t="s">
        <v>132</v>
      </c>
      <c r="D151" t="str">
        <f t="shared" si="10"/>
        <v>БизнесОптимистичный вариантФБ/Инстаграмм4</v>
      </c>
      <c r="E151" s="18">
        <v>250</v>
      </c>
      <c r="F151" s="24">
        <v>0</v>
      </c>
      <c r="G151" s="24">
        <v>0</v>
      </c>
      <c r="H151" s="25">
        <v>0</v>
      </c>
      <c r="I151" s="26">
        <v>0</v>
      </c>
      <c r="J151" s="27">
        <v>0</v>
      </c>
      <c r="K151" s="27">
        <v>0</v>
      </c>
      <c r="L151" s="27">
        <v>0</v>
      </c>
      <c r="M151" s="27">
        <v>0</v>
      </c>
      <c r="N151" s="28">
        <v>0.3</v>
      </c>
      <c r="O151" s="27">
        <v>75</v>
      </c>
      <c r="P151" s="28">
        <v>0.35</v>
      </c>
      <c r="Q151" s="70">
        <v>0.5</v>
      </c>
      <c r="R151" s="29">
        <v>4</v>
      </c>
      <c r="S151" s="30">
        <v>600</v>
      </c>
      <c r="T151" s="30">
        <v>400</v>
      </c>
      <c r="U151" s="31">
        <v>5490</v>
      </c>
      <c r="V151" s="222">
        <v>30000</v>
      </c>
      <c r="W151" s="222">
        <v>27</v>
      </c>
      <c r="X151" s="222">
        <v>148230</v>
      </c>
      <c r="Y151" s="222">
        <v>108</v>
      </c>
      <c r="Z151" s="237">
        <v>45000</v>
      </c>
      <c r="AA151" s="207">
        <v>0</v>
      </c>
      <c r="AB151" s="208">
        <v>0</v>
      </c>
      <c r="AC151" s="208">
        <v>178230</v>
      </c>
      <c r="AD151" s="208">
        <v>17</v>
      </c>
      <c r="AE151" s="208">
        <v>8</v>
      </c>
      <c r="AF151" s="208">
        <v>43000</v>
      </c>
      <c r="AG151" s="138">
        <v>135230</v>
      </c>
    </row>
    <row r="152" spans="1:33" x14ac:dyDescent="0.3">
      <c r="A152" t="s">
        <v>7</v>
      </c>
      <c r="B152" t="s">
        <v>182</v>
      </c>
      <c r="C152" t="s">
        <v>132</v>
      </c>
      <c r="D152" t="str">
        <f t="shared" si="10"/>
        <v>БизнесОптимистичный вариантФБ/Инстаграмм5</v>
      </c>
      <c r="E152" s="18">
        <v>250</v>
      </c>
      <c r="F152" s="32">
        <v>0</v>
      </c>
      <c r="G152" s="81">
        <v>0</v>
      </c>
      <c r="H152" s="82">
        <v>0</v>
      </c>
      <c r="I152" s="33">
        <v>0</v>
      </c>
      <c r="J152" s="34">
        <v>0</v>
      </c>
      <c r="K152" s="34">
        <v>0</v>
      </c>
      <c r="L152" s="80">
        <v>0</v>
      </c>
      <c r="M152" s="34">
        <v>0</v>
      </c>
      <c r="N152" s="75">
        <v>0.3</v>
      </c>
      <c r="O152" s="34">
        <v>75</v>
      </c>
      <c r="P152" s="75">
        <v>0.35</v>
      </c>
      <c r="Q152" s="71">
        <v>0.5</v>
      </c>
      <c r="R152" s="35">
        <v>5</v>
      </c>
      <c r="S152" s="76">
        <v>600</v>
      </c>
      <c r="T152" s="36">
        <v>400</v>
      </c>
      <c r="U152" s="37">
        <v>5490</v>
      </c>
      <c r="V152" s="227">
        <v>30000</v>
      </c>
      <c r="W152" s="227">
        <v>27</v>
      </c>
      <c r="X152" s="227">
        <v>148230</v>
      </c>
      <c r="Y152" s="227">
        <v>122</v>
      </c>
      <c r="Z152" s="238">
        <v>45000</v>
      </c>
      <c r="AA152" s="209">
        <v>13</v>
      </c>
      <c r="AB152" s="210">
        <v>71370</v>
      </c>
      <c r="AC152" s="211">
        <v>249600</v>
      </c>
      <c r="AD152" s="211">
        <v>19</v>
      </c>
      <c r="AE152" s="211">
        <v>8</v>
      </c>
      <c r="AF152" s="211">
        <v>46440</v>
      </c>
      <c r="AG152" s="212">
        <v>203160</v>
      </c>
    </row>
    <row r="153" spans="1:33" x14ac:dyDescent="0.3">
      <c r="A153" t="s">
        <v>7</v>
      </c>
      <c r="B153" t="s">
        <v>182</v>
      </c>
      <c r="C153" t="s">
        <v>132</v>
      </c>
      <c r="D153" t="str">
        <f t="shared" si="10"/>
        <v>БизнесОптимистичный вариантФБ/Инстаграмм6</v>
      </c>
      <c r="E153" s="18">
        <v>250</v>
      </c>
      <c r="F153" s="24">
        <v>0</v>
      </c>
      <c r="G153" s="24">
        <v>0</v>
      </c>
      <c r="H153" s="25">
        <v>0</v>
      </c>
      <c r="I153" s="26">
        <v>0</v>
      </c>
      <c r="J153" s="27">
        <v>0</v>
      </c>
      <c r="K153" s="27">
        <v>0</v>
      </c>
      <c r="L153" s="27">
        <v>0</v>
      </c>
      <c r="M153" s="27">
        <v>0</v>
      </c>
      <c r="N153" s="28">
        <v>0.3</v>
      </c>
      <c r="O153" s="27">
        <v>75</v>
      </c>
      <c r="P153" s="28">
        <v>0.35</v>
      </c>
      <c r="Q153" s="70">
        <v>0.5</v>
      </c>
      <c r="R153" s="29">
        <v>6</v>
      </c>
      <c r="S153" s="30">
        <v>600</v>
      </c>
      <c r="T153" s="30">
        <v>400</v>
      </c>
      <c r="U153" s="31">
        <v>5490</v>
      </c>
      <c r="V153" s="222">
        <v>30000</v>
      </c>
      <c r="W153" s="229">
        <v>27</v>
      </c>
      <c r="X153" s="222">
        <v>148230</v>
      </c>
      <c r="Y153" s="222">
        <v>136</v>
      </c>
      <c r="Z153" s="237">
        <v>45000</v>
      </c>
      <c r="AA153" s="209">
        <v>13</v>
      </c>
      <c r="AB153" s="208">
        <v>71370</v>
      </c>
      <c r="AC153" s="208">
        <v>249600</v>
      </c>
      <c r="AD153" s="208">
        <v>21</v>
      </c>
      <c r="AE153" s="208">
        <v>8</v>
      </c>
      <c r="AF153" s="208">
        <v>49880</v>
      </c>
      <c r="AG153" s="138">
        <v>199720</v>
      </c>
    </row>
    <row r="154" spans="1:33" x14ac:dyDescent="0.3">
      <c r="A154" t="s">
        <v>7</v>
      </c>
      <c r="B154" t="s">
        <v>182</v>
      </c>
      <c r="C154" t="s">
        <v>132</v>
      </c>
      <c r="D154" t="str">
        <f t="shared" si="10"/>
        <v>БизнесОптимистичный вариантФБ/Инстаграмм7</v>
      </c>
      <c r="E154" s="18">
        <v>250</v>
      </c>
      <c r="F154" s="24">
        <v>0</v>
      </c>
      <c r="G154" s="24">
        <v>0</v>
      </c>
      <c r="H154" s="25">
        <v>0</v>
      </c>
      <c r="I154" s="26">
        <v>0</v>
      </c>
      <c r="J154" s="27">
        <v>0</v>
      </c>
      <c r="K154" s="27">
        <v>0</v>
      </c>
      <c r="L154" s="27">
        <v>0</v>
      </c>
      <c r="M154" s="27">
        <v>0</v>
      </c>
      <c r="N154" s="28">
        <v>0.3</v>
      </c>
      <c r="O154" s="27">
        <v>75</v>
      </c>
      <c r="P154" s="28">
        <v>0.35</v>
      </c>
      <c r="Q154" s="70">
        <v>0.5</v>
      </c>
      <c r="R154" s="29">
        <v>7</v>
      </c>
      <c r="S154" s="30">
        <v>600</v>
      </c>
      <c r="T154" s="30">
        <v>400</v>
      </c>
      <c r="U154" s="31">
        <v>5490</v>
      </c>
      <c r="V154" s="222">
        <v>30000</v>
      </c>
      <c r="W154" s="229">
        <v>27</v>
      </c>
      <c r="X154" s="222">
        <v>148230</v>
      </c>
      <c r="Y154" s="222">
        <v>150</v>
      </c>
      <c r="Z154" s="237">
        <v>45000</v>
      </c>
      <c r="AA154" s="209">
        <v>13</v>
      </c>
      <c r="AB154" s="208">
        <v>71370</v>
      </c>
      <c r="AC154" s="208">
        <v>249600</v>
      </c>
      <c r="AD154" s="208">
        <v>23</v>
      </c>
      <c r="AE154" s="208">
        <v>8</v>
      </c>
      <c r="AF154" s="208">
        <v>53320</v>
      </c>
      <c r="AG154" s="138">
        <v>196280</v>
      </c>
    </row>
    <row r="155" spans="1:33" x14ac:dyDescent="0.3">
      <c r="A155" t="s">
        <v>7</v>
      </c>
      <c r="B155" t="s">
        <v>182</v>
      </c>
      <c r="C155" t="s">
        <v>132</v>
      </c>
      <c r="D155" t="str">
        <f t="shared" si="10"/>
        <v>БизнесОптимистичный вариантФБ/Инстаграмм8</v>
      </c>
      <c r="E155" s="18">
        <v>250</v>
      </c>
      <c r="F155" s="24">
        <v>0</v>
      </c>
      <c r="G155" s="24">
        <v>0</v>
      </c>
      <c r="H155" s="25">
        <v>0</v>
      </c>
      <c r="I155" s="26">
        <v>0</v>
      </c>
      <c r="J155" s="27">
        <v>0</v>
      </c>
      <c r="K155" s="27">
        <v>0</v>
      </c>
      <c r="L155" s="27">
        <v>0</v>
      </c>
      <c r="M155" s="27">
        <v>0</v>
      </c>
      <c r="N155" s="28">
        <v>0.25</v>
      </c>
      <c r="O155" s="27">
        <v>62.5</v>
      </c>
      <c r="P155" s="28">
        <v>0.3</v>
      </c>
      <c r="Q155" s="70">
        <v>0.35</v>
      </c>
      <c r="R155" s="29">
        <v>8</v>
      </c>
      <c r="S155" s="30">
        <v>600</v>
      </c>
      <c r="T155" s="30">
        <v>400</v>
      </c>
      <c r="U155" s="31">
        <v>5490</v>
      </c>
      <c r="V155" s="222">
        <v>25000</v>
      </c>
      <c r="W155" s="229">
        <v>19</v>
      </c>
      <c r="X155" s="222">
        <v>104310</v>
      </c>
      <c r="Y155" s="222">
        <v>160</v>
      </c>
      <c r="Z155" s="237">
        <v>37500</v>
      </c>
      <c r="AA155" s="209">
        <v>9</v>
      </c>
      <c r="AB155" s="208">
        <v>49410</v>
      </c>
      <c r="AC155" s="208">
        <v>178720</v>
      </c>
      <c r="AD155" s="208">
        <v>25</v>
      </c>
      <c r="AE155" s="208">
        <v>7</v>
      </c>
      <c r="AF155" s="208">
        <v>55040</v>
      </c>
      <c r="AG155" s="138">
        <v>123680</v>
      </c>
    </row>
    <row r="156" spans="1:33" x14ac:dyDescent="0.3">
      <c r="A156" t="s">
        <v>7</v>
      </c>
      <c r="B156" t="s">
        <v>182</v>
      </c>
      <c r="C156" t="s">
        <v>132</v>
      </c>
      <c r="D156" t="str">
        <f t="shared" si="10"/>
        <v>БизнесОптимистичный вариантФБ/Инстаграмм9</v>
      </c>
      <c r="E156" s="18">
        <v>250</v>
      </c>
      <c r="F156" s="24">
        <v>0</v>
      </c>
      <c r="G156" s="24">
        <v>0</v>
      </c>
      <c r="H156" s="25">
        <v>0</v>
      </c>
      <c r="I156" s="26">
        <v>0</v>
      </c>
      <c r="J156" s="27">
        <v>0</v>
      </c>
      <c r="K156" s="27">
        <v>0</v>
      </c>
      <c r="L156" s="27">
        <v>0</v>
      </c>
      <c r="M156" s="27">
        <v>0</v>
      </c>
      <c r="N156" s="28">
        <v>0.2</v>
      </c>
      <c r="O156" s="27">
        <v>50</v>
      </c>
      <c r="P156" s="28">
        <v>0.25</v>
      </c>
      <c r="Q156" s="70">
        <v>0.2</v>
      </c>
      <c r="R156" s="29">
        <v>9</v>
      </c>
      <c r="S156" s="102">
        <v>600</v>
      </c>
      <c r="T156" s="30">
        <v>400</v>
      </c>
      <c r="U156" s="31">
        <v>5490</v>
      </c>
      <c r="V156" s="222">
        <v>20000</v>
      </c>
      <c r="W156" s="229">
        <v>13</v>
      </c>
      <c r="X156" s="222">
        <v>71370</v>
      </c>
      <c r="Y156" s="222">
        <v>168</v>
      </c>
      <c r="Z156" s="237">
        <v>30000</v>
      </c>
      <c r="AA156" s="209">
        <v>5</v>
      </c>
      <c r="AB156" s="208">
        <v>27450</v>
      </c>
      <c r="AC156" s="208">
        <v>118820</v>
      </c>
      <c r="AD156" s="208">
        <v>26</v>
      </c>
      <c r="AE156" s="208">
        <v>5</v>
      </c>
      <c r="AF156" s="208">
        <v>53320</v>
      </c>
      <c r="AG156" s="138">
        <v>65500</v>
      </c>
    </row>
    <row r="157" spans="1:33" ht="16.2" thickBot="1" x14ac:dyDescent="0.35">
      <c r="E157" s="19"/>
      <c r="F157" s="40"/>
      <c r="G157" s="40"/>
      <c r="H157" s="41"/>
      <c r="I157" s="42"/>
      <c r="J157" s="43"/>
      <c r="K157" s="43"/>
      <c r="L157" s="43"/>
      <c r="M157" s="43"/>
      <c r="N157" s="44"/>
      <c r="O157" s="43"/>
      <c r="P157" s="44"/>
      <c r="Q157" s="72"/>
      <c r="R157" s="45"/>
      <c r="S157" s="103"/>
      <c r="T157" s="46"/>
      <c r="U157" s="47"/>
      <c r="V157" s="234"/>
      <c r="W157" s="235"/>
      <c r="X157" s="234"/>
      <c r="Y157" s="234"/>
      <c r="Z157" s="239"/>
      <c r="AA157" s="213"/>
      <c r="AB157" s="214"/>
      <c r="AC157" s="214"/>
      <c r="AD157" s="214"/>
      <c r="AE157" s="214"/>
      <c r="AF157" s="214" t="s">
        <v>64</v>
      </c>
      <c r="AG157" s="139">
        <v>1325540</v>
      </c>
    </row>
    <row r="158" spans="1:33" ht="24" thickBot="1" x14ac:dyDescent="0.5">
      <c r="E158" s="193" t="s">
        <v>132</v>
      </c>
      <c r="V158" s="114"/>
      <c r="W158" s="114"/>
      <c r="X158" s="114"/>
      <c r="Y158" s="114"/>
      <c r="Z158" s="114"/>
      <c r="AA158" s="114"/>
      <c r="AB158" s="114"/>
      <c r="AC158" s="114"/>
      <c r="AD158" s="114"/>
      <c r="AE158" s="114"/>
      <c r="AF158" s="114"/>
      <c r="AG158" s="114"/>
    </row>
    <row r="159" spans="1:33" ht="36.75" customHeight="1" thickBot="1" x14ac:dyDescent="0.35">
      <c r="A159" t="s">
        <v>7</v>
      </c>
      <c r="B159" t="s">
        <v>183</v>
      </c>
      <c r="C159" t="s">
        <v>132</v>
      </c>
      <c r="D159" t="str">
        <f t="shared" ref="D159:D168" si="11">A159&amp;B159&amp;C159&amp;R159</f>
        <v>БизнесСтандартный вариантФБ/Инстаграмммес</v>
      </c>
      <c r="E159" s="194" t="s">
        <v>138</v>
      </c>
      <c r="F159" s="195" t="s">
        <v>92</v>
      </c>
      <c r="G159" s="196" t="s">
        <v>93</v>
      </c>
      <c r="H159" s="197" t="s">
        <v>134</v>
      </c>
      <c r="I159" s="198" t="s">
        <v>94</v>
      </c>
      <c r="J159" s="199" t="s">
        <v>95</v>
      </c>
      <c r="K159" s="200" t="s">
        <v>96</v>
      </c>
      <c r="L159" s="200" t="s">
        <v>97</v>
      </c>
      <c r="M159" s="200" t="s">
        <v>98</v>
      </c>
      <c r="N159" s="200" t="s">
        <v>99</v>
      </c>
      <c r="O159" s="199" t="s">
        <v>100</v>
      </c>
      <c r="P159" s="200" t="s">
        <v>101</v>
      </c>
      <c r="Q159" s="200" t="s">
        <v>102</v>
      </c>
      <c r="R159" s="198" t="s">
        <v>103</v>
      </c>
      <c r="S159" s="200" t="s">
        <v>104</v>
      </c>
      <c r="T159" s="200" t="s">
        <v>105</v>
      </c>
      <c r="U159" s="201" t="s">
        <v>90</v>
      </c>
      <c r="V159" s="250" t="s">
        <v>106</v>
      </c>
      <c r="W159" s="251" t="s">
        <v>107</v>
      </c>
      <c r="X159" s="250" t="s">
        <v>108</v>
      </c>
      <c r="Y159" s="251" t="s">
        <v>109</v>
      </c>
      <c r="Z159" s="252" t="s">
        <v>110</v>
      </c>
      <c r="AA159" s="248" t="s">
        <v>111</v>
      </c>
      <c r="AB159" s="248" t="s">
        <v>112</v>
      </c>
      <c r="AC159" s="248" t="s">
        <v>113</v>
      </c>
      <c r="AD159" s="248" t="s">
        <v>114</v>
      </c>
      <c r="AE159" s="248" t="s">
        <v>136</v>
      </c>
      <c r="AF159" s="248" t="s">
        <v>115</v>
      </c>
      <c r="AG159" s="249" t="s">
        <v>116</v>
      </c>
    </row>
    <row r="160" spans="1:33" x14ac:dyDescent="0.3">
      <c r="A160" t="s">
        <v>7</v>
      </c>
      <c r="B160" t="s">
        <v>183</v>
      </c>
      <c r="C160" t="s">
        <v>132</v>
      </c>
      <c r="D160" t="str">
        <f t="shared" si="11"/>
        <v>БизнесСтандартный вариантФБ/Инстаграмм1</v>
      </c>
      <c r="E160" s="17">
        <v>250</v>
      </c>
      <c r="F160" s="24">
        <v>0</v>
      </c>
      <c r="G160" s="24">
        <v>0</v>
      </c>
      <c r="H160" s="25">
        <v>0</v>
      </c>
      <c r="I160" s="49">
        <v>0</v>
      </c>
      <c r="J160" s="50">
        <v>0</v>
      </c>
      <c r="K160" s="50">
        <v>0</v>
      </c>
      <c r="L160" s="50">
        <v>0</v>
      </c>
      <c r="M160" s="50">
        <v>0</v>
      </c>
      <c r="N160" s="52">
        <v>0.25</v>
      </c>
      <c r="O160" s="50">
        <v>62.5</v>
      </c>
      <c r="P160" s="52">
        <v>0.3</v>
      </c>
      <c r="Q160" s="69">
        <v>0.5</v>
      </c>
      <c r="R160" s="77">
        <v>1</v>
      </c>
      <c r="S160" s="78">
        <v>700</v>
      </c>
      <c r="T160" s="78">
        <v>400</v>
      </c>
      <c r="U160" s="79">
        <v>5490</v>
      </c>
      <c r="V160" s="222">
        <v>25000</v>
      </c>
      <c r="W160" s="222">
        <v>19</v>
      </c>
      <c r="X160" s="222">
        <v>104310</v>
      </c>
      <c r="Y160" s="222">
        <v>19</v>
      </c>
      <c r="Z160" s="237">
        <v>43750</v>
      </c>
      <c r="AA160" s="204">
        <v>0</v>
      </c>
      <c r="AB160" s="205">
        <v>0</v>
      </c>
      <c r="AC160" s="205">
        <v>129310</v>
      </c>
      <c r="AD160" s="205">
        <v>3</v>
      </c>
      <c r="AE160" s="205">
        <v>7</v>
      </c>
      <c r="AF160" s="205">
        <v>17200</v>
      </c>
      <c r="AG160" s="206">
        <v>68360</v>
      </c>
    </row>
    <row r="161" spans="1:33" x14ac:dyDescent="0.3">
      <c r="A161" t="s">
        <v>7</v>
      </c>
      <c r="B161" t="s">
        <v>183</v>
      </c>
      <c r="C161" t="s">
        <v>132</v>
      </c>
      <c r="D161" t="str">
        <f t="shared" si="11"/>
        <v>БизнесСтандартный вариантФБ/Инстаграмм2</v>
      </c>
      <c r="E161" s="18">
        <v>250</v>
      </c>
      <c r="F161" s="24">
        <v>0</v>
      </c>
      <c r="G161" s="24">
        <v>0</v>
      </c>
      <c r="H161" s="25">
        <v>0</v>
      </c>
      <c r="I161" s="26">
        <v>0</v>
      </c>
      <c r="J161" s="27">
        <v>0</v>
      </c>
      <c r="K161" s="27">
        <v>0</v>
      </c>
      <c r="L161" s="27">
        <v>0</v>
      </c>
      <c r="M161" s="27">
        <v>0</v>
      </c>
      <c r="N161" s="28">
        <v>0.25</v>
      </c>
      <c r="O161" s="27">
        <v>62.5</v>
      </c>
      <c r="P161" s="28">
        <v>0.3</v>
      </c>
      <c r="Q161" s="70">
        <v>0.5</v>
      </c>
      <c r="R161" s="29">
        <v>2</v>
      </c>
      <c r="S161" s="30">
        <v>700</v>
      </c>
      <c r="T161" s="30">
        <v>400</v>
      </c>
      <c r="U161" s="31">
        <v>5490</v>
      </c>
      <c r="V161" s="222">
        <v>25000</v>
      </c>
      <c r="W161" s="222">
        <v>19</v>
      </c>
      <c r="X161" s="222">
        <v>104310</v>
      </c>
      <c r="Y161" s="222">
        <v>38</v>
      </c>
      <c r="Z161" s="237">
        <v>43750</v>
      </c>
      <c r="AA161" s="207">
        <v>0</v>
      </c>
      <c r="AB161" s="208">
        <v>0</v>
      </c>
      <c r="AC161" s="208">
        <v>129310</v>
      </c>
      <c r="AD161" s="208">
        <v>6</v>
      </c>
      <c r="AE161" s="208">
        <v>7</v>
      </c>
      <c r="AF161" s="208">
        <v>22360</v>
      </c>
      <c r="AG161" s="138">
        <v>106950</v>
      </c>
    </row>
    <row r="162" spans="1:33" x14ac:dyDescent="0.3">
      <c r="A162" t="s">
        <v>7</v>
      </c>
      <c r="B162" t="s">
        <v>183</v>
      </c>
      <c r="C162" t="s">
        <v>132</v>
      </c>
      <c r="D162" t="str">
        <f t="shared" si="11"/>
        <v>БизнесСтандартный вариантФБ/Инстаграмм3</v>
      </c>
      <c r="E162" s="18">
        <v>250</v>
      </c>
      <c r="F162" s="24">
        <v>0</v>
      </c>
      <c r="G162" s="24">
        <v>0</v>
      </c>
      <c r="H162" s="25">
        <v>0</v>
      </c>
      <c r="I162" s="26">
        <v>0</v>
      </c>
      <c r="J162" s="27">
        <v>0</v>
      </c>
      <c r="K162" s="27">
        <v>0</v>
      </c>
      <c r="L162" s="27">
        <v>0</v>
      </c>
      <c r="M162" s="27">
        <v>0</v>
      </c>
      <c r="N162" s="28">
        <v>0.25</v>
      </c>
      <c r="O162" s="27">
        <v>62.5</v>
      </c>
      <c r="P162" s="28">
        <v>0.3</v>
      </c>
      <c r="Q162" s="70">
        <v>0.5</v>
      </c>
      <c r="R162" s="29">
        <v>3</v>
      </c>
      <c r="S162" s="30">
        <v>700</v>
      </c>
      <c r="T162" s="30">
        <v>400</v>
      </c>
      <c r="U162" s="31">
        <v>5490</v>
      </c>
      <c r="V162" s="222">
        <v>25000</v>
      </c>
      <c r="W162" s="222">
        <v>19</v>
      </c>
      <c r="X162" s="222">
        <v>104310</v>
      </c>
      <c r="Y162" s="222">
        <v>57</v>
      </c>
      <c r="Z162" s="237">
        <v>43750</v>
      </c>
      <c r="AA162" s="207">
        <v>0</v>
      </c>
      <c r="AB162" s="208">
        <v>0</v>
      </c>
      <c r="AC162" s="208">
        <v>129310</v>
      </c>
      <c r="AD162" s="208">
        <v>9</v>
      </c>
      <c r="AE162" s="208">
        <v>7</v>
      </c>
      <c r="AF162" s="208">
        <v>27520</v>
      </c>
      <c r="AG162" s="138">
        <v>101790</v>
      </c>
    </row>
    <row r="163" spans="1:33" x14ac:dyDescent="0.3">
      <c r="A163" t="s">
        <v>7</v>
      </c>
      <c r="B163" t="s">
        <v>183</v>
      </c>
      <c r="C163" t="s">
        <v>132</v>
      </c>
      <c r="D163" t="str">
        <f t="shared" si="11"/>
        <v>БизнесСтандартный вариантФБ/Инстаграмм4</v>
      </c>
      <c r="E163" s="18">
        <v>250</v>
      </c>
      <c r="F163" s="24">
        <v>0</v>
      </c>
      <c r="G163" s="24">
        <v>0</v>
      </c>
      <c r="H163" s="25">
        <v>0</v>
      </c>
      <c r="I163" s="26">
        <v>0</v>
      </c>
      <c r="J163" s="27">
        <v>0</v>
      </c>
      <c r="K163" s="27">
        <v>0</v>
      </c>
      <c r="L163" s="27">
        <v>0</v>
      </c>
      <c r="M163" s="27">
        <v>0</v>
      </c>
      <c r="N163" s="28">
        <v>0.25</v>
      </c>
      <c r="O163" s="27">
        <v>62.5</v>
      </c>
      <c r="P163" s="28">
        <v>0.3</v>
      </c>
      <c r="Q163" s="70">
        <v>0.5</v>
      </c>
      <c r="R163" s="29">
        <v>4</v>
      </c>
      <c r="S163" s="30">
        <v>700</v>
      </c>
      <c r="T163" s="30">
        <v>400</v>
      </c>
      <c r="U163" s="31">
        <v>5490</v>
      </c>
      <c r="V163" s="222">
        <v>25000</v>
      </c>
      <c r="W163" s="222">
        <v>19</v>
      </c>
      <c r="X163" s="222">
        <v>104310</v>
      </c>
      <c r="Y163" s="222">
        <v>76</v>
      </c>
      <c r="Z163" s="237">
        <v>43750</v>
      </c>
      <c r="AA163" s="207">
        <v>0</v>
      </c>
      <c r="AB163" s="208">
        <v>0</v>
      </c>
      <c r="AC163" s="208">
        <v>129310</v>
      </c>
      <c r="AD163" s="208">
        <v>12</v>
      </c>
      <c r="AE163" s="208">
        <v>7</v>
      </c>
      <c r="AF163" s="208">
        <v>32680</v>
      </c>
      <c r="AG163" s="138">
        <v>96630</v>
      </c>
    </row>
    <row r="164" spans="1:33" x14ac:dyDescent="0.3">
      <c r="A164" t="s">
        <v>7</v>
      </c>
      <c r="B164" t="s">
        <v>183</v>
      </c>
      <c r="C164" t="s">
        <v>132</v>
      </c>
      <c r="D164" t="str">
        <f t="shared" si="11"/>
        <v>БизнесСтандартный вариантФБ/Инстаграмм5</v>
      </c>
      <c r="E164" s="18">
        <v>250</v>
      </c>
      <c r="F164" s="32">
        <v>0</v>
      </c>
      <c r="G164" s="81">
        <v>0</v>
      </c>
      <c r="H164" s="82">
        <v>0</v>
      </c>
      <c r="I164" s="33">
        <v>0</v>
      </c>
      <c r="J164" s="34">
        <v>0</v>
      </c>
      <c r="K164" s="34">
        <v>0</v>
      </c>
      <c r="L164" s="80">
        <v>0</v>
      </c>
      <c r="M164" s="34">
        <v>0</v>
      </c>
      <c r="N164" s="75">
        <v>0.25</v>
      </c>
      <c r="O164" s="34">
        <v>62.5</v>
      </c>
      <c r="P164" s="75">
        <v>0.3</v>
      </c>
      <c r="Q164" s="71">
        <v>0.5</v>
      </c>
      <c r="R164" s="35">
        <v>5</v>
      </c>
      <c r="S164" s="76">
        <v>700</v>
      </c>
      <c r="T164" s="36">
        <v>400</v>
      </c>
      <c r="U164" s="37">
        <v>5490</v>
      </c>
      <c r="V164" s="227">
        <v>25000</v>
      </c>
      <c r="W164" s="227">
        <v>19</v>
      </c>
      <c r="X164" s="227">
        <v>104310</v>
      </c>
      <c r="Y164" s="227">
        <v>86</v>
      </c>
      <c r="Z164" s="238">
        <v>43750</v>
      </c>
      <c r="AA164" s="209">
        <v>9</v>
      </c>
      <c r="AB164" s="210">
        <v>49410</v>
      </c>
      <c r="AC164" s="211">
        <v>178720</v>
      </c>
      <c r="AD164" s="211">
        <v>14</v>
      </c>
      <c r="AE164" s="211">
        <v>7</v>
      </c>
      <c r="AF164" s="211">
        <v>36120</v>
      </c>
      <c r="AG164" s="212">
        <v>142600</v>
      </c>
    </row>
    <row r="165" spans="1:33" x14ac:dyDescent="0.3">
      <c r="A165" t="s">
        <v>7</v>
      </c>
      <c r="B165" t="s">
        <v>183</v>
      </c>
      <c r="C165" t="s">
        <v>132</v>
      </c>
      <c r="D165" t="str">
        <f t="shared" si="11"/>
        <v>БизнесСтандартный вариантФБ/Инстаграмм6</v>
      </c>
      <c r="E165" s="18">
        <v>250</v>
      </c>
      <c r="F165" s="24">
        <v>0</v>
      </c>
      <c r="G165" s="24">
        <v>0</v>
      </c>
      <c r="H165" s="25">
        <v>0</v>
      </c>
      <c r="I165" s="26">
        <v>0</v>
      </c>
      <c r="J165" s="27">
        <v>0</v>
      </c>
      <c r="K165" s="27">
        <v>0</v>
      </c>
      <c r="L165" s="27">
        <v>0</v>
      </c>
      <c r="M165" s="27">
        <v>0</v>
      </c>
      <c r="N165" s="28">
        <v>0.25</v>
      </c>
      <c r="O165" s="27">
        <v>62.5</v>
      </c>
      <c r="P165" s="28">
        <v>0.3</v>
      </c>
      <c r="Q165" s="70">
        <v>0.5</v>
      </c>
      <c r="R165" s="29">
        <v>6</v>
      </c>
      <c r="S165" s="30">
        <v>700</v>
      </c>
      <c r="T165" s="30">
        <v>400</v>
      </c>
      <c r="U165" s="31">
        <v>5490</v>
      </c>
      <c r="V165" s="222">
        <v>25000</v>
      </c>
      <c r="W165" s="229">
        <v>19</v>
      </c>
      <c r="X165" s="222">
        <v>104310</v>
      </c>
      <c r="Y165" s="222">
        <v>96</v>
      </c>
      <c r="Z165" s="237">
        <v>43750</v>
      </c>
      <c r="AA165" s="209">
        <v>9</v>
      </c>
      <c r="AB165" s="208">
        <v>49410</v>
      </c>
      <c r="AC165" s="208">
        <v>178720</v>
      </c>
      <c r="AD165" s="208">
        <v>15</v>
      </c>
      <c r="AE165" s="208">
        <v>7</v>
      </c>
      <c r="AF165" s="208">
        <v>37840</v>
      </c>
      <c r="AG165" s="138">
        <v>140880</v>
      </c>
    </row>
    <row r="166" spans="1:33" x14ac:dyDescent="0.3">
      <c r="A166" t="s">
        <v>7</v>
      </c>
      <c r="B166" t="s">
        <v>183</v>
      </c>
      <c r="C166" t="s">
        <v>132</v>
      </c>
      <c r="D166" t="str">
        <f t="shared" si="11"/>
        <v>БизнесСтандартный вариантФБ/Инстаграмм7</v>
      </c>
      <c r="E166" s="18">
        <v>250</v>
      </c>
      <c r="F166" s="24">
        <v>0</v>
      </c>
      <c r="G166" s="24">
        <v>0</v>
      </c>
      <c r="H166" s="25">
        <v>0</v>
      </c>
      <c r="I166" s="26">
        <v>0</v>
      </c>
      <c r="J166" s="27">
        <v>0</v>
      </c>
      <c r="K166" s="27">
        <v>0</v>
      </c>
      <c r="L166" s="27">
        <v>0</v>
      </c>
      <c r="M166" s="27">
        <v>0</v>
      </c>
      <c r="N166" s="28">
        <v>0.25</v>
      </c>
      <c r="O166" s="27">
        <v>62.5</v>
      </c>
      <c r="P166" s="28">
        <v>0.3</v>
      </c>
      <c r="Q166" s="70">
        <v>0.5</v>
      </c>
      <c r="R166" s="29">
        <v>7</v>
      </c>
      <c r="S166" s="30">
        <v>700</v>
      </c>
      <c r="T166" s="30">
        <v>400</v>
      </c>
      <c r="U166" s="31">
        <v>5490</v>
      </c>
      <c r="V166" s="222">
        <v>25000</v>
      </c>
      <c r="W166" s="229">
        <v>19</v>
      </c>
      <c r="X166" s="222">
        <v>104310</v>
      </c>
      <c r="Y166" s="222">
        <v>106</v>
      </c>
      <c r="Z166" s="237">
        <v>43750</v>
      </c>
      <c r="AA166" s="209">
        <v>9</v>
      </c>
      <c r="AB166" s="208">
        <v>49410</v>
      </c>
      <c r="AC166" s="208">
        <v>178720</v>
      </c>
      <c r="AD166" s="208">
        <v>17</v>
      </c>
      <c r="AE166" s="208">
        <v>7</v>
      </c>
      <c r="AF166" s="208">
        <v>41280</v>
      </c>
      <c r="AG166" s="138">
        <v>137440</v>
      </c>
    </row>
    <row r="167" spans="1:33" x14ac:dyDescent="0.3">
      <c r="A167" t="s">
        <v>7</v>
      </c>
      <c r="B167" t="s">
        <v>183</v>
      </c>
      <c r="C167" t="s">
        <v>132</v>
      </c>
      <c r="D167" t="str">
        <f t="shared" si="11"/>
        <v>БизнесСтандартный вариантФБ/Инстаграмм8</v>
      </c>
      <c r="E167" s="18">
        <v>250</v>
      </c>
      <c r="F167" s="24">
        <v>0</v>
      </c>
      <c r="G167" s="24">
        <v>0</v>
      </c>
      <c r="H167" s="25">
        <v>0</v>
      </c>
      <c r="I167" s="26">
        <v>0</v>
      </c>
      <c r="J167" s="27">
        <v>0</v>
      </c>
      <c r="K167" s="27">
        <v>0</v>
      </c>
      <c r="L167" s="27">
        <v>0</v>
      </c>
      <c r="M167" s="27">
        <v>0</v>
      </c>
      <c r="N167" s="28">
        <v>0.2</v>
      </c>
      <c r="O167" s="27">
        <v>50</v>
      </c>
      <c r="P167" s="28">
        <v>0.25</v>
      </c>
      <c r="Q167" s="70">
        <v>0.35</v>
      </c>
      <c r="R167" s="29">
        <v>8</v>
      </c>
      <c r="S167" s="30">
        <v>700</v>
      </c>
      <c r="T167" s="30">
        <v>400</v>
      </c>
      <c r="U167" s="31">
        <v>5490</v>
      </c>
      <c r="V167" s="222">
        <v>20000</v>
      </c>
      <c r="W167" s="229">
        <v>13</v>
      </c>
      <c r="X167" s="222">
        <v>71370</v>
      </c>
      <c r="Y167" s="222">
        <v>113</v>
      </c>
      <c r="Z167" s="237">
        <v>35000</v>
      </c>
      <c r="AA167" s="209">
        <v>6</v>
      </c>
      <c r="AB167" s="208">
        <v>32940</v>
      </c>
      <c r="AC167" s="208">
        <v>124310</v>
      </c>
      <c r="AD167" s="208">
        <v>18</v>
      </c>
      <c r="AE167" s="208">
        <v>5</v>
      </c>
      <c r="AF167" s="208">
        <v>39560</v>
      </c>
      <c r="AG167" s="138">
        <v>84750</v>
      </c>
    </row>
    <row r="168" spans="1:33" x14ac:dyDescent="0.3">
      <c r="A168" t="s">
        <v>7</v>
      </c>
      <c r="B168" t="s">
        <v>183</v>
      </c>
      <c r="C168" t="s">
        <v>132</v>
      </c>
      <c r="D168" t="str">
        <f t="shared" si="11"/>
        <v>БизнесСтандартный вариантФБ/Инстаграмм9</v>
      </c>
      <c r="E168" s="18">
        <v>250</v>
      </c>
      <c r="F168" s="24">
        <v>0</v>
      </c>
      <c r="G168" s="24">
        <v>0</v>
      </c>
      <c r="H168" s="25">
        <v>0</v>
      </c>
      <c r="I168" s="26">
        <v>0</v>
      </c>
      <c r="J168" s="27">
        <v>0</v>
      </c>
      <c r="K168" s="27">
        <v>0</v>
      </c>
      <c r="L168" s="27">
        <v>0</v>
      </c>
      <c r="M168" s="27">
        <v>0</v>
      </c>
      <c r="N168" s="28">
        <v>0.15000000000000002</v>
      </c>
      <c r="O168" s="27">
        <v>37.500000000000007</v>
      </c>
      <c r="P168" s="28">
        <v>0.2</v>
      </c>
      <c r="Q168" s="70">
        <v>0.2</v>
      </c>
      <c r="R168" s="29">
        <v>9</v>
      </c>
      <c r="S168" s="102">
        <v>700</v>
      </c>
      <c r="T168" s="30">
        <v>400</v>
      </c>
      <c r="U168" s="31">
        <v>5490</v>
      </c>
      <c r="V168" s="222">
        <v>15000.000000000004</v>
      </c>
      <c r="W168" s="229">
        <v>8</v>
      </c>
      <c r="X168" s="222">
        <v>43920</v>
      </c>
      <c r="Y168" s="222">
        <v>118</v>
      </c>
      <c r="Z168" s="237">
        <v>26250.000000000004</v>
      </c>
      <c r="AA168" s="209">
        <v>3</v>
      </c>
      <c r="AB168" s="208">
        <v>16470</v>
      </c>
      <c r="AC168" s="208">
        <v>75390</v>
      </c>
      <c r="AD168" s="208">
        <v>18</v>
      </c>
      <c r="AE168" s="208">
        <v>4</v>
      </c>
      <c r="AF168" s="208">
        <v>37840</v>
      </c>
      <c r="AG168" s="138">
        <v>37550</v>
      </c>
    </row>
    <row r="169" spans="1:33" ht="16.2" thickBot="1" x14ac:dyDescent="0.35">
      <c r="E169" s="19"/>
      <c r="F169" s="40"/>
      <c r="G169" s="40"/>
      <c r="H169" s="41"/>
      <c r="I169" s="42"/>
      <c r="J169" s="43"/>
      <c r="K169" s="43"/>
      <c r="L169" s="43"/>
      <c r="M169" s="43"/>
      <c r="N169" s="44"/>
      <c r="O169" s="43"/>
      <c r="P169" s="44"/>
      <c r="Q169" s="72"/>
      <c r="R169" s="45"/>
      <c r="S169" s="103"/>
      <c r="T169" s="46"/>
      <c r="U169" s="47"/>
      <c r="V169" s="234"/>
      <c r="W169" s="235"/>
      <c r="X169" s="234"/>
      <c r="Y169" s="234"/>
      <c r="Z169" s="239"/>
      <c r="AA169" s="213"/>
      <c r="AB169" s="214"/>
      <c r="AC169" s="214"/>
      <c r="AD169" s="214"/>
      <c r="AE169" s="214"/>
      <c r="AF169" s="214" t="s">
        <v>64</v>
      </c>
      <c r="AG169" s="139">
        <v>916950</v>
      </c>
    </row>
    <row r="170" spans="1:33" ht="24" thickBot="1" x14ac:dyDescent="0.5">
      <c r="E170" s="193" t="s">
        <v>132</v>
      </c>
      <c r="V170" s="114"/>
      <c r="W170" s="114"/>
      <c r="X170" s="114"/>
      <c r="Y170" s="114"/>
      <c r="Z170" s="114"/>
      <c r="AA170" s="114"/>
      <c r="AB170" s="114"/>
      <c r="AC170" s="114"/>
      <c r="AD170" s="114"/>
      <c r="AE170" s="114"/>
      <c r="AF170" s="114"/>
      <c r="AG170" s="114"/>
    </row>
    <row r="171" spans="1:33" ht="60" customHeight="1" thickBot="1" x14ac:dyDescent="0.35">
      <c r="A171" t="s">
        <v>7</v>
      </c>
      <c r="B171" t="s">
        <v>184</v>
      </c>
      <c r="C171" t="s">
        <v>132</v>
      </c>
      <c r="D171" t="str">
        <f t="shared" ref="D171:D181" si="12">A171&amp;B171&amp;C171&amp;R171</f>
        <v>БизнесПессиместичный вариантФБ/Инстаграмммес</v>
      </c>
      <c r="E171" s="194" t="s">
        <v>138</v>
      </c>
      <c r="F171" s="195" t="s">
        <v>92</v>
      </c>
      <c r="G171" s="196" t="s">
        <v>93</v>
      </c>
      <c r="H171" s="197" t="s">
        <v>134</v>
      </c>
      <c r="I171" s="198" t="s">
        <v>94</v>
      </c>
      <c r="J171" s="199" t="s">
        <v>95</v>
      </c>
      <c r="K171" s="200" t="s">
        <v>96</v>
      </c>
      <c r="L171" s="200" t="s">
        <v>97</v>
      </c>
      <c r="M171" s="200" t="s">
        <v>98</v>
      </c>
      <c r="N171" s="200" t="s">
        <v>99</v>
      </c>
      <c r="O171" s="199" t="s">
        <v>100</v>
      </c>
      <c r="P171" s="200" t="s">
        <v>101</v>
      </c>
      <c r="Q171" s="200" t="s">
        <v>102</v>
      </c>
      <c r="R171" s="198" t="s">
        <v>103</v>
      </c>
      <c r="S171" s="200" t="s">
        <v>104</v>
      </c>
      <c r="T171" s="200" t="s">
        <v>105</v>
      </c>
      <c r="U171" s="201" t="s">
        <v>90</v>
      </c>
      <c r="V171" s="250" t="s">
        <v>106</v>
      </c>
      <c r="W171" s="251" t="s">
        <v>107</v>
      </c>
      <c r="X171" s="250" t="s">
        <v>108</v>
      </c>
      <c r="Y171" s="251" t="s">
        <v>109</v>
      </c>
      <c r="Z171" s="252" t="s">
        <v>110</v>
      </c>
      <c r="AA171" s="248" t="s">
        <v>111</v>
      </c>
      <c r="AB171" s="248" t="s">
        <v>112</v>
      </c>
      <c r="AC171" s="248" t="s">
        <v>113</v>
      </c>
      <c r="AD171" s="248" t="s">
        <v>114</v>
      </c>
      <c r="AE171" s="248" t="s">
        <v>136</v>
      </c>
      <c r="AF171" s="248" t="s">
        <v>115</v>
      </c>
      <c r="AG171" s="249" t="s">
        <v>116</v>
      </c>
    </row>
    <row r="172" spans="1:33" x14ac:dyDescent="0.3">
      <c r="A172" t="s">
        <v>7</v>
      </c>
      <c r="B172" t="s">
        <v>184</v>
      </c>
      <c r="C172" t="s">
        <v>132</v>
      </c>
      <c r="D172" t="str">
        <f t="shared" si="12"/>
        <v>БизнесПессиместичный вариантФБ/Инстаграмм1</v>
      </c>
      <c r="E172" s="17">
        <v>250</v>
      </c>
      <c r="F172" s="24">
        <v>0</v>
      </c>
      <c r="G172" s="24">
        <v>0</v>
      </c>
      <c r="H172" s="25">
        <v>0</v>
      </c>
      <c r="I172" s="49">
        <v>0</v>
      </c>
      <c r="J172" s="50">
        <v>0</v>
      </c>
      <c r="K172" s="50">
        <v>0</v>
      </c>
      <c r="L172" s="50">
        <v>0</v>
      </c>
      <c r="M172" s="50">
        <v>0</v>
      </c>
      <c r="N172" s="52">
        <v>0.23</v>
      </c>
      <c r="O172" s="50">
        <v>57.5</v>
      </c>
      <c r="P172" s="52">
        <v>0.28000000000000003</v>
      </c>
      <c r="Q172" s="69">
        <v>0.5</v>
      </c>
      <c r="R172" s="77">
        <v>1</v>
      </c>
      <c r="S172" s="78">
        <v>750</v>
      </c>
      <c r="T172" s="78">
        <v>400</v>
      </c>
      <c r="U172" s="79">
        <v>5490</v>
      </c>
      <c r="V172" s="222">
        <v>23000</v>
      </c>
      <c r="W172" s="222">
        <v>17</v>
      </c>
      <c r="X172" s="222">
        <v>93330</v>
      </c>
      <c r="Y172" s="222">
        <v>17</v>
      </c>
      <c r="Z172" s="237">
        <v>43125</v>
      </c>
      <c r="AA172" s="204">
        <v>0</v>
      </c>
      <c r="AB172" s="205">
        <v>0</v>
      </c>
      <c r="AC172" s="205">
        <v>116330</v>
      </c>
      <c r="AD172" s="205">
        <v>3</v>
      </c>
      <c r="AE172" s="205">
        <v>6</v>
      </c>
      <c r="AF172" s="205">
        <v>15480</v>
      </c>
      <c r="AG172" s="206">
        <v>57725</v>
      </c>
    </row>
    <row r="173" spans="1:33" x14ac:dyDescent="0.3">
      <c r="A173" t="s">
        <v>7</v>
      </c>
      <c r="B173" t="s">
        <v>184</v>
      </c>
      <c r="C173" t="s">
        <v>132</v>
      </c>
      <c r="D173" t="str">
        <f t="shared" si="12"/>
        <v>БизнесПессиместичный вариантФБ/Инстаграмм2</v>
      </c>
      <c r="E173" s="18">
        <v>250</v>
      </c>
      <c r="F173" s="24">
        <v>0</v>
      </c>
      <c r="G173" s="24">
        <v>0</v>
      </c>
      <c r="H173" s="25">
        <v>0</v>
      </c>
      <c r="I173" s="26">
        <v>0</v>
      </c>
      <c r="J173" s="27">
        <v>0</v>
      </c>
      <c r="K173" s="27">
        <v>0</v>
      </c>
      <c r="L173" s="27">
        <v>0</v>
      </c>
      <c r="M173" s="27">
        <v>0</v>
      </c>
      <c r="N173" s="28">
        <v>0.23</v>
      </c>
      <c r="O173" s="27">
        <v>57.5</v>
      </c>
      <c r="P173" s="28">
        <v>0.28000000000000003</v>
      </c>
      <c r="Q173" s="70">
        <v>0.5</v>
      </c>
      <c r="R173" s="29">
        <v>2</v>
      </c>
      <c r="S173" s="30">
        <v>750</v>
      </c>
      <c r="T173" s="30">
        <v>400</v>
      </c>
      <c r="U173" s="31">
        <v>5490</v>
      </c>
      <c r="V173" s="222">
        <v>23000</v>
      </c>
      <c r="W173" s="222">
        <v>17</v>
      </c>
      <c r="X173" s="222">
        <v>93330</v>
      </c>
      <c r="Y173" s="222">
        <v>34</v>
      </c>
      <c r="Z173" s="237">
        <v>43125</v>
      </c>
      <c r="AA173" s="207">
        <v>0</v>
      </c>
      <c r="AB173" s="208">
        <v>0</v>
      </c>
      <c r="AC173" s="208">
        <v>116330</v>
      </c>
      <c r="AD173" s="208">
        <v>6</v>
      </c>
      <c r="AE173" s="208">
        <v>6</v>
      </c>
      <c r="AF173" s="208">
        <v>20640</v>
      </c>
      <c r="AG173" s="138">
        <v>95690</v>
      </c>
    </row>
    <row r="174" spans="1:33" x14ac:dyDescent="0.3">
      <c r="A174" t="s">
        <v>7</v>
      </c>
      <c r="B174" t="s">
        <v>184</v>
      </c>
      <c r="C174" t="s">
        <v>132</v>
      </c>
      <c r="D174" t="str">
        <f t="shared" si="12"/>
        <v>БизнесПессиместичный вариантФБ/Инстаграмм3</v>
      </c>
      <c r="E174" s="18">
        <v>250</v>
      </c>
      <c r="F174" s="24">
        <v>0</v>
      </c>
      <c r="G174" s="24">
        <v>0</v>
      </c>
      <c r="H174" s="25">
        <v>0</v>
      </c>
      <c r="I174" s="26">
        <v>0</v>
      </c>
      <c r="J174" s="27">
        <v>0</v>
      </c>
      <c r="K174" s="27">
        <v>0</v>
      </c>
      <c r="L174" s="27">
        <v>0</v>
      </c>
      <c r="M174" s="27">
        <v>0</v>
      </c>
      <c r="N174" s="28">
        <v>0.23</v>
      </c>
      <c r="O174" s="27">
        <v>57.5</v>
      </c>
      <c r="P174" s="28">
        <v>0.28000000000000003</v>
      </c>
      <c r="Q174" s="70">
        <v>0.5</v>
      </c>
      <c r="R174" s="29">
        <v>3</v>
      </c>
      <c r="S174" s="30">
        <v>750</v>
      </c>
      <c r="T174" s="30">
        <v>400</v>
      </c>
      <c r="U174" s="31">
        <v>5490</v>
      </c>
      <c r="V174" s="222">
        <v>23000</v>
      </c>
      <c r="W174" s="222">
        <v>17</v>
      </c>
      <c r="X174" s="222">
        <v>93330</v>
      </c>
      <c r="Y174" s="222">
        <v>51</v>
      </c>
      <c r="Z174" s="237">
        <v>43125</v>
      </c>
      <c r="AA174" s="207">
        <v>0</v>
      </c>
      <c r="AB174" s="208">
        <v>0</v>
      </c>
      <c r="AC174" s="208">
        <v>116330</v>
      </c>
      <c r="AD174" s="208">
        <v>8</v>
      </c>
      <c r="AE174" s="208">
        <v>6</v>
      </c>
      <c r="AF174" s="208">
        <v>24080</v>
      </c>
      <c r="AG174" s="138">
        <v>92250</v>
      </c>
    </row>
    <row r="175" spans="1:33" x14ac:dyDescent="0.3">
      <c r="A175" t="s">
        <v>7</v>
      </c>
      <c r="B175" t="s">
        <v>184</v>
      </c>
      <c r="C175" t="s">
        <v>132</v>
      </c>
      <c r="D175" t="str">
        <f t="shared" si="12"/>
        <v>БизнесПессиместичный вариантФБ/Инстаграмм4</v>
      </c>
      <c r="E175" s="18">
        <v>250</v>
      </c>
      <c r="F175" s="24">
        <v>0</v>
      </c>
      <c r="G175" s="24">
        <v>0</v>
      </c>
      <c r="H175" s="25">
        <v>0</v>
      </c>
      <c r="I175" s="26">
        <v>0</v>
      </c>
      <c r="J175" s="27">
        <v>0</v>
      </c>
      <c r="K175" s="27">
        <v>0</v>
      </c>
      <c r="L175" s="27">
        <v>0</v>
      </c>
      <c r="M175" s="27">
        <v>0</v>
      </c>
      <c r="N175" s="28">
        <v>0.23</v>
      </c>
      <c r="O175" s="27">
        <v>57.5</v>
      </c>
      <c r="P175" s="28">
        <v>0.28000000000000003</v>
      </c>
      <c r="Q175" s="70">
        <v>0.5</v>
      </c>
      <c r="R175" s="29">
        <v>4</v>
      </c>
      <c r="S175" s="30">
        <v>750</v>
      </c>
      <c r="T175" s="30">
        <v>400</v>
      </c>
      <c r="U175" s="31">
        <v>5490</v>
      </c>
      <c r="V175" s="222">
        <v>23000</v>
      </c>
      <c r="W175" s="222">
        <v>17</v>
      </c>
      <c r="X175" s="222">
        <v>93330</v>
      </c>
      <c r="Y175" s="222">
        <v>68</v>
      </c>
      <c r="Z175" s="237">
        <v>43125</v>
      </c>
      <c r="AA175" s="207">
        <v>0</v>
      </c>
      <c r="AB175" s="208">
        <v>0</v>
      </c>
      <c r="AC175" s="208">
        <v>116330</v>
      </c>
      <c r="AD175" s="208">
        <v>11</v>
      </c>
      <c r="AE175" s="208">
        <v>6</v>
      </c>
      <c r="AF175" s="208">
        <v>29240</v>
      </c>
      <c r="AG175" s="138">
        <v>87090</v>
      </c>
    </row>
    <row r="176" spans="1:33" x14ac:dyDescent="0.3">
      <c r="A176" t="s">
        <v>7</v>
      </c>
      <c r="B176" t="s">
        <v>184</v>
      </c>
      <c r="C176" t="s">
        <v>132</v>
      </c>
      <c r="D176" t="str">
        <f t="shared" si="12"/>
        <v>БизнесПессиместичный вариантФБ/Инстаграмм5</v>
      </c>
      <c r="E176" s="18">
        <v>250</v>
      </c>
      <c r="F176" s="32">
        <v>0</v>
      </c>
      <c r="G176" s="81">
        <v>0</v>
      </c>
      <c r="H176" s="82">
        <v>0</v>
      </c>
      <c r="I176" s="33">
        <v>0</v>
      </c>
      <c r="J176" s="34">
        <v>0</v>
      </c>
      <c r="K176" s="34">
        <v>0</v>
      </c>
      <c r="L176" s="80">
        <v>0</v>
      </c>
      <c r="M176" s="34">
        <v>0</v>
      </c>
      <c r="N176" s="75">
        <v>0.23</v>
      </c>
      <c r="O176" s="34">
        <v>57.5</v>
      </c>
      <c r="P176" s="75">
        <v>0.28000000000000003</v>
      </c>
      <c r="Q176" s="71">
        <v>0.5</v>
      </c>
      <c r="R176" s="35">
        <v>5</v>
      </c>
      <c r="S176" s="76">
        <v>750</v>
      </c>
      <c r="T176" s="36">
        <v>400</v>
      </c>
      <c r="U176" s="37">
        <v>5490</v>
      </c>
      <c r="V176" s="227">
        <v>23000</v>
      </c>
      <c r="W176" s="227">
        <v>17</v>
      </c>
      <c r="X176" s="227">
        <v>93330</v>
      </c>
      <c r="Y176" s="227">
        <v>77</v>
      </c>
      <c r="Z176" s="238">
        <v>43125</v>
      </c>
      <c r="AA176" s="209">
        <v>8</v>
      </c>
      <c r="AB176" s="210">
        <v>43920</v>
      </c>
      <c r="AC176" s="211">
        <v>160250</v>
      </c>
      <c r="AD176" s="211">
        <v>12</v>
      </c>
      <c r="AE176" s="211">
        <v>6</v>
      </c>
      <c r="AF176" s="211">
        <v>30960</v>
      </c>
      <c r="AG176" s="212">
        <v>129290</v>
      </c>
    </row>
    <row r="177" spans="1:33" x14ac:dyDescent="0.3">
      <c r="A177" t="s">
        <v>7</v>
      </c>
      <c r="B177" t="s">
        <v>184</v>
      </c>
      <c r="C177" t="s">
        <v>132</v>
      </c>
      <c r="D177" t="str">
        <f t="shared" si="12"/>
        <v>БизнесПессиместичный вариантФБ/Инстаграмм6</v>
      </c>
      <c r="E177" s="18">
        <v>250</v>
      </c>
      <c r="F177" s="24">
        <v>0</v>
      </c>
      <c r="G177" s="24">
        <v>0</v>
      </c>
      <c r="H177" s="25">
        <v>0</v>
      </c>
      <c r="I177" s="26">
        <v>0</v>
      </c>
      <c r="J177" s="27">
        <v>0</v>
      </c>
      <c r="K177" s="27">
        <v>0</v>
      </c>
      <c r="L177" s="27">
        <v>0</v>
      </c>
      <c r="M177" s="27">
        <v>0</v>
      </c>
      <c r="N177" s="28">
        <v>0.23</v>
      </c>
      <c r="O177" s="27">
        <v>57.5</v>
      </c>
      <c r="P177" s="28">
        <v>0.28000000000000003</v>
      </c>
      <c r="Q177" s="70">
        <v>0.5</v>
      </c>
      <c r="R177" s="29">
        <v>6</v>
      </c>
      <c r="S177" s="30">
        <v>750</v>
      </c>
      <c r="T177" s="30">
        <v>400</v>
      </c>
      <c r="U177" s="31">
        <v>5490</v>
      </c>
      <c r="V177" s="222">
        <v>23000</v>
      </c>
      <c r="W177" s="229">
        <v>17</v>
      </c>
      <c r="X177" s="222">
        <v>93330</v>
      </c>
      <c r="Y177" s="222">
        <v>86</v>
      </c>
      <c r="Z177" s="237">
        <v>43125</v>
      </c>
      <c r="AA177" s="209">
        <v>8</v>
      </c>
      <c r="AB177" s="208">
        <v>43920</v>
      </c>
      <c r="AC177" s="208">
        <v>160250</v>
      </c>
      <c r="AD177" s="208">
        <v>14</v>
      </c>
      <c r="AE177" s="208">
        <v>6</v>
      </c>
      <c r="AF177" s="208">
        <v>34400</v>
      </c>
      <c r="AG177" s="138">
        <v>125850</v>
      </c>
    </row>
    <row r="178" spans="1:33" x14ac:dyDescent="0.3">
      <c r="A178" t="s">
        <v>7</v>
      </c>
      <c r="B178" t="s">
        <v>184</v>
      </c>
      <c r="C178" t="s">
        <v>132</v>
      </c>
      <c r="D178" t="str">
        <f t="shared" si="12"/>
        <v>БизнесПессиместичный вариантФБ/Инстаграмм7</v>
      </c>
      <c r="E178" s="18">
        <v>250</v>
      </c>
      <c r="F178" s="24">
        <v>0</v>
      </c>
      <c r="G178" s="24">
        <v>0</v>
      </c>
      <c r="H178" s="25">
        <v>0</v>
      </c>
      <c r="I178" s="26">
        <v>0</v>
      </c>
      <c r="J178" s="27">
        <v>0</v>
      </c>
      <c r="K178" s="27">
        <v>0</v>
      </c>
      <c r="L178" s="27">
        <v>0</v>
      </c>
      <c r="M178" s="27">
        <v>0</v>
      </c>
      <c r="N178" s="28">
        <v>0.23</v>
      </c>
      <c r="O178" s="27">
        <v>57.5</v>
      </c>
      <c r="P178" s="28">
        <v>0.28000000000000003</v>
      </c>
      <c r="Q178" s="70">
        <v>0.5</v>
      </c>
      <c r="R178" s="29">
        <v>7</v>
      </c>
      <c r="S178" s="30">
        <v>750</v>
      </c>
      <c r="T178" s="30">
        <v>400</v>
      </c>
      <c r="U178" s="31">
        <v>5490</v>
      </c>
      <c r="V178" s="222">
        <v>23000</v>
      </c>
      <c r="W178" s="229">
        <v>17</v>
      </c>
      <c r="X178" s="222">
        <v>93330</v>
      </c>
      <c r="Y178" s="222">
        <v>95</v>
      </c>
      <c r="Z178" s="237">
        <v>43125</v>
      </c>
      <c r="AA178" s="209">
        <v>8</v>
      </c>
      <c r="AB178" s="208">
        <v>43920</v>
      </c>
      <c r="AC178" s="208">
        <v>160250</v>
      </c>
      <c r="AD178" s="208">
        <v>15</v>
      </c>
      <c r="AE178" s="208">
        <v>6</v>
      </c>
      <c r="AF178" s="208">
        <v>36120</v>
      </c>
      <c r="AG178" s="138">
        <v>124130</v>
      </c>
    </row>
    <row r="179" spans="1:33" x14ac:dyDescent="0.3">
      <c r="A179" t="s">
        <v>7</v>
      </c>
      <c r="B179" t="s">
        <v>184</v>
      </c>
      <c r="C179" t="s">
        <v>132</v>
      </c>
      <c r="D179" t="str">
        <f t="shared" si="12"/>
        <v>БизнесПессиместичный вариантФБ/Инстаграмм8</v>
      </c>
      <c r="E179" s="18">
        <v>250</v>
      </c>
      <c r="F179" s="24">
        <v>0</v>
      </c>
      <c r="G179" s="24">
        <v>0</v>
      </c>
      <c r="H179" s="25">
        <v>0</v>
      </c>
      <c r="I179" s="26">
        <v>0</v>
      </c>
      <c r="J179" s="27">
        <v>0</v>
      </c>
      <c r="K179" s="27">
        <v>0</v>
      </c>
      <c r="L179" s="27">
        <v>0</v>
      </c>
      <c r="M179" s="27">
        <v>0</v>
      </c>
      <c r="N179" s="28">
        <v>0.18</v>
      </c>
      <c r="O179" s="27">
        <v>45</v>
      </c>
      <c r="P179" s="28">
        <v>0.23000000000000004</v>
      </c>
      <c r="Q179" s="70">
        <v>0.35</v>
      </c>
      <c r="R179" s="29">
        <v>8</v>
      </c>
      <c r="S179" s="30">
        <v>750</v>
      </c>
      <c r="T179" s="30">
        <v>400</v>
      </c>
      <c r="U179" s="31">
        <v>5490</v>
      </c>
      <c r="V179" s="222">
        <v>18000</v>
      </c>
      <c r="W179" s="229">
        <v>11</v>
      </c>
      <c r="X179" s="222">
        <v>60390</v>
      </c>
      <c r="Y179" s="222">
        <v>101</v>
      </c>
      <c r="Z179" s="237">
        <v>33750</v>
      </c>
      <c r="AA179" s="209">
        <v>5</v>
      </c>
      <c r="AB179" s="208">
        <v>27450</v>
      </c>
      <c r="AC179" s="208">
        <v>105840</v>
      </c>
      <c r="AD179" s="208">
        <v>16</v>
      </c>
      <c r="AE179" s="208">
        <v>5</v>
      </c>
      <c r="AF179" s="208">
        <v>36120</v>
      </c>
      <c r="AG179" s="138">
        <v>69720</v>
      </c>
    </row>
    <row r="180" spans="1:33" x14ac:dyDescent="0.3">
      <c r="A180" t="s">
        <v>7</v>
      </c>
      <c r="B180" t="s">
        <v>184</v>
      </c>
      <c r="C180" t="s">
        <v>132</v>
      </c>
      <c r="D180" t="str">
        <f t="shared" si="12"/>
        <v>БизнесПессиместичный вариантФБ/Инстаграмм9</v>
      </c>
      <c r="E180" s="18">
        <v>250</v>
      </c>
      <c r="F180" s="24">
        <v>0</v>
      </c>
      <c r="G180" s="24">
        <v>0</v>
      </c>
      <c r="H180" s="25">
        <v>0</v>
      </c>
      <c r="I180" s="26">
        <v>0</v>
      </c>
      <c r="J180" s="27">
        <v>0</v>
      </c>
      <c r="K180" s="27">
        <v>0</v>
      </c>
      <c r="L180" s="27">
        <v>0</v>
      </c>
      <c r="M180" s="27">
        <v>0</v>
      </c>
      <c r="N180" s="28">
        <v>0.13</v>
      </c>
      <c r="O180" s="27">
        <v>32.5</v>
      </c>
      <c r="P180" s="28">
        <v>0.18000000000000005</v>
      </c>
      <c r="Q180" s="70">
        <v>0.2</v>
      </c>
      <c r="R180" s="29">
        <v>9</v>
      </c>
      <c r="S180" s="102">
        <v>750</v>
      </c>
      <c r="T180" s="30">
        <v>400</v>
      </c>
      <c r="U180" s="31">
        <v>5490</v>
      </c>
      <c r="V180" s="222">
        <v>13000</v>
      </c>
      <c r="W180" s="229">
        <v>6</v>
      </c>
      <c r="X180" s="222">
        <v>32940</v>
      </c>
      <c r="Y180" s="222">
        <v>104</v>
      </c>
      <c r="Z180" s="237">
        <v>24375</v>
      </c>
      <c r="AA180" s="209">
        <v>3</v>
      </c>
      <c r="AB180" s="208">
        <v>16470</v>
      </c>
      <c r="AC180" s="208">
        <v>62410</v>
      </c>
      <c r="AD180" s="208">
        <v>16</v>
      </c>
      <c r="AE180" s="208">
        <v>3</v>
      </c>
      <c r="AF180" s="208">
        <v>32680</v>
      </c>
      <c r="AG180" s="138">
        <v>29730</v>
      </c>
    </row>
    <row r="181" spans="1:33" ht="16.2" thickBot="1" x14ac:dyDescent="0.35">
      <c r="B181" t="s">
        <v>184</v>
      </c>
      <c r="C181" t="s">
        <v>132</v>
      </c>
      <c r="D181" t="str">
        <f t="shared" si="12"/>
        <v>Пессиместичный вариантФБ/Инстаграмм</v>
      </c>
      <c r="E181" s="19"/>
      <c r="F181" s="40"/>
      <c r="G181" s="40"/>
      <c r="H181" s="41"/>
      <c r="I181" s="42"/>
      <c r="J181" s="43"/>
      <c r="K181" s="43"/>
      <c r="L181" s="43"/>
      <c r="M181" s="43"/>
      <c r="N181" s="44"/>
      <c r="O181" s="43"/>
      <c r="P181" s="44"/>
      <c r="Q181" s="72"/>
      <c r="R181" s="45"/>
      <c r="S181" s="103"/>
      <c r="T181" s="46"/>
      <c r="U181" s="47"/>
      <c r="V181" s="234"/>
      <c r="W181" s="235"/>
      <c r="X181" s="234"/>
      <c r="Y181" s="234"/>
      <c r="Z181" s="239"/>
      <c r="AA181" s="213"/>
      <c r="AB181" s="214"/>
      <c r="AC181" s="214"/>
      <c r="AD181" s="214"/>
      <c r="AE181" s="214"/>
      <c r="AF181" s="214" t="s">
        <v>64</v>
      </c>
      <c r="AG181" s="139">
        <v>811475</v>
      </c>
    </row>
    <row r="182" spans="1:33" ht="24" thickBot="1" x14ac:dyDescent="0.5">
      <c r="E182" s="193" t="s">
        <v>133</v>
      </c>
      <c r="O182" s="4"/>
      <c r="V182" s="114"/>
      <c r="W182" s="114"/>
      <c r="X182" s="114"/>
      <c r="Y182" s="114"/>
      <c r="Z182" s="114"/>
      <c r="AA182" s="114"/>
      <c r="AB182" s="114"/>
      <c r="AC182" s="114"/>
      <c r="AD182" s="114"/>
      <c r="AE182" s="114"/>
      <c r="AF182" s="114"/>
      <c r="AG182" s="114"/>
    </row>
    <row r="183" spans="1:33" ht="45.75" customHeight="1" thickBot="1" x14ac:dyDescent="0.35">
      <c r="A183" t="s">
        <v>7</v>
      </c>
      <c r="E183" s="95" t="s">
        <v>127</v>
      </c>
      <c r="F183" s="195" t="s">
        <v>92</v>
      </c>
      <c r="G183" s="196" t="s">
        <v>93</v>
      </c>
      <c r="H183" s="197" t="s">
        <v>134</v>
      </c>
      <c r="I183" s="195" t="s">
        <v>94</v>
      </c>
      <c r="J183" s="202" t="s">
        <v>95</v>
      </c>
      <c r="K183" s="196" t="s">
        <v>96</v>
      </c>
      <c r="L183" s="196" t="s">
        <v>97</v>
      </c>
      <c r="M183" s="196" t="s">
        <v>98</v>
      </c>
      <c r="N183" s="196" t="s">
        <v>128</v>
      </c>
      <c r="O183" s="202" t="s">
        <v>100</v>
      </c>
      <c r="P183" s="196" t="s">
        <v>129</v>
      </c>
      <c r="Q183" s="196" t="s">
        <v>102</v>
      </c>
      <c r="R183" s="195" t="s">
        <v>103</v>
      </c>
      <c r="S183" s="196" t="s">
        <v>104</v>
      </c>
      <c r="T183" s="196" t="s">
        <v>105</v>
      </c>
      <c r="U183" s="197" t="s">
        <v>90</v>
      </c>
      <c r="V183" s="250" t="s">
        <v>106</v>
      </c>
      <c r="W183" s="251" t="s">
        <v>107</v>
      </c>
      <c r="X183" s="250" t="s">
        <v>108</v>
      </c>
      <c r="Y183" s="251" t="s">
        <v>109</v>
      </c>
      <c r="Z183" s="252" t="s">
        <v>110</v>
      </c>
      <c r="AA183" s="248" t="s">
        <v>111</v>
      </c>
      <c r="AB183" s="248" t="s">
        <v>112</v>
      </c>
      <c r="AC183" s="248" t="s">
        <v>113</v>
      </c>
      <c r="AD183" s="248" t="s">
        <v>114</v>
      </c>
      <c r="AE183" s="248" t="s">
        <v>136</v>
      </c>
      <c r="AF183" s="248" t="s">
        <v>115</v>
      </c>
      <c r="AG183" s="249" t="s">
        <v>116</v>
      </c>
    </row>
    <row r="184" spans="1:33" x14ac:dyDescent="0.3">
      <c r="A184" t="s">
        <v>7</v>
      </c>
      <c r="B184" t="s">
        <v>182</v>
      </c>
      <c r="C184" t="s">
        <v>133</v>
      </c>
      <c r="D184" t="str">
        <f t="shared" ref="D184:D192" si="13">A184&amp;B184&amp;C184&amp;R184</f>
        <v>БизнесОптимистичный вариантИтого (промоутеры+ФБ/инстаграмм)1</v>
      </c>
      <c r="E184" s="60">
        <v>500</v>
      </c>
      <c r="F184" s="23">
        <v>10</v>
      </c>
      <c r="G184" s="24">
        <v>25</v>
      </c>
      <c r="H184" s="25">
        <v>5</v>
      </c>
      <c r="I184" s="56">
        <v>0.25</v>
      </c>
      <c r="J184" s="27">
        <v>62.5</v>
      </c>
      <c r="K184" s="27">
        <v>10</v>
      </c>
      <c r="L184" s="27">
        <v>6.25</v>
      </c>
      <c r="M184" s="48">
        <v>1.4880952380952381</v>
      </c>
      <c r="N184" s="57">
        <v>0.4</v>
      </c>
      <c r="O184" s="27">
        <v>106</v>
      </c>
      <c r="P184" s="57">
        <v>0.35</v>
      </c>
      <c r="Q184" s="57">
        <v>0.5</v>
      </c>
      <c r="R184" s="29">
        <v>1</v>
      </c>
      <c r="S184" s="30">
        <v>475</v>
      </c>
      <c r="T184" s="30">
        <v>400</v>
      </c>
      <c r="U184" s="31">
        <v>5490</v>
      </c>
      <c r="V184" s="218">
        <v>42400</v>
      </c>
      <c r="W184" s="218">
        <v>38</v>
      </c>
      <c r="X184" s="218">
        <v>208620</v>
      </c>
      <c r="Y184" s="218">
        <v>38</v>
      </c>
      <c r="Z184" s="219">
        <v>55850</v>
      </c>
      <c r="AA184" s="204">
        <v>0</v>
      </c>
      <c r="AB184" s="205">
        <v>0</v>
      </c>
      <c r="AC184" s="205">
        <v>251020</v>
      </c>
      <c r="AD184" s="205">
        <v>7</v>
      </c>
      <c r="AE184" s="205">
        <v>11</v>
      </c>
      <c r="AF184" s="205">
        <v>30960</v>
      </c>
      <c r="AG184" s="206">
        <v>164210</v>
      </c>
    </row>
    <row r="185" spans="1:33" x14ac:dyDescent="0.3">
      <c r="A185" t="s">
        <v>7</v>
      </c>
      <c r="B185" t="s">
        <v>182</v>
      </c>
      <c r="C185" t="s">
        <v>133</v>
      </c>
      <c r="D185" t="str">
        <f t="shared" si="13"/>
        <v>БизнесОптимистичный вариантИтого (промоутеры+ФБ/инстаграмм)2</v>
      </c>
      <c r="E185" s="60">
        <v>500</v>
      </c>
      <c r="F185" s="23">
        <v>10</v>
      </c>
      <c r="G185" s="24">
        <v>25</v>
      </c>
      <c r="H185" s="25">
        <v>5</v>
      </c>
      <c r="I185" s="56">
        <v>0.25</v>
      </c>
      <c r="J185" s="24">
        <v>62.5</v>
      </c>
      <c r="K185" s="24">
        <v>10</v>
      </c>
      <c r="L185" s="27">
        <v>6.25</v>
      </c>
      <c r="M185" s="48">
        <v>1.4880952380952381</v>
      </c>
      <c r="N185" s="57">
        <v>0.4</v>
      </c>
      <c r="O185" s="27">
        <v>106</v>
      </c>
      <c r="P185" s="57">
        <v>0.35</v>
      </c>
      <c r="Q185" s="57">
        <v>0.5</v>
      </c>
      <c r="R185" s="29">
        <v>2</v>
      </c>
      <c r="S185" s="30">
        <v>475</v>
      </c>
      <c r="T185" s="30">
        <v>400</v>
      </c>
      <c r="U185" s="31">
        <v>5490</v>
      </c>
      <c r="V185" s="222">
        <v>42400</v>
      </c>
      <c r="W185" s="222">
        <v>38</v>
      </c>
      <c r="X185" s="222">
        <v>208620</v>
      </c>
      <c r="Y185" s="222">
        <v>76</v>
      </c>
      <c r="Z185" s="223">
        <v>55850</v>
      </c>
      <c r="AA185" s="207">
        <v>0</v>
      </c>
      <c r="AB185" s="208">
        <v>0</v>
      </c>
      <c r="AC185" s="208">
        <v>251020</v>
      </c>
      <c r="AD185" s="208">
        <v>13</v>
      </c>
      <c r="AE185" s="208">
        <v>11</v>
      </c>
      <c r="AF185" s="208">
        <v>41280</v>
      </c>
      <c r="AG185" s="138">
        <v>209740</v>
      </c>
    </row>
    <row r="186" spans="1:33" x14ac:dyDescent="0.3">
      <c r="A186" t="s">
        <v>7</v>
      </c>
      <c r="B186" t="s">
        <v>182</v>
      </c>
      <c r="C186" t="s">
        <v>133</v>
      </c>
      <c r="D186" t="str">
        <f t="shared" si="13"/>
        <v>БизнесОптимистичный вариантИтого (промоутеры+ФБ/инстаграмм)3</v>
      </c>
      <c r="E186" s="60">
        <v>500</v>
      </c>
      <c r="F186" s="23">
        <v>10</v>
      </c>
      <c r="G186" s="24">
        <v>25</v>
      </c>
      <c r="H186" s="25">
        <v>5</v>
      </c>
      <c r="I186" s="56">
        <v>0.25</v>
      </c>
      <c r="J186" s="24">
        <v>62.5</v>
      </c>
      <c r="K186" s="24">
        <v>10</v>
      </c>
      <c r="L186" s="27">
        <v>6.25</v>
      </c>
      <c r="M186" s="48">
        <v>1.4880952380952381</v>
      </c>
      <c r="N186" s="57">
        <v>0.4</v>
      </c>
      <c r="O186" s="27">
        <v>106</v>
      </c>
      <c r="P186" s="57">
        <v>0.35</v>
      </c>
      <c r="Q186" s="57">
        <v>0.5</v>
      </c>
      <c r="R186" s="29">
        <v>3</v>
      </c>
      <c r="S186" s="30">
        <v>475</v>
      </c>
      <c r="T186" s="30">
        <v>400</v>
      </c>
      <c r="U186" s="31">
        <v>5490</v>
      </c>
      <c r="V186" s="222">
        <v>42400</v>
      </c>
      <c r="W186" s="222">
        <v>38</v>
      </c>
      <c r="X186" s="222">
        <v>208620</v>
      </c>
      <c r="Y186" s="222">
        <v>114</v>
      </c>
      <c r="Z186" s="223">
        <v>55850</v>
      </c>
      <c r="AA186" s="207">
        <v>0</v>
      </c>
      <c r="AB186" s="208">
        <v>0</v>
      </c>
      <c r="AC186" s="208">
        <v>251020</v>
      </c>
      <c r="AD186" s="208">
        <v>18</v>
      </c>
      <c r="AE186" s="208">
        <v>11</v>
      </c>
      <c r="AF186" s="208">
        <v>49880</v>
      </c>
      <c r="AG186" s="138">
        <v>201140</v>
      </c>
    </row>
    <row r="187" spans="1:33" x14ac:dyDescent="0.3">
      <c r="A187" t="s">
        <v>7</v>
      </c>
      <c r="B187" t="s">
        <v>182</v>
      </c>
      <c r="C187" t="s">
        <v>133</v>
      </c>
      <c r="D187" t="str">
        <f t="shared" si="13"/>
        <v>БизнесОптимистичный вариантИтого (промоутеры+ФБ/инстаграмм)4</v>
      </c>
      <c r="E187" s="60">
        <v>500</v>
      </c>
      <c r="F187" s="23">
        <v>10</v>
      </c>
      <c r="G187" s="24">
        <v>25</v>
      </c>
      <c r="H187" s="25">
        <v>5</v>
      </c>
      <c r="I187" s="56">
        <v>0.25</v>
      </c>
      <c r="J187" s="24">
        <v>62.5</v>
      </c>
      <c r="K187" s="24">
        <v>10</v>
      </c>
      <c r="L187" s="27">
        <v>6.25</v>
      </c>
      <c r="M187" s="48">
        <v>1.4880952380952381</v>
      </c>
      <c r="N187" s="57">
        <v>0.4</v>
      </c>
      <c r="O187" s="27">
        <v>106</v>
      </c>
      <c r="P187" s="57">
        <v>0.35</v>
      </c>
      <c r="Q187" s="57">
        <v>0.5</v>
      </c>
      <c r="R187" s="29">
        <v>4</v>
      </c>
      <c r="S187" s="30">
        <v>475</v>
      </c>
      <c r="T187" s="30">
        <v>400</v>
      </c>
      <c r="U187" s="31">
        <v>5490</v>
      </c>
      <c r="V187" s="222">
        <v>42400</v>
      </c>
      <c r="W187" s="222">
        <v>38</v>
      </c>
      <c r="X187" s="222">
        <v>208620</v>
      </c>
      <c r="Y187" s="222">
        <v>152</v>
      </c>
      <c r="Z187" s="223">
        <v>55850</v>
      </c>
      <c r="AA187" s="207">
        <v>0</v>
      </c>
      <c r="AB187" s="208">
        <v>0</v>
      </c>
      <c r="AC187" s="208">
        <v>251020</v>
      </c>
      <c r="AD187" s="208">
        <v>24</v>
      </c>
      <c r="AE187" s="208">
        <v>11</v>
      </c>
      <c r="AF187" s="208">
        <v>60200</v>
      </c>
      <c r="AG187" s="138">
        <v>190820</v>
      </c>
    </row>
    <row r="188" spans="1:33" x14ac:dyDescent="0.3">
      <c r="A188" t="s">
        <v>7</v>
      </c>
      <c r="B188" t="s">
        <v>182</v>
      </c>
      <c r="C188" t="s">
        <v>133</v>
      </c>
      <c r="D188" t="str">
        <f t="shared" si="13"/>
        <v>БизнесОптимистичный вариантИтого (промоутеры+ФБ/инстаграмм)5</v>
      </c>
      <c r="E188" s="60">
        <v>500</v>
      </c>
      <c r="F188" s="23">
        <v>10</v>
      </c>
      <c r="G188" s="24">
        <v>25</v>
      </c>
      <c r="H188" s="25">
        <v>5</v>
      </c>
      <c r="I188" s="98">
        <v>0.25</v>
      </c>
      <c r="J188" s="81">
        <v>62.5</v>
      </c>
      <c r="K188" s="81">
        <v>10</v>
      </c>
      <c r="L188" s="80">
        <v>6.25</v>
      </c>
      <c r="M188" s="74">
        <v>1.4880952380952381</v>
      </c>
      <c r="N188" s="99">
        <v>0.4</v>
      </c>
      <c r="O188" s="80">
        <v>106</v>
      </c>
      <c r="P188" s="99">
        <v>0.35</v>
      </c>
      <c r="Q188" s="99">
        <v>0.5</v>
      </c>
      <c r="R188" s="100">
        <v>5</v>
      </c>
      <c r="S188" s="76">
        <v>475</v>
      </c>
      <c r="T188" s="76">
        <v>400</v>
      </c>
      <c r="U188" s="101">
        <v>5490</v>
      </c>
      <c r="V188" s="241">
        <v>42400</v>
      </c>
      <c r="W188" s="241">
        <v>38</v>
      </c>
      <c r="X188" s="241">
        <v>208620</v>
      </c>
      <c r="Y188" s="241">
        <v>172</v>
      </c>
      <c r="Z188" s="242">
        <v>55850</v>
      </c>
      <c r="AA188" s="243">
        <v>18</v>
      </c>
      <c r="AB188" s="211">
        <v>98820</v>
      </c>
      <c r="AC188" s="211">
        <v>349840</v>
      </c>
      <c r="AD188" s="211">
        <v>27</v>
      </c>
      <c r="AE188" s="211">
        <v>11</v>
      </c>
      <c r="AF188" s="211">
        <v>65360</v>
      </c>
      <c r="AG188" s="244">
        <v>284480</v>
      </c>
    </row>
    <row r="189" spans="1:33" x14ac:dyDescent="0.3">
      <c r="A189" t="s">
        <v>7</v>
      </c>
      <c r="B189" t="s">
        <v>182</v>
      </c>
      <c r="C189" t="s">
        <v>133</v>
      </c>
      <c r="D189" t="str">
        <f t="shared" si="13"/>
        <v>БизнесОптимистичный вариантИтого (промоутеры+ФБ/инстаграмм)6</v>
      </c>
      <c r="E189" s="60">
        <v>500</v>
      </c>
      <c r="F189" s="23">
        <v>10</v>
      </c>
      <c r="G189" s="24">
        <v>25</v>
      </c>
      <c r="H189" s="25">
        <v>5</v>
      </c>
      <c r="I189" s="56">
        <v>0.25</v>
      </c>
      <c r="J189" s="24">
        <v>62.5</v>
      </c>
      <c r="K189" s="24">
        <v>10</v>
      </c>
      <c r="L189" s="27">
        <v>6.25</v>
      </c>
      <c r="M189" s="48">
        <v>1.4880952380952381</v>
      </c>
      <c r="N189" s="57">
        <v>0.4</v>
      </c>
      <c r="O189" s="27">
        <v>106</v>
      </c>
      <c r="P189" s="57">
        <v>0.35</v>
      </c>
      <c r="Q189" s="57">
        <v>0.5</v>
      </c>
      <c r="R189" s="29">
        <v>6</v>
      </c>
      <c r="S189" s="30">
        <v>475</v>
      </c>
      <c r="T189" s="30">
        <v>400</v>
      </c>
      <c r="U189" s="31">
        <v>5490</v>
      </c>
      <c r="V189" s="222">
        <v>42400</v>
      </c>
      <c r="W189" s="222">
        <v>38</v>
      </c>
      <c r="X189" s="222">
        <v>208620</v>
      </c>
      <c r="Y189" s="222">
        <v>192</v>
      </c>
      <c r="Z189" s="223">
        <v>55850</v>
      </c>
      <c r="AA189" s="207">
        <v>18</v>
      </c>
      <c r="AB189" s="208">
        <v>98820</v>
      </c>
      <c r="AC189" s="208">
        <v>349840</v>
      </c>
      <c r="AD189" s="208">
        <v>30</v>
      </c>
      <c r="AE189" s="208">
        <v>11</v>
      </c>
      <c r="AF189" s="208">
        <v>70520</v>
      </c>
      <c r="AG189" s="138">
        <v>279320</v>
      </c>
    </row>
    <row r="190" spans="1:33" x14ac:dyDescent="0.3">
      <c r="A190" t="s">
        <v>7</v>
      </c>
      <c r="B190" t="s">
        <v>182</v>
      </c>
      <c r="C190" t="s">
        <v>133</v>
      </c>
      <c r="D190" t="str">
        <f t="shared" si="13"/>
        <v>БизнесОптимистичный вариантИтого (промоутеры+ФБ/инстаграмм)7</v>
      </c>
      <c r="E190" s="60">
        <v>500</v>
      </c>
      <c r="F190" s="23">
        <v>10</v>
      </c>
      <c r="G190" s="24">
        <v>25</v>
      </c>
      <c r="H190" s="25">
        <v>5</v>
      </c>
      <c r="I190" s="56">
        <v>0.25</v>
      </c>
      <c r="J190" s="24">
        <v>62.5</v>
      </c>
      <c r="K190" s="24">
        <v>10</v>
      </c>
      <c r="L190" s="27">
        <v>6.25</v>
      </c>
      <c r="M190" s="48">
        <v>1.4880952380952381</v>
      </c>
      <c r="N190" s="57">
        <v>0.4</v>
      </c>
      <c r="O190" s="27">
        <v>106</v>
      </c>
      <c r="P190" s="57">
        <v>0.35</v>
      </c>
      <c r="Q190" s="57">
        <v>0.5</v>
      </c>
      <c r="R190" s="29">
        <v>7</v>
      </c>
      <c r="S190" s="30">
        <v>475</v>
      </c>
      <c r="T190" s="30">
        <v>400</v>
      </c>
      <c r="U190" s="31">
        <v>5490</v>
      </c>
      <c r="V190" s="222">
        <v>42400</v>
      </c>
      <c r="W190" s="222">
        <v>38</v>
      </c>
      <c r="X190" s="222">
        <v>208620</v>
      </c>
      <c r="Y190" s="222">
        <v>212</v>
      </c>
      <c r="Z190" s="223">
        <v>55850</v>
      </c>
      <c r="AA190" s="207">
        <v>18</v>
      </c>
      <c r="AB190" s="208">
        <v>98820</v>
      </c>
      <c r="AC190" s="208">
        <v>349840</v>
      </c>
      <c r="AD190" s="208">
        <v>33</v>
      </c>
      <c r="AE190" s="208">
        <v>11</v>
      </c>
      <c r="AF190" s="208">
        <v>75680</v>
      </c>
      <c r="AG190" s="138">
        <v>274160</v>
      </c>
    </row>
    <row r="191" spans="1:33" x14ac:dyDescent="0.3">
      <c r="A191" t="s">
        <v>7</v>
      </c>
      <c r="B191" t="s">
        <v>182</v>
      </c>
      <c r="C191" t="s">
        <v>133</v>
      </c>
      <c r="D191" t="str">
        <f t="shared" si="13"/>
        <v>БизнесОптимистичный вариантИтого (промоутеры+ФБ/инстаграмм)8</v>
      </c>
      <c r="E191" s="60">
        <v>500</v>
      </c>
      <c r="F191" s="23">
        <v>10</v>
      </c>
      <c r="G191" s="24">
        <v>25</v>
      </c>
      <c r="H191" s="25">
        <v>5</v>
      </c>
      <c r="I191" s="56">
        <v>0.25</v>
      </c>
      <c r="J191" s="24">
        <v>62.5</v>
      </c>
      <c r="K191" s="24">
        <v>10</v>
      </c>
      <c r="L191" s="27">
        <v>6.25</v>
      </c>
      <c r="M191" s="48">
        <v>1.4880952380952381</v>
      </c>
      <c r="N191" s="57">
        <v>0.32500000000000001</v>
      </c>
      <c r="O191" s="27">
        <v>87.5</v>
      </c>
      <c r="P191" s="57">
        <v>0.35</v>
      </c>
      <c r="Q191" s="57">
        <v>0.35</v>
      </c>
      <c r="R191" s="29">
        <v>8</v>
      </c>
      <c r="S191" s="30">
        <v>475</v>
      </c>
      <c r="T191" s="30">
        <v>400</v>
      </c>
      <c r="U191" s="31">
        <v>5490</v>
      </c>
      <c r="V191" s="222">
        <v>35000</v>
      </c>
      <c r="W191" s="222">
        <v>26</v>
      </c>
      <c r="X191" s="222">
        <v>142740</v>
      </c>
      <c r="Y191" s="222">
        <v>226</v>
      </c>
      <c r="Z191" s="223">
        <v>46250</v>
      </c>
      <c r="AA191" s="207">
        <v>12</v>
      </c>
      <c r="AB191" s="208">
        <v>65880</v>
      </c>
      <c r="AC191" s="208">
        <v>243620</v>
      </c>
      <c r="AD191" s="208">
        <v>35</v>
      </c>
      <c r="AE191" s="208">
        <v>9</v>
      </c>
      <c r="AF191" s="208">
        <v>75680</v>
      </c>
      <c r="AG191" s="138">
        <v>167940</v>
      </c>
    </row>
    <row r="192" spans="1:33" x14ac:dyDescent="0.3">
      <c r="A192" t="s">
        <v>7</v>
      </c>
      <c r="B192" t="s">
        <v>182</v>
      </c>
      <c r="C192" t="s">
        <v>133</v>
      </c>
      <c r="D192" t="str">
        <f t="shared" si="13"/>
        <v>БизнесОптимистичный вариантИтого (промоутеры+ФБ/инстаграмм)9</v>
      </c>
      <c r="E192" s="60">
        <v>500</v>
      </c>
      <c r="F192" s="23">
        <v>10</v>
      </c>
      <c r="G192" s="24">
        <v>25</v>
      </c>
      <c r="H192" s="25">
        <v>5</v>
      </c>
      <c r="I192" s="56">
        <v>0.25</v>
      </c>
      <c r="J192" s="24">
        <v>62.5</v>
      </c>
      <c r="K192" s="24">
        <v>10</v>
      </c>
      <c r="L192" s="27">
        <v>6.25</v>
      </c>
      <c r="M192" s="48">
        <v>1.4880952380952381</v>
      </c>
      <c r="N192" s="57">
        <v>0.25</v>
      </c>
      <c r="O192" s="27">
        <v>68</v>
      </c>
      <c r="P192" s="57">
        <v>0.2</v>
      </c>
      <c r="Q192" s="57">
        <v>0.2</v>
      </c>
      <c r="R192" s="29">
        <v>9</v>
      </c>
      <c r="S192" s="102">
        <v>475</v>
      </c>
      <c r="T192" s="30">
        <v>400</v>
      </c>
      <c r="U192" s="31">
        <v>5490</v>
      </c>
      <c r="V192" s="222">
        <v>27200</v>
      </c>
      <c r="W192" s="222">
        <v>16</v>
      </c>
      <c r="X192" s="222">
        <v>87840</v>
      </c>
      <c r="Y192" s="222">
        <v>235</v>
      </c>
      <c r="Z192" s="223">
        <v>36300</v>
      </c>
      <c r="AA192" s="207">
        <v>7</v>
      </c>
      <c r="AB192" s="208">
        <v>38430</v>
      </c>
      <c r="AC192" s="208">
        <v>153470</v>
      </c>
      <c r="AD192" s="208">
        <v>37</v>
      </c>
      <c r="AE192" s="208">
        <v>7</v>
      </c>
      <c r="AF192" s="208">
        <v>75680</v>
      </c>
      <c r="AG192" s="138">
        <v>77790</v>
      </c>
    </row>
    <row r="193" spans="1:33" ht="16.2" thickBot="1" x14ac:dyDescent="0.35">
      <c r="E193" s="61"/>
      <c r="F193" s="39"/>
      <c r="G193" s="40"/>
      <c r="H193" s="41"/>
      <c r="I193" s="58"/>
      <c r="J193" s="40"/>
      <c r="K193" s="40"/>
      <c r="L193" s="43"/>
      <c r="M193" s="53"/>
      <c r="N193" s="59"/>
      <c r="O193" s="43"/>
      <c r="P193" s="59"/>
      <c r="Q193" s="59"/>
      <c r="R193" s="45"/>
      <c r="S193" s="103"/>
      <c r="T193" s="46"/>
      <c r="U193" s="47"/>
      <c r="V193" s="234"/>
      <c r="W193" s="234"/>
      <c r="X193" s="234"/>
      <c r="Y193" s="234"/>
      <c r="Z193" s="236"/>
      <c r="AA193" s="245"/>
      <c r="AB193" s="214"/>
      <c r="AC193" s="214"/>
      <c r="AD193" s="214"/>
      <c r="AE193" s="214"/>
      <c r="AF193" s="214" t="s">
        <v>64</v>
      </c>
      <c r="AG193" s="139">
        <v>1849600</v>
      </c>
    </row>
    <row r="194" spans="1:33" ht="24" thickBot="1" x14ac:dyDescent="0.5">
      <c r="E194" s="193" t="s">
        <v>133</v>
      </c>
      <c r="O194" s="4"/>
      <c r="V194" s="114"/>
      <c r="W194" s="114"/>
      <c r="X194" s="114"/>
      <c r="Y194" s="114"/>
      <c r="Z194" s="114"/>
      <c r="AA194" s="114"/>
      <c r="AB194" s="114"/>
      <c r="AC194" s="114"/>
      <c r="AD194" s="114"/>
      <c r="AE194" s="114"/>
      <c r="AF194" s="114"/>
      <c r="AG194" s="114"/>
    </row>
    <row r="195" spans="1:33" ht="44.25" customHeight="1" thickBot="1" x14ac:dyDescent="0.35">
      <c r="A195" t="s">
        <v>7</v>
      </c>
      <c r="E195" s="95" t="s">
        <v>127</v>
      </c>
      <c r="F195" s="195" t="s">
        <v>92</v>
      </c>
      <c r="G195" s="196" t="s">
        <v>93</v>
      </c>
      <c r="H195" s="197" t="s">
        <v>134</v>
      </c>
      <c r="I195" s="195" t="s">
        <v>94</v>
      </c>
      <c r="J195" s="202" t="s">
        <v>95</v>
      </c>
      <c r="K195" s="196" t="s">
        <v>96</v>
      </c>
      <c r="L195" s="196" t="s">
        <v>97</v>
      </c>
      <c r="M195" s="196" t="s">
        <v>98</v>
      </c>
      <c r="N195" s="196" t="s">
        <v>128</v>
      </c>
      <c r="O195" s="202" t="s">
        <v>100</v>
      </c>
      <c r="P195" s="196" t="s">
        <v>129</v>
      </c>
      <c r="Q195" s="196" t="s">
        <v>102</v>
      </c>
      <c r="R195" s="195" t="s">
        <v>103</v>
      </c>
      <c r="S195" s="196" t="s">
        <v>104</v>
      </c>
      <c r="T195" s="196" t="s">
        <v>105</v>
      </c>
      <c r="U195" s="197" t="s">
        <v>90</v>
      </c>
      <c r="V195" s="250" t="s">
        <v>106</v>
      </c>
      <c r="W195" s="251" t="s">
        <v>107</v>
      </c>
      <c r="X195" s="250" t="s">
        <v>108</v>
      </c>
      <c r="Y195" s="251" t="s">
        <v>109</v>
      </c>
      <c r="Z195" s="252" t="s">
        <v>110</v>
      </c>
      <c r="AA195" s="248" t="s">
        <v>111</v>
      </c>
      <c r="AB195" s="248" t="s">
        <v>112</v>
      </c>
      <c r="AC195" s="248" t="s">
        <v>113</v>
      </c>
      <c r="AD195" s="248" t="s">
        <v>114</v>
      </c>
      <c r="AE195" s="248" t="s">
        <v>136</v>
      </c>
      <c r="AF195" s="248" t="s">
        <v>115</v>
      </c>
      <c r="AG195" s="249" t="s">
        <v>116</v>
      </c>
    </row>
    <row r="196" spans="1:33" x14ac:dyDescent="0.3">
      <c r="A196" t="s">
        <v>7</v>
      </c>
      <c r="B196" t="s">
        <v>183</v>
      </c>
      <c r="C196" t="s">
        <v>133</v>
      </c>
      <c r="D196" t="str">
        <f t="shared" ref="D196:D204" si="14">A196&amp;B196&amp;C196&amp;R196</f>
        <v>БизнесСтандартный вариантИтого (промоутеры+ФБ/инстаграмм)1</v>
      </c>
      <c r="E196" s="60">
        <v>500</v>
      </c>
      <c r="F196" s="23">
        <v>10</v>
      </c>
      <c r="G196" s="24">
        <v>25</v>
      </c>
      <c r="H196" s="25">
        <v>5</v>
      </c>
      <c r="I196" s="56">
        <v>0.2</v>
      </c>
      <c r="J196" s="27">
        <v>50</v>
      </c>
      <c r="K196" s="27">
        <v>10</v>
      </c>
      <c r="L196" s="27">
        <v>5</v>
      </c>
      <c r="M196" s="48">
        <v>1.1904761904761905</v>
      </c>
      <c r="N196" s="57">
        <v>0.35</v>
      </c>
      <c r="O196" s="27">
        <v>84.5</v>
      </c>
      <c r="P196" s="57">
        <v>0.35</v>
      </c>
      <c r="Q196" s="57">
        <v>0.5</v>
      </c>
      <c r="R196" s="29">
        <v>1</v>
      </c>
      <c r="S196" s="30">
        <v>550</v>
      </c>
      <c r="T196" s="30">
        <v>400</v>
      </c>
      <c r="U196" s="31">
        <v>5490</v>
      </c>
      <c r="V196" s="218">
        <v>33800</v>
      </c>
      <c r="W196" s="218">
        <v>26</v>
      </c>
      <c r="X196" s="218">
        <v>142740</v>
      </c>
      <c r="Y196" s="218">
        <v>26</v>
      </c>
      <c r="Z196" s="219">
        <v>52550</v>
      </c>
      <c r="AA196" s="204">
        <v>0</v>
      </c>
      <c r="AB196" s="205">
        <v>0</v>
      </c>
      <c r="AC196" s="205">
        <v>176540</v>
      </c>
      <c r="AD196" s="205">
        <v>5</v>
      </c>
      <c r="AE196" s="205">
        <v>9</v>
      </c>
      <c r="AF196" s="205">
        <v>24080</v>
      </c>
      <c r="AG196" s="206">
        <v>99910</v>
      </c>
    </row>
    <row r="197" spans="1:33" x14ac:dyDescent="0.3">
      <c r="A197" t="s">
        <v>7</v>
      </c>
      <c r="B197" t="s">
        <v>183</v>
      </c>
      <c r="C197" t="s">
        <v>133</v>
      </c>
      <c r="D197" t="str">
        <f t="shared" si="14"/>
        <v>БизнесСтандартный вариантИтого (промоутеры+ФБ/инстаграмм)2</v>
      </c>
      <c r="E197" s="60">
        <v>500</v>
      </c>
      <c r="F197" s="23">
        <v>10</v>
      </c>
      <c r="G197" s="24">
        <v>25</v>
      </c>
      <c r="H197" s="25">
        <v>5</v>
      </c>
      <c r="I197" s="56">
        <v>0.2</v>
      </c>
      <c r="J197" s="24">
        <v>50</v>
      </c>
      <c r="K197" s="24">
        <v>10</v>
      </c>
      <c r="L197" s="27">
        <v>5</v>
      </c>
      <c r="M197" s="48">
        <v>1.1904761904761905</v>
      </c>
      <c r="N197" s="57">
        <v>0.35</v>
      </c>
      <c r="O197" s="27">
        <v>84.5</v>
      </c>
      <c r="P197" s="57">
        <v>0.35</v>
      </c>
      <c r="Q197" s="57">
        <v>0.5</v>
      </c>
      <c r="R197" s="29">
        <v>2</v>
      </c>
      <c r="S197" s="30">
        <v>550</v>
      </c>
      <c r="T197" s="30">
        <v>400</v>
      </c>
      <c r="U197" s="31">
        <v>5490</v>
      </c>
      <c r="V197" s="222">
        <v>33800</v>
      </c>
      <c r="W197" s="222">
        <v>26</v>
      </c>
      <c r="X197" s="222">
        <v>142740</v>
      </c>
      <c r="Y197" s="222">
        <v>52</v>
      </c>
      <c r="Z197" s="223">
        <v>52550</v>
      </c>
      <c r="AA197" s="207">
        <v>0</v>
      </c>
      <c r="AB197" s="208">
        <v>0</v>
      </c>
      <c r="AC197" s="208">
        <v>176540</v>
      </c>
      <c r="AD197" s="208">
        <v>9</v>
      </c>
      <c r="AE197" s="208">
        <v>9</v>
      </c>
      <c r="AF197" s="208">
        <v>30960</v>
      </c>
      <c r="AG197" s="138">
        <v>145580</v>
      </c>
    </row>
    <row r="198" spans="1:33" x14ac:dyDescent="0.3">
      <c r="A198" t="s">
        <v>7</v>
      </c>
      <c r="B198" t="s">
        <v>183</v>
      </c>
      <c r="C198" t="s">
        <v>133</v>
      </c>
      <c r="D198" t="str">
        <f t="shared" si="14"/>
        <v>БизнесСтандартный вариантИтого (промоутеры+ФБ/инстаграмм)3</v>
      </c>
      <c r="E198" s="60">
        <v>500</v>
      </c>
      <c r="F198" s="23">
        <v>10</v>
      </c>
      <c r="G198" s="24">
        <v>25</v>
      </c>
      <c r="H198" s="25">
        <v>5</v>
      </c>
      <c r="I198" s="56">
        <v>0.2</v>
      </c>
      <c r="J198" s="24">
        <v>50</v>
      </c>
      <c r="K198" s="24">
        <v>10</v>
      </c>
      <c r="L198" s="27">
        <v>5</v>
      </c>
      <c r="M198" s="48">
        <v>1.1904761904761905</v>
      </c>
      <c r="N198" s="57">
        <v>0.35</v>
      </c>
      <c r="O198" s="27">
        <v>84.5</v>
      </c>
      <c r="P198" s="57">
        <v>0.35</v>
      </c>
      <c r="Q198" s="57">
        <v>0.5</v>
      </c>
      <c r="R198" s="29">
        <v>3</v>
      </c>
      <c r="S198" s="30">
        <v>550</v>
      </c>
      <c r="T198" s="30">
        <v>400</v>
      </c>
      <c r="U198" s="31">
        <v>5490</v>
      </c>
      <c r="V198" s="222">
        <v>33800</v>
      </c>
      <c r="W198" s="222">
        <v>26</v>
      </c>
      <c r="X198" s="222">
        <v>142740</v>
      </c>
      <c r="Y198" s="222">
        <v>78</v>
      </c>
      <c r="Z198" s="223">
        <v>52550</v>
      </c>
      <c r="AA198" s="207">
        <v>0</v>
      </c>
      <c r="AB198" s="208">
        <v>0</v>
      </c>
      <c r="AC198" s="208">
        <v>176540</v>
      </c>
      <c r="AD198" s="208">
        <v>13</v>
      </c>
      <c r="AE198" s="208">
        <v>9</v>
      </c>
      <c r="AF198" s="208">
        <v>37840</v>
      </c>
      <c r="AG198" s="138">
        <v>138700</v>
      </c>
    </row>
    <row r="199" spans="1:33" x14ac:dyDescent="0.3">
      <c r="A199" t="s">
        <v>7</v>
      </c>
      <c r="B199" t="s">
        <v>183</v>
      </c>
      <c r="C199" t="s">
        <v>133</v>
      </c>
      <c r="D199" t="str">
        <f t="shared" si="14"/>
        <v>БизнесСтандартный вариантИтого (промоутеры+ФБ/инстаграмм)4</v>
      </c>
      <c r="E199" s="60">
        <v>500</v>
      </c>
      <c r="F199" s="23">
        <v>10</v>
      </c>
      <c r="G199" s="24">
        <v>25</v>
      </c>
      <c r="H199" s="25">
        <v>5</v>
      </c>
      <c r="I199" s="56">
        <v>0.2</v>
      </c>
      <c r="J199" s="24">
        <v>50</v>
      </c>
      <c r="K199" s="24">
        <v>10</v>
      </c>
      <c r="L199" s="27">
        <v>5</v>
      </c>
      <c r="M199" s="48">
        <v>1.1904761904761905</v>
      </c>
      <c r="N199" s="57">
        <v>0.35</v>
      </c>
      <c r="O199" s="27">
        <v>84.5</v>
      </c>
      <c r="P199" s="57">
        <v>0.35</v>
      </c>
      <c r="Q199" s="57">
        <v>0.5</v>
      </c>
      <c r="R199" s="29">
        <v>4</v>
      </c>
      <c r="S199" s="30">
        <v>550</v>
      </c>
      <c r="T199" s="30">
        <v>400</v>
      </c>
      <c r="U199" s="31">
        <v>5490</v>
      </c>
      <c r="V199" s="222">
        <v>33800</v>
      </c>
      <c r="W199" s="222">
        <v>26</v>
      </c>
      <c r="X199" s="222">
        <v>142740</v>
      </c>
      <c r="Y199" s="222">
        <v>104</v>
      </c>
      <c r="Z199" s="223">
        <v>52550</v>
      </c>
      <c r="AA199" s="207">
        <v>0</v>
      </c>
      <c r="AB199" s="208">
        <v>0</v>
      </c>
      <c r="AC199" s="208">
        <v>176540</v>
      </c>
      <c r="AD199" s="208">
        <v>17</v>
      </c>
      <c r="AE199" s="208">
        <v>9</v>
      </c>
      <c r="AF199" s="208">
        <v>44720</v>
      </c>
      <c r="AG199" s="138">
        <v>131820</v>
      </c>
    </row>
    <row r="200" spans="1:33" x14ac:dyDescent="0.3">
      <c r="A200" t="s">
        <v>7</v>
      </c>
      <c r="B200" t="s">
        <v>183</v>
      </c>
      <c r="C200" t="s">
        <v>133</v>
      </c>
      <c r="D200" t="str">
        <f t="shared" si="14"/>
        <v>БизнесСтандартный вариантИтого (промоутеры+ФБ/инстаграмм)5</v>
      </c>
      <c r="E200" s="60">
        <v>500</v>
      </c>
      <c r="F200" s="23">
        <v>10</v>
      </c>
      <c r="G200" s="24">
        <v>25</v>
      </c>
      <c r="H200" s="25">
        <v>5</v>
      </c>
      <c r="I200" s="98">
        <v>0.2</v>
      </c>
      <c r="J200" s="81">
        <v>50</v>
      </c>
      <c r="K200" s="81">
        <v>10</v>
      </c>
      <c r="L200" s="80">
        <v>5</v>
      </c>
      <c r="M200" s="74">
        <v>1.1904761904761905</v>
      </c>
      <c r="N200" s="99">
        <v>0.35</v>
      </c>
      <c r="O200" s="80">
        <v>84.5</v>
      </c>
      <c r="P200" s="99">
        <v>0.35</v>
      </c>
      <c r="Q200" s="99">
        <v>0.5</v>
      </c>
      <c r="R200" s="100">
        <v>5</v>
      </c>
      <c r="S200" s="76">
        <v>550</v>
      </c>
      <c r="T200" s="76">
        <v>400</v>
      </c>
      <c r="U200" s="101">
        <v>5490</v>
      </c>
      <c r="V200" s="241">
        <v>33800</v>
      </c>
      <c r="W200" s="241">
        <v>26</v>
      </c>
      <c r="X200" s="241">
        <v>142740</v>
      </c>
      <c r="Y200" s="241">
        <v>118</v>
      </c>
      <c r="Z200" s="242">
        <v>52550</v>
      </c>
      <c r="AA200" s="243">
        <v>12</v>
      </c>
      <c r="AB200" s="211">
        <v>65880</v>
      </c>
      <c r="AC200" s="211">
        <v>242420</v>
      </c>
      <c r="AD200" s="211">
        <v>19</v>
      </c>
      <c r="AE200" s="211">
        <v>9</v>
      </c>
      <c r="AF200" s="211">
        <v>48160</v>
      </c>
      <c r="AG200" s="244">
        <v>194260</v>
      </c>
    </row>
    <row r="201" spans="1:33" x14ac:dyDescent="0.3">
      <c r="A201" t="s">
        <v>7</v>
      </c>
      <c r="B201" t="s">
        <v>183</v>
      </c>
      <c r="C201" t="s">
        <v>133</v>
      </c>
      <c r="D201" t="str">
        <f t="shared" si="14"/>
        <v>БизнесСтандартный вариантИтого (промоутеры+ФБ/инстаграмм)6</v>
      </c>
      <c r="E201" s="60">
        <v>500</v>
      </c>
      <c r="F201" s="23">
        <v>10</v>
      </c>
      <c r="G201" s="24">
        <v>25</v>
      </c>
      <c r="H201" s="25">
        <v>5</v>
      </c>
      <c r="I201" s="56">
        <v>0.2</v>
      </c>
      <c r="J201" s="24">
        <v>50</v>
      </c>
      <c r="K201" s="24">
        <v>10</v>
      </c>
      <c r="L201" s="27">
        <v>5</v>
      </c>
      <c r="M201" s="48">
        <v>1.1904761904761905</v>
      </c>
      <c r="N201" s="57">
        <v>0.35</v>
      </c>
      <c r="O201" s="27">
        <v>84.5</v>
      </c>
      <c r="P201" s="57">
        <v>0.35</v>
      </c>
      <c r="Q201" s="57">
        <v>0.5</v>
      </c>
      <c r="R201" s="29">
        <v>6</v>
      </c>
      <c r="S201" s="30">
        <v>550</v>
      </c>
      <c r="T201" s="30">
        <v>400</v>
      </c>
      <c r="U201" s="31">
        <v>5490</v>
      </c>
      <c r="V201" s="222">
        <v>33800</v>
      </c>
      <c r="W201" s="222">
        <v>26</v>
      </c>
      <c r="X201" s="222">
        <v>142740</v>
      </c>
      <c r="Y201" s="222">
        <v>132</v>
      </c>
      <c r="Z201" s="223">
        <v>52550</v>
      </c>
      <c r="AA201" s="207">
        <v>12</v>
      </c>
      <c r="AB201" s="208">
        <v>65880</v>
      </c>
      <c r="AC201" s="208">
        <v>242420</v>
      </c>
      <c r="AD201" s="208">
        <v>21</v>
      </c>
      <c r="AE201" s="208">
        <v>9</v>
      </c>
      <c r="AF201" s="208">
        <v>51600</v>
      </c>
      <c r="AG201" s="138">
        <v>190820</v>
      </c>
    </row>
    <row r="202" spans="1:33" x14ac:dyDescent="0.3">
      <c r="A202" t="s">
        <v>7</v>
      </c>
      <c r="B202" t="s">
        <v>183</v>
      </c>
      <c r="C202" t="s">
        <v>133</v>
      </c>
      <c r="D202" t="str">
        <f t="shared" si="14"/>
        <v>БизнесСтандартный вариантИтого (промоутеры+ФБ/инстаграмм)7</v>
      </c>
      <c r="E202" s="60">
        <v>500</v>
      </c>
      <c r="F202" s="23">
        <v>10</v>
      </c>
      <c r="G202" s="24">
        <v>25</v>
      </c>
      <c r="H202" s="25">
        <v>5</v>
      </c>
      <c r="I202" s="56">
        <v>0.2</v>
      </c>
      <c r="J202" s="24">
        <v>50</v>
      </c>
      <c r="K202" s="24">
        <v>10</v>
      </c>
      <c r="L202" s="27">
        <v>5</v>
      </c>
      <c r="M202" s="48">
        <v>1.1904761904761905</v>
      </c>
      <c r="N202" s="57">
        <v>0.35</v>
      </c>
      <c r="O202" s="27">
        <v>84.5</v>
      </c>
      <c r="P202" s="57">
        <v>0.35</v>
      </c>
      <c r="Q202" s="57">
        <v>0.5</v>
      </c>
      <c r="R202" s="29">
        <v>7</v>
      </c>
      <c r="S202" s="30">
        <v>550</v>
      </c>
      <c r="T202" s="30">
        <v>400</v>
      </c>
      <c r="U202" s="31">
        <v>5490</v>
      </c>
      <c r="V202" s="222">
        <v>33800</v>
      </c>
      <c r="W202" s="222">
        <v>26</v>
      </c>
      <c r="X202" s="222">
        <v>142740</v>
      </c>
      <c r="Y202" s="222">
        <v>146</v>
      </c>
      <c r="Z202" s="223">
        <v>52550</v>
      </c>
      <c r="AA202" s="207">
        <v>12</v>
      </c>
      <c r="AB202" s="208">
        <v>65880</v>
      </c>
      <c r="AC202" s="208">
        <v>242420</v>
      </c>
      <c r="AD202" s="208">
        <v>24</v>
      </c>
      <c r="AE202" s="208">
        <v>9</v>
      </c>
      <c r="AF202" s="208">
        <v>56760</v>
      </c>
      <c r="AG202" s="138">
        <v>185660</v>
      </c>
    </row>
    <row r="203" spans="1:33" x14ac:dyDescent="0.3">
      <c r="A203" t="s">
        <v>7</v>
      </c>
      <c r="B203" t="s">
        <v>183</v>
      </c>
      <c r="C203" t="s">
        <v>133</v>
      </c>
      <c r="D203" t="str">
        <f t="shared" si="14"/>
        <v>БизнесСтандартный вариантИтого (промоутеры+ФБ/инстаграмм)8</v>
      </c>
      <c r="E203" s="60">
        <v>500</v>
      </c>
      <c r="F203" s="23">
        <v>10</v>
      </c>
      <c r="G203" s="24">
        <v>25</v>
      </c>
      <c r="H203" s="25">
        <v>5</v>
      </c>
      <c r="I203" s="56">
        <v>0.2</v>
      </c>
      <c r="J203" s="24">
        <v>50</v>
      </c>
      <c r="K203" s="24">
        <v>10</v>
      </c>
      <c r="L203" s="27">
        <v>5</v>
      </c>
      <c r="M203" s="48">
        <v>1.1904761904761905</v>
      </c>
      <c r="N203" s="57">
        <v>0.27500000000000002</v>
      </c>
      <c r="O203" s="27">
        <v>67</v>
      </c>
      <c r="P203" s="57">
        <v>0.35</v>
      </c>
      <c r="Q203" s="57">
        <v>0.35</v>
      </c>
      <c r="R203" s="29">
        <v>8</v>
      </c>
      <c r="S203" s="30">
        <v>550</v>
      </c>
      <c r="T203" s="30">
        <v>400</v>
      </c>
      <c r="U203" s="31">
        <v>5490</v>
      </c>
      <c r="V203" s="222">
        <v>26800</v>
      </c>
      <c r="W203" s="222">
        <v>17</v>
      </c>
      <c r="X203" s="222">
        <v>93330</v>
      </c>
      <c r="Y203" s="222">
        <v>155</v>
      </c>
      <c r="Z203" s="223">
        <v>41800</v>
      </c>
      <c r="AA203" s="207">
        <v>8</v>
      </c>
      <c r="AB203" s="208">
        <v>43920</v>
      </c>
      <c r="AC203" s="208">
        <v>164050</v>
      </c>
      <c r="AD203" s="208">
        <v>25</v>
      </c>
      <c r="AE203" s="208">
        <v>6</v>
      </c>
      <c r="AF203" s="208">
        <v>53320</v>
      </c>
      <c r="AG203" s="138">
        <v>110730</v>
      </c>
    </row>
    <row r="204" spans="1:33" x14ac:dyDescent="0.3">
      <c r="A204" t="s">
        <v>7</v>
      </c>
      <c r="B204" t="s">
        <v>183</v>
      </c>
      <c r="C204" t="s">
        <v>133</v>
      </c>
      <c r="D204" t="str">
        <f t="shared" si="14"/>
        <v>БизнесСтандартный вариантИтого (промоутеры+ФБ/инстаграмм)9</v>
      </c>
      <c r="E204" s="60">
        <v>500</v>
      </c>
      <c r="F204" s="23">
        <v>10</v>
      </c>
      <c r="G204" s="24">
        <v>25</v>
      </c>
      <c r="H204" s="25">
        <v>5</v>
      </c>
      <c r="I204" s="56">
        <v>0.2</v>
      </c>
      <c r="J204" s="24">
        <v>50</v>
      </c>
      <c r="K204" s="24">
        <v>10</v>
      </c>
      <c r="L204" s="27">
        <v>5</v>
      </c>
      <c r="M204" s="48">
        <v>1.1904761904761905</v>
      </c>
      <c r="N204" s="57">
        <v>0.2</v>
      </c>
      <c r="O204" s="27">
        <v>49.500000000000007</v>
      </c>
      <c r="P204" s="57">
        <v>0.2</v>
      </c>
      <c r="Q204" s="57">
        <v>0.2</v>
      </c>
      <c r="R204" s="29">
        <v>9</v>
      </c>
      <c r="S204" s="102">
        <v>550</v>
      </c>
      <c r="T204" s="30">
        <v>400</v>
      </c>
      <c r="U204" s="31">
        <v>5490</v>
      </c>
      <c r="V204" s="222">
        <v>19800.000000000004</v>
      </c>
      <c r="W204" s="222">
        <v>10</v>
      </c>
      <c r="X204" s="222">
        <v>54900</v>
      </c>
      <c r="Y204" s="222">
        <v>161</v>
      </c>
      <c r="Z204" s="223">
        <v>31050.000000000004</v>
      </c>
      <c r="AA204" s="207">
        <v>4</v>
      </c>
      <c r="AB204" s="208">
        <v>21960</v>
      </c>
      <c r="AC204" s="208">
        <v>96660</v>
      </c>
      <c r="AD204" s="208">
        <v>25</v>
      </c>
      <c r="AE204" s="208">
        <v>5</v>
      </c>
      <c r="AF204" s="208">
        <v>51600</v>
      </c>
      <c r="AG204" s="138">
        <v>45060</v>
      </c>
    </row>
    <row r="205" spans="1:33" ht="16.2" thickBot="1" x14ac:dyDescent="0.35">
      <c r="E205" s="61"/>
      <c r="F205" s="39"/>
      <c r="G205" s="40"/>
      <c r="H205" s="41"/>
      <c r="I205" s="58"/>
      <c r="J205" s="40"/>
      <c r="K205" s="40"/>
      <c r="L205" s="43"/>
      <c r="M205" s="53"/>
      <c r="N205" s="59"/>
      <c r="O205" s="43"/>
      <c r="P205" s="59"/>
      <c r="Q205" s="59"/>
      <c r="R205" s="45"/>
      <c r="S205" s="103"/>
      <c r="T205" s="46"/>
      <c r="U205" s="47"/>
      <c r="V205" s="234"/>
      <c r="W205" s="234"/>
      <c r="X205" s="234"/>
      <c r="Y205" s="234"/>
      <c r="Z205" s="236"/>
      <c r="AA205" s="245"/>
      <c r="AB205" s="214"/>
      <c r="AC205" s="214"/>
      <c r="AD205" s="214"/>
      <c r="AE205" s="214"/>
      <c r="AF205" s="214" t="s">
        <v>64</v>
      </c>
      <c r="AG205" s="139">
        <v>1242540</v>
      </c>
    </row>
    <row r="206" spans="1:33" x14ac:dyDescent="0.3">
      <c r="V206" s="114"/>
      <c r="W206" s="114"/>
      <c r="X206" s="114"/>
      <c r="Y206" s="114"/>
      <c r="Z206" s="114"/>
      <c r="AA206" s="114"/>
      <c r="AB206" s="114"/>
      <c r="AC206" s="114"/>
      <c r="AD206" s="114"/>
      <c r="AE206" s="114"/>
      <c r="AF206" s="114"/>
      <c r="AG206" s="114"/>
    </row>
    <row r="207" spans="1:33" ht="24" thickBot="1" x14ac:dyDescent="0.5">
      <c r="E207" s="193" t="s">
        <v>133</v>
      </c>
      <c r="O207" s="4"/>
      <c r="V207" s="114"/>
      <c r="W207" s="114"/>
      <c r="X207" s="114"/>
      <c r="Y207" s="114"/>
      <c r="Z207" s="114"/>
      <c r="AA207" s="114"/>
      <c r="AB207" s="114"/>
      <c r="AC207" s="114"/>
      <c r="AD207" s="114"/>
      <c r="AE207" s="114"/>
      <c r="AF207" s="114"/>
      <c r="AG207" s="114"/>
    </row>
    <row r="208" spans="1:33" ht="51.75" customHeight="1" thickBot="1" x14ac:dyDescent="0.35">
      <c r="A208" t="s">
        <v>7</v>
      </c>
      <c r="E208" s="95" t="s">
        <v>127</v>
      </c>
      <c r="F208" s="195" t="s">
        <v>92</v>
      </c>
      <c r="G208" s="196" t="s">
        <v>93</v>
      </c>
      <c r="H208" s="197" t="s">
        <v>134</v>
      </c>
      <c r="I208" s="195" t="s">
        <v>94</v>
      </c>
      <c r="J208" s="202" t="s">
        <v>95</v>
      </c>
      <c r="K208" s="196" t="s">
        <v>96</v>
      </c>
      <c r="L208" s="196" t="s">
        <v>97</v>
      </c>
      <c r="M208" s="196" t="s">
        <v>98</v>
      </c>
      <c r="N208" s="196" t="s">
        <v>128</v>
      </c>
      <c r="O208" s="202" t="s">
        <v>100</v>
      </c>
      <c r="P208" s="196" t="s">
        <v>129</v>
      </c>
      <c r="Q208" s="196" t="s">
        <v>102</v>
      </c>
      <c r="R208" s="195" t="s">
        <v>103</v>
      </c>
      <c r="S208" s="196" t="s">
        <v>104</v>
      </c>
      <c r="T208" s="196" t="s">
        <v>105</v>
      </c>
      <c r="U208" s="197" t="s">
        <v>90</v>
      </c>
      <c r="V208" s="250" t="s">
        <v>106</v>
      </c>
      <c r="W208" s="251" t="s">
        <v>107</v>
      </c>
      <c r="X208" s="250" t="s">
        <v>108</v>
      </c>
      <c r="Y208" s="251" t="s">
        <v>109</v>
      </c>
      <c r="Z208" s="252" t="s">
        <v>110</v>
      </c>
      <c r="AA208" s="248" t="s">
        <v>111</v>
      </c>
      <c r="AB208" s="248" t="s">
        <v>112</v>
      </c>
      <c r="AC208" s="248" t="s">
        <v>113</v>
      </c>
      <c r="AD208" s="248" t="s">
        <v>114</v>
      </c>
      <c r="AE208" s="248" t="s">
        <v>136</v>
      </c>
      <c r="AF208" s="248" t="s">
        <v>115</v>
      </c>
      <c r="AG208" s="249" t="s">
        <v>116</v>
      </c>
    </row>
    <row r="209" spans="1:33" x14ac:dyDescent="0.3">
      <c r="A209" t="s">
        <v>7</v>
      </c>
      <c r="B209" t="s">
        <v>184</v>
      </c>
      <c r="C209" t="s">
        <v>133</v>
      </c>
      <c r="D209" t="str">
        <f t="shared" ref="D209:D217" si="15">A209&amp;B209&amp;C209&amp;R209</f>
        <v>БизнесПессиместичный вариантИтого (промоутеры+ФБ/инстаграмм)1</v>
      </c>
      <c r="E209" s="60">
        <v>500</v>
      </c>
      <c r="F209" s="23">
        <v>10</v>
      </c>
      <c r="G209" s="24">
        <v>25</v>
      </c>
      <c r="H209" s="25">
        <v>5</v>
      </c>
      <c r="I209" s="56">
        <v>0.18</v>
      </c>
      <c r="J209" s="27">
        <v>45</v>
      </c>
      <c r="K209" s="27">
        <v>10</v>
      </c>
      <c r="L209" s="27">
        <v>4.5</v>
      </c>
      <c r="M209" s="48">
        <v>1.0714285714285714</v>
      </c>
      <c r="N209" s="57">
        <v>0.33</v>
      </c>
      <c r="O209" s="27">
        <v>76.5</v>
      </c>
      <c r="P209" s="57">
        <v>0.35</v>
      </c>
      <c r="Q209" s="57">
        <v>0.5</v>
      </c>
      <c r="R209" s="29">
        <v>1</v>
      </c>
      <c r="S209" s="30">
        <v>587.5</v>
      </c>
      <c r="T209" s="30">
        <v>400</v>
      </c>
      <c r="U209" s="31">
        <v>5490</v>
      </c>
      <c r="V209" s="218">
        <v>30600</v>
      </c>
      <c r="W209" s="218">
        <v>23</v>
      </c>
      <c r="X209" s="218">
        <v>126270</v>
      </c>
      <c r="Y209" s="218">
        <v>23</v>
      </c>
      <c r="Z209" s="219">
        <v>51200</v>
      </c>
      <c r="AA209" s="204">
        <v>0</v>
      </c>
      <c r="AB209" s="205">
        <v>0</v>
      </c>
      <c r="AC209" s="205">
        <v>156870</v>
      </c>
      <c r="AD209" s="205">
        <v>4</v>
      </c>
      <c r="AE209" s="205">
        <v>8</v>
      </c>
      <c r="AF209" s="205">
        <v>20640</v>
      </c>
      <c r="AG209" s="206">
        <v>85030</v>
      </c>
    </row>
    <row r="210" spans="1:33" x14ac:dyDescent="0.3">
      <c r="A210" t="s">
        <v>7</v>
      </c>
      <c r="B210" t="s">
        <v>184</v>
      </c>
      <c r="C210" t="s">
        <v>133</v>
      </c>
      <c r="D210" t="str">
        <f t="shared" si="15"/>
        <v>БизнесПессиместичный вариантИтого (промоутеры+ФБ/инстаграмм)2</v>
      </c>
      <c r="E210" s="60">
        <v>500</v>
      </c>
      <c r="F210" s="23">
        <v>10</v>
      </c>
      <c r="G210" s="24">
        <v>25</v>
      </c>
      <c r="H210" s="25">
        <v>5</v>
      </c>
      <c r="I210" s="56">
        <v>0.18</v>
      </c>
      <c r="J210" s="24">
        <v>45</v>
      </c>
      <c r="K210" s="24">
        <v>10</v>
      </c>
      <c r="L210" s="27">
        <v>4.5</v>
      </c>
      <c r="M210" s="48">
        <v>1.0714285714285714</v>
      </c>
      <c r="N210" s="57">
        <v>0.33</v>
      </c>
      <c r="O210" s="27">
        <v>76.5</v>
      </c>
      <c r="P210" s="57">
        <v>0.35</v>
      </c>
      <c r="Q210" s="57">
        <v>0.5</v>
      </c>
      <c r="R210" s="29">
        <v>2</v>
      </c>
      <c r="S210" s="30">
        <v>587.5</v>
      </c>
      <c r="T210" s="30">
        <v>400</v>
      </c>
      <c r="U210" s="31">
        <v>5490</v>
      </c>
      <c r="V210" s="222">
        <v>30600</v>
      </c>
      <c r="W210" s="222">
        <v>23</v>
      </c>
      <c r="X210" s="222">
        <v>126270</v>
      </c>
      <c r="Y210" s="222">
        <v>46</v>
      </c>
      <c r="Z210" s="223">
        <v>51200</v>
      </c>
      <c r="AA210" s="207">
        <v>0</v>
      </c>
      <c r="AB210" s="208">
        <v>0</v>
      </c>
      <c r="AC210" s="208">
        <v>156870</v>
      </c>
      <c r="AD210" s="208">
        <v>8</v>
      </c>
      <c r="AE210" s="208">
        <v>8</v>
      </c>
      <c r="AF210" s="208">
        <v>27520</v>
      </c>
      <c r="AG210" s="138">
        <v>129350</v>
      </c>
    </row>
    <row r="211" spans="1:33" x14ac:dyDescent="0.3">
      <c r="A211" t="s">
        <v>7</v>
      </c>
      <c r="B211" t="s">
        <v>184</v>
      </c>
      <c r="C211" t="s">
        <v>133</v>
      </c>
      <c r="D211" t="str">
        <f t="shared" si="15"/>
        <v>БизнесПессиместичный вариантИтого (промоутеры+ФБ/инстаграмм)3</v>
      </c>
      <c r="E211" s="60">
        <v>500</v>
      </c>
      <c r="F211" s="23">
        <v>10</v>
      </c>
      <c r="G211" s="24">
        <v>25</v>
      </c>
      <c r="H211" s="25">
        <v>5</v>
      </c>
      <c r="I211" s="56">
        <v>0.18</v>
      </c>
      <c r="J211" s="24">
        <v>45</v>
      </c>
      <c r="K211" s="24">
        <v>10</v>
      </c>
      <c r="L211" s="27">
        <v>4.5</v>
      </c>
      <c r="M211" s="48">
        <v>1.0714285714285714</v>
      </c>
      <c r="N211" s="57">
        <v>0.33</v>
      </c>
      <c r="O211" s="27">
        <v>76.5</v>
      </c>
      <c r="P211" s="57">
        <v>0.35</v>
      </c>
      <c r="Q211" s="57">
        <v>0.5</v>
      </c>
      <c r="R211" s="29">
        <v>3</v>
      </c>
      <c r="S211" s="30">
        <v>587.5</v>
      </c>
      <c r="T211" s="30">
        <v>400</v>
      </c>
      <c r="U211" s="31">
        <v>5490</v>
      </c>
      <c r="V211" s="222">
        <v>30600</v>
      </c>
      <c r="W211" s="222">
        <v>23</v>
      </c>
      <c r="X211" s="222">
        <v>126270</v>
      </c>
      <c r="Y211" s="222">
        <v>69</v>
      </c>
      <c r="Z211" s="223">
        <v>51200</v>
      </c>
      <c r="AA211" s="207">
        <v>0</v>
      </c>
      <c r="AB211" s="208">
        <v>0</v>
      </c>
      <c r="AC211" s="208">
        <v>156870</v>
      </c>
      <c r="AD211" s="208">
        <v>11</v>
      </c>
      <c r="AE211" s="208">
        <v>8</v>
      </c>
      <c r="AF211" s="208">
        <v>32680</v>
      </c>
      <c r="AG211" s="138">
        <v>124190</v>
      </c>
    </row>
    <row r="212" spans="1:33" x14ac:dyDescent="0.3">
      <c r="A212" t="s">
        <v>7</v>
      </c>
      <c r="B212" t="s">
        <v>184</v>
      </c>
      <c r="C212" t="s">
        <v>133</v>
      </c>
      <c r="D212" t="str">
        <f t="shared" si="15"/>
        <v>БизнесПессиместичный вариантИтого (промоутеры+ФБ/инстаграмм)4</v>
      </c>
      <c r="E212" s="60">
        <v>500</v>
      </c>
      <c r="F212" s="23">
        <v>10</v>
      </c>
      <c r="G212" s="24">
        <v>25</v>
      </c>
      <c r="H212" s="25">
        <v>5</v>
      </c>
      <c r="I212" s="56">
        <v>0.18</v>
      </c>
      <c r="J212" s="24">
        <v>45</v>
      </c>
      <c r="K212" s="24">
        <v>10</v>
      </c>
      <c r="L212" s="27">
        <v>4.5</v>
      </c>
      <c r="M212" s="48">
        <v>1.0714285714285714</v>
      </c>
      <c r="N212" s="57">
        <v>0.33</v>
      </c>
      <c r="O212" s="27">
        <v>76.5</v>
      </c>
      <c r="P212" s="57">
        <v>0.35</v>
      </c>
      <c r="Q212" s="57">
        <v>0.5</v>
      </c>
      <c r="R212" s="29">
        <v>4</v>
      </c>
      <c r="S212" s="30">
        <v>587.5</v>
      </c>
      <c r="T212" s="30">
        <v>400</v>
      </c>
      <c r="U212" s="31">
        <v>5490</v>
      </c>
      <c r="V212" s="222">
        <v>30600</v>
      </c>
      <c r="W212" s="222">
        <v>23</v>
      </c>
      <c r="X212" s="222">
        <v>126270</v>
      </c>
      <c r="Y212" s="222">
        <v>92</v>
      </c>
      <c r="Z212" s="223">
        <v>51200</v>
      </c>
      <c r="AA212" s="207">
        <v>0</v>
      </c>
      <c r="AB212" s="208">
        <v>0</v>
      </c>
      <c r="AC212" s="208">
        <v>156870</v>
      </c>
      <c r="AD212" s="208">
        <v>15</v>
      </c>
      <c r="AE212" s="208">
        <v>8</v>
      </c>
      <c r="AF212" s="208">
        <v>39560</v>
      </c>
      <c r="AG212" s="138">
        <v>117310</v>
      </c>
    </row>
    <row r="213" spans="1:33" x14ac:dyDescent="0.3">
      <c r="A213" t="s">
        <v>7</v>
      </c>
      <c r="B213" t="s">
        <v>184</v>
      </c>
      <c r="C213" t="s">
        <v>133</v>
      </c>
      <c r="D213" t="str">
        <f t="shared" si="15"/>
        <v>БизнесПессиместичный вариантИтого (промоутеры+ФБ/инстаграмм)5</v>
      </c>
      <c r="E213" s="60">
        <v>500</v>
      </c>
      <c r="F213" s="23">
        <v>10</v>
      </c>
      <c r="G213" s="24">
        <v>25</v>
      </c>
      <c r="H213" s="25">
        <v>5</v>
      </c>
      <c r="I213" s="98">
        <v>0.18</v>
      </c>
      <c r="J213" s="81">
        <v>45</v>
      </c>
      <c r="K213" s="81">
        <v>10</v>
      </c>
      <c r="L213" s="80">
        <v>4.5</v>
      </c>
      <c r="M213" s="74">
        <v>1.0714285714285714</v>
      </c>
      <c r="N213" s="99">
        <v>0.33</v>
      </c>
      <c r="O213" s="80">
        <v>76.5</v>
      </c>
      <c r="P213" s="99">
        <v>0.35</v>
      </c>
      <c r="Q213" s="99">
        <v>0.5</v>
      </c>
      <c r="R213" s="100">
        <v>5</v>
      </c>
      <c r="S213" s="76">
        <v>587.5</v>
      </c>
      <c r="T213" s="76">
        <v>400</v>
      </c>
      <c r="U213" s="101">
        <v>5490</v>
      </c>
      <c r="V213" s="241">
        <v>30600</v>
      </c>
      <c r="W213" s="241">
        <v>23</v>
      </c>
      <c r="X213" s="241">
        <v>126270</v>
      </c>
      <c r="Y213" s="241">
        <v>104</v>
      </c>
      <c r="Z213" s="242">
        <v>51200</v>
      </c>
      <c r="AA213" s="243">
        <v>11</v>
      </c>
      <c r="AB213" s="211">
        <v>60390</v>
      </c>
      <c r="AC213" s="211">
        <v>217260</v>
      </c>
      <c r="AD213" s="211">
        <v>17</v>
      </c>
      <c r="AE213" s="211">
        <v>8</v>
      </c>
      <c r="AF213" s="211">
        <v>43000</v>
      </c>
      <c r="AG213" s="244">
        <v>174260</v>
      </c>
    </row>
    <row r="214" spans="1:33" x14ac:dyDescent="0.3">
      <c r="A214" t="s">
        <v>7</v>
      </c>
      <c r="B214" t="s">
        <v>184</v>
      </c>
      <c r="C214" t="s">
        <v>133</v>
      </c>
      <c r="D214" t="str">
        <f t="shared" si="15"/>
        <v>БизнесПессиместичный вариантИтого (промоутеры+ФБ/инстаграмм)6</v>
      </c>
      <c r="E214" s="60">
        <v>500</v>
      </c>
      <c r="F214" s="23">
        <v>10</v>
      </c>
      <c r="G214" s="24">
        <v>25</v>
      </c>
      <c r="H214" s="25">
        <v>5</v>
      </c>
      <c r="I214" s="56">
        <v>0.18</v>
      </c>
      <c r="J214" s="24">
        <v>45</v>
      </c>
      <c r="K214" s="24">
        <v>10</v>
      </c>
      <c r="L214" s="27">
        <v>4.5</v>
      </c>
      <c r="M214" s="48">
        <v>1.0714285714285714</v>
      </c>
      <c r="N214" s="57">
        <v>0.33</v>
      </c>
      <c r="O214" s="27">
        <v>76.5</v>
      </c>
      <c r="P214" s="57">
        <v>0.35</v>
      </c>
      <c r="Q214" s="57">
        <v>0.5</v>
      </c>
      <c r="R214" s="29">
        <v>6</v>
      </c>
      <c r="S214" s="30">
        <v>587.5</v>
      </c>
      <c r="T214" s="30">
        <v>400</v>
      </c>
      <c r="U214" s="31">
        <v>5490</v>
      </c>
      <c r="V214" s="222">
        <v>30600</v>
      </c>
      <c r="W214" s="222">
        <v>23</v>
      </c>
      <c r="X214" s="222">
        <v>126270</v>
      </c>
      <c r="Y214" s="222">
        <v>116</v>
      </c>
      <c r="Z214" s="223">
        <v>51200</v>
      </c>
      <c r="AA214" s="207">
        <v>11</v>
      </c>
      <c r="AB214" s="208">
        <v>60390</v>
      </c>
      <c r="AC214" s="208">
        <v>217260</v>
      </c>
      <c r="AD214" s="208">
        <v>19</v>
      </c>
      <c r="AE214" s="208">
        <v>8</v>
      </c>
      <c r="AF214" s="208">
        <v>46440</v>
      </c>
      <c r="AG214" s="138">
        <v>170820</v>
      </c>
    </row>
    <row r="215" spans="1:33" x14ac:dyDescent="0.3">
      <c r="A215" t="s">
        <v>7</v>
      </c>
      <c r="B215" t="s">
        <v>184</v>
      </c>
      <c r="C215" t="s">
        <v>133</v>
      </c>
      <c r="D215" t="str">
        <f t="shared" si="15"/>
        <v>БизнесПессиместичный вариантИтого (промоутеры+ФБ/инстаграмм)7</v>
      </c>
      <c r="E215" s="60">
        <v>500</v>
      </c>
      <c r="F215" s="23">
        <v>10</v>
      </c>
      <c r="G215" s="24">
        <v>25</v>
      </c>
      <c r="H215" s="25">
        <v>5</v>
      </c>
      <c r="I215" s="56">
        <v>0.18</v>
      </c>
      <c r="J215" s="24">
        <v>45</v>
      </c>
      <c r="K215" s="24">
        <v>10</v>
      </c>
      <c r="L215" s="27">
        <v>4.5</v>
      </c>
      <c r="M215" s="48">
        <v>1.0714285714285714</v>
      </c>
      <c r="N215" s="57">
        <v>0.33</v>
      </c>
      <c r="O215" s="27">
        <v>76.5</v>
      </c>
      <c r="P215" s="57">
        <v>0.35</v>
      </c>
      <c r="Q215" s="57">
        <v>0.5</v>
      </c>
      <c r="R215" s="29">
        <v>7</v>
      </c>
      <c r="S215" s="30">
        <v>587.5</v>
      </c>
      <c r="T215" s="30">
        <v>400</v>
      </c>
      <c r="U215" s="31">
        <v>5490</v>
      </c>
      <c r="V215" s="222">
        <v>30600</v>
      </c>
      <c r="W215" s="222">
        <v>23</v>
      </c>
      <c r="X215" s="222">
        <v>126270</v>
      </c>
      <c r="Y215" s="222">
        <v>128</v>
      </c>
      <c r="Z215" s="223">
        <v>51200</v>
      </c>
      <c r="AA215" s="207">
        <v>11</v>
      </c>
      <c r="AB215" s="208">
        <v>60390</v>
      </c>
      <c r="AC215" s="208">
        <v>217260</v>
      </c>
      <c r="AD215" s="208">
        <v>20</v>
      </c>
      <c r="AE215" s="208">
        <v>8</v>
      </c>
      <c r="AF215" s="208">
        <v>48160</v>
      </c>
      <c r="AG215" s="138">
        <v>169100</v>
      </c>
    </row>
    <row r="216" spans="1:33" x14ac:dyDescent="0.3">
      <c r="A216" t="s">
        <v>7</v>
      </c>
      <c r="B216" t="s">
        <v>184</v>
      </c>
      <c r="C216" t="s">
        <v>133</v>
      </c>
      <c r="D216" t="str">
        <f t="shared" si="15"/>
        <v>БизнесПессиместичный вариантИтого (промоутеры+ФБ/инстаграмм)8</v>
      </c>
      <c r="E216" s="60">
        <v>500</v>
      </c>
      <c r="F216" s="23">
        <v>10</v>
      </c>
      <c r="G216" s="24">
        <v>25</v>
      </c>
      <c r="H216" s="25">
        <v>5</v>
      </c>
      <c r="I216" s="56">
        <v>0.18</v>
      </c>
      <c r="J216" s="24">
        <v>45</v>
      </c>
      <c r="K216" s="24">
        <v>10</v>
      </c>
      <c r="L216" s="27">
        <v>4.5</v>
      </c>
      <c r="M216" s="48">
        <v>1.0714285714285714</v>
      </c>
      <c r="N216" s="57">
        <v>0.255</v>
      </c>
      <c r="O216" s="27">
        <v>59</v>
      </c>
      <c r="P216" s="57">
        <v>0.35</v>
      </c>
      <c r="Q216" s="57">
        <v>0.35</v>
      </c>
      <c r="R216" s="29">
        <v>8</v>
      </c>
      <c r="S216" s="30">
        <v>600</v>
      </c>
      <c r="T216" s="30">
        <v>400</v>
      </c>
      <c r="U216" s="31">
        <v>5490</v>
      </c>
      <c r="V216" s="222">
        <v>23600</v>
      </c>
      <c r="W216" s="222">
        <v>14</v>
      </c>
      <c r="X216" s="222">
        <v>76860</v>
      </c>
      <c r="Y216" s="222">
        <v>135</v>
      </c>
      <c r="Z216" s="223">
        <v>40050</v>
      </c>
      <c r="AA216" s="207">
        <v>7</v>
      </c>
      <c r="AB216" s="208">
        <v>38430</v>
      </c>
      <c r="AC216" s="208">
        <v>138890</v>
      </c>
      <c r="AD216" s="208">
        <v>22</v>
      </c>
      <c r="AE216" s="208">
        <v>6</v>
      </c>
      <c r="AF216" s="208">
        <v>48160</v>
      </c>
      <c r="AG216" s="138">
        <v>90730</v>
      </c>
    </row>
    <row r="217" spans="1:33" x14ac:dyDescent="0.3">
      <c r="A217" t="s">
        <v>7</v>
      </c>
      <c r="B217" t="s">
        <v>184</v>
      </c>
      <c r="C217" t="s">
        <v>133</v>
      </c>
      <c r="D217" t="str">
        <f t="shared" si="15"/>
        <v>БизнесПессиместичный вариантИтого (промоутеры+ФБ/инстаграмм)9</v>
      </c>
      <c r="E217" s="60">
        <v>500</v>
      </c>
      <c r="F217" s="23">
        <v>10</v>
      </c>
      <c r="G217" s="24">
        <v>25</v>
      </c>
      <c r="H217" s="25">
        <v>5</v>
      </c>
      <c r="I217" s="56">
        <v>0.18</v>
      </c>
      <c r="J217" s="24">
        <v>45</v>
      </c>
      <c r="K217" s="24">
        <v>10</v>
      </c>
      <c r="L217" s="27">
        <v>4.5</v>
      </c>
      <c r="M217" s="48">
        <v>1.0714285714285714</v>
      </c>
      <c r="N217" s="57">
        <v>0.18</v>
      </c>
      <c r="O217" s="27">
        <v>42.5</v>
      </c>
      <c r="P217" s="57">
        <v>0.2</v>
      </c>
      <c r="Q217" s="57">
        <v>0.2</v>
      </c>
      <c r="R217" s="29">
        <v>9</v>
      </c>
      <c r="S217" s="102">
        <v>600</v>
      </c>
      <c r="T217" s="30">
        <v>400</v>
      </c>
      <c r="U217" s="31">
        <v>5490</v>
      </c>
      <c r="V217" s="222">
        <v>17000</v>
      </c>
      <c r="W217" s="222">
        <v>7</v>
      </c>
      <c r="X217" s="222">
        <v>38430</v>
      </c>
      <c r="Y217" s="222">
        <v>138</v>
      </c>
      <c r="Z217" s="223">
        <v>28875</v>
      </c>
      <c r="AA217" s="207">
        <v>4</v>
      </c>
      <c r="AB217" s="208">
        <v>21960</v>
      </c>
      <c r="AC217" s="208">
        <v>77390</v>
      </c>
      <c r="AD217" s="208">
        <v>22</v>
      </c>
      <c r="AE217" s="208">
        <v>4</v>
      </c>
      <c r="AF217" s="208">
        <v>44720</v>
      </c>
      <c r="AG217" s="138">
        <v>32670</v>
      </c>
    </row>
    <row r="218" spans="1:33" ht="16.2" thickBot="1" x14ac:dyDescent="0.35">
      <c r="E218" s="61"/>
      <c r="F218" s="39"/>
      <c r="G218" s="40"/>
      <c r="H218" s="41"/>
      <c r="I218" s="58"/>
      <c r="J218" s="40"/>
      <c r="K218" s="40"/>
      <c r="L218" s="43"/>
      <c r="M218" s="53"/>
      <c r="N218" s="59"/>
      <c r="O218" s="43"/>
      <c r="P218" s="59"/>
      <c r="Q218" s="59"/>
      <c r="R218" s="45"/>
      <c r="S218" s="103"/>
      <c r="T218" s="46"/>
      <c r="U218" s="47"/>
      <c r="V218" s="234"/>
      <c r="W218" s="234"/>
      <c r="X218" s="234"/>
      <c r="Y218" s="234"/>
      <c r="Z218" s="236"/>
      <c r="AA218" s="245"/>
      <c r="AB218" s="214"/>
      <c r="AC218" s="214"/>
      <c r="AD218" s="214"/>
      <c r="AE218" s="214"/>
      <c r="AF218" s="214" t="s">
        <v>64</v>
      </c>
      <c r="AG218" s="139">
        <v>1093460</v>
      </c>
    </row>
    <row r="219" spans="1:33" ht="53.25" customHeight="1" thickBot="1" x14ac:dyDescent="0.35">
      <c r="E219" s="194" t="s">
        <v>91</v>
      </c>
      <c r="F219" s="195" t="s">
        <v>92</v>
      </c>
      <c r="G219" s="196" t="s">
        <v>93</v>
      </c>
      <c r="H219" s="197" t="s">
        <v>134</v>
      </c>
      <c r="I219" s="198" t="s">
        <v>94</v>
      </c>
      <c r="J219" s="199" t="s">
        <v>95</v>
      </c>
      <c r="K219" s="200" t="s">
        <v>96</v>
      </c>
      <c r="L219" s="200" t="s">
        <v>97</v>
      </c>
      <c r="M219" s="200" t="s">
        <v>98</v>
      </c>
      <c r="N219" s="200" t="s">
        <v>99</v>
      </c>
      <c r="O219" s="199" t="s">
        <v>100</v>
      </c>
      <c r="P219" s="200" t="s">
        <v>101</v>
      </c>
      <c r="Q219" s="200" t="s">
        <v>102</v>
      </c>
      <c r="R219" s="195" t="s">
        <v>103</v>
      </c>
      <c r="S219" s="196" t="s">
        <v>104</v>
      </c>
      <c r="T219" s="196" t="s">
        <v>105</v>
      </c>
      <c r="U219" s="197" t="s">
        <v>90</v>
      </c>
      <c r="V219" s="196" t="s">
        <v>106</v>
      </c>
      <c r="W219" s="202" t="s">
        <v>107</v>
      </c>
      <c r="X219" s="196" t="s">
        <v>108</v>
      </c>
      <c r="Y219" s="202" t="s">
        <v>109</v>
      </c>
      <c r="Z219" s="203" t="s">
        <v>110</v>
      </c>
      <c r="AA219" s="200" t="s">
        <v>111</v>
      </c>
      <c r="AB219" s="200" t="s">
        <v>112</v>
      </c>
      <c r="AC219" s="200" t="s">
        <v>113</v>
      </c>
      <c r="AD219" s="200" t="s">
        <v>135</v>
      </c>
      <c r="AE219" s="200" t="s">
        <v>136</v>
      </c>
      <c r="AF219" s="200" t="s">
        <v>115</v>
      </c>
      <c r="AG219" s="201" t="s">
        <v>116</v>
      </c>
    </row>
    <row r="220" spans="1:33" x14ac:dyDescent="0.3">
      <c r="A220" t="s">
        <v>8</v>
      </c>
      <c r="B220" t="s">
        <v>182</v>
      </c>
      <c r="C220" t="s">
        <v>131</v>
      </c>
      <c r="D220" t="str">
        <f>A220&amp;B220&amp;C220&amp;R220</f>
        <v>ПлатинумОптимистичный вариантПромоутеры1</v>
      </c>
      <c r="E220" s="17">
        <v>350</v>
      </c>
      <c r="F220" s="24">
        <v>10</v>
      </c>
      <c r="G220" s="24">
        <v>35</v>
      </c>
      <c r="H220" s="24">
        <v>7</v>
      </c>
      <c r="I220" s="49">
        <v>0.22</v>
      </c>
      <c r="J220" s="50">
        <v>77</v>
      </c>
      <c r="K220" s="50">
        <v>10</v>
      </c>
      <c r="L220" s="50">
        <v>7.7</v>
      </c>
      <c r="M220" s="51">
        <v>1.8333333333333333</v>
      </c>
      <c r="N220" s="52">
        <v>0.47</v>
      </c>
      <c r="O220" s="50">
        <v>36</v>
      </c>
      <c r="P220" s="52">
        <v>0.32</v>
      </c>
      <c r="Q220" s="69">
        <v>0.5</v>
      </c>
      <c r="R220" s="77">
        <v>1</v>
      </c>
      <c r="S220" s="78">
        <v>400</v>
      </c>
      <c r="T220" s="78">
        <v>400</v>
      </c>
      <c r="U220" s="79">
        <v>5490</v>
      </c>
      <c r="V220" s="218">
        <v>14400</v>
      </c>
      <c r="W220" s="218">
        <v>12</v>
      </c>
      <c r="X220" s="218">
        <v>65880</v>
      </c>
      <c r="Y220" s="218">
        <v>12</v>
      </c>
      <c r="Z220" s="219">
        <v>14400</v>
      </c>
      <c r="AA220" s="204">
        <v>0</v>
      </c>
      <c r="AB220" s="205">
        <v>0</v>
      </c>
      <c r="AC220" s="205">
        <v>80280</v>
      </c>
      <c r="AD220" s="205">
        <v>2</v>
      </c>
      <c r="AE220" s="205">
        <v>4</v>
      </c>
      <c r="AF220" s="205">
        <v>10320</v>
      </c>
      <c r="AG220" s="206">
        <v>55560</v>
      </c>
    </row>
    <row r="221" spans="1:33" x14ac:dyDescent="0.3">
      <c r="A221" t="s">
        <v>8</v>
      </c>
      <c r="B221" t="s">
        <v>182</v>
      </c>
      <c r="C221" t="s">
        <v>131</v>
      </c>
      <c r="D221" t="str">
        <f t="shared" ref="D221:D228" si="16">A221&amp;B221&amp;C221&amp;R221</f>
        <v>ПлатинумОптимистичный вариантПромоутеры2</v>
      </c>
      <c r="E221" s="18">
        <v>350</v>
      </c>
      <c r="F221" s="24">
        <v>10</v>
      </c>
      <c r="G221" s="24">
        <v>35</v>
      </c>
      <c r="H221" s="24">
        <v>7</v>
      </c>
      <c r="I221" s="26">
        <v>0.22</v>
      </c>
      <c r="J221" s="27">
        <v>77</v>
      </c>
      <c r="K221" s="27">
        <v>10</v>
      </c>
      <c r="L221" s="27">
        <v>7.7</v>
      </c>
      <c r="M221" s="48">
        <v>1.8333333333333333</v>
      </c>
      <c r="N221" s="28">
        <v>0.47</v>
      </c>
      <c r="O221" s="27">
        <v>36</v>
      </c>
      <c r="P221" s="28">
        <v>0.32</v>
      </c>
      <c r="Q221" s="70">
        <v>0.5</v>
      </c>
      <c r="R221" s="29">
        <v>2</v>
      </c>
      <c r="S221" s="30">
        <v>400</v>
      </c>
      <c r="T221" s="30">
        <v>400</v>
      </c>
      <c r="U221" s="31">
        <v>5490</v>
      </c>
      <c r="V221" s="222">
        <v>14400</v>
      </c>
      <c r="W221" s="222">
        <v>12</v>
      </c>
      <c r="X221" s="222">
        <v>65880</v>
      </c>
      <c r="Y221" s="222">
        <v>24</v>
      </c>
      <c r="Z221" s="223">
        <v>14400</v>
      </c>
      <c r="AA221" s="207">
        <v>0</v>
      </c>
      <c r="AB221" s="208">
        <v>0</v>
      </c>
      <c r="AC221" s="208">
        <v>80280</v>
      </c>
      <c r="AD221" s="208">
        <v>4</v>
      </c>
      <c r="AE221" s="208">
        <v>4</v>
      </c>
      <c r="AF221" s="208">
        <v>13760</v>
      </c>
      <c r="AG221" s="138">
        <v>66520</v>
      </c>
    </row>
    <row r="222" spans="1:33" x14ac:dyDescent="0.3">
      <c r="A222" t="s">
        <v>8</v>
      </c>
      <c r="B222" t="s">
        <v>182</v>
      </c>
      <c r="C222" t="s">
        <v>131</v>
      </c>
      <c r="D222" t="str">
        <f t="shared" si="16"/>
        <v>ПлатинумОптимистичный вариантПромоутеры3</v>
      </c>
      <c r="E222" s="18">
        <v>350</v>
      </c>
      <c r="F222" s="24">
        <v>10</v>
      </c>
      <c r="G222" s="24">
        <v>35</v>
      </c>
      <c r="H222" s="24">
        <v>7</v>
      </c>
      <c r="I222" s="26">
        <v>0.22</v>
      </c>
      <c r="J222" s="27">
        <v>77</v>
      </c>
      <c r="K222" s="27">
        <v>10</v>
      </c>
      <c r="L222" s="27">
        <v>7.7</v>
      </c>
      <c r="M222" s="48">
        <v>1.8333333333333333</v>
      </c>
      <c r="N222" s="28">
        <v>0.47</v>
      </c>
      <c r="O222" s="27">
        <v>36</v>
      </c>
      <c r="P222" s="28">
        <v>0.32</v>
      </c>
      <c r="Q222" s="70">
        <v>0.5</v>
      </c>
      <c r="R222" s="29">
        <v>3</v>
      </c>
      <c r="S222" s="30">
        <v>400</v>
      </c>
      <c r="T222" s="30">
        <v>400</v>
      </c>
      <c r="U222" s="31">
        <v>5490</v>
      </c>
      <c r="V222" s="222">
        <v>14400</v>
      </c>
      <c r="W222" s="222">
        <v>12</v>
      </c>
      <c r="X222" s="222">
        <v>65880</v>
      </c>
      <c r="Y222" s="222">
        <v>36</v>
      </c>
      <c r="Z222" s="223">
        <v>14400</v>
      </c>
      <c r="AA222" s="207">
        <v>0</v>
      </c>
      <c r="AB222" s="208">
        <v>0</v>
      </c>
      <c r="AC222" s="208">
        <v>80280</v>
      </c>
      <c r="AD222" s="208">
        <v>6</v>
      </c>
      <c r="AE222" s="208">
        <v>4</v>
      </c>
      <c r="AF222" s="208">
        <v>17200</v>
      </c>
      <c r="AG222" s="138">
        <v>63080</v>
      </c>
    </row>
    <row r="223" spans="1:33" x14ac:dyDescent="0.3">
      <c r="A223" t="s">
        <v>8</v>
      </c>
      <c r="B223" t="s">
        <v>182</v>
      </c>
      <c r="C223" t="s">
        <v>131</v>
      </c>
      <c r="D223" t="str">
        <f t="shared" si="16"/>
        <v>ПлатинумОптимистичный вариантПромоутеры4</v>
      </c>
      <c r="E223" s="18">
        <v>350</v>
      </c>
      <c r="F223" s="24">
        <v>10</v>
      </c>
      <c r="G223" s="24">
        <v>35</v>
      </c>
      <c r="H223" s="24">
        <v>7</v>
      </c>
      <c r="I223" s="26">
        <v>0.22</v>
      </c>
      <c r="J223" s="27">
        <v>77</v>
      </c>
      <c r="K223" s="27">
        <v>10</v>
      </c>
      <c r="L223" s="27">
        <v>7.7</v>
      </c>
      <c r="M223" s="48">
        <v>1.8333333333333333</v>
      </c>
      <c r="N223" s="28">
        <v>0.47</v>
      </c>
      <c r="O223" s="27">
        <v>36</v>
      </c>
      <c r="P223" s="28">
        <v>0.32</v>
      </c>
      <c r="Q223" s="70">
        <v>0.5</v>
      </c>
      <c r="R223" s="29">
        <v>4</v>
      </c>
      <c r="S223" s="30">
        <v>400</v>
      </c>
      <c r="T223" s="30">
        <v>400</v>
      </c>
      <c r="U223" s="31">
        <v>5490</v>
      </c>
      <c r="V223" s="222">
        <v>14400</v>
      </c>
      <c r="W223" s="222">
        <v>12</v>
      </c>
      <c r="X223" s="222">
        <v>65880</v>
      </c>
      <c r="Y223" s="222">
        <v>48</v>
      </c>
      <c r="Z223" s="223">
        <v>14400</v>
      </c>
      <c r="AA223" s="207">
        <v>0</v>
      </c>
      <c r="AB223" s="208">
        <v>0</v>
      </c>
      <c r="AC223" s="208">
        <v>80280</v>
      </c>
      <c r="AD223" s="208">
        <v>8</v>
      </c>
      <c r="AE223" s="208">
        <v>4</v>
      </c>
      <c r="AF223" s="208">
        <v>20640</v>
      </c>
      <c r="AG223" s="138">
        <v>59640</v>
      </c>
    </row>
    <row r="224" spans="1:33" x14ac:dyDescent="0.3">
      <c r="A224" t="s">
        <v>8</v>
      </c>
      <c r="B224" t="s">
        <v>182</v>
      </c>
      <c r="C224" t="s">
        <v>131</v>
      </c>
      <c r="D224" t="str">
        <f t="shared" si="16"/>
        <v>ПлатинумОптимистичный вариантПромоутеры5</v>
      </c>
      <c r="E224" s="18">
        <v>350</v>
      </c>
      <c r="F224" s="32">
        <v>10</v>
      </c>
      <c r="G224" s="32">
        <v>35</v>
      </c>
      <c r="H224" s="32">
        <v>7</v>
      </c>
      <c r="I224" s="73">
        <v>0.22</v>
      </c>
      <c r="J224" s="34">
        <v>77</v>
      </c>
      <c r="K224" s="34">
        <v>10</v>
      </c>
      <c r="L224" s="34">
        <v>7.7</v>
      </c>
      <c r="M224" s="74">
        <v>1.8333333333333333</v>
      </c>
      <c r="N224" s="75">
        <v>0.47</v>
      </c>
      <c r="O224" s="80">
        <v>36</v>
      </c>
      <c r="P224" s="75">
        <v>0.32</v>
      </c>
      <c r="Q224" s="71">
        <v>0.5</v>
      </c>
      <c r="R224" s="35">
        <v>5</v>
      </c>
      <c r="S224" s="76">
        <v>400</v>
      </c>
      <c r="T224" s="36">
        <v>400</v>
      </c>
      <c r="U224" s="37">
        <v>5490</v>
      </c>
      <c r="V224" s="227">
        <v>14400</v>
      </c>
      <c r="W224" s="227">
        <v>12</v>
      </c>
      <c r="X224" s="227">
        <v>65880</v>
      </c>
      <c r="Y224" s="227">
        <v>54</v>
      </c>
      <c r="Z224" s="228">
        <v>14400</v>
      </c>
      <c r="AA224" s="209">
        <v>6</v>
      </c>
      <c r="AB224" s="210">
        <v>32940</v>
      </c>
      <c r="AC224" s="211">
        <v>113220</v>
      </c>
      <c r="AD224" s="211">
        <v>9</v>
      </c>
      <c r="AE224" s="211">
        <v>4</v>
      </c>
      <c r="AF224" s="211">
        <v>22360</v>
      </c>
      <c r="AG224" s="212">
        <v>90860</v>
      </c>
    </row>
    <row r="225" spans="1:33" x14ac:dyDescent="0.3">
      <c r="A225" t="s">
        <v>8</v>
      </c>
      <c r="B225" t="s">
        <v>182</v>
      </c>
      <c r="C225" t="s">
        <v>131</v>
      </c>
      <c r="D225" t="str">
        <f t="shared" si="16"/>
        <v>ПлатинумОптимистичный вариантПромоутеры6</v>
      </c>
      <c r="E225" s="18">
        <v>350</v>
      </c>
      <c r="F225" s="24">
        <v>10</v>
      </c>
      <c r="G225" s="24">
        <v>35</v>
      </c>
      <c r="H225" s="24">
        <v>7</v>
      </c>
      <c r="I225" s="26">
        <v>0.22</v>
      </c>
      <c r="J225" s="27">
        <v>77</v>
      </c>
      <c r="K225" s="27">
        <v>10</v>
      </c>
      <c r="L225" s="27">
        <v>7.7</v>
      </c>
      <c r="M225" s="48">
        <v>1.8333333333333333</v>
      </c>
      <c r="N225" s="28">
        <v>0.47</v>
      </c>
      <c r="O225" s="27">
        <v>36</v>
      </c>
      <c r="P225" s="28">
        <v>0.32</v>
      </c>
      <c r="Q225" s="70">
        <v>0.5</v>
      </c>
      <c r="R225" s="29">
        <v>6</v>
      </c>
      <c r="S225" s="30">
        <v>400</v>
      </c>
      <c r="T225" s="30">
        <v>400</v>
      </c>
      <c r="U225" s="31">
        <v>5490</v>
      </c>
      <c r="V225" s="222">
        <v>14400</v>
      </c>
      <c r="W225" s="229">
        <v>12</v>
      </c>
      <c r="X225" s="222">
        <v>65880</v>
      </c>
      <c r="Y225" s="222">
        <v>60</v>
      </c>
      <c r="Z225" s="223">
        <v>14400</v>
      </c>
      <c r="AA225" s="209">
        <v>6</v>
      </c>
      <c r="AB225" s="208">
        <v>32940</v>
      </c>
      <c r="AC225" s="208">
        <v>113220</v>
      </c>
      <c r="AD225" s="208">
        <v>10</v>
      </c>
      <c r="AE225" s="208">
        <v>4</v>
      </c>
      <c r="AF225" s="208">
        <v>24080</v>
      </c>
      <c r="AG225" s="138">
        <v>89140</v>
      </c>
    </row>
    <row r="226" spans="1:33" x14ac:dyDescent="0.3">
      <c r="A226" t="s">
        <v>8</v>
      </c>
      <c r="B226" t="s">
        <v>182</v>
      </c>
      <c r="C226" t="s">
        <v>131</v>
      </c>
      <c r="D226" t="str">
        <f t="shared" si="16"/>
        <v>ПлатинумОптимистичный вариантПромоутеры7</v>
      </c>
      <c r="E226" s="18">
        <v>350</v>
      </c>
      <c r="F226" s="24">
        <v>10</v>
      </c>
      <c r="G226" s="24">
        <v>35</v>
      </c>
      <c r="H226" s="24">
        <v>7</v>
      </c>
      <c r="I226" s="26">
        <v>0.22</v>
      </c>
      <c r="J226" s="27">
        <v>77</v>
      </c>
      <c r="K226" s="27">
        <v>10</v>
      </c>
      <c r="L226" s="27">
        <v>7.7</v>
      </c>
      <c r="M226" s="48">
        <v>1.8333333333333333</v>
      </c>
      <c r="N226" s="28">
        <v>0.47</v>
      </c>
      <c r="O226" s="27">
        <v>36</v>
      </c>
      <c r="P226" s="28">
        <v>0.32</v>
      </c>
      <c r="Q226" s="70">
        <v>0.5</v>
      </c>
      <c r="R226" s="29">
        <v>7</v>
      </c>
      <c r="S226" s="30">
        <v>400</v>
      </c>
      <c r="T226" s="30">
        <v>400</v>
      </c>
      <c r="U226" s="31">
        <v>5490</v>
      </c>
      <c r="V226" s="222">
        <v>14400</v>
      </c>
      <c r="W226" s="229">
        <v>12</v>
      </c>
      <c r="X226" s="222">
        <v>65880</v>
      </c>
      <c r="Y226" s="222">
        <v>66</v>
      </c>
      <c r="Z226" s="223">
        <v>14400</v>
      </c>
      <c r="AA226" s="209">
        <v>6</v>
      </c>
      <c r="AB226" s="208">
        <v>32940</v>
      </c>
      <c r="AC226" s="208">
        <v>113220</v>
      </c>
      <c r="AD226" s="208">
        <v>10</v>
      </c>
      <c r="AE226" s="208">
        <v>4</v>
      </c>
      <c r="AF226" s="208">
        <v>24080</v>
      </c>
      <c r="AG226" s="138">
        <v>89140</v>
      </c>
    </row>
    <row r="227" spans="1:33" x14ac:dyDescent="0.3">
      <c r="A227" t="s">
        <v>8</v>
      </c>
      <c r="B227" t="s">
        <v>182</v>
      </c>
      <c r="C227" t="s">
        <v>131</v>
      </c>
      <c r="D227" t="str">
        <f t="shared" si="16"/>
        <v>ПлатинумОптимистичный вариантПромоутеры8</v>
      </c>
      <c r="E227" s="18">
        <v>350</v>
      </c>
      <c r="F227" s="24">
        <v>10</v>
      </c>
      <c r="G227" s="24">
        <v>35</v>
      </c>
      <c r="H227" s="24">
        <v>7</v>
      </c>
      <c r="I227" s="26">
        <v>0.22</v>
      </c>
      <c r="J227" s="27">
        <v>77</v>
      </c>
      <c r="K227" s="27">
        <v>10</v>
      </c>
      <c r="L227" s="27">
        <v>7.7</v>
      </c>
      <c r="M227" s="48">
        <v>1.8333333333333333</v>
      </c>
      <c r="N227" s="28">
        <v>0.37</v>
      </c>
      <c r="O227" s="27">
        <v>28</v>
      </c>
      <c r="P227" s="28">
        <v>0.22</v>
      </c>
      <c r="Q227" s="70">
        <v>0.35</v>
      </c>
      <c r="R227" s="29">
        <v>8</v>
      </c>
      <c r="S227" s="30">
        <v>350</v>
      </c>
      <c r="T227" s="30">
        <v>400</v>
      </c>
      <c r="U227" s="31">
        <v>5490</v>
      </c>
      <c r="V227" s="222">
        <v>11200</v>
      </c>
      <c r="W227" s="229">
        <v>7</v>
      </c>
      <c r="X227" s="222">
        <v>38430</v>
      </c>
      <c r="Y227" s="222">
        <v>69</v>
      </c>
      <c r="Z227" s="223">
        <v>9800</v>
      </c>
      <c r="AA227" s="209">
        <v>4</v>
      </c>
      <c r="AB227" s="208">
        <v>21960</v>
      </c>
      <c r="AC227" s="208">
        <v>71590</v>
      </c>
      <c r="AD227" s="208">
        <v>11</v>
      </c>
      <c r="AE227" s="208">
        <v>3</v>
      </c>
      <c r="AF227" s="208">
        <v>24080</v>
      </c>
      <c r="AG227" s="138">
        <v>47510</v>
      </c>
    </row>
    <row r="228" spans="1:33" x14ac:dyDescent="0.3">
      <c r="A228" t="s">
        <v>8</v>
      </c>
      <c r="B228" t="s">
        <v>182</v>
      </c>
      <c r="C228" t="s">
        <v>131</v>
      </c>
      <c r="D228" t="str">
        <f t="shared" si="16"/>
        <v>ПлатинумОптимистичный вариантПромоутеры9</v>
      </c>
      <c r="E228" s="18">
        <v>350</v>
      </c>
      <c r="F228" s="24">
        <v>10</v>
      </c>
      <c r="G228" s="24">
        <v>35</v>
      </c>
      <c r="H228" s="24">
        <v>7</v>
      </c>
      <c r="I228" s="26">
        <v>0.22</v>
      </c>
      <c r="J228" s="27">
        <v>77</v>
      </c>
      <c r="K228" s="27">
        <v>10</v>
      </c>
      <c r="L228" s="27">
        <v>7.7</v>
      </c>
      <c r="M228" s="48">
        <v>1.8333333333333333</v>
      </c>
      <c r="N228" s="28">
        <v>0.27</v>
      </c>
      <c r="O228" s="27">
        <v>20</v>
      </c>
      <c r="P228" s="28">
        <v>0.12</v>
      </c>
      <c r="Q228" s="70">
        <v>0.2</v>
      </c>
      <c r="R228" s="29">
        <v>9</v>
      </c>
      <c r="S228" s="30">
        <v>350</v>
      </c>
      <c r="T228" s="30">
        <v>400</v>
      </c>
      <c r="U228" s="31">
        <v>5490</v>
      </c>
      <c r="V228" s="222">
        <v>8000</v>
      </c>
      <c r="W228" s="229">
        <v>3</v>
      </c>
      <c r="X228" s="222">
        <v>16470</v>
      </c>
      <c r="Y228" s="222">
        <v>70</v>
      </c>
      <c r="Z228" s="223">
        <v>7000</v>
      </c>
      <c r="AA228" s="209">
        <v>2</v>
      </c>
      <c r="AB228" s="208">
        <v>10980</v>
      </c>
      <c r="AC228" s="208">
        <v>35450</v>
      </c>
      <c r="AD228" s="208">
        <v>11</v>
      </c>
      <c r="AE228" s="208">
        <v>2</v>
      </c>
      <c r="AF228" s="208">
        <v>22360</v>
      </c>
      <c r="AG228" s="138">
        <v>13090</v>
      </c>
    </row>
    <row r="229" spans="1:33" ht="16.2" thickBot="1" x14ac:dyDescent="0.35">
      <c r="E229" s="19"/>
      <c r="F229" s="40"/>
      <c r="G229" s="40"/>
      <c r="H229" s="40"/>
      <c r="I229" s="42"/>
      <c r="J229" s="43"/>
      <c r="K229" s="43"/>
      <c r="L229" s="43"/>
      <c r="M229" s="53"/>
      <c r="N229" s="44"/>
      <c r="O229" s="43"/>
      <c r="P229" s="44"/>
      <c r="Q229" s="72"/>
      <c r="R229" s="45"/>
      <c r="S229" s="46"/>
      <c r="T229" s="46"/>
      <c r="U229" s="47"/>
      <c r="V229" s="234"/>
      <c r="W229" s="235"/>
      <c r="X229" s="234"/>
      <c r="Y229" s="234"/>
      <c r="Z229" s="236"/>
      <c r="AA229" s="213"/>
      <c r="AB229" s="214"/>
      <c r="AC229" s="214"/>
      <c r="AD229" s="214"/>
      <c r="AE229" s="214"/>
      <c r="AF229" s="214" t="s">
        <v>64</v>
      </c>
      <c r="AG229" s="139">
        <v>524060</v>
      </c>
    </row>
    <row r="230" spans="1:33" ht="52.5" customHeight="1" thickBot="1" x14ac:dyDescent="0.35">
      <c r="E230" s="194" t="s">
        <v>91</v>
      </c>
      <c r="F230" s="195" t="s">
        <v>92</v>
      </c>
      <c r="G230" s="196" t="s">
        <v>93</v>
      </c>
      <c r="H230" s="197" t="s">
        <v>134</v>
      </c>
      <c r="I230" s="198" t="s">
        <v>94</v>
      </c>
      <c r="J230" s="199" t="s">
        <v>95</v>
      </c>
      <c r="K230" s="200" t="s">
        <v>96</v>
      </c>
      <c r="L230" s="200" t="s">
        <v>97</v>
      </c>
      <c r="M230" s="200" t="s">
        <v>98</v>
      </c>
      <c r="N230" s="200" t="s">
        <v>99</v>
      </c>
      <c r="O230" s="199" t="s">
        <v>100</v>
      </c>
      <c r="P230" s="200" t="s">
        <v>101</v>
      </c>
      <c r="Q230" s="200" t="s">
        <v>102</v>
      </c>
      <c r="R230" s="195" t="s">
        <v>103</v>
      </c>
      <c r="S230" s="196" t="s">
        <v>104</v>
      </c>
      <c r="T230" s="196" t="s">
        <v>105</v>
      </c>
      <c r="U230" s="197" t="s">
        <v>90</v>
      </c>
      <c r="V230" s="196" t="s">
        <v>106</v>
      </c>
      <c r="W230" s="202" t="s">
        <v>107</v>
      </c>
      <c r="X230" s="196" t="s">
        <v>108</v>
      </c>
      <c r="Y230" s="202" t="s">
        <v>109</v>
      </c>
      <c r="Z230" s="203" t="s">
        <v>110</v>
      </c>
      <c r="AA230" s="200" t="s">
        <v>111</v>
      </c>
      <c r="AB230" s="200" t="s">
        <v>112</v>
      </c>
      <c r="AC230" s="200" t="s">
        <v>113</v>
      </c>
      <c r="AD230" s="200" t="s">
        <v>135</v>
      </c>
      <c r="AE230" s="200" t="s">
        <v>136</v>
      </c>
      <c r="AF230" s="200" t="s">
        <v>115</v>
      </c>
      <c r="AG230" s="201" t="s">
        <v>116</v>
      </c>
    </row>
    <row r="231" spans="1:33" x14ac:dyDescent="0.3">
      <c r="A231" t="s">
        <v>8</v>
      </c>
      <c r="B231" t="s">
        <v>183</v>
      </c>
      <c r="C231" t="s">
        <v>131</v>
      </c>
      <c r="D231" t="str">
        <f t="shared" ref="D231:D239" si="17">A231&amp;B231&amp;C231&amp;R231</f>
        <v>ПлатинумСтандартный вариантПромоутеры1</v>
      </c>
      <c r="E231" s="17">
        <v>350</v>
      </c>
      <c r="F231" s="24">
        <v>10</v>
      </c>
      <c r="G231" s="24">
        <v>35</v>
      </c>
      <c r="H231" s="24">
        <v>7</v>
      </c>
      <c r="I231" s="49">
        <v>0.17</v>
      </c>
      <c r="J231" s="50">
        <v>59.500000000000007</v>
      </c>
      <c r="K231" s="50">
        <v>10</v>
      </c>
      <c r="L231" s="50">
        <v>5.9500000000000011</v>
      </c>
      <c r="M231" s="51">
        <v>1.416666666666667</v>
      </c>
      <c r="N231" s="52">
        <v>0.42</v>
      </c>
      <c r="O231" s="50">
        <v>24</v>
      </c>
      <c r="P231" s="52">
        <v>0.27</v>
      </c>
      <c r="Q231" s="69">
        <v>0.5</v>
      </c>
      <c r="R231" s="77">
        <v>1</v>
      </c>
      <c r="S231" s="78">
        <v>450</v>
      </c>
      <c r="T231" s="78">
        <v>400</v>
      </c>
      <c r="U231" s="79">
        <v>5490</v>
      </c>
      <c r="V231" s="218">
        <v>9600</v>
      </c>
      <c r="W231" s="218">
        <v>7</v>
      </c>
      <c r="X231" s="218">
        <v>38430</v>
      </c>
      <c r="Y231" s="218">
        <v>7</v>
      </c>
      <c r="Z231" s="219">
        <v>10800</v>
      </c>
      <c r="AA231" s="204">
        <v>0</v>
      </c>
      <c r="AB231" s="205">
        <v>0</v>
      </c>
      <c r="AC231" s="205">
        <v>48030</v>
      </c>
      <c r="AD231" s="205">
        <v>2</v>
      </c>
      <c r="AE231" s="205">
        <v>2</v>
      </c>
      <c r="AF231" s="205">
        <v>6880</v>
      </c>
      <c r="AG231" s="206">
        <v>30350</v>
      </c>
    </row>
    <row r="232" spans="1:33" x14ac:dyDescent="0.3">
      <c r="A232" t="s">
        <v>8</v>
      </c>
      <c r="B232" t="s">
        <v>183</v>
      </c>
      <c r="C232" t="s">
        <v>131</v>
      </c>
      <c r="D232" t="str">
        <f t="shared" si="17"/>
        <v>ПлатинумСтандартный вариантПромоутеры2</v>
      </c>
      <c r="E232" s="18">
        <v>350</v>
      </c>
      <c r="F232" s="24">
        <v>10</v>
      </c>
      <c r="G232" s="24">
        <v>35</v>
      </c>
      <c r="H232" s="24">
        <v>7</v>
      </c>
      <c r="I232" s="26">
        <v>0.17</v>
      </c>
      <c r="J232" s="27">
        <v>59.500000000000007</v>
      </c>
      <c r="K232" s="27">
        <v>10</v>
      </c>
      <c r="L232" s="27">
        <v>5.9500000000000011</v>
      </c>
      <c r="M232" s="48">
        <v>1.416666666666667</v>
      </c>
      <c r="N232" s="28">
        <v>0.42</v>
      </c>
      <c r="O232" s="27">
        <v>24</v>
      </c>
      <c r="P232" s="28">
        <v>0.27</v>
      </c>
      <c r="Q232" s="70">
        <v>0.5</v>
      </c>
      <c r="R232" s="29">
        <v>2</v>
      </c>
      <c r="S232" s="30">
        <v>450</v>
      </c>
      <c r="T232" s="30">
        <v>400</v>
      </c>
      <c r="U232" s="31">
        <v>5490</v>
      </c>
      <c r="V232" s="222">
        <v>9600</v>
      </c>
      <c r="W232" s="222">
        <v>7</v>
      </c>
      <c r="X232" s="222">
        <v>38430</v>
      </c>
      <c r="Y232" s="222">
        <v>14</v>
      </c>
      <c r="Z232" s="223">
        <v>10800</v>
      </c>
      <c r="AA232" s="207">
        <v>0</v>
      </c>
      <c r="AB232" s="208">
        <v>0</v>
      </c>
      <c r="AC232" s="208">
        <v>48030</v>
      </c>
      <c r="AD232" s="208">
        <v>3</v>
      </c>
      <c r="AE232" s="208">
        <v>2</v>
      </c>
      <c r="AF232" s="208">
        <v>8600</v>
      </c>
      <c r="AG232" s="138">
        <v>39430</v>
      </c>
    </row>
    <row r="233" spans="1:33" x14ac:dyDescent="0.3">
      <c r="A233" t="s">
        <v>8</v>
      </c>
      <c r="B233" t="s">
        <v>183</v>
      </c>
      <c r="C233" t="s">
        <v>131</v>
      </c>
      <c r="D233" t="str">
        <f t="shared" si="17"/>
        <v>ПлатинумСтандартный вариантПромоутеры3</v>
      </c>
      <c r="E233" s="18">
        <v>350</v>
      </c>
      <c r="F233" s="24">
        <v>10</v>
      </c>
      <c r="G233" s="24">
        <v>35</v>
      </c>
      <c r="H233" s="24">
        <v>7</v>
      </c>
      <c r="I233" s="26">
        <v>0.17</v>
      </c>
      <c r="J233" s="27">
        <v>59.500000000000007</v>
      </c>
      <c r="K233" s="27">
        <v>10</v>
      </c>
      <c r="L233" s="27">
        <v>5.9500000000000011</v>
      </c>
      <c r="M233" s="48">
        <v>1.416666666666667</v>
      </c>
      <c r="N233" s="28">
        <v>0.42</v>
      </c>
      <c r="O233" s="27">
        <v>24</v>
      </c>
      <c r="P233" s="28">
        <v>0.27</v>
      </c>
      <c r="Q233" s="70">
        <v>0.5</v>
      </c>
      <c r="R233" s="29">
        <v>3</v>
      </c>
      <c r="S233" s="30">
        <v>450</v>
      </c>
      <c r="T233" s="30">
        <v>400</v>
      </c>
      <c r="U233" s="31">
        <v>5490</v>
      </c>
      <c r="V233" s="222">
        <v>9600</v>
      </c>
      <c r="W233" s="222">
        <v>7</v>
      </c>
      <c r="X233" s="222">
        <v>38430</v>
      </c>
      <c r="Y233" s="222">
        <v>21</v>
      </c>
      <c r="Z233" s="223">
        <v>10800</v>
      </c>
      <c r="AA233" s="207">
        <v>0</v>
      </c>
      <c r="AB233" s="208">
        <v>0</v>
      </c>
      <c r="AC233" s="208">
        <v>48030</v>
      </c>
      <c r="AD233" s="208">
        <v>4</v>
      </c>
      <c r="AE233" s="208">
        <v>2</v>
      </c>
      <c r="AF233" s="208">
        <v>10320</v>
      </c>
      <c r="AG233" s="138">
        <v>37710</v>
      </c>
    </row>
    <row r="234" spans="1:33" x14ac:dyDescent="0.3">
      <c r="A234" t="s">
        <v>8</v>
      </c>
      <c r="B234" t="s">
        <v>183</v>
      </c>
      <c r="C234" t="s">
        <v>131</v>
      </c>
      <c r="D234" t="str">
        <f t="shared" si="17"/>
        <v>ПлатинумСтандартный вариантПромоутеры4</v>
      </c>
      <c r="E234" s="18">
        <v>350</v>
      </c>
      <c r="F234" s="24">
        <v>10</v>
      </c>
      <c r="G234" s="24">
        <v>35</v>
      </c>
      <c r="H234" s="24">
        <v>7</v>
      </c>
      <c r="I234" s="26">
        <v>0.17</v>
      </c>
      <c r="J234" s="27">
        <v>59.500000000000007</v>
      </c>
      <c r="K234" s="27">
        <v>10</v>
      </c>
      <c r="L234" s="27">
        <v>5.9500000000000011</v>
      </c>
      <c r="M234" s="48">
        <v>1.416666666666667</v>
      </c>
      <c r="N234" s="28">
        <v>0.42</v>
      </c>
      <c r="O234" s="27">
        <v>24</v>
      </c>
      <c r="P234" s="28">
        <v>0.27</v>
      </c>
      <c r="Q234" s="70">
        <v>0.5</v>
      </c>
      <c r="R234" s="29">
        <v>4</v>
      </c>
      <c r="S234" s="30">
        <v>450</v>
      </c>
      <c r="T234" s="30">
        <v>400</v>
      </c>
      <c r="U234" s="31">
        <v>5490</v>
      </c>
      <c r="V234" s="222">
        <v>9600</v>
      </c>
      <c r="W234" s="222">
        <v>7</v>
      </c>
      <c r="X234" s="222">
        <v>38430</v>
      </c>
      <c r="Y234" s="222">
        <v>28</v>
      </c>
      <c r="Z234" s="223">
        <v>10800</v>
      </c>
      <c r="AA234" s="207">
        <v>0</v>
      </c>
      <c r="AB234" s="208">
        <v>0</v>
      </c>
      <c r="AC234" s="208">
        <v>48030</v>
      </c>
      <c r="AD234" s="208">
        <v>5</v>
      </c>
      <c r="AE234" s="208">
        <v>2</v>
      </c>
      <c r="AF234" s="208">
        <v>12040</v>
      </c>
      <c r="AG234" s="138">
        <v>35990</v>
      </c>
    </row>
    <row r="235" spans="1:33" x14ac:dyDescent="0.3">
      <c r="A235" t="s">
        <v>8</v>
      </c>
      <c r="B235" t="s">
        <v>183</v>
      </c>
      <c r="C235" t="s">
        <v>131</v>
      </c>
      <c r="D235" t="str">
        <f t="shared" si="17"/>
        <v>ПлатинумСтандартный вариантПромоутеры5</v>
      </c>
      <c r="E235" s="18">
        <v>350</v>
      </c>
      <c r="F235" s="32">
        <v>10</v>
      </c>
      <c r="G235" s="32">
        <v>35</v>
      </c>
      <c r="H235" s="32">
        <v>7</v>
      </c>
      <c r="I235" s="73">
        <v>0.17</v>
      </c>
      <c r="J235" s="34">
        <v>59.500000000000007</v>
      </c>
      <c r="K235" s="34">
        <v>10</v>
      </c>
      <c r="L235" s="34">
        <v>5.9500000000000011</v>
      </c>
      <c r="M235" s="74">
        <v>1.416666666666667</v>
      </c>
      <c r="N235" s="75">
        <v>0.42</v>
      </c>
      <c r="O235" s="80">
        <v>24</v>
      </c>
      <c r="P235" s="75">
        <v>0.27</v>
      </c>
      <c r="Q235" s="71">
        <v>0.5</v>
      </c>
      <c r="R235" s="35">
        <v>5</v>
      </c>
      <c r="S235" s="76">
        <v>450</v>
      </c>
      <c r="T235" s="36">
        <v>400</v>
      </c>
      <c r="U235" s="37">
        <v>5490</v>
      </c>
      <c r="V235" s="227">
        <v>9600</v>
      </c>
      <c r="W235" s="227">
        <v>7</v>
      </c>
      <c r="X235" s="227">
        <v>38430</v>
      </c>
      <c r="Y235" s="227">
        <v>32</v>
      </c>
      <c r="Z235" s="228">
        <v>10800</v>
      </c>
      <c r="AA235" s="209">
        <v>3</v>
      </c>
      <c r="AB235" s="210">
        <v>16470</v>
      </c>
      <c r="AC235" s="211">
        <v>64500</v>
      </c>
      <c r="AD235" s="211">
        <v>5</v>
      </c>
      <c r="AE235" s="211">
        <v>2</v>
      </c>
      <c r="AF235" s="211">
        <v>12040</v>
      </c>
      <c r="AG235" s="212">
        <v>52460</v>
      </c>
    </row>
    <row r="236" spans="1:33" x14ac:dyDescent="0.3">
      <c r="A236" t="s">
        <v>8</v>
      </c>
      <c r="B236" t="s">
        <v>183</v>
      </c>
      <c r="C236" t="s">
        <v>131</v>
      </c>
      <c r="D236" t="str">
        <f t="shared" si="17"/>
        <v>ПлатинумСтандартный вариантПромоутеры6</v>
      </c>
      <c r="E236" s="18">
        <v>350</v>
      </c>
      <c r="F236" s="24">
        <v>10</v>
      </c>
      <c r="G236" s="24">
        <v>35</v>
      </c>
      <c r="H236" s="24">
        <v>7</v>
      </c>
      <c r="I236" s="26">
        <v>0.17</v>
      </c>
      <c r="J236" s="27">
        <v>59.500000000000007</v>
      </c>
      <c r="K236" s="27">
        <v>10</v>
      </c>
      <c r="L236" s="27">
        <v>5.9500000000000011</v>
      </c>
      <c r="M236" s="48">
        <v>1.416666666666667</v>
      </c>
      <c r="N236" s="28">
        <v>0.42</v>
      </c>
      <c r="O236" s="27">
        <v>24</v>
      </c>
      <c r="P236" s="28">
        <v>0.27</v>
      </c>
      <c r="Q236" s="70">
        <v>0.5</v>
      </c>
      <c r="R236" s="29">
        <v>6</v>
      </c>
      <c r="S236" s="30">
        <v>450</v>
      </c>
      <c r="T236" s="30">
        <v>400</v>
      </c>
      <c r="U236" s="31">
        <v>5490</v>
      </c>
      <c r="V236" s="222">
        <v>9600</v>
      </c>
      <c r="W236" s="229">
        <v>7</v>
      </c>
      <c r="X236" s="222">
        <v>38430</v>
      </c>
      <c r="Y236" s="222">
        <v>36</v>
      </c>
      <c r="Z236" s="223">
        <v>10800</v>
      </c>
      <c r="AA236" s="209">
        <v>3</v>
      </c>
      <c r="AB236" s="208">
        <v>16470</v>
      </c>
      <c r="AC236" s="208">
        <v>64500</v>
      </c>
      <c r="AD236" s="208">
        <v>6</v>
      </c>
      <c r="AE236" s="208">
        <v>2</v>
      </c>
      <c r="AF236" s="208">
        <v>13760</v>
      </c>
      <c r="AG236" s="138">
        <v>50740</v>
      </c>
    </row>
    <row r="237" spans="1:33" x14ac:dyDescent="0.3">
      <c r="A237" t="s">
        <v>8</v>
      </c>
      <c r="B237" t="s">
        <v>183</v>
      </c>
      <c r="C237" t="s">
        <v>131</v>
      </c>
      <c r="D237" t="str">
        <f t="shared" si="17"/>
        <v>ПлатинумСтандартный вариантПромоутеры7</v>
      </c>
      <c r="E237" s="18">
        <v>350</v>
      </c>
      <c r="F237" s="24">
        <v>10</v>
      </c>
      <c r="G237" s="24">
        <v>35</v>
      </c>
      <c r="H237" s="24">
        <v>7</v>
      </c>
      <c r="I237" s="26">
        <v>0.17</v>
      </c>
      <c r="J237" s="27">
        <v>59.500000000000007</v>
      </c>
      <c r="K237" s="27">
        <v>10</v>
      </c>
      <c r="L237" s="27">
        <v>5.9500000000000011</v>
      </c>
      <c r="M237" s="48">
        <v>1.416666666666667</v>
      </c>
      <c r="N237" s="28">
        <v>0.42</v>
      </c>
      <c r="O237" s="27">
        <v>24</v>
      </c>
      <c r="P237" s="28">
        <v>0.27</v>
      </c>
      <c r="Q237" s="70">
        <v>0.5</v>
      </c>
      <c r="R237" s="29">
        <v>7</v>
      </c>
      <c r="S237" s="30">
        <v>450</v>
      </c>
      <c r="T237" s="30">
        <v>400</v>
      </c>
      <c r="U237" s="31">
        <v>5490</v>
      </c>
      <c r="V237" s="222">
        <v>9600</v>
      </c>
      <c r="W237" s="229">
        <v>7</v>
      </c>
      <c r="X237" s="222">
        <v>38430</v>
      </c>
      <c r="Y237" s="222">
        <v>40</v>
      </c>
      <c r="Z237" s="223">
        <v>10800</v>
      </c>
      <c r="AA237" s="209">
        <v>3</v>
      </c>
      <c r="AB237" s="208">
        <v>16470</v>
      </c>
      <c r="AC237" s="208">
        <v>64500</v>
      </c>
      <c r="AD237" s="208">
        <v>7</v>
      </c>
      <c r="AE237" s="208">
        <v>2</v>
      </c>
      <c r="AF237" s="208">
        <v>15480</v>
      </c>
      <c r="AG237" s="138">
        <v>49020</v>
      </c>
    </row>
    <row r="238" spans="1:33" x14ac:dyDescent="0.3">
      <c r="A238" t="s">
        <v>8</v>
      </c>
      <c r="B238" t="s">
        <v>183</v>
      </c>
      <c r="C238" t="s">
        <v>131</v>
      </c>
      <c r="D238" t="str">
        <f t="shared" si="17"/>
        <v>ПлатинумСтандартный вариантПромоутеры8</v>
      </c>
      <c r="E238" s="18">
        <v>350</v>
      </c>
      <c r="F238" s="24">
        <v>10</v>
      </c>
      <c r="G238" s="24">
        <v>35</v>
      </c>
      <c r="H238" s="24">
        <v>7</v>
      </c>
      <c r="I238" s="26">
        <v>0.17</v>
      </c>
      <c r="J238" s="27">
        <v>59.500000000000007</v>
      </c>
      <c r="K238" s="27">
        <v>10</v>
      </c>
      <c r="L238" s="27">
        <v>5.9500000000000011</v>
      </c>
      <c r="M238" s="48">
        <v>1.416666666666667</v>
      </c>
      <c r="N238" s="28">
        <v>0.31999999999999995</v>
      </c>
      <c r="O238" s="27">
        <v>19</v>
      </c>
      <c r="P238" s="28">
        <v>0.17</v>
      </c>
      <c r="Q238" s="70">
        <v>0.35</v>
      </c>
      <c r="R238" s="29">
        <v>8</v>
      </c>
      <c r="S238" s="30">
        <v>400</v>
      </c>
      <c r="T238" s="30">
        <v>400</v>
      </c>
      <c r="U238" s="31">
        <v>5490</v>
      </c>
      <c r="V238" s="222">
        <v>7600</v>
      </c>
      <c r="W238" s="229">
        <v>4</v>
      </c>
      <c r="X238" s="222">
        <v>21960</v>
      </c>
      <c r="Y238" s="222">
        <v>42</v>
      </c>
      <c r="Z238" s="223">
        <v>7600</v>
      </c>
      <c r="AA238" s="209">
        <v>2</v>
      </c>
      <c r="AB238" s="208">
        <v>10980</v>
      </c>
      <c r="AC238" s="208">
        <v>40540</v>
      </c>
      <c r="AD238" s="208">
        <v>7</v>
      </c>
      <c r="AE238" s="208">
        <v>2</v>
      </c>
      <c r="AF238" s="208">
        <v>15480</v>
      </c>
      <c r="AG238" s="138">
        <v>25060</v>
      </c>
    </row>
    <row r="239" spans="1:33" x14ac:dyDescent="0.3">
      <c r="A239" t="s">
        <v>8</v>
      </c>
      <c r="B239" t="s">
        <v>183</v>
      </c>
      <c r="C239" t="s">
        <v>131</v>
      </c>
      <c r="D239" t="str">
        <f t="shared" si="17"/>
        <v>ПлатинумСтандартный вариантПромоутеры9</v>
      </c>
      <c r="E239" s="18">
        <v>350</v>
      </c>
      <c r="F239" s="24">
        <v>10</v>
      </c>
      <c r="G239" s="24">
        <v>35</v>
      </c>
      <c r="H239" s="24">
        <v>7</v>
      </c>
      <c r="I239" s="26">
        <v>0.17</v>
      </c>
      <c r="J239" s="27">
        <v>59.500000000000007</v>
      </c>
      <c r="K239" s="27">
        <v>10</v>
      </c>
      <c r="L239" s="27">
        <v>5.9500000000000011</v>
      </c>
      <c r="M239" s="48">
        <v>1.416666666666667</v>
      </c>
      <c r="N239" s="28">
        <v>0.21999999999999995</v>
      </c>
      <c r="O239" s="27">
        <v>13</v>
      </c>
      <c r="P239" s="28">
        <v>7.0000000000000007E-2</v>
      </c>
      <c r="Q239" s="70">
        <v>0.2</v>
      </c>
      <c r="R239" s="29">
        <v>9</v>
      </c>
      <c r="S239" s="30">
        <v>400</v>
      </c>
      <c r="T239" s="30">
        <v>400</v>
      </c>
      <c r="U239" s="31">
        <v>5490</v>
      </c>
      <c r="V239" s="222">
        <v>5200</v>
      </c>
      <c r="W239" s="229">
        <v>1</v>
      </c>
      <c r="X239" s="222">
        <v>5490</v>
      </c>
      <c r="Y239" s="222">
        <v>42</v>
      </c>
      <c r="Z239" s="223">
        <v>5200</v>
      </c>
      <c r="AA239" s="209">
        <v>1</v>
      </c>
      <c r="AB239" s="208">
        <v>5490</v>
      </c>
      <c r="AC239" s="208">
        <v>16180</v>
      </c>
      <c r="AD239" s="208">
        <v>7</v>
      </c>
      <c r="AE239" s="208">
        <v>1</v>
      </c>
      <c r="AF239" s="208">
        <v>13760</v>
      </c>
      <c r="AG239" s="138">
        <v>2420</v>
      </c>
    </row>
    <row r="240" spans="1:33" ht="16.2" thickBot="1" x14ac:dyDescent="0.35">
      <c r="E240" s="19"/>
      <c r="F240" s="40"/>
      <c r="G240" s="40"/>
      <c r="H240" s="40"/>
      <c r="I240" s="42"/>
      <c r="J240" s="43"/>
      <c r="K240" s="43"/>
      <c r="L240" s="43"/>
      <c r="M240" s="53"/>
      <c r="N240" s="44"/>
      <c r="O240" s="43"/>
      <c r="P240" s="44"/>
      <c r="Q240" s="72"/>
      <c r="R240" s="45"/>
      <c r="S240" s="46"/>
      <c r="T240" s="46"/>
      <c r="U240" s="47"/>
      <c r="V240" s="234"/>
      <c r="W240" s="235"/>
      <c r="X240" s="234"/>
      <c r="Y240" s="234"/>
      <c r="Z240" s="236"/>
      <c r="AA240" s="213"/>
      <c r="AB240" s="214"/>
      <c r="AC240" s="214"/>
      <c r="AD240" s="214"/>
      <c r="AE240" s="214"/>
      <c r="AF240" s="214" t="s">
        <v>64</v>
      </c>
      <c r="AG240" s="139">
        <v>323180</v>
      </c>
    </row>
    <row r="241" spans="1:33" ht="16.2" thickBot="1" x14ac:dyDescent="0.35">
      <c r="E241" s="18"/>
      <c r="F241" s="40"/>
      <c r="G241" s="40"/>
      <c r="H241" s="40"/>
      <c r="I241" s="26"/>
      <c r="J241" s="27"/>
      <c r="K241" s="27"/>
      <c r="L241" s="27"/>
      <c r="M241" s="48"/>
      <c r="N241" s="28"/>
      <c r="O241" s="27"/>
      <c r="P241" s="28"/>
      <c r="Q241" s="28"/>
      <c r="R241" s="45"/>
      <c r="S241" s="46"/>
      <c r="T241" s="46"/>
      <c r="U241" s="47"/>
      <c r="V241" s="234"/>
      <c r="W241" s="235"/>
      <c r="X241" s="234"/>
      <c r="Y241" s="234"/>
      <c r="Z241" s="236"/>
      <c r="AA241" s="210"/>
      <c r="AB241" s="208"/>
      <c r="AC241" s="208"/>
      <c r="AD241" s="208"/>
      <c r="AE241" s="208"/>
      <c r="AF241" s="208"/>
      <c r="AG241" s="138"/>
    </row>
    <row r="242" spans="1:33" ht="51.75" customHeight="1" thickBot="1" x14ac:dyDescent="0.35">
      <c r="E242" s="194" t="s">
        <v>91</v>
      </c>
      <c r="F242" s="195" t="s">
        <v>92</v>
      </c>
      <c r="G242" s="196" t="s">
        <v>93</v>
      </c>
      <c r="H242" s="197" t="s">
        <v>134</v>
      </c>
      <c r="I242" s="198" t="s">
        <v>94</v>
      </c>
      <c r="J242" s="199" t="s">
        <v>95</v>
      </c>
      <c r="K242" s="200" t="s">
        <v>96</v>
      </c>
      <c r="L242" s="200" t="s">
        <v>97</v>
      </c>
      <c r="M242" s="200" t="s">
        <v>98</v>
      </c>
      <c r="N242" s="200" t="s">
        <v>99</v>
      </c>
      <c r="O242" s="199" t="s">
        <v>100</v>
      </c>
      <c r="P242" s="200" t="s">
        <v>101</v>
      </c>
      <c r="Q242" s="200" t="s">
        <v>102</v>
      </c>
      <c r="R242" s="195" t="s">
        <v>103</v>
      </c>
      <c r="S242" s="196" t="s">
        <v>104</v>
      </c>
      <c r="T242" s="196" t="s">
        <v>105</v>
      </c>
      <c r="U242" s="197" t="s">
        <v>90</v>
      </c>
      <c r="V242" s="196" t="s">
        <v>106</v>
      </c>
      <c r="W242" s="202" t="s">
        <v>107</v>
      </c>
      <c r="X242" s="196" t="s">
        <v>108</v>
      </c>
      <c r="Y242" s="202" t="s">
        <v>109</v>
      </c>
      <c r="Z242" s="203" t="s">
        <v>110</v>
      </c>
      <c r="AA242" s="200" t="s">
        <v>111</v>
      </c>
      <c r="AB242" s="200" t="s">
        <v>112</v>
      </c>
      <c r="AC242" s="200" t="s">
        <v>113</v>
      </c>
      <c r="AD242" s="200" t="s">
        <v>135</v>
      </c>
      <c r="AE242" s="200" t="s">
        <v>136</v>
      </c>
      <c r="AF242" s="200" t="s">
        <v>115</v>
      </c>
      <c r="AG242" s="201" t="s">
        <v>116</v>
      </c>
    </row>
    <row r="243" spans="1:33" x14ac:dyDescent="0.3">
      <c r="A243" t="s">
        <v>8</v>
      </c>
      <c r="B243" t="s">
        <v>184</v>
      </c>
      <c r="C243" t="s">
        <v>131</v>
      </c>
      <c r="D243" t="str">
        <f t="shared" ref="D243:D251" si="18">A243&amp;B243&amp;C243&amp;R243</f>
        <v>ПлатинумПессиместичный вариантПромоутеры1</v>
      </c>
      <c r="E243" s="17">
        <v>350</v>
      </c>
      <c r="F243" s="24">
        <v>10</v>
      </c>
      <c r="G243" s="24">
        <v>35</v>
      </c>
      <c r="H243" s="24">
        <v>7</v>
      </c>
      <c r="I243" s="49">
        <v>0.15</v>
      </c>
      <c r="J243" s="50">
        <v>52.5</v>
      </c>
      <c r="K243" s="50">
        <v>10</v>
      </c>
      <c r="L243" s="50">
        <v>5.25</v>
      </c>
      <c r="M243" s="51">
        <v>1.25</v>
      </c>
      <c r="N243" s="52">
        <v>0.4</v>
      </c>
      <c r="O243" s="50">
        <v>21</v>
      </c>
      <c r="P243" s="52">
        <v>0.25</v>
      </c>
      <c r="Q243" s="69">
        <v>0.5</v>
      </c>
      <c r="R243" s="77">
        <v>1</v>
      </c>
      <c r="S243" s="78">
        <v>500</v>
      </c>
      <c r="T243" s="78">
        <v>400</v>
      </c>
      <c r="U243" s="79">
        <v>5490</v>
      </c>
      <c r="V243" s="218">
        <v>8400</v>
      </c>
      <c r="W243" s="218">
        <v>6</v>
      </c>
      <c r="X243" s="218">
        <v>32940</v>
      </c>
      <c r="Y243" s="218">
        <v>6</v>
      </c>
      <c r="Z243" s="219">
        <v>10500</v>
      </c>
      <c r="AA243" s="204">
        <v>0</v>
      </c>
      <c r="AB243" s="205">
        <v>0</v>
      </c>
      <c r="AC243" s="205">
        <v>41340</v>
      </c>
      <c r="AD243" s="205">
        <v>1</v>
      </c>
      <c r="AE243" s="205">
        <v>2</v>
      </c>
      <c r="AF243" s="205">
        <v>5160</v>
      </c>
      <c r="AG243" s="206">
        <v>25680</v>
      </c>
    </row>
    <row r="244" spans="1:33" x14ac:dyDescent="0.3">
      <c r="A244" t="s">
        <v>8</v>
      </c>
      <c r="B244" t="s">
        <v>184</v>
      </c>
      <c r="C244" t="s">
        <v>131</v>
      </c>
      <c r="D244" t="str">
        <f t="shared" si="18"/>
        <v>ПлатинумПессиместичный вариантПромоутеры2</v>
      </c>
      <c r="E244" s="18">
        <v>350</v>
      </c>
      <c r="F244" s="24">
        <v>10</v>
      </c>
      <c r="G244" s="24">
        <v>35</v>
      </c>
      <c r="H244" s="24">
        <v>7</v>
      </c>
      <c r="I244" s="26">
        <v>0.15</v>
      </c>
      <c r="J244" s="27">
        <v>52.5</v>
      </c>
      <c r="K244" s="27">
        <v>10</v>
      </c>
      <c r="L244" s="27">
        <v>5.25</v>
      </c>
      <c r="M244" s="48">
        <v>1.25</v>
      </c>
      <c r="N244" s="28">
        <v>0.4</v>
      </c>
      <c r="O244" s="27">
        <v>21</v>
      </c>
      <c r="P244" s="28">
        <v>0.25</v>
      </c>
      <c r="Q244" s="70">
        <v>0.5</v>
      </c>
      <c r="R244" s="29">
        <v>2</v>
      </c>
      <c r="S244" s="30">
        <v>500</v>
      </c>
      <c r="T244" s="30">
        <v>400</v>
      </c>
      <c r="U244" s="31">
        <v>5490</v>
      </c>
      <c r="V244" s="222">
        <v>8400</v>
      </c>
      <c r="W244" s="222">
        <v>6</v>
      </c>
      <c r="X244" s="222">
        <v>32940</v>
      </c>
      <c r="Y244" s="222">
        <v>12</v>
      </c>
      <c r="Z244" s="223">
        <v>10500</v>
      </c>
      <c r="AA244" s="207">
        <v>0</v>
      </c>
      <c r="AB244" s="208">
        <v>0</v>
      </c>
      <c r="AC244" s="208">
        <v>41340</v>
      </c>
      <c r="AD244" s="208">
        <v>2</v>
      </c>
      <c r="AE244" s="208">
        <v>2</v>
      </c>
      <c r="AF244" s="208">
        <v>6880</v>
      </c>
      <c r="AG244" s="138">
        <v>34460</v>
      </c>
    </row>
    <row r="245" spans="1:33" x14ac:dyDescent="0.3">
      <c r="A245" t="s">
        <v>8</v>
      </c>
      <c r="B245" t="s">
        <v>184</v>
      </c>
      <c r="C245" t="s">
        <v>131</v>
      </c>
      <c r="D245" t="str">
        <f t="shared" si="18"/>
        <v>ПлатинумПессиместичный вариантПромоутеры3</v>
      </c>
      <c r="E245" s="18">
        <v>350</v>
      </c>
      <c r="F245" s="24">
        <v>10</v>
      </c>
      <c r="G245" s="24">
        <v>35</v>
      </c>
      <c r="H245" s="24">
        <v>7</v>
      </c>
      <c r="I245" s="26">
        <v>0.15</v>
      </c>
      <c r="J245" s="27">
        <v>52.5</v>
      </c>
      <c r="K245" s="27">
        <v>10</v>
      </c>
      <c r="L245" s="27">
        <v>5.25</v>
      </c>
      <c r="M245" s="48">
        <v>1.25</v>
      </c>
      <c r="N245" s="28">
        <v>0.4</v>
      </c>
      <c r="O245" s="27">
        <v>21</v>
      </c>
      <c r="P245" s="28">
        <v>0.25</v>
      </c>
      <c r="Q245" s="70">
        <v>0.5</v>
      </c>
      <c r="R245" s="29">
        <v>3</v>
      </c>
      <c r="S245" s="30">
        <v>500</v>
      </c>
      <c r="T245" s="30">
        <v>400</v>
      </c>
      <c r="U245" s="31">
        <v>5490</v>
      </c>
      <c r="V245" s="222">
        <v>8400</v>
      </c>
      <c r="W245" s="222">
        <v>6</v>
      </c>
      <c r="X245" s="222">
        <v>32940</v>
      </c>
      <c r="Y245" s="222">
        <v>18</v>
      </c>
      <c r="Z245" s="223">
        <v>10500</v>
      </c>
      <c r="AA245" s="207">
        <v>0</v>
      </c>
      <c r="AB245" s="208">
        <v>0</v>
      </c>
      <c r="AC245" s="208">
        <v>41340</v>
      </c>
      <c r="AD245" s="208">
        <v>3</v>
      </c>
      <c r="AE245" s="208">
        <v>2</v>
      </c>
      <c r="AF245" s="208">
        <v>8600</v>
      </c>
      <c r="AG245" s="138">
        <v>32740</v>
      </c>
    </row>
    <row r="246" spans="1:33" x14ac:dyDescent="0.3">
      <c r="A246" t="s">
        <v>8</v>
      </c>
      <c r="B246" t="s">
        <v>184</v>
      </c>
      <c r="C246" t="s">
        <v>131</v>
      </c>
      <c r="D246" t="str">
        <f t="shared" si="18"/>
        <v>ПлатинумПессиместичный вариантПромоутеры4</v>
      </c>
      <c r="E246" s="18">
        <v>350</v>
      </c>
      <c r="F246" s="24">
        <v>10</v>
      </c>
      <c r="G246" s="24">
        <v>35</v>
      </c>
      <c r="H246" s="24">
        <v>7</v>
      </c>
      <c r="I246" s="26">
        <v>0.15</v>
      </c>
      <c r="J246" s="27">
        <v>52.5</v>
      </c>
      <c r="K246" s="27">
        <v>10</v>
      </c>
      <c r="L246" s="27">
        <v>5.25</v>
      </c>
      <c r="M246" s="48">
        <v>1.25</v>
      </c>
      <c r="N246" s="28">
        <v>0.4</v>
      </c>
      <c r="O246" s="27">
        <v>21</v>
      </c>
      <c r="P246" s="28">
        <v>0.25</v>
      </c>
      <c r="Q246" s="70">
        <v>0.5</v>
      </c>
      <c r="R246" s="29">
        <v>4</v>
      </c>
      <c r="S246" s="30">
        <v>500</v>
      </c>
      <c r="T246" s="30">
        <v>400</v>
      </c>
      <c r="U246" s="31">
        <v>5490</v>
      </c>
      <c r="V246" s="222">
        <v>8400</v>
      </c>
      <c r="W246" s="222">
        <v>6</v>
      </c>
      <c r="X246" s="222">
        <v>32940</v>
      </c>
      <c r="Y246" s="222">
        <v>24</v>
      </c>
      <c r="Z246" s="223">
        <v>10500</v>
      </c>
      <c r="AA246" s="207">
        <v>0</v>
      </c>
      <c r="AB246" s="208">
        <v>0</v>
      </c>
      <c r="AC246" s="208">
        <v>41340</v>
      </c>
      <c r="AD246" s="208">
        <v>4</v>
      </c>
      <c r="AE246" s="208">
        <v>2</v>
      </c>
      <c r="AF246" s="208">
        <v>10320</v>
      </c>
      <c r="AG246" s="138">
        <v>31020</v>
      </c>
    </row>
    <row r="247" spans="1:33" x14ac:dyDescent="0.3">
      <c r="A247" t="s">
        <v>8</v>
      </c>
      <c r="B247" t="s">
        <v>184</v>
      </c>
      <c r="C247" t="s">
        <v>131</v>
      </c>
      <c r="D247" t="str">
        <f t="shared" si="18"/>
        <v>ПлатинумПессиместичный вариантПромоутеры5</v>
      </c>
      <c r="E247" s="18">
        <v>350</v>
      </c>
      <c r="F247" s="32">
        <v>10</v>
      </c>
      <c r="G247" s="32">
        <v>35</v>
      </c>
      <c r="H247" s="32">
        <v>7</v>
      </c>
      <c r="I247" s="73">
        <v>0.15</v>
      </c>
      <c r="J247" s="34">
        <v>52.5</v>
      </c>
      <c r="K247" s="34">
        <v>10</v>
      </c>
      <c r="L247" s="34">
        <v>5.25</v>
      </c>
      <c r="M247" s="74">
        <v>1.25</v>
      </c>
      <c r="N247" s="75">
        <v>0.4</v>
      </c>
      <c r="O247" s="80">
        <v>21</v>
      </c>
      <c r="P247" s="75">
        <v>0.25</v>
      </c>
      <c r="Q247" s="71">
        <v>0.5</v>
      </c>
      <c r="R247" s="35">
        <v>5</v>
      </c>
      <c r="S247" s="76">
        <v>500</v>
      </c>
      <c r="T247" s="36">
        <v>400</v>
      </c>
      <c r="U247" s="37">
        <v>5490</v>
      </c>
      <c r="V247" s="227">
        <v>8400</v>
      </c>
      <c r="W247" s="227">
        <v>6</v>
      </c>
      <c r="X247" s="227">
        <v>32940</v>
      </c>
      <c r="Y247" s="227">
        <v>27</v>
      </c>
      <c r="Z247" s="228">
        <v>10500</v>
      </c>
      <c r="AA247" s="209">
        <v>3</v>
      </c>
      <c r="AB247" s="210">
        <v>16470</v>
      </c>
      <c r="AC247" s="211">
        <v>57810</v>
      </c>
      <c r="AD247" s="211">
        <v>5</v>
      </c>
      <c r="AE247" s="211">
        <v>2</v>
      </c>
      <c r="AF247" s="211">
        <v>12040</v>
      </c>
      <c r="AG247" s="212">
        <v>45770</v>
      </c>
    </row>
    <row r="248" spans="1:33" x14ac:dyDescent="0.3">
      <c r="A248" t="s">
        <v>8</v>
      </c>
      <c r="B248" t="s">
        <v>184</v>
      </c>
      <c r="C248" t="s">
        <v>131</v>
      </c>
      <c r="D248" t="str">
        <f t="shared" si="18"/>
        <v>ПлатинумПессиместичный вариантПромоутеры6</v>
      </c>
      <c r="E248" s="18">
        <v>350</v>
      </c>
      <c r="F248" s="24">
        <v>10</v>
      </c>
      <c r="G248" s="24">
        <v>35</v>
      </c>
      <c r="H248" s="24">
        <v>7</v>
      </c>
      <c r="I248" s="26">
        <v>0.15</v>
      </c>
      <c r="J248" s="27">
        <v>52.5</v>
      </c>
      <c r="K248" s="27">
        <v>10</v>
      </c>
      <c r="L248" s="27">
        <v>5.25</v>
      </c>
      <c r="M248" s="48">
        <v>1.25</v>
      </c>
      <c r="N248" s="28">
        <v>0.4</v>
      </c>
      <c r="O248" s="27">
        <v>21</v>
      </c>
      <c r="P248" s="28">
        <v>0.25</v>
      </c>
      <c r="Q248" s="70">
        <v>0.5</v>
      </c>
      <c r="R248" s="29">
        <v>6</v>
      </c>
      <c r="S248" s="30">
        <v>500</v>
      </c>
      <c r="T248" s="30">
        <v>400</v>
      </c>
      <c r="U248" s="31">
        <v>5490</v>
      </c>
      <c r="V248" s="222">
        <v>8400</v>
      </c>
      <c r="W248" s="229">
        <v>6</v>
      </c>
      <c r="X248" s="222">
        <v>32940</v>
      </c>
      <c r="Y248" s="222">
        <v>30</v>
      </c>
      <c r="Z248" s="223">
        <v>10500</v>
      </c>
      <c r="AA248" s="209">
        <v>3</v>
      </c>
      <c r="AB248" s="208">
        <v>16470</v>
      </c>
      <c r="AC248" s="208">
        <v>57810</v>
      </c>
      <c r="AD248" s="208">
        <v>5</v>
      </c>
      <c r="AE248" s="208">
        <v>2</v>
      </c>
      <c r="AF248" s="208">
        <v>12040</v>
      </c>
      <c r="AG248" s="138">
        <v>45770</v>
      </c>
    </row>
    <row r="249" spans="1:33" x14ac:dyDescent="0.3">
      <c r="A249" t="s">
        <v>8</v>
      </c>
      <c r="B249" t="s">
        <v>184</v>
      </c>
      <c r="C249" t="s">
        <v>131</v>
      </c>
      <c r="D249" t="str">
        <f t="shared" si="18"/>
        <v>ПлатинумПессиместичный вариантПромоутеры7</v>
      </c>
      <c r="E249" s="18">
        <v>350</v>
      </c>
      <c r="F249" s="24">
        <v>10</v>
      </c>
      <c r="G249" s="24">
        <v>35</v>
      </c>
      <c r="H249" s="24">
        <v>7</v>
      </c>
      <c r="I249" s="26">
        <v>0.15</v>
      </c>
      <c r="J249" s="27">
        <v>52.5</v>
      </c>
      <c r="K249" s="27">
        <v>10</v>
      </c>
      <c r="L249" s="27">
        <v>5.25</v>
      </c>
      <c r="M249" s="48">
        <v>1.25</v>
      </c>
      <c r="N249" s="28">
        <v>0.4</v>
      </c>
      <c r="O249" s="27">
        <v>21</v>
      </c>
      <c r="P249" s="28">
        <v>0.25</v>
      </c>
      <c r="Q249" s="70">
        <v>0.5</v>
      </c>
      <c r="R249" s="29">
        <v>7</v>
      </c>
      <c r="S249" s="30">
        <v>500</v>
      </c>
      <c r="T249" s="30">
        <v>400</v>
      </c>
      <c r="U249" s="31">
        <v>5490</v>
      </c>
      <c r="V249" s="222">
        <v>8400</v>
      </c>
      <c r="W249" s="229">
        <v>6</v>
      </c>
      <c r="X249" s="222">
        <v>32940</v>
      </c>
      <c r="Y249" s="222">
        <v>33</v>
      </c>
      <c r="Z249" s="223">
        <v>10500</v>
      </c>
      <c r="AA249" s="209">
        <v>3</v>
      </c>
      <c r="AB249" s="208">
        <v>16470</v>
      </c>
      <c r="AC249" s="208">
        <v>57810</v>
      </c>
      <c r="AD249" s="208">
        <v>5</v>
      </c>
      <c r="AE249" s="208">
        <v>2</v>
      </c>
      <c r="AF249" s="208">
        <v>12040</v>
      </c>
      <c r="AG249" s="138">
        <v>45770</v>
      </c>
    </row>
    <row r="250" spans="1:33" x14ac:dyDescent="0.3">
      <c r="A250" t="s">
        <v>8</v>
      </c>
      <c r="B250" t="s">
        <v>184</v>
      </c>
      <c r="C250" t="s">
        <v>131</v>
      </c>
      <c r="D250" t="str">
        <f t="shared" si="18"/>
        <v>ПлатинумПессиместичный вариантПромоутеры8</v>
      </c>
      <c r="E250" s="18">
        <v>350</v>
      </c>
      <c r="F250" s="24">
        <v>10</v>
      </c>
      <c r="G250" s="24">
        <v>35</v>
      </c>
      <c r="H250" s="24">
        <v>7</v>
      </c>
      <c r="I250" s="26">
        <v>0.15</v>
      </c>
      <c r="J250" s="27">
        <v>52.5</v>
      </c>
      <c r="K250" s="27">
        <v>10</v>
      </c>
      <c r="L250" s="27">
        <v>5.25</v>
      </c>
      <c r="M250" s="48">
        <v>1.25</v>
      </c>
      <c r="N250" s="28">
        <v>0.30000000000000004</v>
      </c>
      <c r="O250" s="27">
        <v>15</v>
      </c>
      <c r="P250" s="28">
        <v>0.15</v>
      </c>
      <c r="Q250" s="70">
        <v>0.35</v>
      </c>
      <c r="R250" s="29">
        <v>8</v>
      </c>
      <c r="S250" s="30">
        <v>450</v>
      </c>
      <c r="T250" s="30">
        <v>400</v>
      </c>
      <c r="U250" s="31">
        <v>5490</v>
      </c>
      <c r="V250" s="222">
        <v>6000</v>
      </c>
      <c r="W250" s="229">
        <v>3</v>
      </c>
      <c r="X250" s="222">
        <v>16470</v>
      </c>
      <c r="Y250" s="222">
        <v>34</v>
      </c>
      <c r="Z250" s="223">
        <v>6750</v>
      </c>
      <c r="AA250" s="209">
        <v>2</v>
      </c>
      <c r="AB250" s="208">
        <v>10980</v>
      </c>
      <c r="AC250" s="208">
        <v>33450</v>
      </c>
      <c r="AD250" s="208">
        <v>6</v>
      </c>
      <c r="AE250" s="208">
        <v>1</v>
      </c>
      <c r="AF250" s="208">
        <v>12040</v>
      </c>
      <c r="AG250" s="138">
        <v>21410</v>
      </c>
    </row>
    <row r="251" spans="1:33" x14ac:dyDescent="0.3">
      <c r="A251" t="s">
        <v>8</v>
      </c>
      <c r="B251" t="s">
        <v>184</v>
      </c>
      <c r="C251" t="s">
        <v>131</v>
      </c>
      <c r="D251" t="str">
        <f t="shared" si="18"/>
        <v>ПлатинумПессиместичный вариантПромоутеры9</v>
      </c>
      <c r="E251" s="18">
        <v>350</v>
      </c>
      <c r="F251" s="24">
        <v>10</v>
      </c>
      <c r="G251" s="24">
        <v>35</v>
      </c>
      <c r="H251" s="24">
        <v>7</v>
      </c>
      <c r="I251" s="26">
        <v>0.15</v>
      </c>
      <c r="J251" s="27">
        <v>52.5</v>
      </c>
      <c r="K251" s="27">
        <v>10</v>
      </c>
      <c r="L251" s="27">
        <v>5.25</v>
      </c>
      <c r="M251" s="48">
        <v>1.25</v>
      </c>
      <c r="N251" s="28">
        <v>0.20000000000000004</v>
      </c>
      <c r="O251" s="27">
        <v>10</v>
      </c>
      <c r="P251" s="28">
        <v>4.9999999999999989E-2</v>
      </c>
      <c r="Q251" s="70">
        <v>0.2</v>
      </c>
      <c r="R251" s="29">
        <v>9</v>
      </c>
      <c r="S251" s="30">
        <v>450</v>
      </c>
      <c r="T251" s="30">
        <v>400</v>
      </c>
      <c r="U251" s="31">
        <v>5490</v>
      </c>
      <c r="V251" s="222">
        <v>4000</v>
      </c>
      <c r="W251" s="229">
        <v>1</v>
      </c>
      <c r="X251" s="222">
        <v>5490</v>
      </c>
      <c r="Y251" s="222">
        <v>34</v>
      </c>
      <c r="Z251" s="223">
        <v>4500</v>
      </c>
      <c r="AA251" s="209">
        <v>1</v>
      </c>
      <c r="AB251" s="208">
        <v>5490</v>
      </c>
      <c r="AC251" s="208">
        <v>14980</v>
      </c>
      <c r="AD251" s="208">
        <v>6</v>
      </c>
      <c r="AE251" s="208">
        <v>1</v>
      </c>
      <c r="AF251" s="208">
        <v>12040</v>
      </c>
      <c r="AG251" s="138">
        <v>2940</v>
      </c>
    </row>
    <row r="252" spans="1:33" ht="16.2" thickBot="1" x14ac:dyDescent="0.35">
      <c r="E252" s="19"/>
      <c r="F252" s="40"/>
      <c r="G252" s="40"/>
      <c r="H252" s="40"/>
      <c r="I252" s="42"/>
      <c r="J252" s="43"/>
      <c r="K252" s="43"/>
      <c r="L252" s="43"/>
      <c r="M252" s="53"/>
      <c r="N252" s="44"/>
      <c r="O252" s="43"/>
      <c r="P252" s="44"/>
      <c r="Q252" s="72"/>
      <c r="R252" s="45"/>
      <c r="S252" s="46"/>
      <c r="T252" s="46"/>
      <c r="U252" s="47"/>
      <c r="V252" s="234"/>
      <c r="W252" s="235"/>
      <c r="X252" s="234"/>
      <c r="Y252" s="234"/>
      <c r="Z252" s="236"/>
      <c r="AA252" s="213"/>
      <c r="AB252" s="214"/>
      <c r="AC252" s="214"/>
      <c r="AD252" s="214"/>
      <c r="AE252" s="214"/>
      <c r="AF252" s="214" t="s">
        <v>64</v>
      </c>
      <c r="AG252" s="139">
        <v>285560</v>
      </c>
    </row>
    <row r="253" spans="1:33" ht="16.2" thickBot="1" x14ac:dyDescent="0.35">
      <c r="V253" s="114"/>
      <c r="W253" s="114"/>
      <c r="X253" s="114"/>
      <c r="Y253" s="114"/>
      <c r="Z253" s="114"/>
      <c r="AA253" s="114"/>
      <c r="AB253" s="114"/>
      <c r="AC253" s="114"/>
      <c r="AD253" s="114"/>
      <c r="AE253" s="114"/>
      <c r="AF253" s="215"/>
      <c r="AG253" s="127"/>
    </row>
    <row r="254" spans="1:33" ht="24" thickBot="1" x14ac:dyDescent="0.5">
      <c r="E254" s="193" t="s">
        <v>132</v>
      </c>
      <c r="V254" s="114"/>
      <c r="W254" s="114"/>
      <c r="X254" s="114"/>
      <c r="Y254" s="114"/>
      <c r="Z254" s="114"/>
      <c r="AA254" s="114"/>
      <c r="AB254" s="114"/>
      <c r="AC254" s="114"/>
      <c r="AD254" s="114"/>
      <c r="AE254" s="114"/>
      <c r="AF254" s="114"/>
      <c r="AG254" s="114"/>
    </row>
    <row r="255" spans="1:33" ht="45" customHeight="1" thickBot="1" x14ac:dyDescent="0.35">
      <c r="E255" s="194" t="s">
        <v>138</v>
      </c>
      <c r="F255" s="195" t="s">
        <v>92</v>
      </c>
      <c r="G255" s="196" t="s">
        <v>93</v>
      </c>
      <c r="H255" s="197" t="s">
        <v>134</v>
      </c>
      <c r="I255" s="198" t="s">
        <v>94</v>
      </c>
      <c r="J255" s="199" t="s">
        <v>95</v>
      </c>
      <c r="K255" s="200" t="s">
        <v>96</v>
      </c>
      <c r="L255" s="200" t="s">
        <v>97</v>
      </c>
      <c r="M255" s="200" t="s">
        <v>98</v>
      </c>
      <c r="N255" s="200" t="s">
        <v>99</v>
      </c>
      <c r="O255" s="199" t="s">
        <v>100</v>
      </c>
      <c r="P255" s="200" t="s">
        <v>101</v>
      </c>
      <c r="Q255" s="200" t="s">
        <v>102</v>
      </c>
      <c r="R255" s="198" t="s">
        <v>103</v>
      </c>
      <c r="S255" s="200" t="s">
        <v>104</v>
      </c>
      <c r="T255" s="200" t="s">
        <v>105</v>
      </c>
      <c r="U255" s="201" t="s">
        <v>90</v>
      </c>
      <c r="V255" s="250" t="s">
        <v>106</v>
      </c>
      <c r="W255" s="251" t="s">
        <v>107</v>
      </c>
      <c r="X255" s="250" t="s">
        <v>108</v>
      </c>
      <c r="Y255" s="251" t="s">
        <v>109</v>
      </c>
      <c r="Z255" s="252" t="s">
        <v>110</v>
      </c>
      <c r="AA255" s="248" t="s">
        <v>111</v>
      </c>
      <c r="AB255" s="248" t="s">
        <v>112</v>
      </c>
      <c r="AC255" s="248" t="s">
        <v>113</v>
      </c>
      <c r="AD255" s="248" t="s">
        <v>114</v>
      </c>
      <c r="AE255" s="248" t="s">
        <v>136</v>
      </c>
      <c r="AF255" s="248" t="s">
        <v>115</v>
      </c>
      <c r="AG255" s="249" t="s">
        <v>116</v>
      </c>
    </row>
    <row r="256" spans="1:33" x14ac:dyDescent="0.3">
      <c r="A256" t="s">
        <v>8</v>
      </c>
      <c r="B256" t="s">
        <v>182</v>
      </c>
      <c r="C256" t="s">
        <v>132</v>
      </c>
      <c r="D256" t="str">
        <f t="shared" ref="D256:D264" si="19">A256&amp;B256&amp;C256&amp;R256</f>
        <v>ПлатинумОптимистичный вариантФБ/Инстаграмм1</v>
      </c>
      <c r="E256" s="17">
        <v>350</v>
      </c>
      <c r="F256" s="24">
        <v>0</v>
      </c>
      <c r="G256" s="24">
        <v>0</v>
      </c>
      <c r="H256" s="25">
        <v>0</v>
      </c>
      <c r="I256" s="49">
        <v>0</v>
      </c>
      <c r="J256" s="50">
        <v>0</v>
      </c>
      <c r="K256" s="50">
        <v>0</v>
      </c>
      <c r="L256" s="50">
        <v>0</v>
      </c>
      <c r="M256" s="50">
        <v>0</v>
      </c>
      <c r="N256" s="52">
        <v>0.27</v>
      </c>
      <c r="O256" s="50">
        <v>94.5</v>
      </c>
      <c r="P256" s="52">
        <v>0.32</v>
      </c>
      <c r="Q256" s="69">
        <v>0.5</v>
      </c>
      <c r="R256" s="77">
        <v>1</v>
      </c>
      <c r="S256" s="78">
        <v>650</v>
      </c>
      <c r="T256" s="78">
        <v>400</v>
      </c>
      <c r="U256" s="79">
        <v>5490</v>
      </c>
      <c r="V256" s="222">
        <v>37800</v>
      </c>
      <c r="W256" s="222">
        <v>31</v>
      </c>
      <c r="X256" s="222">
        <v>170190</v>
      </c>
      <c r="Y256" s="222">
        <v>31</v>
      </c>
      <c r="Z256" s="237">
        <v>61425</v>
      </c>
      <c r="AA256" s="204">
        <v>0</v>
      </c>
      <c r="AB256" s="205">
        <v>0</v>
      </c>
      <c r="AC256" s="205">
        <v>207990</v>
      </c>
      <c r="AD256" s="205">
        <v>5</v>
      </c>
      <c r="AE256" s="205">
        <v>10</v>
      </c>
      <c r="AF256" s="205">
        <v>25800</v>
      </c>
      <c r="AG256" s="206">
        <v>120765</v>
      </c>
    </row>
    <row r="257" spans="1:33" x14ac:dyDescent="0.3">
      <c r="A257" t="s">
        <v>8</v>
      </c>
      <c r="B257" t="s">
        <v>182</v>
      </c>
      <c r="C257" t="s">
        <v>132</v>
      </c>
      <c r="D257" t="str">
        <f t="shared" si="19"/>
        <v>ПлатинумОптимистичный вариантФБ/Инстаграмм2</v>
      </c>
      <c r="E257" s="18">
        <v>350</v>
      </c>
      <c r="F257" s="24">
        <v>0</v>
      </c>
      <c r="G257" s="24">
        <v>0</v>
      </c>
      <c r="H257" s="25">
        <v>0</v>
      </c>
      <c r="I257" s="26">
        <v>0</v>
      </c>
      <c r="J257" s="27">
        <v>0</v>
      </c>
      <c r="K257" s="27">
        <v>0</v>
      </c>
      <c r="L257" s="27">
        <v>0</v>
      </c>
      <c r="M257" s="27">
        <v>0</v>
      </c>
      <c r="N257" s="28">
        <v>0.27</v>
      </c>
      <c r="O257" s="27">
        <v>94.5</v>
      </c>
      <c r="P257" s="28">
        <v>0.32</v>
      </c>
      <c r="Q257" s="70">
        <v>0.5</v>
      </c>
      <c r="R257" s="29">
        <v>2</v>
      </c>
      <c r="S257" s="30">
        <v>650</v>
      </c>
      <c r="T257" s="30">
        <v>400</v>
      </c>
      <c r="U257" s="31">
        <v>5490</v>
      </c>
      <c r="V257" s="222">
        <v>37800</v>
      </c>
      <c r="W257" s="222">
        <v>31</v>
      </c>
      <c r="X257" s="222">
        <v>170190</v>
      </c>
      <c r="Y257" s="222">
        <v>62</v>
      </c>
      <c r="Z257" s="237">
        <v>61425</v>
      </c>
      <c r="AA257" s="207">
        <v>0</v>
      </c>
      <c r="AB257" s="208">
        <v>0</v>
      </c>
      <c r="AC257" s="208">
        <v>207990</v>
      </c>
      <c r="AD257" s="208">
        <v>10</v>
      </c>
      <c r="AE257" s="208">
        <v>10</v>
      </c>
      <c r="AF257" s="208">
        <v>34400</v>
      </c>
      <c r="AG257" s="138">
        <v>173590</v>
      </c>
    </row>
    <row r="258" spans="1:33" x14ac:dyDescent="0.3">
      <c r="A258" t="s">
        <v>8</v>
      </c>
      <c r="B258" t="s">
        <v>182</v>
      </c>
      <c r="C258" t="s">
        <v>132</v>
      </c>
      <c r="D258" t="str">
        <f t="shared" si="19"/>
        <v>ПлатинумОптимистичный вариантФБ/Инстаграмм3</v>
      </c>
      <c r="E258" s="18">
        <v>350</v>
      </c>
      <c r="F258" s="24">
        <v>0</v>
      </c>
      <c r="G258" s="24">
        <v>0</v>
      </c>
      <c r="H258" s="25">
        <v>0</v>
      </c>
      <c r="I258" s="26">
        <v>0</v>
      </c>
      <c r="J258" s="27">
        <v>0</v>
      </c>
      <c r="K258" s="27">
        <v>0</v>
      </c>
      <c r="L258" s="27">
        <v>0</v>
      </c>
      <c r="M258" s="27">
        <v>0</v>
      </c>
      <c r="N258" s="28">
        <v>0.27</v>
      </c>
      <c r="O258" s="27">
        <v>94.5</v>
      </c>
      <c r="P258" s="28">
        <v>0.32</v>
      </c>
      <c r="Q258" s="70">
        <v>0.5</v>
      </c>
      <c r="R258" s="29">
        <v>3</v>
      </c>
      <c r="S258" s="30">
        <v>650</v>
      </c>
      <c r="T258" s="30">
        <v>400</v>
      </c>
      <c r="U258" s="31">
        <v>5490</v>
      </c>
      <c r="V258" s="222">
        <v>37800</v>
      </c>
      <c r="W258" s="222">
        <v>31</v>
      </c>
      <c r="X258" s="222">
        <v>170190</v>
      </c>
      <c r="Y258" s="222">
        <v>93</v>
      </c>
      <c r="Z258" s="237">
        <v>61425</v>
      </c>
      <c r="AA258" s="207">
        <v>0</v>
      </c>
      <c r="AB258" s="208">
        <v>0</v>
      </c>
      <c r="AC258" s="208">
        <v>207990</v>
      </c>
      <c r="AD258" s="208">
        <v>15</v>
      </c>
      <c r="AE258" s="208">
        <v>10</v>
      </c>
      <c r="AF258" s="208">
        <v>43000</v>
      </c>
      <c r="AG258" s="138">
        <v>164990</v>
      </c>
    </row>
    <row r="259" spans="1:33" x14ac:dyDescent="0.3">
      <c r="A259" t="s">
        <v>8</v>
      </c>
      <c r="B259" t="s">
        <v>182</v>
      </c>
      <c r="C259" t="s">
        <v>132</v>
      </c>
      <c r="D259" t="str">
        <f t="shared" si="19"/>
        <v>ПлатинумОптимистичный вариантФБ/Инстаграмм4</v>
      </c>
      <c r="E259" s="18">
        <v>350</v>
      </c>
      <c r="F259" s="24">
        <v>0</v>
      </c>
      <c r="G259" s="24">
        <v>0</v>
      </c>
      <c r="H259" s="25">
        <v>0</v>
      </c>
      <c r="I259" s="26">
        <v>0</v>
      </c>
      <c r="J259" s="27">
        <v>0</v>
      </c>
      <c r="K259" s="27">
        <v>0</v>
      </c>
      <c r="L259" s="27">
        <v>0</v>
      </c>
      <c r="M259" s="27">
        <v>0</v>
      </c>
      <c r="N259" s="28">
        <v>0.27</v>
      </c>
      <c r="O259" s="27">
        <v>94.5</v>
      </c>
      <c r="P259" s="28">
        <v>0.32</v>
      </c>
      <c r="Q259" s="70">
        <v>0.5</v>
      </c>
      <c r="R259" s="29">
        <v>4</v>
      </c>
      <c r="S259" s="30">
        <v>650</v>
      </c>
      <c r="T259" s="30">
        <v>400</v>
      </c>
      <c r="U259" s="31">
        <v>5490</v>
      </c>
      <c r="V259" s="222">
        <v>37800</v>
      </c>
      <c r="W259" s="222">
        <v>31</v>
      </c>
      <c r="X259" s="222">
        <v>170190</v>
      </c>
      <c r="Y259" s="222">
        <v>124</v>
      </c>
      <c r="Z259" s="237">
        <v>61425</v>
      </c>
      <c r="AA259" s="207">
        <v>0</v>
      </c>
      <c r="AB259" s="208">
        <v>0</v>
      </c>
      <c r="AC259" s="208">
        <v>207990</v>
      </c>
      <c r="AD259" s="208">
        <v>19</v>
      </c>
      <c r="AE259" s="208">
        <v>10</v>
      </c>
      <c r="AF259" s="208">
        <v>49880</v>
      </c>
      <c r="AG259" s="138">
        <v>158110</v>
      </c>
    </row>
    <row r="260" spans="1:33" x14ac:dyDescent="0.3">
      <c r="A260" t="s">
        <v>8</v>
      </c>
      <c r="B260" t="s">
        <v>182</v>
      </c>
      <c r="C260" t="s">
        <v>132</v>
      </c>
      <c r="D260" t="str">
        <f t="shared" si="19"/>
        <v>ПлатинумОптимистичный вариантФБ/Инстаграмм5</v>
      </c>
      <c r="E260" s="18">
        <v>350</v>
      </c>
      <c r="F260" s="32">
        <v>0</v>
      </c>
      <c r="G260" s="81">
        <v>0</v>
      </c>
      <c r="H260" s="82">
        <v>0</v>
      </c>
      <c r="I260" s="33">
        <v>0</v>
      </c>
      <c r="J260" s="34">
        <v>0</v>
      </c>
      <c r="K260" s="34">
        <v>0</v>
      </c>
      <c r="L260" s="80">
        <v>0</v>
      </c>
      <c r="M260" s="34">
        <v>0</v>
      </c>
      <c r="N260" s="75">
        <v>0.27</v>
      </c>
      <c r="O260" s="34">
        <v>94.5</v>
      </c>
      <c r="P260" s="75">
        <v>0.32</v>
      </c>
      <c r="Q260" s="71">
        <v>0.5</v>
      </c>
      <c r="R260" s="35">
        <v>5</v>
      </c>
      <c r="S260" s="76">
        <v>650</v>
      </c>
      <c r="T260" s="36">
        <v>400</v>
      </c>
      <c r="U260" s="37">
        <v>5490</v>
      </c>
      <c r="V260" s="227">
        <v>37800</v>
      </c>
      <c r="W260" s="227">
        <v>31</v>
      </c>
      <c r="X260" s="227">
        <v>170190</v>
      </c>
      <c r="Y260" s="227">
        <v>140</v>
      </c>
      <c r="Z260" s="238">
        <v>61425</v>
      </c>
      <c r="AA260" s="209">
        <v>15</v>
      </c>
      <c r="AB260" s="210">
        <v>82350</v>
      </c>
      <c r="AC260" s="211">
        <v>290340</v>
      </c>
      <c r="AD260" s="211">
        <v>22</v>
      </c>
      <c r="AE260" s="211">
        <v>10</v>
      </c>
      <c r="AF260" s="211">
        <v>55040</v>
      </c>
      <c r="AG260" s="212">
        <v>235300</v>
      </c>
    </row>
    <row r="261" spans="1:33" x14ac:dyDescent="0.3">
      <c r="A261" t="s">
        <v>8</v>
      </c>
      <c r="B261" t="s">
        <v>182</v>
      </c>
      <c r="C261" t="s">
        <v>132</v>
      </c>
      <c r="D261" t="str">
        <f t="shared" si="19"/>
        <v>ПлатинумОптимистичный вариантФБ/Инстаграмм6</v>
      </c>
      <c r="E261" s="18">
        <v>350</v>
      </c>
      <c r="F261" s="24">
        <v>0</v>
      </c>
      <c r="G261" s="24">
        <v>0</v>
      </c>
      <c r="H261" s="25">
        <v>0</v>
      </c>
      <c r="I261" s="26">
        <v>0</v>
      </c>
      <c r="J261" s="27">
        <v>0</v>
      </c>
      <c r="K261" s="27">
        <v>0</v>
      </c>
      <c r="L261" s="27">
        <v>0</v>
      </c>
      <c r="M261" s="27">
        <v>0</v>
      </c>
      <c r="N261" s="28">
        <v>0.27</v>
      </c>
      <c r="O261" s="27">
        <v>94.5</v>
      </c>
      <c r="P261" s="28">
        <v>0.32</v>
      </c>
      <c r="Q261" s="70">
        <v>0.5</v>
      </c>
      <c r="R261" s="29">
        <v>6</v>
      </c>
      <c r="S261" s="30">
        <v>650</v>
      </c>
      <c r="T261" s="30">
        <v>400</v>
      </c>
      <c r="U261" s="31">
        <v>5490</v>
      </c>
      <c r="V261" s="222">
        <v>37800</v>
      </c>
      <c r="W261" s="229">
        <v>31</v>
      </c>
      <c r="X261" s="222">
        <v>170190</v>
      </c>
      <c r="Y261" s="222">
        <v>156</v>
      </c>
      <c r="Z261" s="237">
        <v>61425</v>
      </c>
      <c r="AA261" s="209">
        <v>15</v>
      </c>
      <c r="AB261" s="208">
        <v>82350</v>
      </c>
      <c r="AC261" s="208">
        <v>290340</v>
      </c>
      <c r="AD261" s="208">
        <v>24</v>
      </c>
      <c r="AE261" s="208">
        <v>10</v>
      </c>
      <c r="AF261" s="208">
        <v>58480</v>
      </c>
      <c r="AG261" s="138">
        <v>231860</v>
      </c>
    </row>
    <row r="262" spans="1:33" x14ac:dyDescent="0.3">
      <c r="A262" t="s">
        <v>8</v>
      </c>
      <c r="B262" t="s">
        <v>182</v>
      </c>
      <c r="C262" t="s">
        <v>132</v>
      </c>
      <c r="D262" t="str">
        <f t="shared" si="19"/>
        <v>ПлатинумОптимистичный вариантФБ/Инстаграмм7</v>
      </c>
      <c r="E262" s="18">
        <v>350</v>
      </c>
      <c r="F262" s="24">
        <v>0</v>
      </c>
      <c r="G262" s="24">
        <v>0</v>
      </c>
      <c r="H262" s="25">
        <v>0</v>
      </c>
      <c r="I262" s="26">
        <v>0</v>
      </c>
      <c r="J262" s="27">
        <v>0</v>
      </c>
      <c r="K262" s="27">
        <v>0</v>
      </c>
      <c r="L262" s="27">
        <v>0</v>
      </c>
      <c r="M262" s="27">
        <v>0</v>
      </c>
      <c r="N262" s="28">
        <v>0.27</v>
      </c>
      <c r="O262" s="27">
        <v>94.5</v>
      </c>
      <c r="P262" s="28">
        <v>0.32</v>
      </c>
      <c r="Q262" s="70">
        <v>0.5</v>
      </c>
      <c r="R262" s="29">
        <v>7</v>
      </c>
      <c r="S262" s="30">
        <v>650</v>
      </c>
      <c r="T262" s="30">
        <v>400</v>
      </c>
      <c r="U262" s="31">
        <v>5490</v>
      </c>
      <c r="V262" s="222">
        <v>37800</v>
      </c>
      <c r="W262" s="229">
        <v>31</v>
      </c>
      <c r="X262" s="222">
        <v>170190</v>
      </c>
      <c r="Y262" s="222">
        <v>172</v>
      </c>
      <c r="Z262" s="237">
        <v>61425</v>
      </c>
      <c r="AA262" s="209">
        <v>15</v>
      </c>
      <c r="AB262" s="208">
        <v>82350</v>
      </c>
      <c r="AC262" s="208">
        <v>290340</v>
      </c>
      <c r="AD262" s="208">
        <v>27</v>
      </c>
      <c r="AE262" s="208">
        <v>10</v>
      </c>
      <c r="AF262" s="208">
        <v>63640</v>
      </c>
      <c r="AG262" s="138">
        <v>226700</v>
      </c>
    </row>
    <row r="263" spans="1:33" x14ac:dyDescent="0.3">
      <c r="A263" t="s">
        <v>8</v>
      </c>
      <c r="B263" t="s">
        <v>182</v>
      </c>
      <c r="C263" t="s">
        <v>132</v>
      </c>
      <c r="D263" t="str">
        <f t="shared" si="19"/>
        <v>ПлатинумОптимистичный вариантФБ/Инстаграмм8</v>
      </c>
      <c r="E263" s="18">
        <v>350</v>
      </c>
      <c r="F263" s="24">
        <v>0</v>
      </c>
      <c r="G263" s="24">
        <v>0</v>
      </c>
      <c r="H263" s="25">
        <v>0</v>
      </c>
      <c r="I263" s="26">
        <v>0</v>
      </c>
      <c r="J263" s="27">
        <v>0</v>
      </c>
      <c r="K263" s="27">
        <v>0</v>
      </c>
      <c r="L263" s="27">
        <v>0</v>
      </c>
      <c r="M263" s="27">
        <v>0</v>
      </c>
      <c r="N263" s="28">
        <v>0.22000000000000003</v>
      </c>
      <c r="O263" s="27">
        <v>77.000000000000014</v>
      </c>
      <c r="P263" s="28">
        <v>0.27</v>
      </c>
      <c r="Q263" s="70">
        <v>0.35</v>
      </c>
      <c r="R263" s="29">
        <v>8</v>
      </c>
      <c r="S263" s="30">
        <v>600</v>
      </c>
      <c r="T263" s="30">
        <v>400</v>
      </c>
      <c r="U263" s="31">
        <v>5490</v>
      </c>
      <c r="V263" s="222">
        <v>30800.000000000007</v>
      </c>
      <c r="W263" s="229">
        <v>21</v>
      </c>
      <c r="X263" s="222">
        <v>115290</v>
      </c>
      <c r="Y263" s="222">
        <v>183</v>
      </c>
      <c r="Z263" s="237">
        <v>46200.000000000007</v>
      </c>
      <c r="AA263" s="209">
        <v>10</v>
      </c>
      <c r="AB263" s="208">
        <v>54900</v>
      </c>
      <c r="AC263" s="208">
        <v>200990</v>
      </c>
      <c r="AD263" s="208">
        <v>28</v>
      </c>
      <c r="AE263" s="208">
        <v>8</v>
      </c>
      <c r="AF263" s="208">
        <v>61920</v>
      </c>
      <c r="AG263" s="138">
        <v>139070</v>
      </c>
    </row>
    <row r="264" spans="1:33" x14ac:dyDescent="0.3">
      <c r="A264" t="s">
        <v>8</v>
      </c>
      <c r="B264" t="s">
        <v>182</v>
      </c>
      <c r="C264" t="s">
        <v>132</v>
      </c>
      <c r="D264" t="str">
        <f t="shared" si="19"/>
        <v>ПлатинумОптимистичный вариантФБ/Инстаграмм9</v>
      </c>
      <c r="E264" s="18">
        <v>350</v>
      </c>
      <c r="F264" s="24">
        <v>0</v>
      </c>
      <c r="G264" s="24">
        <v>0</v>
      </c>
      <c r="H264" s="25">
        <v>0</v>
      </c>
      <c r="I264" s="26">
        <v>0</v>
      </c>
      <c r="J264" s="27">
        <v>0</v>
      </c>
      <c r="K264" s="27">
        <v>0</v>
      </c>
      <c r="L264" s="27">
        <v>0</v>
      </c>
      <c r="M264" s="27">
        <v>0</v>
      </c>
      <c r="N264" s="28">
        <v>0.17000000000000004</v>
      </c>
      <c r="O264" s="27">
        <v>59.500000000000014</v>
      </c>
      <c r="P264" s="28">
        <v>0.22000000000000003</v>
      </c>
      <c r="Q264" s="70">
        <v>0.2</v>
      </c>
      <c r="R264" s="29">
        <v>9</v>
      </c>
      <c r="S264" s="102">
        <v>600</v>
      </c>
      <c r="T264" s="30">
        <v>400</v>
      </c>
      <c r="U264" s="31">
        <v>5490</v>
      </c>
      <c r="V264" s="222">
        <v>23800.000000000007</v>
      </c>
      <c r="W264" s="229">
        <v>14</v>
      </c>
      <c r="X264" s="222">
        <v>76860</v>
      </c>
      <c r="Y264" s="222">
        <v>191</v>
      </c>
      <c r="Z264" s="237">
        <v>35700.000000000007</v>
      </c>
      <c r="AA264" s="209">
        <v>6</v>
      </c>
      <c r="AB264" s="208">
        <v>32940</v>
      </c>
      <c r="AC264" s="208">
        <v>133600</v>
      </c>
      <c r="AD264" s="208">
        <v>29</v>
      </c>
      <c r="AE264" s="208">
        <v>6</v>
      </c>
      <c r="AF264" s="208">
        <v>60200</v>
      </c>
      <c r="AG264" s="138">
        <v>73400</v>
      </c>
    </row>
    <row r="265" spans="1:33" ht="16.2" thickBot="1" x14ac:dyDescent="0.35">
      <c r="E265" s="19"/>
      <c r="F265" s="40"/>
      <c r="G265" s="40"/>
      <c r="H265" s="41"/>
      <c r="I265" s="42"/>
      <c r="J265" s="43"/>
      <c r="K265" s="43"/>
      <c r="L265" s="43"/>
      <c r="M265" s="43"/>
      <c r="N265" s="44"/>
      <c r="O265" s="43"/>
      <c r="P265" s="44"/>
      <c r="Q265" s="72"/>
      <c r="R265" s="45"/>
      <c r="S265" s="103"/>
      <c r="T265" s="46"/>
      <c r="U265" s="47"/>
      <c r="V265" s="234"/>
      <c r="W265" s="235"/>
      <c r="X265" s="234"/>
      <c r="Y265" s="234"/>
      <c r="Z265" s="239"/>
      <c r="AA265" s="213"/>
      <c r="AB265" s="214"/>
      <c r="AC265" s="214"/>
      <c r="AD265" s="214"/>
      <c r="AE265" s="214"/>
      <c r="AF265" s="214" t="s">
        <v>64</v>
      </c>
      <c r="AG265" s="139">
        <v>1523785</v>
      </c>
    </row>
    <row r="266" spans="1:33" ht="24" thickBot="1" x14ac:dyDescent="0.5">
      <c r="E266" s="193" t="s">
        <v>132</v>
      </c>
      <c r="V266" s="114"/>
      <c r="W266" s="114"/>
      <c r="X266" s="114"/>
      <c r="Y266" s="114"/>
      <c r="Z266" s="114"/>
      <c r="AA266" s="114"/>
      <c r="AB266" s="114"/>
      <c r="AC266" s="114"/>
      <c r="AD266" s="114"/>
      <c r="AE266" s="114"/>
      <c r="AF266" s="114"/>
      <c r="AG266" s="114"/>
    </row>
    <row r="267" spans="1:33" ht="48.75" customHeight="1" thickBot="1" x14ac:dyDescent="0.35">
      <c r="A267" t="s">
        <v>8</v>
      </c>
      <c r="B267" t="s">
        <v>183</v>
      </c>
      <c r="C267" t="s">
        <v>132</v>
      </c>
      <c r="D267" t="str">
        <f t="shared" ref="D267:D276" si="20">A267&amp;B267&amp;C267&amp;R267</f>
        <v>ПлатинумСтандартный вариантФБ/Инстаграмммес</v>
      </c>
      <c r="E267" s="194" t="s">
        <v>138</v>
      </c>
      <c r="F267" s="195" t="s">
        <v>92</v>
      </c>
      <c r="G267" s="196" t="s">
        <v>93</v>
      </c>
      <c r="H267" s="197" t="s">
        <v>134</v>
      </c>
      <c r="I267" s="198" t="s">
        <v>94</v>
      </c>
      <c r="J267" s="199" t="s">
        <v>95</v>
      </c>
      <c r="K267" s="200" t="s">
        <v>96</v>
      </c>
      <c r="L267" s="200" t="s">
        <v>97</v>
      </c>
      <c r="M267" s="200" t="s">
        <v>98</v>
      </c>
      <c r="N267" s="200" t="s">
        <v>99</v>
      </c>
      <c r="O267" s="199" t="s">
        <v>100</v>
      </c>
      <c r="P267" s="200" t="s">
        <v>101</v>
      </c>
      <c r="Q267" s="200" t="s">
        <v>102</v>
      </c>
      <c r="R267" s="198" t="s">
        <v>103</v>
      </c>
      <c r="S267" s="200" t="s">
        <v>104</v>
      </c>
      <c r="T267" s="200" t="s">
        <v>105</v>
      </c>
      <c r="U267" s="201" t="s">
        <v>90</v>
      </c>
      <c r="V267" s="250" t="s">
        <v>106</v>
      </c>
      <c r="W267" s="251" t="s">
        <v>107</v>
      </c>
      <c r="X267" s="250" t="s">
        <v>108</v>
      </c>
      <c r="Y267" s="251" t="s">
        <v>109</v>
      </c>
      <c r="Z267" s="252" t="s">
        <v>110</v>
      </c>
      <c r="AA267" s="248" t="s">
        <v>111</v>
      </c>
      <c r="AB267" s="248" t="s">
        <v>112</v>
      </c>
      <c r="AC267" s="248" t="s">
        <v>113</v>
      </c>
      <c r="AD267" s="248" t="s">
        <v>114</v>
      </c>
      <c r="AE267" s="248" t="s">
        <v>136</v>
      </c>
      <c r="AF267" s="248" t="s">
        <v>115</v>
      </c>
      <c r="AG267" s="249" t="s">
        <v>116</v>
      </c>
    </row>
    <row r="268" spans="1:33" x14ac:dyDescent="0.3">
      <c r="A268" t="s">
        <v>8</v>
      </c>
      <c r="B268" t="s">
        <v>183</v>
      </c>
      <c r="C268" t="s">
        <v>132</v>
      </c>
      <c r="D268" t="str">
        <f t="shared" si="20"/>
        <v>ПлатинумСтандартный вариантФБ/Инстаграмм1</v>
      </c>
      <c r="E268" s="17">
        <v>350</v>
      </c>
      <c r="F268" s="24">
        <v>0</v>
      </c>
      <c r="G268" s="24">
        <v>0</v>
      </c>
      <c r="H268" s="25">
        <v>0</v>
      </c>
      <c r="I268" s="49">
        <v>0</v>
      </c>
      <c r="J268" s="50">
        <v>0</v>
      </c>
      <c r="K268" s="50">
        <v>0</v>
      </c>
      <c r="L268" s="50">
        <v>0</v>
      </c>
      <c r="M268" s="50">
        <v>0</v>
      </c>
      <c r="N268" s="52">
        <v>0.22</v>
      </c>
      <c r="O268" s="50">
        <v>77</v>
      </c>
      <c r="P268" s="52">
        <v>0.27</v>
      </c>
      <c r="Q268" s="69">
        <v>0.5</v>
      </c>
      <c r="R268" s="77">
        <v>1</v>
      </c>
      <c r="S268" s="78">
        <v>700</v>
      </c>
      <c r="T268" s="78">
        <v>400</v>
      </c>
      <c r="U268" s="79">
        <v>5490</v>
      </c>
      <c r="V268" s="222">
        <v>30800</v>
      </c>
      <c r="W268" s="222">
        <v>21</v>
      </c>
      <c r="X268" s="222">
        <v>115290</v>
      </c>
      <c r="Y268" s="222">
        <v>21</v>
      </c>
      <c r="Z268" s="237">
        <v>53900</v>
      </c>
      <c r="AA268" s="204">
        <v>0</v>
      </c>
      <c r="AB268" s="205">
        <v>0</v>
      </c>
      <c r="AC268" s="205">
        <v>146090</v>
      </c>
      <c r="AD268" s="205">
        <v>4</v>
      </c>
      <c r="AE268" s="205">
        <v>8</v>
      </c>
      <c r="AF268" s="205">
        <v>20640</v>
      </c>
      <c r="AG268" s="206">
        <v>71550</v>
      </c>
    </row>
    <row r="269" spans="1:33" x14ac:dyDescent="0.3">
      <c r="A269" t="s">
        <v>8</v>
      </c>
      <c r="B269" t="s">
        <v>183</v>
      </c>
      <c r="C269" t="s">
        <v>132</v>
      </c>
      <c r="D269" t="str">
        <f t="shared" si="20"/>
        <v>ПлатинумСтандартный вариантФБ/Инстаграмм2</v>
      </c>
      <c r="E269" s="18">
        <v>350</v>
      </c>
      <c r="F269" s="24">
        <v>0</v>
      </c>
      <c r="G269" s="24">
        <v>0</v>
      </c>
      <c r="H269" s="25">
        <v>0</v>
      </c>
      <c r="I269" s="26">
        <v>0</v>
      </c>
      <c r="J269" s="27">
        <v>0</v>
      </c>
      <c r="K269" s="27">
        <v>0</v>
      </c>
      <c r="L269" s="27">
        <v>0</v>
      </c>
      <c r="M269" s="27">
        <v>0</v>
      </c>
      <c r="N269" s="28">
        <v>0.22</v>
      </c>
      <c r="O269" s="27">
        <v>77</v>
      </c>
      <c r="P269" s="28">
        <v>0.27</v>
      </c>
      <c r="Q269" s="70">
        <v>0.5</v>
      </c>
      <c r="R269" s="29">
        <v>2</v>
      </c>
      <c r="S269" s="30">
        <v>700</v>
      </c>
      <c r="T269" s="30">
        <v>400</v>
      </c>
      <c r="U269" s="31">
        <v>5490</v>
      </c>
      <c r="V269" s="222">
        <v>30800</v>
      </c>
      <c r="W269" s="222">
        <v>21</v>
      </c>
      <c r="X269" s="222">
        <v>115290</v>
      </c>
      <c r="Y269" s="222">
        <v>42</v>
      </c>
      <c r="Z269" s="237">
        <v>53900</v>
      </c>
      <c r="AA269" s="207">
        <v>0</v>
      </c>
      <c r="AB269" s="208">
        <v>0</v>
      </c>
      <c r="AC269" s="208">
        <v>146090</v>
      </c>
      <c r="AD269" s="208">
        <v>7</v>
      </c>
      <c r="AE269" s="208">
        <v>8</v>
      </c>
      <c r="AF269" s="208">
        <v>25800</v>
      </c>
      <c r="AG269" s="138">
        <v>120290</v>
      </c>
    </row>
    <row r="270" spans="1:33" x14ac:dyDescent="0.3">
      <c r="A270" t="s">
        <v>8</v>
      </c>
      <c r="B270" t="s">
        <v>183</v>
      </c>
      <c r="C270" t="s">
        <v>132</v>
      </c>
      <c r="D270" t="str">
        <f t="shared" si="20"/>
        <v>ПлатинумСтандартный вариантФБ/Инстаграмм3</v>
      </c>
      <c r="E270" s="18">
        <v>350</v>
      </c>
      <c r="F270" s="24">
        <v>0</v>
      </c>
      <c r="G270" s="24">
        <v>0</v>
      </c>
      <c r="H270" s="25">
        <v>0</v>
      </c>
      <c r="I270" s="26">
        <v>0</v>
      </c>
      <c r="J270" s="27">
        <v>0</v>
      </c>
      <c r="K270" s="27">
        <v>0</v>
      </c>
      <c r="L270" s="27">
        <v>0</v>
      </c>
      <c r="M270" s="27">
        <v>0</v>
      </c>
      <c r="N270" s="28">
        <v>0.22</v>
      </c>
      <c r="O270" s="27">
        <v>77</v>
      </c>
      <c r="P270" s="28">
        <v>0.27</v>
      </c>
      <c r="Q270" s="70">
        <v>0.5</v>
      </c>
      <c r="R270" s="29">
        <v>3</v>
      </c>
      <c r="S270" s="30">
        <v>700</v>
      </c>
      <c r="T270" s="30">
        <v>400</v>
      </c>
      <c r="U270" s="31">
        <v>5490</v>
      </c>
      <c r="V270" s="222">
        <v>30800</v>
      </c>
      <c r="W270" s="222">
        <v>21</v>
      </c>
      <c r="X270" s="222">
        <v>115290</v>
      </c>
      <c r="Y270" s="222">
        <v>63</v>
      </c>
      <c r="Z270" s="237">
        <v>53900</v>
      </c>
      <c r="AA270" s="207">
        <v>0</v>
      </c>
      <c r="AB270" s="208">
        <v>0</v>
      </c>
      <c r="AC270" s="208">
        <v>146090</v>
      </c>
      <c r="AD270" s="208">
        <v>10</v>
      </c>
      <c r="AE270" s="208">
        <v>8</v>
      </c>
      <c r="AF270" s="208">
        <v>30960</v>
      </c>
      <c r="AG270" s="138">
        <v>115130</v>
      </c>
    </row>
    <row r="271" spans="1:33" x14ac:dyDescent="0.3">
      <c r="A271" t="s">
        <v>8</v>
      </c>
      <c r="B271" t="s">
        <v>183</v>
      </c>
      <c r="C271" t="s">
        <v>132</v>
      </c>
      <c r="D271" t="str">
        <f t="shared" si="20"/>
        <v>ПлатинумСтандартный вариантФБ/Инстаграмм4</v>
      </c>
      <c r="E271" s="18">
        <v>350</v>
      </c>
      <c r="F271" s="24">
        <v>0</v>
      </c>
      <c r="G271" s="24">
        <v>0</v>
      </c>
      <c r="H271" s="25">
        <v>0</v>
      </c>
      <c r="I271" s="26">
        <v>0</v>
      </c>
      <c r="J271" s="27">
        <v>0</v>
      </c>
      <c r="K271" s="27">
        <v>0</v>
      </c>
      <c r="L271" s="27">
        <v>0</v>
      </c>
      <c r="M271" s="27">
        <v>0</v>
      </c>
      <c r="N271" s="28">
        <v>0.22</v>
      </c>
      <c r="O271" s="27">
        <v>77</v>
      </c>
      <c r="P271" s="28">
        <v>0.27</v>
      </c>
      <c r="Q271" s="70">
        <v>0.5</v>
      </c>
      <c r="R271" s="29">
        <v>4</v>
      </c>
      <c r="S271" s="30">
        <v>700</v>
      </c>
      <c r="T271" s="30">
        <v>400</v>
      </c>
      <c r="U271" s="31">
        <v>5490</v>
      </c>
      <c r="V271" s="222">
        <v>30800</v>
      </c>
      <c r="W271" s="222">
        <v>21</v>
      </c>
      <c r="X271" s="222">
        <v>115290</v>
      </c>
      <c r="Y271" s="222">
        <v>84</v>
      </c>
      <c r="Z271" s="237">
        <v>53900</v>
      </c>
      <c r="AA271" s="207">
        <v>0</v>
      </c>
      <c r="AB271" s="208">
        <v>0</v>
      </c>
      <c r="AC271" s="208">
        <v>146090</v>
      </c>
      <c r="AD271" s="208">
        <v>13</v>
      </c>
      <c r="AE271" s="208">
        <v>8</v>
      </c>
      <c r="AF271" s="208">
        <v>36120</v>
      </c>
      <c r="AG271" s="138">
        <v>109970</v>
      </c>
    </row>
    <row r="272" spans="1:33" x14ac:dyDescent="0.3">
      <c r="A272" t="s">
        <v>8</v>
      </c>
      <c r="B272" t="s">
        <v>183</v>
      </c>
      <c r="C272" t="s">
        <v>132</v>
      </c>
      <c r="D272" t="str">
        <f t="shared" si="20"/>
        <v>ПлатинумСтандартный вариантФБ/Инстаграмм5</v>
      </c>
      <c r="E272" s="18">
        <v>350</v>
      </c>
      <c r="F272" s="32">
        <v>0</v>
      </c>
      <c r="G272" s="81">
        <v>0</v>
      </c>
      <c r="H272" s="82">
        <v>0</v>
      </c>
      <c r="I272" s="33">
        <v>0</v>
      </c>
      <c r="J272" s="34">
        <v>0</v>
      </c>
      <c r="K272" s="34">
        <v>0</v>
      </c>
      <c r="L272" s="80">
        <v>0</v>
      </c>
      <c r="M272" s="34">
        <v>0</v>
      </c>
      <c r="N272" s="75">
        <v>0.22</v>
      </c>
      <c r="O272" s="34">
        <v>77</v>
      </c>
      <c r="P272" s="75">
        <v>0.27</v>
      </c>
      <c r="Q272" s="71">
        <v>0.5</v>
      </c>
      <c r="R272" s="35">
        <v>5</v>
      </c>
      <c r="S272" s="76">
        <v>700</v>
      </c>
      <c r="T272" s="36">
        <v>400</v>
      </c>
      <c r="U272" s="37">
        <v>5490</v>
      </c>
      <c r="V272" s="227">
        <v>30800</v>
      </c>
      <c r="W272" s="227">
        <v>21</v>
      </c>
      <c r="X272" s="227">
        <v>115290</v>
      </c>
      <c r="Y272" s="227">
        <v>95</v>
      </c>
      <c r="Z272" s="238">
        <v>53900</v>
      </c>
      <c r="AA272" s="209">
        <v>10</v>
      </c>
      <c r="AB272" s="210">
        <v>54900</v>
      </c>
      <c r="AC272" s="211">
        <v>200990</v>
      </c>
      <c r="AD272" s="211">
        <v>15</v>
      </c>
      <c r="AE272" s="211">
        <v>8</v>
      </c>
      <c r="AF272" s="211">
        <v>39560</v>
      </c>
      <c r="AG272" s="212">
        <v>161430</v>
      </c>
    </row>
    <row r="273" spans="1:33" x14ac:dyDescent="0.3">
      <c r="A273" t="s">
        <v>8</v>
      </c>
      <c r="B273" t="s">
        <v>183</v>
      </c>
      <c r="C273" t="s">
        <v>132</v>
      </c>
      <c r="D273" t="str">
        <f t="shared" si="20"/>
        <v>ПлатинумСтандартный вариантФБ/Инстаграмм6</v>
      </c>
      <c r="E273" s="18">
        <v>350</v>
      </c>
      <c r="F273" s="24">
        <v>0</v>
      </c>
      <c r="G273" s="24">
        <v>0</v>
      </c>
      <c r="H273" s="25">
        <v>0</v>
      </c>
      <c r="I273" s="26">
        <v>0</v>
      </c>
      <c r="J273" s="27">
        <v>0</v>
      </c>
      <c r="K273" s="27">
        <v>0</v>
      </c>
      <c r="L273" s="27">
        <v>0</v>
      </c>
      <c r="M273" s="27">
        <v>0</v>
      </c>
      <c r="N273" s="28">
        <v>0.22</v>
      </c>
      <c r="O273" s="27">
        <v>77</v>
      </c>
      <c r="P273" s="28">
        <v>0.27</v>
      </c>
      <c r="Q273" s="70">
        <v>0.5</v>
      </c>
      <c r="R273" s="29">
        <v>6</v>
      </c>
      <c r="S273" s="30">
        <v>700</v>
      </c>
      <c r="T273" s="30">
        <v>400</v>
      </c>
      <c r="U273" s="31">
        <v>5490</v>
      </c>
      <c r="V273" s="222">
        <v>30800</v>
      </c>
      <c r="W273" s="229">
        <v>21</v>
      </c>
      <c r="X273" s="222">
        <v>115290</v>
      </c>
      <c r="Y273" s="222">
        <v>106</v>
      </c>
      <c r="Z273" s="237">
        <v>53900</v>
      </c>
      <c r="AA273" s="209">
        <v>10</v>
      </c>
      <c r="AB273" s="208">
        <v>54900</v>
      </c>
      <c r="AC273" s="208">
        <v>200990</v>
      </c>
      <c r="AD273" s="208">
        <v>17</v>
      </c>
      <c r="AE273" s="208">
        <v>8</v>
      </c>
      <c r="AF273" s="208">
        <v>43000</v>
      </c>
      <c r="AG273" s="138">
        <v>157990</v>
      </c>
    </row>
    <row r="274" spans="1:33" x14ac:dyDescent="0.3">
      <c r="A274" t="s">
        <v>8</v>
      </c>
      <c r="B274" t="s">
        <v>183</v>
      </c>
      <c r="C274" t="s">
        <v>132</v>
      </c>
      <c r="D274" t="str">
        <f t="shared" si="20"/>
        <v>ПлатинумСтандартный вариантФБ/Инстаграмм7</v>
      </c>
      <c r="E274" s="18">
        <v>350</v>
      </c>
      <c r="F274" s="24">
        <v>0</v>
      </c>
      <c r="G274" s="24">
        <v>0</v>
      </c>
      <c r="H274" s="25">
        <v>0</v>
      </c>
      <c r="I274" s="26">
        <v>0</v>
      </c>
      <c r="J274" s="27">
        <v>0</v>
      </c>
      <c r="K274" s="27">
        <v>0</v>
      </c>
      <c r="L274" s="27">
        <v>0</v>
      </c>
      <c r="M274" s="27">
        <v>0</v>
      </c>
      <c r="N274" s="28">
        <v>0.22</v>
      </c>
      <c r="O274" s="27">
        <v>77</v>
      </c>
      <c r="P274" s="28">
        <v>0.27</v>
      </c>
      <c r="Q274" s="70">
        <v>0.5</v>
      </c>
      <c r="R274" s="29">
        <v>7</v>
      </c>
      <c r="S274" s="30">
        <v>700</v>
      </c>
      <c r="T274" s="30">
        <v>400</v>
      </c>
      <c r="U274" s="31">
        <v>5490</v>
      </c>
      <c r="V274" s="222">
        <v>30800</v>
      </c>
      <c r="W274" s="229">
        <v>21</v>
      </c>
      <c r="X274" s="222">
        <v>115290</v>
      </c>
      <c r="Y274" s="222">
        <v>117</v>
      </c>
      <c r="Z274" s="237">
        <v>53900</v>
      </c>
      <c r="AA274" s="209">
        <v>10</v>
      </c>
      <c r="AB274" s="208">
        <v>54900</v>
      </c>
      <c r="AC274" s="208">
        <v>200990</v>
      </c>
      <c r="AD274" s="208">
        <v>18</v>
      </c>
      <c r="AE274" s="208">
        <v>8</v>
      </c>
      <c r="AF274" s="208">
        <v>44720</v>
      </c>
      <c r="AG274" s="138">
        <v>156270</v>
      </c>
    </row>
    <row r="275" spans="1:33" x14ac:dyDescent="0.3">
      <c r="A275" t="s">
        <v>8</v>
      </c>
      <c r="B275" t="s">
        <v>183</v>
      </c>
      <c r="C275" t="s">
        <v>132</v>
      </c>
      <c r="D275" t="str">
        <f t="shared" si="20"/>
        <v>ПлатинумСтандартный вариантФБ/Инстаграмм8</v>
      </c>
      <c r="E275" s="18">
        <v>350</v>
      </c>
      <c r="F275" s="24">
        <v>0</v>
      </c>
      <c r="G275" s="24">
        <v>0</v>
      </c>
      <c r="H275" s="25">
        <v>0</v>
      </c>
      <c r="I275" s="26">
        <v>0</v>
      </c>
      <c r="J275" s="27">
        <v>0</v>
      </c>
      <c r="K275" s="27">
        <v>0</v>
      </c>
      <c r="L275" s="27">
        <v>0</v>
      </c>
      <c r="M275" s="27">
        <v>0</v>
      </c>
      <c r="N275" s="28">
        <v>0.16999999999999998</v>
      </c>
      <c r="O275" s="27">
        <v>59.499999999999993</v>
      </c>
      <c r="P275" s="28">
        <v>0.22000000000000003</v>
      </c>
      <c r="Q275" s="70">
        <v>0.35</v>
      </c>
      <c r="R275" s="29">
        <v>8</v>
      </c>
      <c r="S275" s="30">
        <v>700</v>
      </c>
      <c r="T275" s="30">
        <v>400</v>
      </c>
      <c r="U275" s="31">
        <v>5490</v>
      </c>
      <c r="V275" s="222">
        <v>23799.999999999996</v>
      </c>
      <c r="W275" s="229">
        <v>14</v>
      </c>
      <c r="X275" s="222">
        <v>76860</v>
      </c>
      <c r="Y275" s="222">
        <v>124</v>
      </c>
      <c r="Z275" s="237">
        <v>41649.999999999993</v>
      </c>
      <c r="AA275" s="209">
        <v>7</v>
      </c>
      <c r="AB275" s="208">
        <v>38430</v>
      </c>
      <c r="AC275" s="208">
        <v>139090</v>
      </c>
      <c r="AD275" s="208">
        <v>19</v>
      </c>
      <c r="AE275" s="208">
        <v>6</v>
      </c>
      <c r="AF275" s="208">
        <v>43000</v>
      </c>
      <c r="AG275" s="138">
        <v>96090</v>
      </c>
    </row>
    <row r="276" spans="1:33" x14ac:dyDescent="0.3">
      <c r="A276" t="s">
        <v>8</v>
      </c>
      <c r="B276" t="s">
        <v>183</v>
      </c>
      <c r="C276" t="s">
        <v>132</v>
      </c>
      <c r="D276" t="str">
        <f t="shared" si="20"/>
        <v>ПлатинумСтандартный вариантФБ/Инстаграмм9</v>
      </c>
      <c r="E276" s="18">
        <v>350</v>
      </c>
      <c r="F276" s="24">
        <v>0</v>
      </c>
      <c r="G276" s="24">
        <v>0</v>
      </c>
      <c r="H276" s="25">
        <v>0</v>
      </c>
      <c r="I276" s="26">
        <v>0</v>
      </c>
      <c r="J276" s="27">
        <v>0</v>
      </c>
      <c r="K276" s="27">
        <v>0</v>
      </c>
      <c r="L276" s="27">
        <v>0</v>
      </c>
      <c r="M276" s="27">
        <v>0</v>
      </c>
      <c r="N276" s="28">
        <v>0.11999999999999998</v>
      </c>
      <c r="O276" s="27">
        <v>41.999999999999993</v>
      </c>
      <c r="P276" s="28">
        <v>0.17000000000000004</v>
      </c>
      <c r="Q276" s="70">
        <v>0.2</v>
      </c>
      <c r="R276" s="29">
        <v>9</v>
      </c>
      <c r="S276" s="102">
        <v>700</v>
      </c>
      <c r="T276" s="30">
        <v>400</v>
      </c>
      <c r="U276" s="31">
        <v>5490</v>
      </c>
      <c r="V276" s="222">
        <v>16799.999999999996</v>
      </c>
      <c r="W276" s="229">
        <v>8</v>
      </c>
      <c r="X276" s="222">
        <v>43920</v>
      </c>
      <c r="Y276" s="222">
        <v>128</v>
      </c>
      <c r="Z276" s="237">
        <v>29399.999999999996</v>
      </c>
      <c r="AA276" s="209">
        <v>4</v>
      </c>
      <c r="AB276" s="208">
        <v>21960</v>
      </c>
      <c r="AC276" s="208">
        <v>82680</v>
      </c>
      <c r="AD276" s="208">
        <v>20</v>
      </c>
      <c r="AE276" s="208">
        <v>4</v>
      </c>
      <c r="AF276" s="208">
        <v>41280</v>
      </c>
      <c r="AG276" s="138">
        <v>41400</v>
      </c>
    </row>
    <row r="277" spans="1:33" ht="16.2" thickBot="1" x14ac:dyDescent="0.35">
      <c r="E277" s="19"/>
      <c r="F277" s="40"/>
      <c r="G277" s="40"/>
      <c r="H277" s="41"/>
      <c r="I277" s="42"/>
      <c r="J277" s="43"/>
      <c r="K277" s="43"/>
      <c r="L277" s="43"/>
      <c r="M277" s="43"/>
      <c r="N277" s="44"/>
      <c r="O277" s="43"/>
      <c r="P277" s="44"/>
      <c r="Q277" s="72"/>
      <c r="R277" s="45"/>
      <c r="S277" s="103"/>
      <c r="T277" s="46"/>
      <c r="U277" s="47"/>
      <c r="V277" s="234"/>
      <c r="W277" s="235"/>
      <c r="X277" s="234"/>
      <c r="Y277" s="234"/>
      <c r="Z277" s="239"/>
      <c r="AA277" s="213"/>
      <c r="AB277" s="214"/>
      <c r="AC277" s="214"/>
      <c r="AD277" s="214"/>
      <c r="AE277" s="214"/>
      <c r="AF277" s="214" t="s">
        <v>64</v>
      </c>
      <c r="AG277" s="139">
        <v>1030120</v>
      </c>
    </row>
    <row r="278" spans="1:33" ht="24" thickBot="1" x14ac:dyDescent="0.5">
      <c r="E278" s="193" t="s">
        <v>132</v>
      </c>
      <c r="V278" s="114"/>
      <c r="W278" s="114"/>
      <c r="X278" s="114"/>
      <c r="Y278" s="114"/>
      <c r="Z278" s="114"/>
      <c r="AA278" s="114"/>
      <c r="AB278" s="114"/>
      <c r="AC278" s="114"/>
      <c r="AD278" s="114"/>
      <c r="AE278" s="114"/>
      <c r="AF278" s="114"/>
      <c r="AG278" s="114"/>
    </row>
    <row r="279" spans="1:33" ht="44.25" customHeight="1" thickBot="1" x14ac:dyDescent="0.35">
      <c r="A279" t="s">
        <v>8</v>
      </c>
      <c r="B279" t="s">
        <v>184</v>
      </c>
      <c r="C279" t="s">
        <v>132</v>
      </c>
      <c r="D279" t="str">
        <f t="shared" ref="D279:D289" si="21">A279&amp;B279&amp;C279&amp;R279</f>
        <v>ПлатинумПессиместичный вариантФБ/Инстаграмммес</v>
      </c>
      <c r="E279" s="194" t="s">
        <v>138</v>
      </c>
      <c r="F279" s="195" t="s">
        <v>92</v>
      </c>
      <c r="G279" s="196" t="s">
        <v>93</v>
      </c>
      <c r="H279" s="197" t="s">
        <v>134</v>
      </c>
      <c r="I279" s="198" t="s">
        <v>94</v>
      </c>
      <c r="J279" s="199" t="s">
        <v>95</v>
      </c>
      <c r="K279" s="200" t="s">
        <v>96</v>
      </c>
      <c r="L279" s="200" t="s">
        <v>97</v>
      </c>
      <c r="M279" s="200" t="s">
        <v>98</v>
      </c>
      <c r="N279" s="200" t="s">
        <v>99</v>
      </c>
      <c r="O279" s="199" t="s">
        <v>100</v>
      </c>
      <c r="P279" s="200" t="s">
        <v>101</v>
      </c>
      <c r="Q279" s="200" t="s">
        <v>102</v>
      </c>
      <c r="R279" s="198" t="s">
        <v>103</v>
      </c>
      <c r="S279" s="200" t="s">
        <v>104</v>
      </c>
      <c r="T279" s="200" t="s">
        <v>105</v>
      </c>
      <c r="U279" s="201" t="s">
        <v>90</v>
      </c>
      <c r="V279" s="250" t="s">
        <v>106</v>
      </c>
      <c r="W279" s="251" t="s">
        <v>107</v>
      </c>
      <c r="X279" s="250" t="s">
        <v>108</v>
      </c>
      <c r="Y279" s="251" t="s">
        <v>109</v>
      </c>
      <c r="Z279" s="252" t="s">
        <v>110</v>
      </c>
      <c r="AA279" s="248" t="s">
        <v>111</v>
      </c>
      <c r="AB279" s="248" t="s">
        <v>112</v>
      </c>
      <c r="AC279" s="248" t="s">
        <v>113</v>
      </c>
      <c r="AD279" s="248" t="s">
        <v>114</v>
      </c>
      <c r="AE279" s="248" t="s">
        <v>136</v>
      </c>
      <c r="AF279" s="248" t="s">
        <v>115</v>
      </c>
      <c r="AG279" s="249" t="s">
        <v>116</v>
      </c>
    </row>
    <row r="280" spans="1:33" x14ac:dyDescent="0.3">
      <c r="A280" t="s">
        <v>8</v>
      </c>
      <c r="B280" t="s">
        <v>184</v>
      </c>
      <c r="C280" t="s">
        <v>132</v>
      </c>
      <c r="D280" t="str">
        <f t="shared" si="21"/>
        <v>ПлатинумПессиместичный вариантФБ/Инстаграмм1</v>
      </c>
      <c r="E280" s="17">
        <v>350</v>
      </c>
      <c r="F280" s="24">
        <v>0</v>
      </c>
      <c r="G280" s="24">
        <v>0</v>
      </c>
      <c r="H280" s="25">
        <v>0</v>
      </c>
      <c r="I280" s="49">
        <v>0</v>
      </c>
      <c r="J280" s="50">
        <v>0</v>
      </c>
      <c r="K280" s="50">
        <v>0</v>
      </c>
      <c r="L280" s="50">
        <v>0</v>
      </c>
      <c r="M280" s="50">
        <v>0</v>
      </c>
      <c r="N280" s="52">
        <v>0.2</v>
      </c>
      <c r="O280" s="50">
        <v>70</v>
      </c>
      <c r="P280" s="52">
        <v>0.25</v>
      </c>
      <c r="Q280" s="69">
        <v>0.5</v>
      </c>
      <c r="R280" s="77">
        <v>1</v>
      </c>
      <c r="S280" s="78">
        <v>750</v>
      </c>
      <c r="T280" s="78">
        <v>400</v>
      </c>
      <c r="U280" s="79">
        <v>5490</v>
      </c>
      <c r="V280" s="222">
        <v>28000</v>
      </c>
      <c r="W280" s="222">
        <v>18</v>
      </c>
      <c r="X280" s="222">
        <v>98820</v>
      </c>
      <c r="Y280" s="222">
        <v>18</v>
      </c>
      <c r="Z280" s="237">
        <v>52500</v>
      </c>
      <c r="AA280" s="204">
        <v>0</v>
      </c>
      <c r="AB280" s="205">
        <v>0</v>
      </c>
      <c r="AC280" s="205">
        <v>126820</v>
      </c>
      <c r="AD280" s="205">
        <v>3</v>
      </c>
      <c r="AE280" s="205">
        <v>8</v>
      </c>
      <c r="AF280" s="205">
        <v>18920</v>
      </c>
      <c r="AG280" s="206">
        <v>55400</v>
      </c>
    </row>
    <row r="281" spans="1:33" x14ac:dyDescent="0.3">
      <c r="A281" t="s">
        <v>8</v>
      </c>
      <c r="B281" t="s">
        <v>184</v>
      </c>
      <c r="C281" t="s">
        <v>132</v>
      </c>
      <c r="D281" t="str">
        <f t="shared" si="21"/>
        <v>ПлатинумПессиместичный вариантФБ/Инстаграмм2</v>
      </c>
      <c r="E281" s="18">
        <v>350</v>
      </c>
      <c r="F281" s="24">
        <v>0</v>
      </c>
      <c r="G281" s="24">
        <v>0</v>
      </c>
      <c r="H281" s="25">
        <v>0</v>
      </c>
      <c r="I281" s="26">
        <v>0</v>
      </c>
      <c r="J281" s="27">
        <v>0</v>
      </c>
      <c r="K281" s="27">
        <v>0</v>
      </c>
      <c r="L281" s="27">
        <v>0</v>
      </c>
      <c r="M281" s="27">
        <v>0</v>
      </c>
      <c r="N281" s="28">
        <v>0.2</v>
      </c>
      <c r="O281" s="27">
        <v>70</v>
      </c>
      <c r="P281" s="28">
        <v>0.25</v>
      </c>
      <c r="Q281" s="70">
        <v>0.5</v>
      </c>
      <c r="R281" s="29">
        <v>2</v>
      </c>
      <c r="S281" s="30">
        <v>750</v>
      </c>
      <c r="T281" s="30">
        <v>400</v>
      </c>
      <c r="U281" s="31">
        <v>5490</v>
      </c>
      <c r="V281" s="222">
        <v>28000</v>
      </c>
      <c r="W281" s="222">
        <v>18</v>
      </c>
      <c r="X281" s="222">
        <v>98820</v>
      </c>
      <c r="Y281" s="222">
        <v>36</v>
      </c>
      <c r="Z281" s="237">
        <v>52500</v>
      </c>
      <c r="AA281" s="207">
        <v>0</v>
      </c>
      <c r="AB281" s="208">
        <v>0</v>
      </c>
      <c r="AC281" s="208">
        <v>126820</v>
      </c>
      <c r="AD281" s="208">
        <v>6</v>
      </c>
      <c r="AE281" s="208">
        <v>8</v>
      </c>
      <c r="AF281" s="208">
        <v>24080</v>
      </c>
      <c r="AG281" s="138">
        <v>102740</v>
      </c>
    </row>
    <row r="282" spans="1:33" x14ac:dyDescent="0.3">
      <c r="A282" t="s">
        <v>8</v>
      </c>
      <c r="B282" t="s">
        <v>184</v>
      </c>
      <c r="C282" t="s">
        <v>132</v>
      </c>
      <c r="D282" t="str">
        <f t="shared" si="21"/>
        <v>ПлатинумПессиместичный вариантФБ/Инстаграмм3</v>
      </c>
      <c r="E282" s="18">
        <v>350</v>
      </c>
      <c r="F282" s="24">
        <v>0</v>
      </c>
      <c r="G282" s="24">
        <v>0</v>
      </c>
      <c r="H282" s="25">
        <v>0</v>
      </c>
      <c r="I282" s="26">
        <v>0</v>
      </c>
      <c r="J282" s="27">
        <v>0</v>
      </c>
      <c r="K282" s="27">
        <v>0</v>
      </c>
      <c r="L282" s="27">
        <v>0</v>
      </c>
      <c r="M282" s="27">
        <v>0</v>
      </c>
      <c r="N282" s="28">
        <v>0.2</v>
      </c>
      <c r="O282" s="27">
        <v>70</v>
      </c>
      <c r="P282" s="28">
        <v>0.25</v>
      </c>
      <c r="Q282" s="70">
        <v>0.5</v>
      </c>
      <c r="R282" s="29">
        <v>3</v>
      </c>
      <c r="S282" s="30">
        <v>750</v>
      </c>
      <c r="T282" s="30">
        <v>400</v>
      </c>
      <c r="U282" s="31">
        <v>5490</v>
      </c>
      <c r="V282" s="222">
        <v>28000</v>
      </c>
      <c r="W282" s="222">
        <v>18</v>
      </c>
      <c r="X282" s="222">
        <v>98820</v>
      </c>
      <c r="Y282" s="222">
        <v>54</v>
      </c>
      <c r="Z282" s="237">
        <v>52500</v>
      </c>
      <c r="AA282" s="207">
        <v>0</v>
      </c>
      <c r="AB282" s="208">
        <v>0</v>
      </c>
      <c r="AC282" s="208">
        <v>126820</v>
      </c>
      <c r="AD282" s="208">
        <v>9</v>
      </c>
      <c r="AE282" s="208">
        <v>8</v>
      </c>
      <c r="AF282" s="208">
        <v>29240</v>
      </c>
      <c r="AG282" s="138">
        <v>97580</v>
      </c>
    </row>
    <row r="283" spans="1:33" x14ac:dyDescent="0.3">
      <c r="A283" t="s">
        <v>8</v>
      </c>
      <c r="B283" t="s">
        <v>184</v>
      </c>
      <c r="C283" t="s">
        <v>132</v>
      </c>
      <c r="D283" t="str">
        <f t="shared" si="21"/>
        <v>ПлатинумПессиместичный вариантФБ/Инстаграмм4</v>
      </c>
      <c r="E283" s="18">
        <v>350</v>
      </c>
      <c r="F283" s="24">
        <v>0</v>
      </c>
      <c r="G283" s="24">
        <v>0</v>
      </c>
      <c r="H283" s="25">
        <v>0</v>
      </c>
      <c r="I283" s="26">
        <v>0</v>
      </c>
      <c r="J283" s="27">
        <v>0</v>
      </c>
      <c r="K283" s="27">
        <v>0</v>
      </c>
      <c r="L283" s="27">
        <v>0</v>
      </c>
      <c r="M283" s="27">
        <v>0</v>
      </c>
      <c r="N283" s="28">
        <v>0.2</v>
      </c>
      <c r="O283" s="27">
        <v>70</v>
      </c>
      <c r="P283" s="28">
        <v>0.25</v>
      </c>
      <c r="Q283" s="70">
        <v>0.5</v>
      </c>
      <c r="R283" s="29">
        <v>4</v>
      </c>
      <c r="S283" s="30">
        <v>750</v>
      </c>
      <c r="T283" s="30">
        <v>400</v>
      </c>
      <c r="U283" s="31">
        <v>5490</v>
      </c>
      <c r="V283" s="222">
        <v>28000</v>
      </c>
      <c r="W283" s="222">
        <v>18</v>
      </c>
      <c r="X283" s="222">
        <v>98820</v>
      </c>
      <c r="Y283" s="222">
        <v>72</v>
      </c>
      <c r="Z283" s="237">
        <v>52500</v>
      </c>
      <c r="AA283" s="207">
        <v>0</v>
      </c>
      <c r="AB283" s="208">
        <v>0</v>
      </c>
      <c r="AC283" s="208">
        <v>126820</v>
      </c>
      <c r="AD283" s="208">
        <v>11</v>
      </c>
      <c r="AE283" s="208">
        <v>8</v>
      </c>
      <c r="AF283" s="208">
        <v>32680</v>
      </c>
      <c r="AG283" s="138">
        <v>94140</v>
      </c>
    </row>
    <row r="284" spans="1:33" x14ac:dyDescent="0.3">
      <c r="A284" t="s">
        <v>8</v>
      </c>
      <c r="B284" t="s">
        <v>184</v>
      </c>
      <c r="C284" t="s">
        <v>132</v>
      </c>
      <c r="D284" t="str">
        <f t="shared" si="21"/>
        <v>ПлатинумПессиместичный вариантФБ/Инстаграмм5</v>
      </c>
      <c r="E284" s="18">
        <v>350</v>
      </c>
      <c r="F284" s="32">
        <v>0</v>
      </c>
      <c r="G284" s="81">
        <v>0</v>
      </c>
      <c r="H284" s="82">
        <v>0</v>
      </c>
      <c r="I284" s="33">
        <v>0</v>
      </c>
      <c r="J284" s="34">
        <v>0</v>
      </c>
      <c r="K284" s="34">
        <v>0</v>
      </c>
      <c r="L284" s="80">
        <v>0</v>
      </c>
      <c r="M284" s="34">
        <v>0</v>
      </c>
      <c r="N284" s="75">
        <v>0.2</v>
      </c>
      <c r="O284" s="34">
        <v>70</v>
      </c>
      <c r="P284" s="75">
        <v>0.25</v>
      </c>
      <c r="Q284" s="71">
        <v>0.5</v>
      </c>
      <c r="R284" s="35">
        <v>5</v>
      </c>
      <c r="S284" s="76">
        <v>750</v>
      </c>
      <c r="T284" s="36">
        <v>400</v>
      </c>
      <c r="U284" s="37">
        <v>5490</v>
      </c>
      <c r="V284" s="227">
        <v>28000</v>
      </c>
      <c r="W284" s="227">
        <v>18</v>
      </c>
      <c r="X284" s="227">
        <v>98820</v>
      </c>
      <c r="Y284" s="227">
        <v>81</v>
      </c>
      <c r="Z284" s="238">
        <v>52500</v>
      </c>
      <c r="AA284" s="209">
        <v>9</v>
      </c>
      <c r="AB284" s="210">
        <v>49410</v>
      </c>
      <c r="AC284" s="211">
        <v>176230</v>
      </c>
      <c r="AD284" s="211">
        <v>13</v>
      </c>
      <c r="AE284" s="211">
        <v>8</v>
      </c>
      <c r="AF284" s="211">
        <v>36120</v>
      </c>
      <c r="AG284" s="212">
        <v>140110</v>
      </c>
    </row>
    <row r="285" spans="1:33" x14ac:dyDescent="0.3">
      <c r="A285" t="s">
        <v>8</v>
      </c>
      <c r="B285" t="s">
        <v>184</v>
      </c>
      <c r="C285" t="s">
        <v>132</v>
      </c>
      <c r="D285" t="str">
        <f t="shared" si="21"/>
        <v>ПлатинумПессиместичный вариантФБ/Инстаграмм6</v>
      </c>
      <c r="E285" s="18">
        <v>350</v>
      </c>
      <c r="F285" s="24">
        <v>0</v>
      </c>
      <c r="G285" s="24">
        <v>0</v>
      </c>
      <c r="H285" s="25">
        <v>0</v>
      </c>
      <c r="I285" s="26">
        <v>0</v>
      </c>
      <c r="J285" s="27">
        <v>0</v>
      </c>
      <c r="K285" s="27">
        <v>0</v>
      </c>
      <c r="L285" s="27">
        <v>0</v>
      </c>
      <c r="M285" s="27">
        <v>0</v>
      </c>
      <c r="N285" s="28">
        <v>0.2</v>
      </c>
      <c r="O285" s="27">
        <v>70</v>
      </c>
      <c r="P285" s="28">
        <v>0.25</v>
      </c>
      <c r="Q285" s="70">
        <v>0.5</v>
      </c>
      <c r="R285" s="29">
        <v>6</v>
      </c>
      <c r="S285" s="30">
        <v>750</v>
      </c>
      <c r="T285" s="30">
        <v>400</v>
      </c>
      <c r="U285" s="31">
        <v>5490</v>
      </c>
      <c r="V285" s="222">
        <v>28000</v>
      </c>
      <c r="W285" s="229">
        <v>18</v>
      </c>
      <c r="X285" s="222">
        <v>98820</v>
      </c>
      <c r="Y285" s="222">
        <v>90</v>
      </c>
      <c r="Z285" s="237">
        <v>52500</v>
      </c>
      <c r="AA285" s="209">
        <v>9</v>
      </c>
      <c r="AB285" s="208">
        <v>49410</v>
      </c>
      <c r="AC285" s="208">
        <v>176230</v>
      </c>
      <c r="AD285" s="208">
        <v>14</v>
      </c>
      <c r="AE285" s="208">
        <v>8</v>
      </c>
      <c r="AF285" s="208">
        <v>37840</v>
      </c>
      <c r="AG285" s="138">
        <v>138390</v>
      </c>
    </row>
    <row r="286" spans="1:33" x14ac:dyDescent="0.3">
      <c r="A286" t="s">
        <v>8</v>
      </c>
      <c r="B286" t="s">
        <v>184</v>
      </c>
      <c r="C286" t="s">
        <v>132</v>
      </c>
      <c r="D286" t="str">
        <f t="shared" si="21"/>
        <v>ПлатинумПессиместичный вариантФБ/Инстаграмм7</v>
      </c>
      <c r="E286" s="18">
        <v>350</v>
      </c>
      <c r="F286" s="24">
        <v>0</v>
      </c>
      <c r="G286" s="24">
        <v>0</v>
      </c>
      <c r="H286" s="25">
        <v>0</v>
      </c>
      <c r="I286" s="26">
        <v>0</v>
      </c>
      <c r="J286" s="27">
        <v>0</v>
      </c>
      <c r="K286" s="27">
        <v>0</v>
      </c>
      <c r="L286" s="27">
        <v>0</v>
      </c>
      <c r="M286" s="27">
        <v>0</v>
      </c>
      <c r="N286" s="28">
        <v>0.2</v>
      </c>
      <c r="O286" s="27">
        <v>70</v>
      </c>
      <c r="P286" s="28">
        <v>0.25</v>
      </c>
      <c r="Q286" s="70">
        <v>0.5</v>
      </c>
      <c r="R286" s="29">
        <v>7</v>
      </c>
      <c r="S286" s="30">
        <v>750</v>
      </c>
      <c r="T286" s="30">
        <v>400</v>
      </c>
      <c r="U286" s="31">
        <v>5490</v>
      </c>
      <c r="V286" s="222">
        <v>28000</v>
      </c>
      <c r="W286" s="229">
        <v>18</v>
      </c>
      <c r="X286" s="222">
        <v>98820</v>
      </c>
      <c r="Y286" s="222">
        <v>99</v>
      </c>
      <c r="Z286" s="237">
        <v>52500</v>
      </c>
      <c r="AA286" s="209">
        <v>9</v>
      </c>
      <c r="AB286" s="208">
        <v>49410</v>
      </c>
      <c r="AC286" s="208">
        <v>176230</v>
      </c>
      <c r="AD286" s="208">
        <v>15</v>
      </c>
      <c r="AE286" s="208">
        <v>8</v>
      </c>
      <c r="AF286" s="208">
        <v>39560</v>
      </c>
      <c r="AG286" s="138">
        <v>136670</v>
      </c>
    </row>
    <row r="287" spans="1:33" x14ac:dyDescent="0.3">
      <c r="A287" t="s">
        <v>8</v>
      </c>
      <c r="B287" t="s">
        <v>184</v>
      </c>
      <c r="C287" t="s">
        <v>132</v>
      </c>
      <c r="D287" t="str">
        <f t="shared" si="21"/>
        <v>ПлатинумПессиместичный вариантФБ/Инстаграмм8</v>
      </c>
      <c r="E287" s="18">
        <v>350</v>
      </c>
      <c r="F287" s="24">
        <v>0</v>
      </c>
      <c r="G287" s="24">
        <v>0</v>
      </c>
      <c r="H287" s="25">
        <v>0</v>
      </c>
      <c r="I287" s="26">
        <v>0</v>
      </c>
      <c r="J287" s="27">
        <v>0</v>
      </c>
      <c r="K287" s="27">
        <v>0</v>
      </c>
      <c r="L287" s="27">
        <v>0</v>
      </c>
      <c r="M287" s="27">
        <v>0</v>
      </c>
      <c r="N287" s="28">
        <v>0.15000000000000002</v>
      </c>
      <c r="O287" s="27">
        <v>52.500000000000007</v>
      </c>
      <c r="P287" s="28">
        <v>0.2</v>
      </c>
      <c r="Q287" s="70">
        <v>0.35</v>
      </c>
      <c r="R287" s="29">
        <v>8</v>
      </c>
      <c r="S287" s="30">
        <v>750</v>
      </c>
      <c r="T287" s="30">
        <v>400</v>
      </c>
      <c r="U287" s="31">
        <v>5490</v>
      </c>
      <c r="V287" s="222">
        <v>21000.000000000004</v>
      </c>
      <c r="W287" s="229">
        <v>11</v>
      </c>
      <c r="X287" s="222">
        <v>60390</v>
      </c>
      <c r="Y287" s="222">
        <v>104</v>
      </c>
      <c r="Z287" s="237">
        <v>39375.000000000007</v>
      </c>
      <c r="AA287" s="209">
        <v>6</v>
      </c>
      <c r="AB287" s="208">
        <v>32940</v>
      </c>
      <c r="AC287" s="208">
        <v>114330</v>
      </c>
      <c r="AD287" s="208">
        <v>16</v>
      </c>
      <c r="AE287" s="208">
        <v>6</v>
      </c>
      <c r="AF287" s="208">
        <v>37840</v>
      </c>
      <c r="AG287" s="138">
        <v>76490</v>
      </c>
    </row>
    <row r="288" spans="1:33" x14ac:dyDescent="0.3">
      <c r="A288" t="s">
        <v>8</v>
      </c>
      <c r="B288" t="s">
        <v>184</v>
      </c>
      <c r="C288" t="s">
        <v>132</v>
      </c>
      <c r="D288" t="str">
        <f t="shared" si="21"/>
        <v>ПлатинумПессиместичный вариантФБ/Инстаграмм9</v>
      </c>
      <c r="E288" s="18">
        <v>350</v>
      </c>
      <c r="F288" s="24">
        <v>0</v>
      </c>
      <c r="G288" s="24">
        <v>0</v>
      </c>
      <c r="H288" s="25">
        <v>0</v>
      </c>
      <c r="I288" s="26">
        <v>0</v>
      </c>
      <c r="J288" s="27">
        <v>0</v>
      </c>
      <c r="K288" s="27">
        <v>0</v>
      </c>
      <c r="L288" s="27">
        <v>0</v>
      </c>
      <c r="M288" s="27">
        <v>0</v>
      </c>
      <c r="N288" s="28">
        <v>0.10000000000000002</v>
      </c>
      <c r="O288" s="27">
        <v>35.000000000000007</v>
      </c>
      <c r="P288" s="28">
        <v>0.15000000000000002</v>
      </c>
      <c r="Q288" s="70">
        <v>0.2</v>
      </c>
      <c r="R288" s="29">
        <v>9</v>
      </c>
      <c r="S288" s="102">
        <v>750</v>
      </c>
      <c r="T288" s="30">
        <v>400</v>
      </c>
      <c r="U288" s="31">
        <v>5490</v>
      </c>
      <c r="V288" s="222">
        <v>14000.000000000004</v>
      </c>
      <c r="W288" s="229">
        <v>6</v>
      </c>
      <c r="X288" s="222">
        <v>32940</v>
      </c>
      <c r="Y288" s="222">
        <v>107</v>
      </c>
      <c r="Z288" s="237">
        <v>26250.000000000004</v>
      </c>
      <c r="AA288" s="209">
        <v>3</v>
      </c>
      <c r="AB288" s="208">
        <v>16470</v>
      </c>
      <c r="AC288" s="208">
        <v>63410</v>
      </c>
      <c r="AD288" s="208">
        <v>17</v>
      </c>
      <c r="AE288" s="208">
        <v>4</v>
      </c>
      <c r="AF288" s="208">
        <v>36120</v>
      </c>
      <c r="AG288" s="138">
        <v>27290</v>
      </c>
    </row>
    <row r="289" spans="1:33" ht="16.2" thickBot="1" x14ac:dyDescent="0.35">
      <c r="A289" t="s">
        <v>8</v>
      </c>
      <c r="B289" t="s">
        <v>184</v>
      </c>
      <c r="C289" t="s">
        <v>132</v>
      </c>
      <c r="D289" t="str">
        <f t="shared" si="21"/>
        <v>ПлатинумПессиместичный вариантФБ/Инстаграмм</v>
      </c>
      <c r="E289" s="19"/>
      <c r="F289" s="40"/>
      <c r="G289" s="40"/>
      <c r="H289" s="41"/>
      <c r="I289" s="42"/>
      <c r="J289" s="43"/>
      <c r="K289" s="43"/>
      <c r="L289" s="43"/>
      <c r="M289" s="43"/>
      <c r="N289" s="44"/>
      <c r="O289" s="43"/>
      <c r="P289" s="44"/>
      <c r="Q289" s="72"/>
      <c r="R289" s="45"/>
      <c r="S289" s="103"/>
      <c r="T289" s="46"/>
      <c r="U289" s="47"/>
      <c r="V289" s="234"/>
      <c r="W289" s="235"/>
      <c r="X289" s="234"/>
      <c r="Y289" s="234"/>
      <c r="Z289" s="239"/>
      <c r="AA289" s="213"/>
      <c r="AB289" s="214"/>
      <c r="AC289" s="214"/>
      <c r="AD289" s="214"/>
      <c r="AE289" s="214"/>
      <c r="AF289" s="214" t="s">
        <v>64</v>
      </c>
      <c r="AG289" s="139">
        <v>868810</v>
      </c>
    </row>
    <row r="290" spans="1:33" ht="24" thickBot="1" x14ac:dyDescent="0.5">
      <c r="E290" s="193" t="s">
        <v>133</v>
      </c>
      <c r="O290" s="4"/>
      <c r="V290" s="114"/>
      <c r="W290" s="114"/>
      <c r="X290" s="114"/>
      <c r="Y290" s="114"/>
      <c r="Z290" s="114"/>
      <c r="AA290" s="114"/>
      <c r="AB290" s="114"/>
      <c r="AC290" s="114"/>
      <c r="AD290" s="114"/>
      <c r="AE290" s="114"/>
      <c r="AF290" s="114"/>
      <c r="AG290" s="114"/>
    </row>
    <row r="291" spans="1:33" ht="30.75" customHeight="1" thickBot="1" x14ac:dyDescent="0.35">
      <c r="E291" s="95" t="s">
        <v>127</v>
      </c>
      <c r="F291" s="195" t="s">
        <v>92</v>
      </c>
      <c r="G291" s="196" t="s">
        <v>93</v>
      </c>
      <c r="H291" s="197" t="s">
        <v>134</v>
      </c>
      <c r="I291" s="195" t="s">
        <v>94</v>
      </c>
      <c r="J291" s="202" t="s">
        <v>95</v>
      </c>
      <c r="K291" s="196" t="s">
        <v>96</v>
      </c>
      <c r="L291" s="196" t="s">
        <v>97</v>
      </c>
      <c r="M291" s="196" t="s">
        <v>98</v>
      </c>
      <c r="N291" s="196" t="s">
        <v>128</v>
      </c>
      <c r="O291" s="202" t="s">
        <v>100</v>
      </c>
      <c r="P291" s="196" t="s">
        <v>129</v>
      </c>
      <c r="Q291" s="196" t="s">
        <v>102</v>
      </c>
      <c r="R291" s="195" t="s">
        <v>103</v>
      </c>
      <c r="S291" s="196" t="s">
        <v>104</v>
      </c>
      <c r="T291" s="196" t="s">
        <v>105</v>
      </c>
      <c r="U291" s="197" t="s">
        <v>90</v>
      </c>
      <c r="V291" s="250" t="s">
        <v>106</v>
      </c>
      <c r="W291" s="251" t="s">
        <v>107</v>
      </c>
      <c r="X291" s="250" t="s">
        <v>108</v>
      </c>
      <c r="Y291" s="251" t="s">
        <v>109</v>
      </c>
      <c r="Z291" s="252" t="s">
        <v>110</v>
      </c>
      <c r="AA291" s="248" t="s">
        <v>111</v>
      </c>
      <c r="AB291" s="248" t="s">
        <v>112</v>
      </c>
      <c r="AC291" s="248" t="s">
        <v>113</v>
      </c>
      <c r="AD291" s="248" t="s">
        <v>114</v>
      </c>
      <c r="AE291" s="248" t="s">
        <v>136</v>
      </c>
      <c r="AF291" s="248" t="s">
        <v>115</v>
      </c>
      <c r="AG291" s="249" t="s">
        <v>116</v>
      </c>
    </row>
    <row r="292" spans="1:33" x14ac:dyDescent="0.3">
      <c r="A292" t="s">
        <v>8</v>
      </c>
      <c r="B292" t="s">
        <v>182</v>
      </c>
      <c r="C292" t="s">
        <v>133</v>
      </c>
      <c r="D292" t="str">
        <f t="shared" ref="D292:D300" si="22">A292&amp;B292&amp;C292&amp;R292</f>
        <v>ПлатинумОптимистичный вариантИтого (промоутеры+ФБ/инстаграмм)1</v>
      </c>
      <c r="E292" s="60">
        <v>700</v>
      </c>
      <c r="F292" s="23">
        <v>10</v>
      </c>
      <c r="G292" s="24">
        <v>35</v>
      </c>
      <c r="H292" s="25">
        <v>7</v>
      </c>
      <c r="I292" s="56">
        <v>0.22</v>
      </c>
      <c r="J292" s="27">
        <v>77</v>
      </c>
      <c r="K292" s="27">
        <v>10</v>
      </c>
      <c r="L292" s="27">
        <v>7.7</v>
      </c>
      <c r="M292" s="48">
        <v>1.8333333333333333</v>
      </c>
      <c r="N292" s="57">
        <v>0.37</v>
      </c>
      <c r="O292" s="27">
        <v>130.5</v>
      </c>
      <c r="P292" s="57">
        <v>0.35</v>
      </c>
      <c r="Q292" s="57">
        <v>0.5</v>
      </c>
      <c r="R292" s="29">
        <v>1</v>
      </c>
      <c r="S292" s="30">
        <v>525</v>
      </c>
      <c r="T292" s="30">
        <v>400</v>
      </c>
      <c r="U292" s="31">
        <v>5490</v>
      </c>
      <c r="V292" s="218">
        <v>52200</v>
      </c>
      <c r="W292" s="218">
        <v>43</v>
      </c>
      <c r="X292" s="218">
        <v>236070</v>
      </c>
      <c r="Y292" s="218">
        <v>43</v>
      </c>
      <c r="Z292" s="219">
        <v>75825</v>
      </c>
      <c r="AA292" s="204">
        <v>0</v>
      </c>
      <c r="AB292" s="205">
        <v>0</v>
      </c>
      <c r="AC292" s="205">
        <v>288270</v>
      </c>
      <c r="AD292" s="205">
        <v>7</v>
      </c>
      <c r="AE292" s="205">
        <v>14</v>
      </c>
      <c r="AF292" s="205">
        <v>36120</v>
      </c>
      <c r="AG292" s="206">
        <v>176325</v>
      </c>
    </row>
    <row r="293" spans="1:33" x14ac:dyDescent="0.3">
      <c r="A293" t="s">
        <v>8</v>
      </c>
      <c r="B293" t="s">
        <v>182</v>
      </c>
      <c r="C293" t="s">
        <v>133</v>
      </c>
      <c r="D293" t="str">
        <f t="shared" si="22"/>
        <v>ПлатинумОптимистичный вариантИтого (промоутеры+ФБ/инстаграмм)2</v>
      </c>
      <c r="E293" s="60">
        <v>700</v>
      </c>
      <c r="F293" s="23">
        <v>10</v>
      </c>
      <c r="G293" s="24">
        <v>35</v>
      </c>
      <c r="H293" s="25">
        <v>7</v>
      </c>
      <c r="I293" s="56">
        <v>0.22</v>
      </c>
      <c r="J293" s="24">
        <v>77</v>
      </c>
      <c r="K293" s="24">
        <v>10</v>
      </c>
      <c r="L293" s="27">
        <v>7.7</v>
      </c>
      <c r="M293" s="48">
        <v>1.8333333333333333</v>
      </c>
      <c r="N293" s="57">
        <v>0.37</v>
      </c>
      <c r="O293" s="27">
        <v>130.5</v>
      </c>
      <c r="P293" s="57">
        <v>0.35</v>
      </c>
      <c r="Q293" s="57">
        <v>0.5</v>
      </c>
      <c r="R293" s="29">
        <v>2</v>
      </c>
      <c r="S293" s="30">
        <v>525</v>
      </c>
      <c r="T293" s="30">
        <v>400</v>
      </c>
      <c r="U293" s="31">
        <v>5490</v>
      </c>
      <c r="V293" s="222">
        <v>52200</v>
      </c>
      <c r="W293" s="222">
        <v>43</v>
      </c>
      <c r="X293" s="222">
        <v>236070</v>
      </c>
      <c r="Y293" s="222">
        <v>86</v>
      </c>
      <c r="Z293" s="223">
        <v>75825</v>
      </c>
      <c r="AA293" s="207">
        <v>0</v>
      </c>
      <c r="AB293" s="208">
        <v>0</v>
      </c>
      <c r="AC293" s="208">
        <v>288270</v>
      </c>
      <c r="AD293" s="208">
        <v>14</v>
      </c>
      <c r="AE293" s="208">
        <v>14</v>
      </c>
      <c r="AF293" s="208">
        <v>48160</v>
      </c>
      <c r="AG293" s="138">
        <v>240110</v>
      </c>
    </row>
    <row r="294" spans="1:33" x14ac:dyDescent="0.3">
      <c r="A294" t="s">
        <v>8</v>
      </c>
      <c r="B294" t="s">
        <v>182</v>
      </c>
      <c r="C294" t="s">
        <v>133</v>
      </c>
      <c r="D294" t="str">
        <f t="shared" si="22"/>
        <v>ПлатинумОптимистичный вариантИтого (промоутеры+ФБ/инстаграмм)3</v>
      </c>
      <c r="E294" s="60">
        <v>700</v>
      </c>
      <c r="F294" s="23">
        <v>10</v>
      </c>
      <c r="G294" s="24">
        <v>35</v>
      </c>
      <c r="H294" s="25">
        <v>7</v>
      </c>
      <c r="I294" s="56">
        <v>0.22</v>
      </c>
      <c r="J294" s="24">
        <v>77</v>
      </c>
      <c r="K294" s="24">
        <v>10</v>
      </c>
      <c r="L294" s="27">
        <v>7.7</v>
      </c>
      <c r="M294" s="48">
        <v>1.8333333333333333</v>
      </c>
      <c r="N294" s="57">
        <v>0.37</v>
      </c>
      <c r="O294" s="27">
        <v>130.5</v>
      </c>
      <c r="P294" s="57">
        <v>0.35</v>
      </c>
      <c r="Q294" s="57">
        <v>0.5</v>
      </c>
      <c r="R294" s="29">
        <v>3</v>
      </c>
      <c r="S294" s="30">
        <v>525</v>
      </c>
      <c r="T294" s="30">
        <v>400</v>
      </c>
      <c r="U294" s="31">
        <v>5490</v>
      </c>
      <c r="V294" s="222">
        <v>52200</v>
      </c>
      <c r="W294" s="222">
        <v>43</v>
      </c>
      <c r="X294" s="222">
        <v>236070</v>
      </c>
      <c r="Y294" s="222">
        <v>129</v>
      </c>
      <c r="Z294" s="223">
        <v>75825</v>
      </c>
      <c r="AA294" s="207">
        <v>0</v>
      </c>
      <c r="AB294" s="208">
        <v>0</v>
      </c>
      <c r="AC294" s="208">
        <v>288270</v>
      </c>
      <c r="AD294" s="208">
        <v>21</v>
      </c>
      <c r="AE294" s="208">
        <v>14</v>
      </c>
      <c r="AF294" s="208">
        <v>60200</v>
      </c>
      <c r="AG294" s="138">
        <v>228070</v>
      </c>
    </row>
    <row r="295" spans="1:33" x14ac:dyDescent="0.3">
      <c r="A295" t="s">
        <v>8</v>
      </c>
      <c r="B295" t="s">
        <v>182</v>
      </c>
      <c r="C295" t="s">
        <v>133</v>
      </c>
      <c r="D295" t="str">
        <f t="shared" si="22"/>
        <v>ПлатинумОптимистичный вариантИтого (промоутеры+ФБ/инстаграмм)4</v>
      </c>
      <c r="E295" s="60">
        <v>700</v>
      </c>
      <c r="F295" s="23">
        <v>10</v>
      </c>
      <c r="G295" s="24">
        <v>35</v>
      </c>
      <c r="H295" s="25">
        <v>7</v>
      </c>
      <c r="I295" s="56">
        <v>0.22</v>
      </c>
      <c r="J295" s="24">
        <v>77</v>
      </c>
      <c r="K295" s="24">
        <v>10</v>
      </c>
      <c r="L295" s="27">
        <v>7.7</v>
      </c>
      <c r="M295" s="48">
        <v>1.8333333333333333</v>
      </c>
      <c r="N295" s="57">
        <v>0.37</v>
      </c>
      <c r="O295" s="27">
        <v>130.5</v>
      </c>
      <c r="P295" s="57">
        <v>0.35</v>
      </c>
      <c r="Q295" s="57">
        <v>0.5</v>
      </c>
      <c r="R295" s="29">
        <v>4</v>
      </c>
      <c r="S295" s="30">
        <v>525</v>
      </c>
      <c r="T295" s="30">
        <v>400</v>
      </c>
      <c r="U295" s="31">
        <v>5490</v>
      </c>
      <c r="V295" s="222">
        <v>52200</v>
      </c>
      <c r="W295" s="222">
        <v>43</v>
      </c>
      <c r="X295" s="222">
        <v>236070</v>
      </c>
      <c r="Y295" s="222">
        <v>172</v>
      </c>
      <c r="Z295" s="223">
        <v>75825</v>
      </c>
      <c r="AA295" s="207">
        <v>0</v>
      </c>
      <c r="AB295" s="208">
        <v>0</v>
      </c>
      <c r="AC295" s="208">
        <v>288270</v>
      </c>
      <c r="AD295" s="208">
        <v>27</v>
      </c>
      <c r="AE295" s="208">
        <v>14</v>
      </c>
      <c r="AF295" s="208">
        <v>70520</v>
      </c>
      <c r="AG295" s="138">
        <v>217750</v>
      </c>
    </row>
    <row r="296" spans="1:33" x14ac:dyDescent="0.3">
      <c r="A296" t="s">
        <v>8</v>
      </c>
      <c r="B296" t="s">
        <v>182</v>
      </c>
      <c r="C296" t="s">
        <v>133</v>
      </c>
      <c r="D296" t="str">
        <f t="shared" si="22"/>
        <v>ПлатинумОптимистичный вариантИтого (промоутеры+ФБ/инстаграмм)5</v>
      </c>
      <c r="E296" s="60">
        <v>700</v>
      </c>
      <c r="F296" s="23">
        <v>10</v>
      </c>
      <c r="G296" s="24">
        <v>35</v>
      </c>
      <c r="H296" s="25">
        <v>7</v>
      </c>
      <c r="I296" s="98">
        <v>0.22</v>
      </c>
      <c r="J296" s="81">
        <v>77</v>
      </c>
      <c r="K296" s="81">
        <v>10</v>
      </c>
      <c r="L296" s="80">
        <v>7.7</v>
      </c>
      <c r="M296" s="74">
        <v>1.8333333333333333</v>
      </c>
      <c r="N296" s="99">
        <v>0.37</v>
      </c>
      <c r="O296" s="80">
        <v>130.5</v>
      </c>
      <c r="P296" s="99">
        <v>0.35</v>
      </c>
      <c r="Q296" s="99">
        <v>0.5</v>
      </c>
      <c r="R296" s="100">
        <v>5</v>
      </c>
      <c r="S296" s="76">
        <v>525</v>
      </c>
      <c r="T296" s="76">
        <v>400</v>
      </c>
      <c r="U296" s="101">
        <v>5490</v>
      </c>
      <c r="V296" s="241">
        <v>52200</v>
      </c>
      <c r="W296" s="241">
        <v>43</v>
      </c>
      <c r="X296" s="241">
        <v>236070</v>
      </c>
      <c r="Y296" s="241">
        <v>194</v>
      </c>
      <c r="Z296" s="242">
        <v>75825</v>
      </c>
      <c r="AA296" s="243">
        <v>21</v>
      </c>
      <c r="AB296" s="211">
        <v>115290</v>
      </c>
      <c r="AC296" s="211">
        <v>403560</v>
      </c>
      <c r="AD296" s="211">
        <v>31</v>
      </c>
      <c r="AE296" s="211">
        <v>14</v>
      </c>
      <c r="AF296" s="211">
        <v>77400</v>
      </c>
      <c r="AG296" s="244">
        <v>326160</v>
      </c>
    </row>
    <row r="297" spans="1:33" x14ac:dyDescent="0.3">
      <c r="A297" t="s">
        <v>8</v>
      </c>
      <c r="B297" t="s">
        <v>182</v>
      </c>
      <c r="C297" t="s">
        <v>133</v>
      </c>
      <c r="D297" t="str">
        <f t="shared" si="22"/>
        <v>ПлатинумОптимистичный вариантИтого (промоутеры+ФБ/инстаграмм)6</v>
      </c>
      <c r="E297" s="60">
        <v>700</v>
      </c>
      <c r="F297" s="23">
        <v>10</v>
      </c>
      <c r="G297" s="24">
        <v>35</v>
      </c>
      <c r="H297" s="25">
        <v>7</v>
      </c>
      <c r="I297" s="56">
        <v>0.22</v>
      </c>
      <c r="J297" s="24">
        <v>77</v>
      </c>
      <c r="K297" s="24">
        <v>10</v>
      </c>
      <c r="L297" s="27">
        <v>7.7</v>
      </c>
      <c r="M297" s="48">
        <v>1.8333333333333333</v>
      </c>
      <c r="N297" s="57">
        <v>0.37</v>
      </c>
      <c r="O297" s="27">
        <v>130.5</v>
      </c>
      <c r="P297" s="57">
        <v>0.35</v>
      </c>
      <c r="Q297" s="57">
        <v>0.5</v>
      </c>
      <c r="R297" s="29">
        <v>6</v>
      </c>
      <c r="S297" s="30">
        <v>525</v>
      </c>
      <c r="T297" s="30">
        <v>400</v>
      </c>
      <c r="U297" s="31">
        <v>5490</v>
      </c>
      <c r="V297" s="222">
        <v>52200</v>
      </c>
      <c r="W297" s="222">
        <v>43</v>
      </c>
      <c r="X297" s="222">
        <v>236070</v>
      </c>
      <c r="Y297" s="222">
        <v>216</v>
      </c>
      <c r="Z297" s="223">
        <v>75825</v>
      </c>
      <c r="AA297" s="207">
        <v>21</v>
      </c>
      <c r="AB297" s="208">
        <v>115290</v>
      </c>
      <c r="AC297" s="208">
        <v>403560</v>
      </c>
      <c r="AD297" s="208">
        <v>34</v>
      </c>
      <c r="AE297" s="208">
        <v>14</v>
      </c>
      <c r="AF297" s="208">
        <v>82560</v>
      </c>
      <c r="AG297" s="138">
        <v>321000</v>
      </c>
    </row>
    <row r="298" spans="1:33" x14ac:dyDescent="0.3">
      <c r="A298" t="s">
        <v>8</v>
      </c>
      <c r="B298" t="s">
        <v>182</v>
      </c>
      <c r="C298" t="s">
        <v>133</v>
      </c>
      <c r="D298" t="str">
        <f t="shared" si="22"/>
        <v>ПлатинумОптимистичный вариантИтого (промоутеры+ФБ/инстаграмм)7</v>
      </c>
      <c r="E298" s="60">
        <v>700</v>
      </c>
      <c r="F298" s="23">
        <v>10</v>
      </c>
      <c r="G298" s="24">
        <v>35</v>
      </c>
      <c r="H298" s="25">
        <v>7</v>
      </c>
      <c r="I298" s="56">
        <v>0.22</v>
      </c>
      <c r="J298" s="24">
        <v>77</v>
      </c>
      <c r="K298" s="24">
        <v>10</v>
      </c>
      <c r="L298" s="27">
        <v>7.7</v>
      </c>
      <c r="M298" s="48">
        <v>1.8333333333333333</v>
      </c>
      <c r="N298" s="57">
        <v>0.37</v>
      </c>
      <c r="O298" s="27">
        <v>130.5</v>
      </c>
      <c r="P298" s="57">
        <v>0.35</v>
      </c>
      <c r="Q298" s="57">
        <v>0.5</v>
      </c>
      <c r="R298" s="29">
        <v>7</v>
      </c>
      <c r="S298" s="30">
        <v>525</v>
      </c>
      <c r="T298" s="30">
        <v>400</v>
      </c>
      <c r="U298" s="31">
        <v>5490</v>
      </c>
      <c r="V298" s="222">
        <v>52200</v>
      </c>
      <c r="W298" s="222">
        <v>43</v>
      </c>
      <c r="X298" s="222">
        <v>236070</v>
      </c>
      <c r="Y298" s="222">
        <v>238</v>
      </c>
      <c r="Z298" s="223">
        <v>75825</v>
      </c>
      <c r="AA298" s="207">
        <v>21</v>
      </c>
      <c r="AB298" s="208">
        <v>115290</v>
      </c>
      <c r="AC298" s="208">
        <v>403560</v>
      </c>
      <c r="AD298" s="208">
        <v>37</v>
      </c>
      <c r="AE298" s="208">
        <v>14</v>
      </c>
      <c r="AF298" s="208">
        <v>87720</v>
      </c>
      <c r="AG298" s="138">
        <v>315840</v>
      </c>
    </row>
    <row r="299" spans="1:33" x14ac:dyDescent="0.3">
      <c r="A299" t="s">
        <v>8</v>
      </c>
      <c r="B299" t="s">
        <v>182</v>
      </c>
      <c r="C299" t="s">
        <v>133</v>
      </c>
      <c r="D299" t="str">
        <f t="shared" si="22"/>
        <v>ПлатинумОптимистичный вариантИтого (промоутеры+ФБ/инстаграмм)8</v>
      </c>
      <c r="E299" s="60">
        <v>700</v>
      </c>
      <c r="F299" s="23">
        <v>10</v>
      </c>
      <c r="G299" s="24">
        <v>35</v>
      </c>
      <c r="H299" s="25">
        <v>7</v>
      </c>
      <c r="I299" s="56">
        <v>0.22</v>
      </c>
      <c r="J299" s="24">
        <v>77</v>
      </c>
      <c r="K299" s="24">
        <v>10</v>
      </c>
      <c r="L299" s="27">
        <v>7.7</v>
      </c>
      <c r="M299" s="48">
        <v>1.8333333333333333</v>
      </c>
      <c r="N299" s="57">
        <v>0.29500000000000004</v>
      </c>
      <c r="O299" s="27">
        <v>105.00000000000001</v>
      </c>
      <c r="P299" s="57">
        <v>0.35</v>
      </c>
      <c r="Q299" s="57">
        <v>0.35</v>
      </c>
      <c r="R299" s="29">
        <v>8</v>
      </c>
      <c r="S299" s="30">
        <v>475</v>
      </c>
      <c r="T299" s="30">
        <v>400</v>
      </c>
      <c r="U299" s="31">
        <v>5490</v>
      </c>
      <c r="V299" s="222">
        <v>42000.000000000007</v>
      </c>
      <c r="W299" s="222">
        <v>28</v>
      </c>
      <c r="X299" s="222">
        <v>153720</v>
      </c>
      <c r="Y299" s="222">
        <v>252</v>
      </c>
      <c r="Z299" s="223">
        <v>56000.000000000007</v>
      </c>
      <c r="AA299" s="207">
        <v>14</v>
      </c>
      <c r="AB299" s="208">
        <v>76860</v>
      </c>
      <c r="AC299" s="208">
        <v>272580</v>
      </c>
      <c r="AD299" s="208">
        <v>39</v>
      </c>
      <c r="AE299" s="208">
        <v>11</v>
      </c>
      <c r="AF299" s="208">
        <v>86000</v>
      </c>
      <c r="AG299" s="138">
        <v>186580</v>
      </c>
    </row>
    <row r="300" spans="1:33" x14ac:dyDescent="0.3">
      <c r="A300" t="s">
        <v>8</v>
      </c>
      <c r="B300" t="s">
        <v>182</v>
      </c>
      <c r="C300" t="s">
        <v>133</v>
      </c>
      <c r="D300" t="str">
        <f t="shared" si="22"/>
        <v>ПлатинумОптимистичный вариантИтого (промоутеры+ФБ/инстаграмм)9</v>
      </c>
      <c r="E300" s="60">
        <v>700</v>
      </c>
      <c r="F300" s="23">
        <v>10</v>
      </c>
      <c r="G300" s="24">
        <v>35</v>
      </c>
      <c r="H300" s="25">
        <v>7</v>
      </c>
      <c r="I300" s="56">
        <v>0.22</v>
      </c>
      <c r="J300" s="24">
        <v>77</v>
      </c>
      <c r="K300" s="24">
        <v>10</v>
      </c>
      <c r="L300" s="27">
        <v>7.7</v>
      </c>
      <c r="M300" s="48">
        <v>1.8333333333333333</v>
      </c>
      <c r="N300" s="57">
        <v>0.22000000000000003</v>
      </c>
      <c r="O300" s="27">
        <v>79.500000000000014</v>
      </c>
      <c r="P300" s="57">
        <v>0.2</v>
      </c>
      <c r="Q300" s="57">
        <v>0.2</v>
      </c>
      <c r="R300" s="29">
        <v>9</v>
      </c>
      <c r="S300" s="102">
        <v>475</v>
      </c>
      <c r="T300" s="30">
        <v>400</v>
      </c>
      <c r="U300" s="31">
        <v>5490</v>
      </c>
      <c r="V300" s="222">
        <v>31800.000000000007</v>
      </c>
      <c r="W300" s="222">
        <v>17</v>
      </c>
      <c r="X300" s="222">
        <v>93330</v>
      </c>
      <c r="Y300" s="222">
        <v>261</v>
      </c>
      <c r="Z300" s="223">
        <v>42700.000000000007</v>
      </c>
      <c r="AA300" s="207">
        <v>8</v>
      </c>
      <c r="AB300" s="208">
        <v>43920</v>
      </c>
      <c r="AC300" s="208">
        <v>169050</v>
      </c>
      <c r="AD300" s="208">
        <v>40</v>
      </c>
      <c r="AE300" s="208">
        <v>8</v>
      </c>
      <c r="AF300" s="208">
        <v>82560</v>
      </c>
      <c r="AG300" s="138">
        <v>86490</v>
      </c>
    </row>
    <row r="301" spans="1:33" ht="16.2" thickBot="1" x14ac:dyDescent="0.35">
      <c r="E301" s="61"/>
      <c r="F301" s="39"/>
      <c r="G301" s="40"/>
      <c r="H301" s="41"/>
      <c r="I301" s="58"/>
      <c r="J301" s="40"/>
      <c r="K301" s="40"/>
      <c r="L301" s="43"/>
      <c r="M301" s="53"/>
      <c r="N301" s="59"/>
      <c r="O301" s="43"/>
      <c r="P301" s="59"/>
      <c r="Q301" s="59"/>
      <c r="R301" s="45"/>
      <c r="S301" s="103"/>
      <c r="T301" s="46"/>
      <c r="U301" s="47"/>
      <c r="V301" s="234"/>
      <c r="W301" s="234"/>
      <c r="X301" s="234"/>
      <c r="Y301" s="234"/>
      <c r="Z301" s="236"/>
      <c r="AA301" s="245"/>
      <c r="AB301" s="214"/>
      <c r="AC301" s="214"/>
      <c r="AD301" s="214"/>
      <c r="AE301" s="214"/>
      <c r="AF301" s="214" t="s">
        <v>64</v>
      </c>
      <c r="AG301" s="139">
        <v>2098325</v>
      </c>
    </row>
    <row r="302" spans="1:33" ht="24" thickBot="1" x14ac:dyDescent="0.5">
      <c r="E302" s="193" t="s">
        <v>133</v>
      </c>
      <c r="O302" s="4"/>
      <c r="V302" s="114"/>
      <c r="W302" s="114"/>
      <c r="X302" s="114"/>
      <c r="Y302" s="114"/>
      <c r="Z302" s="114"/>
      <c r="AA302" s="114"/>
      <c r="AB302" s="114"/>
      <c r="AC302" s="114"/>
      <c r="AD302" s="114"/>
      <c r="AE302" s="114"/>
      <c r="AF302" s="114"/>
      <c r="AG302" s="114"/>
    </row>
    <row r="303" spans="1:33" ht="45.75" customHeight="1" thickBot="1" x14ac:dyDescent="0.35">
      <c r="E303" s="95" t="s">
        <v>127</v>
      </c>
      <c r="F303" s="195" t="s">
        <v>92</v>
      </c>
      <c r="G303" s="196" t="s">
        <v>93</v>
      </c>
      <c r="H303" s="197" t="s">
        <v>134</v>
      </c>
      <c r="I303" s="195" t="s">
        <v>94</v>
      </c>
      <c r="J303" s="202" t="s">
        <v>95</v>
      </c>
      <c r="K303" s="196" t="s">
        <v>96</v>
      </c>
      <c r="L303" s="196" t="s">
        <v>97</v>
      </c>
      <c r="M303" s="196" t="s">
        <v>98</v>
      </c>
      <c r="N303" s="196" t="s">
        <v>128</v>
      </c>
      <c r="O303" s="202" t="s">
        <v>100</v>
      </c>
      <c r="P303" s="196" t="s">
        <v>129</v>
      </c>
      <c r="Q303" s="196" t="s">
        <v>102</v>
      </c>
      <c r="R303" s="195" t="s">
        <v>103</v>
      </c>
      <c r="S303" s="196" t="s">
        <v>104</v>
      </c>
      <c r="T303" s="196" t="s">
        <v>105</v>
      </c>
      <c r="U303" s="197" t="s">
        <v>90</v>
      </c>
      <c r="V303" s="250" t="s">
        <v>106</v>
      </c>
      <c r="W303" s="251" t="s">
        <v>107</v>
      </c>
      <c r="X303" s="250" t="s">
        <v>108</v>
      </c>
      <c r="Y303" s="251" t="s">
        <v>109</v>
      </c>
      <c r="Z303" s="252" t="s">
        <v>110</v>
      </c>
      <c r="AA303" s="248" t="s">
        <v>111</v>
      </c>
      <c r="AB303" s="248" t="s">
        <v>112</v>
      </c>
      <c r="AC303" s="248" t="s">
        <v>113</v>
      </c>
      <c r="AD303" s="248" t="s">
        <v>114</v>
      </c>
      <c r="AE303" s="248" t="s">
        <v>136</v>
      </c>
      <c r="AF303" s="248" t="s">
        <v>115</v>
      </c>
      <c r="AG303" s="249" t="s">
        <v>116</v>
      </c>
    </row>
    <row r="304" spans="1:33" x14ac:dyDescent="0.3">
      <c r="A304" t="s">
        <v>8</v>
      </c>
      <c r="B304" t="s">
        <v>183</v>
      </c>
      <c r="C304" t="s">
        <v>133</v>
      </c>
      <c r="D304" t="str">
        <f t="shared" ref="D304:D312" si="23">A304&amp;B304&amp;C304&amp;R304</f>
        <v>ПлатинумСтандартный вариантИтого (промоутеры+ФБ/инстаграмм)1</v>
      </c>
      <c r="E304" s="60">
        <v>700</v>
      </c>
      <c r="F304" s="23">
        <v>10</v>
      </c>
      <c r="G304" s="24">
        <v>35</v>
      </c>
      <c r="H304" s="25">
        <v>7</v>
      </c>
      <c r="I304" s="56">
        <v>0.17</v>
      </c>
      <c r="J304" s="27">
        <v>59.500000000000007</v>
      </c>
      <c r="K304" s="27">
        <v>10</v>
      </c>
      <c r="L304" s="27">
        <v>5.9500000000000011</v>
      </c>
      <c r="M304" s="48">
        <v>1.416666666666667</v>
      </c>
      <c r="N304" s="57">
        <v>0.32</v>
      </c>
      <c r="O304" s="27">
        <v>101</v>
      </c>
      <c r="P304" s="57">
        <v>0.35</v>
      </c>
      <c r="Q304" s="57">
        <v>0.5</v>
      </c>
      <c r="R304" s="29">
        <v>1</v>
      </c>
      <c r="S304" s="30">
        <v>575</v>
      </c>
      <c r="T304" s="30">
        <v>400</v>
      </c>
      <c r="U304" s="31">
        <v>5490</v>
      </c>
      <c r="V304" s="218">
        <v>40400</v>
      </c>
      <c r="W304" s="218">
        <v>28</v>
      </c>
      <c r="X304" s="218">
        <v>153720</v>
      </c>
      <c r="Y304" s="218">
        <v>28</v>
      </c>
      <c r="Z304" s="219">
        <v>64700</v>
      </c>
      <c r="AA304" s="204">
        <v>0</v>
      </c>
      <c r="AB304" s="205">
        <v>0</v>
      </c>
      <c r="AC304" s="205">
        <v>194120</v>
      </c>
      <c r="AD304" s="205">
        <v>6</v>
      </c>
      <c r="AE304" s="205">
        <v>10</v>
      </c>
      <c r="AF304" s="205">
        <v>27520</v>
      </c>
      <c r="AG304" s="206">
        <v>101900</v>
      </c>
    </row>
    <row r="305" spans="1:33" x14ac:dyDescent="0.3">
      <c r="A305" t="s">
        <v>8</v>
      </c>
      <c r="B305" t="s">
        <v>183</v>
      </c>
      <c r="C305" t="s">
        <v>133</v>
      </c>
      <c r="D305" t="str">
        <f t="shared" si="23"/>
        <v>ПлатинумСтандартный вариантИтого (промоутеры+ФБ/инстаграмм)2</v>
      </c>
      <c r="E305" s="60">
        <v>700</v>
      </c>
      <c r="F305" s="23">
        <v>10</v>
      </c>
      <c r="G305" s="24">
        <v>35</v>
      </c>
      <c r="H305" s="25">
        <v>7</v>
      </c>
      <c r="I305" s="56">
        <v>0.17</v>
      </c>
      <c r="J305" s="24">
        <v>59.500000000000007</v>
      </c>
      <c r="K305" s="24">
        <v>10</v>
      </c>
      <c r="L305" s="27">
        <v>5.9500000000000011</v>
      </c>
      <c r="M305" s="48">
        <v>1.416666666666667</v>
      </c>
      <c r="N305" s="57">
        <v>0.32</v>
      </c>
      <c r="O305" s="27">
        <v>101</v>
      </c>
      <c r="P305" s="57">
        <v>0.35</v>
      </c>
      <c r="Q305" s="57">
        <v>0.5</v>
      </c>
      <c r="R305" s="29">
        <v>2</v>
      </c>
      <c r="S305" s="30">
        <v>575</v>
      </c>
      <c r="T305" s="30">
        <v>400</v>
      </c>
      <c r="U305" s="31">
        <v>5490</v>
      </c>
      <c r="V305" s="222">
        <v>40400</v>
      </c>
      <c r="W305" s="222">
        <v>28</v>
      </c>
      <c r="X305" s="222">
        <v>153720</v>
      </c>
      <c r="Y305" s="222">
        <v>56</v>
      </c>
      <c r="Z305" s="223">
        <v>64700</v>
      </c>
      <c r="AA305" s="207">
        <v>0</v>
      </c>
      <c r="AB305" s="208">
        <v>0</v>
      </c>
      <c r="AC305" s="208">
        <v>194120</v>
      </c>
      <c r="AD305" s="208">
        <v>10</v>
      </c>
      <c r="AE305" s="208">
        <v>10</v>
      </c>
      <c r="AF305" s="208">
        <v>34400</v>
      </c>
      <c r="AG305" s="138">
        <v>159720</v>
      </c>
    </row>
    <row r="306" spans="1:33" x14ac:dyDescent="0.3">
      <c r="A306" t="s">
        <v>8</v>
      </c>
      <c r="B306" t="s">
        <v>183</v>
      </c>
      <c r="C306" t="s">
        <v>133</v>
      </c>
      <c r="D306" t="str">
        <f t="shared" si="23"/>
        <v>ПлатинумСтандартный вариантИтого (промоутеры+ФБ/инстаграмм)3</v>
      </c>
      <c r="E306" s="60">
        <v>700</v>
      </c>
      <c r="F306" s="23">
        <v>10</v>
      </c>
      <c r="G306" s="24">
        <v>35</v>
      </c>
      <c r="H306" s="25">
        <v>7</v>
      </c>
      <c r="I306" s="56">
        <v>0.17</v>
      </c>
      <c r="J306" s="24">
        <v>59.500000000000007</v>
      </c>
      <c r="K306" s="24">
        <v>10</v>
      </c>
      <c r="L306" s="27">
        <v>5.9500000000000011</v>
      </c>
      <c r="M306" s="48">
        <v>1.416666666666667</v>
      </c>
      <c r="N306" s="57">
        <v>0.32</v>
      </c>
      <c r="O306" s="27">
        <v>101</v>
      </c>
      <c r="P306" s="57">
        <v>0.35</v>
      </c>
      <c r="Q306" s="57">
        <v>0.5</v>
      </c>
      <c r="R306" s="29">
        <v>3</v>
      </c>
      <c r="S306" s="30">
        <v>575</v>
      </c>
      <c r="T306" s="30">
        <v>400</v>
      </c>
      <c r="U306" s="31">
        <v>5490</v>
      </c>
      <c r="V306" s="222">
        <v>40400</v>
      </c>
      <c r="W306" s="222">
        <v>28</v>
      </c>
      <c r="X306" s="222">
        <v>153720</v>
      </c>
      <c r="Y306" s="222">
        <v>84</v>
      </c>
      <c r="Z306" s="223">
        <v>64700</v>
      </c>
      <c r="AA306" s="207">
        <v>0</v>
      </c>
      <c r="AB306" s="208">
        <v>0</v>
      </c>
      <c r="AC306" s="208">
        <v>194120</v>
      </c>
      <c r="AD306" s="208">
        <v>14</v>
      </c>
      <c r="AE306" s="208">
        <v>10</v>
      </c>
      <c r="AF306" s="208">
        <v>41280</v>
      </c>
      <c r="AG306" s="138">
        <v>152840</v>
      </c>
    </row>
    <row r="307" spans="1:33" x14ac:dyDescent="0.3">
      <c r="A307" t="s">
        <v>8</v>
      </c>
      <c r="B307" t="s">
        <v>183</v>
      </c>
      <c r="C307" t="s">
        <v>133</v>
      </c>
      <c r="D307" t="str">
        <f t="shared" si="23"/>
        <v>ПлатинумСтандартный вариантИтого (промоутеры+ФБ/инстаграмм)4</v>
      </c>
      <c r="E307" s="60">
        <v>700</v>
      </c>
      <c r="F307" s="23">
        <v>10</v>
      </c>
      <c r="G307" s="24">
        <v>35</v>
      </c>
      <c r="H307" s="25">
        <v>7</v>
      </c>
      <c r="I307" s="56">
        <v>0.17</v>
      </c>
      <c r="J307" s="24">
        <v>59.500000000000007</v>
      </c>
      <c r="K307" s="24">
        <v>10</v>
      </c>
      <c r="L307" s="27">
        <v>5.9500000000000011</v>
      </c>
      <c r="M307" s="48">
        <v>1.416666666666667</v>
      </c>
      <c r="N307" s="57">
        <v>0.32</v>
      </c>
      <c r="O307" s="27">
        <v>101</v>
      </c>
      <c r="P307" s="57">
        <v>0.35</v>
      </c>
      <c r="Q307" s="57">
        <v>0.5</v>
      </c>
      <c r="R307" s="29">
        <v>4</v>
      </c>
      <c r="S307" s="30">
        <v>575</v>
      </c>
      <c r="T307" s="30">
        <v>400</v>
      </c>
      <c r="U307" s="31">
        <v>5490</v>
      </c>
      <c r="V307" s="222">
        <v>40400</v>
      </c>
      <c r="W307" s="222">
        <v>28</v>
      </c>
      <c r="X307" s="222">
        <v>153720</v>
      </c>
      <c r="Y307" s="222">
        <v>112</v>
      </c>
      <c r="Z307" s="223">
        <v>64700</v>
      </c>
      <c r="AA307" s="207">
        <v>0</v>
      </c>
      <c r="AB307" s="208">
        <v>0</v>
      </c>
      <c r="AC307" s="208">
        <v>194120</v>
      </c>
      <c r="AD307" s="208">
        <v>18</v>
      </c>
      <c r="AE307" s="208">
        <v>10</v>
      </c>
      <c r="AF307" s="208">
        <v>48160</v>
      </c>
      <c r="AG307" s="138">
        <v>145960</v>
      </c>
    </row>
    <row r="308" spans="1:33" x14ac:dyDescent="0.3">
      <c r="A308" t="s">
        <v>8</v>
      </c>
      <c r="B308" t="s">
        <v>183</v>
      </c>
      <c r="C308" t="s">
        <v>133</v>
      </c>
      <c r="D308" t="str">
        <f t="shared" si="23"/>
        <v>ПлатинумСтандартный вариантИтого (промоутеры+ФБ/инстаграмм)5</v>
      </c>
      <c r="E308" s="60">
        <v>700</v>
      </c>
      <c r="F308" s="23">
        <v>10</v>
      </c>
      <c r="G308" s="24">
        <v>35</v>
      </c>
      <c r="H308" s="25">
        <v>7</v>
      </c>
      <c r="I308" s="98">
        <v>0.17</v>
      </c>
      <c r="J308" s="81">
        <v>59.500000000000007</v>
      </c>
      <c r="K308" s="81">
        <v>10</v>
      </c>
      <c r="L308" s="80">
        <v>5.9500000000000011</v>
      </c>
      <c r="M308" s="74">
        <v>1.416666666666667</v>
      </c>
      <c r="N308" s="99">
        <v>0.32</v>
      </c>
      <c r="O308" s="80">
        <v>101</v>
      </c>
      <c r="P308" s="99">
        <v>0.35</v>
      </c>
      <c r="Q308" s="99">
        <v>0.5</v>
      </c>
      <c r="R308" s="100">
        <v>5</v>
      </c>
      <c r="S308" s="76">
        <v>575</v>
      </c>
      <c r="T308" s="76">
        <v>400</v>
      </c>
      <c r="U308" s="101">
        <v>5490</v>
      </c>
      <c r="V308" s="241">
        <v>40400</v>
      </c>
      <c r="W308" s="241">
        <v>28</v>
      </c>
      <c r="X308" s="241">
        <v>153720</v>
      </c>
      <c r="Y308" s="241">
        <v>127</v>
      </c>
      <c r="Z308" s="242">
        <v>64700</v>
      </c>
      <c r="AA308" s="243">
        <v>13</v>
      </c>
      <c r="AB308" s="211">
        <v>71370</v>
      </c>
      <c r="AC308" s="211">
        <v>265490</v>
      </c>
      <c r="AD308" s="211">
        <v>20</v>
      </c>
      <c r="AE308" s="211">
        <v>10</v>
      </c>
      <c r="AF308" s="211">
        <v>51600</v>
      </c>
      <c r="AG308" s="244">
        <v>213890</v>
      </c>
    </row>
    <row r="309" spans="1:33" x14ac:dyDescent="0.3">
      <c r="A309" t="s">
        <v>8</v>
      </c>
      <c r="B309" t="s">
        <v>183</v>
      </c>
      <c r="C309" t="s">
        <v>133</v>
      </c>
      <c r="D309" t="str">
        <f t="shared" si="23"/>
        <v>ПлатинумСтандартный вариантИтого (промоутеры+ФБ/инстаграмм)6</v>
      </c>
      <c r="E309" s="60">
        <v>700</v>
      </c>
      <c r="F309" s="23">
        <v>10</v>
      </c>
      <c r="G309" s="24">
        <v>35</v>
      </c>
      <c r="H309" s="25">
        <v>7</v>
      </c>
      <c r="I309" s="56">
        <v>0.17</v>
      </c>
      <c r="J309" s="24">
        <v>59.500000000000007</v>
      </c>
      <c r="K309" s="24">
        <v>10</v>
      </c>
      <c r="L309" s="27">
        <v>5.9500000000000011</v>
      </c>
      <c r="M309" s="48">
        <v>1.416666666666667</v>
      </c>
      <c r="N309" s="57">
        <v>0.32</v>
      </c>
      <c r="O309" s="27">
        <v>101</v>
      </c>
      <c r="P309" s="57">
        <v>0.35</v>
      </c>
      <c r="Q309" s="57">
        <v>0.5</v>
      </c>
      <c r="R309" s="29">
        <v>6</v>
      </c>
      <c r="S309" s="30">
        <v>575</v>
      </c>
      <c r="T309" s="30">
        <v>400</v>
      </c>
      <c r="U309" s="31">
        <v>5490</v>
      </c>
      <c r="V309" s="222">
        <v>40400</v>
      </c>
      <c r="W309" s="222">
        <v>28</v>
      </c>
      <c r="X309" s="222">
        <v>153720</v>
      </c>
      <c r="Y309" s="222">
        <v>142</v>
      </c>
      <c r="Z309" s="223">
        <v>64700</v>
      </c>
      <c r="AA309" s="207">
        <v>13</v>
      </c>
      <c r="AB309" s="208">
        <v>71370</v>
      </c>
      <c r="AC309" s="208">
        <v>265490</v>
      </c>
      <c r="AD309" s="208">
        <v>23</v>
      </c>
      <c r="AE309" s="208">
        <v>10</v>
      </c>
      <c r="AF309" s="208">
        <v>56760</v>
      </c>
      <c r="AG309" s="138">
        <v>208730</v>
      </c>
    </row>
    <row r="310" spans="1:33" x14ac:dyDescent="0.3">
      <c r="A310" t="s">
        <v>8</v>
      </c>
      <c r="B310" t="s">
        <v>183</v>
      </c>
      <c r="C310" t="s">
        <v>133</v>
      </c>
      <c r="D310" t="str">
        <f t="shared" si="23"/>
        <v>ПлатинумСтандартный вариантИтого (промоутеры+ФБ/инстаграмм)7</v>
      </c>
      <c r="E310" s="60">
        <v>700</v>
      </c>
      <c r="F310" s="23">
        <v>10</v>
      </c>
      <c r="G310" s="24">
        <v>35</v>
      </c>
      <c r="H310" s="25">
        <v>7</v>
      </c>
      <c r="I310" s="56">
        <v>0.17</v>
      </c>
      <c r="J310" s="24">
        <v>59.500000000000007</v>
      </c>
      <c r="K310" s="24">
        <v>10</v>
      </c>
      <c r="L310" s="27">
        <v>5.9500000000000011</v>
      </c>
      <c r="M310" s="48">
        <v>1.416666666666667</v>
      </c>
      <c r="N310" s="57">
        <v>0.32</v>
      </c>
      <c r="O310" s="27">
        <v>101</v>
      </c>
      <c r="P310" s="57">
        <v>0.35</v>
      </c>
      <c r="Q310" s="57">
        <v>0.5</v>
      </c>
      <c r="R310" s="29">
        <v>7</v>
      </c>
      <c r="S310" s="30">
        <v>575</v>
      </c>
      <c r="T310" s="30">
        <v>400</v>
      </c>
      <c r="U310" s="31">
        <v>5490</v>
      </c>
      <c r="V310" s="222">
        <v>40400</v>
      </c>
      <c r="W310" s="222">
        <v>28</v>
      </c>
      <c r="X310" s="222">
        <v>153720</v>
      </c>
      <c r="Y310" s="222">
        <v>157</v>
      </c>
      <c r="Z310" s="223">
        <v>64700</v>
      </c>
      <c r="AA310" s="207">
        <v>13</v>
      </c>
      <c r="AB310" s="208">
        <v>71370</v>
      </c>
      <c r="AC310" s="208">
        <v>265490</v>
      </c>
      <c r="AD310" s="208">
        <v>25</v>
      </c>
      <c r="AE310" s="208">
        <v>10</v>
      </c>
      <c r="AF310" s="208">
        <v>60200</v>
      </c>
      <c r="AG310" s="138">
        <v>205290</v>
      </c>
    </row>
    <row r="311" spans="1:33" x14ac:dyDescent="0.3">
      <c r="A311" t="s">
        <v>8</v>
      </c>
      <c r="B311" t="s">
        <v>183</v>
      </c>
      <c r="C311" t="s">
        <v>133</v>
      </c>
      <c r="D311" t="str">
        <f t="shared" si="23"/>
        <v>ПлатинумСтандартный вариантИтого (промоутеры+ФБ/инстаграмм)8</v>
      </c>
      <c r="E311" s="60">
        <v>700</v>
      </c>
      <c r="F311" s="23">
        <v>10</v>
      </c>
      <c r="G311" s="24">
        <v>35</v>
      </c>
      <c r="H311" s="25">
        <v>7</v>
      </c>
      <c r="I311" s="56">
        <v>0.17</v>
      </c>
      <c r="J311" s="24">
        <v>59.500000000000007</v>
      </c>
      <c r="K311" s="24">
        <v>10</v>
      </c>
      <c r="L311" s="27">
        <v>5.9500000000000011</v>
      </c>
      <c r="M311" s="48">
        <v>1.416666666666667</v>
      </c>
      <c r="N311" s="57">
        <v>0.24499999999999997</v>
      </c>
      <c r="O311" s="27">
        <v>78.5</v>
      </c>
      <c r="P311" s="57">
        <v>0.35</v>
      </c>
      <c r="Q311" s="57">
        <v>0.35</v>
      </c>
      <c r="R311" s="29">
        <v>8</v>
      </c>
      <c r="S311" s="30">
        <v>550</v>
      </c>
      <c r="T311" s="30">
        <v>400</v>
      </c>
      <c r="U311" s="31">
        <v>5490</v>
      </c>
      <c r="V311" s="222">
        <v>31399.999999999996</v>
      </c>
      <c r="W311" s="222">
        <v>18</v>
      </c>
      <c r="X311" s="222">
        <v>98820</v>
      </c>
      <c r="Y311" s="222">
        <v>166</v>
      </c>
      <c r="Z311" s="223">
        <v>49249.999999999993</v>
      </c>
      <c r="AA311" s="207">
        <v>9</v>
      </c>
      <c r="AB311" s="208">
        <v>49410</v>
      </c>
      <c r="AC311" s="208">
        <v>179630</v>
      </c>
      <c r="AD311" s="208">
        <v>26</v>
      </c>
      <c r="AE311" s="208">
        <v>8</v>
      </c>
      <c r="AF311" s="208">
        <v>58480</v>
      </c>
      <c r="AG311" s="138">
        <v>121150</v>
      </c>
    </row>
    <row r="312" spans="1:33" x14ac:dyDescent="0.3">
      <c r="A312" t="s">
        <v>8</v>
      </c>
      <c r="B312" t="s">
        <v>183</v>
      </c>
      <c r="C312" t="s">
        <v>133</v>
      </c>
      <c r="D312" t="str">
        <f t="shared" si="23"/>
        <v>ПлатинумСтандартный вариантИтого (промоутеры+ФБ/инстаграмм)9</v>
      </c>
      <c r="E312" s="60">
        <v>700</v>
      </c>
      <c r="F312" s="23">
        <v>10</v>
      </c>
      <c r="G312" s="24">
        <v>35</v>
      </c>
      <c r="H312" s="25">
        <v>7</v>
      </c>
      <c r="I312" s="56">
        <v>0.17</v>
      </c>
      <c r="J312" s="24">
        <v>59.500000000000007</v>
      </c>
      <c r="K312" s="24">
        <v>10</v>
      </c>
      <c r="L312" s="27">
        <v>5.9500000000000011</v>
      </c>
      <c r="M312" s="48">
        <v>1.416666666666667</v>
      </c>
      <c r="N312" s="57">
        <v>0.16999999999999996</v>
      </c>
      <c r="O312" s="27">
        <v>54.999999999999993</v>
      </c>
      <c r="P312" s="57">
        <v>0.2</v>
      </c>
      <c r="Q312" s="57">
        <v>0.2</v>
      </c>
      <c r="R312" s="29">
        <v>9</v>
      </c>
      <c r="S312" s="102">
        <v>550</v>
      </c>
      <c r="T312" s="30">
        <v>400</v>
      </c>
      <c r="U312" s="31">
        <v>5490</v>
      </c>
      <c r="V312" s="222">
        <v>21999.999999999996</v>
      </c>
      <c r="W312" s="222">
        <v>9</v>
      </c>
      <c r="X312" s="222">
        <v>49410</v>
      </c>
      <c r="Y312" s="222">
        <v>170</v>
      </c>
      <c r="Z312" s="223">
        <v>34600</v>
      </c>
      <c r="AA312" s="207">
        <v>5</v>
      </c>
      <c r="AB312" s="208">
        <v>27450</v>
      </c>
      <c r="AC312" s="208">
        <v>98860</v>
      </c>
      <c r="AD312" s="208">
        <v>27</v>
      </c>
      <c r="AE312" s="208">
        <v>5</v>
      </c>
      <c r="AF312" s="208">
        <v>55040</v>
      </c>
      <c r="AG312" s="138">
        <v>43820</v>
      </c>
    </row>
    <row r="313" spans="1:33" ht="16.2" thickBot="1" x14ac:dyDescent="0.35">
      <c r="E313" s="61"/>
      <c r="F313" s="39"/>
      <c r="G313" s="40"/>
      <c r="H313" s="41"/>
      <c r="I313" s="58"/>
      <c r="J313" s="40"/>
      <c r="K313" s="40"/>
      <c r="L313" s="43"/>
      <c r="M313" s="53"/>
      <c r="N313" s="59"/>
      <c r="O313" s="43"/>
      <c r="P313" s="59"/>
      <c r="Q313" s="59"/>
      <c r="R313" s="45"/>
      <c r="S313" s="103"/>
      <c r="T313" s="46"/>
      <c r="U313" s="47"/>
      <c r="V313" s="234"/>
      <c r="W313" s="234"/>
      <c r="X313" s="234"/>
      <c r="Y313" s="234"/>
      <c r="Z313" s="236"/>
      <c r="AA313" s="245"/>
      <c r="AB313" s="214"/>
      <c r="AC313" s="214"/>
      <c r="AD313" s="214"/>
      <c r="AE313" s="214"/>
      <c r="AF313" s="214" t="s">
        <v>64</v>
      </c>
      <c r="AG313" s="139">
        <v>1353300</v>
      </c>
    </row>
    <row r="314" spans="1:33" x14ac:dyDescent="0.3">
      <c r="V314" s="114"/>
      <c r="W314" s="114"/>
      <c r="X314" s="114"/>
      <c r="Y314" s="114"/>
      <c r="Z314" s="114"/>
      <c r="AA314" s="114"/>
      <c r="AB314" s="114"/>
      <c r="AC314" s="114"/>
      <c r="AD314" s="114"/>
      <c r="AE314" s="114"/>
      <c r="AF314" s="114"/>
      <c r="AG314" s="114"/>
    </row>
    <row r="315" spans="1:33" ht="24" thickBot="1" x14ac:dyDescent="0.5">
      <c r="E315" s="193" t="s">
        <v>133</v>
      </c>
      <c r="O315" s="4"/>
      <c r="V315" s="114"/>
      <c r="W315" s="114"/>
      <c r="X315" s="114"/>
      <c r="Y315" s="114"/>
      <c r="Z315" s="114"/>
      <c r="AA315" s="114"/>
      <c r="AB315" s="114"/>
      <c r="AC315" s="114"/>
      <c r="AD315" s="114"/>
      <c r="AE315" s="114"/>
      <c r="AF315" s="114"/>
      <c r="AG315" s="114"/>
    </row>
    <row r="316" spans="1:33" ht="28.5" customHeight="1" thickBot="1" x14ac:dyDescent="0.35">
      <c r="E316" s="95" t="s">
        <v>127</v>
      </c>
      <c r="F316" s="195" t="s">
        <v>92</v>
      </c>
      <c r="G316" s="196" t="s">
        <v>93</v>
      </c>
      <c r="H316" s="197" t="s">
        <v>134</v>
      </c>
      <c r="I316" s="195" t="s">
        <v>94</v>
      </c>
      <c r="J316" s="202" t="s">
        <v>95</v>
      </c>
      <c r="K316" s="196" t="s">
        <v>96</v>
      </c>
      <c r="L316" s="196" t="s">
        <v>97</v>
      </c>
      <c r="M316" s="196" t="s">
        <v>98</v>
      </c>
      <c r="N316" s="196" t="s">
        <v>128</v>
      </c>
      <c r="O316" s="202" t="s">
        <v>100</v>
      </c>
      <c r="P316" s="196" t="s">
        <v>129</v>
      </c>
      <c r="Q316" s="196" t="s">
        <v>102</v>
      </c>
      <c r="R316" s="195" t="s">
        <v>103</v>
      </c>
      <c r="S316" s="196" t="s">
        <v>104</v>
      </c>
      <c r="T316" s="196" t="s">
        <v>105</v>
      </c>
      <c r="U316" s="197" t="s">
        <v>90</v>
      </c>
      <c r="V316" s="250" t="s">
        <v>106</v>
      </c>
      <c r="W316" s="251" t="s">
        <v>107</v>
      </c>
      <c r="X316" s="250" t="s">
        <v>108</v>
      </c>
      <c r="Y316" s="251" t="s">
        <v>109</v>
      </c>
      <c r="Z316" s="252" t="s">
        <v>110</v>
      </c>
      <c r="AA316" s="248" t="s">
        <v>111</v>
      </c>
      <c r="AB316" s="248" t="s">
        <v>112</v>
      </c>
      <c r="AC316" s="248" t="s">
        <v>113</v>
      </c>
      <c r="AD316" s="248" t="s">
        <v>114</v>
      </c>
      <c r="AE316" s="248" t="s">
        <v>136</v>
      </c>
      <c r="AF316" s="248" t="s">
        <v>115</v>
      </c>
      <c r="AG316" s="249" t="s">
        <v>116</v>
      </c>
    </row>
    <row r="317" spans="1:33" x14ac:dyDescent="0.3">
      <c r="A317" t="s">
        <v>8</v>
      </c>
      <c r="B317" t="s">
        <v>184</v>
      </c>
      <c r="C317" t="s">
        <v>133</v>
      </c>
      <c r="D317" t="str">
        <f t="shared" ref="D317:D325" si="24">A317&amp;B317&amp;C317&amp;R317</f>
        <v>ПлатинумПессиместичный вариантИтого (промоутеры+ФБ/инстаграмм)1</v>
      </c>
      <c r="E317" s="60">
        <v>700</v>
      </c>
      <c r="F317" s="23">
        <v>10</v>
      </c>
      <c r="G317" s="24">
        <v>35</v>
      </c>
      <c r="H317" s="25">
        <v>7</v>
      </c>
      <c r="I317" s="56">
        <v>0.15</v>
      </c>
      <c r="J317" s="27">
        <v>52.5</v>
      </c>
      <c r="K317" s="27">
        <v>10</v>
      </c>
      <c r="L317" s="27">
        <v>5.25</v>
      </c>
      <c r="M317" s="48">
        <v>1.25</v>
      </c>
      <c r="N317" s="57">
        <v>0.30000000000000004</v>
      </c>
      <c r="O317" s="27">
        <v>91</v>
      </c>
      <c r="P317" s="57">
        <v>0.35</v>
      </c>
      <c r="Q317" s="57">
        <v>0.5</v>
      </c>
      <c r="R317" s="29">
        <v>1</v>
      </c>
      <c r="S317" s="30">
        <v>625</v>
      </c>
      <c r="T317" s="30">
        <v>400</v>
      </c>
      <c r="U317" s="31">
        <v>5490</v>
      </c>
      <c r="V317" s="218">
        <v>36400</v>
      </c>
      <c r="W317" s="218">
        <v>24</v>
      </c>
      <c r="X317" s="218">
        <v>131760</v>
      </c>
      <c r="Y317" s="218">
        <v>24</v>
      </c>
      <c r="Z317" s="219">
        <v>63000</v>
      </c>
      <c r="AA317" s="204">
        <v>0</v>
      </c>
      <c r="AB317" s="205">
        <v>0</v>
      </c>
      <c r="AC317" s="205">
        <v>168160</v>
      </c>
      <c r="AD317" s="205">
        <v>4</v>
      </c>
      <c r="AE317" s="205">
        <v>10</v>
      </c>
      <c r="AF317" s="205">
        <v>24080</v>
      </c>
      <c r="AG317" s="206">
        <v>81080</v>
      </c>
    </row>
    <row r="318" spans="1:33" x14ac:dyDescent="0.3">
      <c r="A318" t="s">
        <v>8</v>
      </c>
      <c r="B318" t="s">
        <v>184</v>
      </c>
      <c r="C318" t="s">
        <v>133</v>
      </c>
      <c r="D318" t="str">
        <f t="shared" si="24"/>
        <v>ПлатинумПессиместичный вариантИтого (промоутеры+ФБ/инстаграмм)2</v>
      </c>
      <c r="E318" s="60">
        <v>700</v>
      </c>
      <c r="F318" s="23">
        <v>10</v>
      </c>
      <c r="G318" s="24">
        <v>35</v>
      </c>
      <c r="H318" s="25">
        <v>7</v>
      </c>
      <c r="I318" s="56">
        <v>0.15</v>
      </c>
      <c r="J318" s="24">
        <v>52.5</v>
      </c>
      <c r="K318" s="24">
        <v>10</v>
      </c>
      <c r="L318" s="27">
        <v>5.25</v>
      </c>
      <c r="M318" s="48">
        <v>1.25</v>
      </c>
      <c r="N318" s="57">
        <v>0.30000000000000004</v>
      </c>
      <c r="O318" s="27">
        <v>91</v>
      </c>
      <c r="P318" s="57">
        <v>0.35</v>
      </c>
      <c r="Q318" s="57">
        <v>0.5</v>
      </c>
      <c r="R318" s="29">
        <v>2</v>
      </c>
      <c r="S318" s="30">
        <v>625</v>
      </c>
      <c r="T318" s="30">
        <v>400</v>
      </c>
      <c r="U318" s="31">
        <v>5490</v>
      </c>
      <c r="V318" s="222">
        <v>36400</v>
      </c>
      <c r="W318" s="222">
        <v>24</v>
      </c>
      <c r="X318" s="222">
        <v>131760</v>
      </c>
      <c r="Y318" s="222">
        <v>48</v>
      </c>
      <c r="Z318" s="223">
        <v>63000</v>
      </c>
      <c r="AA318" s="207">
        <v>0</v>
      </c>
      <c r="AB318" s="208">
        <v>0</v>
      </c>
      <c r="AC318" s="208">
        <v>168160</v>
      </c>
      <c r="AD318" s="208">
        <v>8</v>
      </c>
      <c r="AE318" s="208">
        <v>10</v>
      </c>
      <c r="AF318" s="208">
        <v>30960</v>
      </c>
      <c r="AG318" s="138">
        <v>137200</v>
      </c>
    </row>
    <row r="319" spans="1:33" x14ac:dyDescent="0.3">
      <c r="A319" t="s">
        <v>8</v>
      </c>
      <c r="B319" t="s">
        <v>184</v>
      </c>
      <c r="C319" t="s">
        <v>133</v>
      </c>
      <c r="D319" t="str">
        <f t="shared" si="24"/>
        <v>ПлатинумПессиместичный вариантИтого (промоутеры+ФБ/инстаграмм)3</v>
      </c>
      <c r="E319" s="60">
        <v>700</v>
      </c>
      <c r="F319" s="23">
        <v>10</v>
      </c>
      <c r="G319" s="24">
        <v>35</v>
      </c>
      <c r="H319" s="25">
        <v>7</v>
      </c>
      <c r="I319" s="56">
        <v>0.15</v>
      </c>
      <c r="J319" s="24">
        <v>52.5</v>
      </c>
      <c r="K319" s="24">
        <v>10</v>
      </c>
      <c r="L319" s="27">
        <v>5.25</v>
      </c>
      <c r="M319" s="48">
        <v>1.25</v>
      </c>
      <c r="N319" s="57">
        <v>0.30000000000000004</v>
      </c>
      <c r="O319" s="27">
        <v>91</v>
      </c>
      <c r="P319" s="57">
        <v>0.35</v>
      </c>
      <c r="Q319" s="57">
        <v>0.5</v>
      </c>
      <c r="R319" s="29">
        <v>3</v>
      </c>
      <c r="S319" s="30">
        <v>625</v>
      </c>
      <c r="T319" s="30">
        <v>400</v>
      </c>
      <c r="U319" s="31">
        <v>5490</v>
      </c>
      <c r="V319" s="222">
        <v>36400</v>
      </c>
      <c r="W319" s="222">
        <v>24</v>
      </c>
      <c r="X319" s="222">
        <v>131760</v>
      </c>
      <c r="Y319" s="222">
        <v>72</v>
      </c>
      <c r="Z319" s="223">
        <v>63000</v>
      </c>
      <c r="AA319" s="207">
        <v>0</v>
      </c>
      <c r="AB319" s="208">
        <v>0</v>
      </c>
      <c r="AC319" s="208">
        <v>168160</v>
      </c>
      <c r="AD319" s="208">
        <v>12</v>
      </c>
      <c r="AE319" s="208">
        <v>10</v>
      </c>
      <c r="AF319" s="208">
        <v>37840</v>
      </c>
      <c r="AG319" s="138">
        <v>130320</v>
      </c>
    </row>
    <row r="320" spans="1:33" x14ac:dyDescent="0.3">
      <c r="A320" t="s">
        <v>8</v>
      </c>
      <c r="B320" t="s">
        <v>184</v>
      </c>
      <c r="C320" t="s">
        <v>133</v>
      </c>
      <c r="D320" t="str">
        <f t="shared" si="24"/>
        <v>ПлатинумПессиместичный вариантИтого (промоутеры+ФБ/инстаграмм)4</v>
      </c>
      <c r="E320" s="60">
        <v>700</v>
      </c>
      <c r="F320" s="23">
        <v>10</v>
      </c>
      <c r="G320" s="24">
        <v>35</v>
      </c>
      <c r="H320" s="25">
        <v>7</v>
      </c>
      <c r="I320" s="56">
        <v>0.15</v>
      </c>
      <c r="J320" s="24">
        <v>52.5</v>
      </c>
      <c r="K320" s="24">
        <v>10</v>
      </c>
      <c r="L320" s="27">
        <v>5.25</v>
      </c>
      <c r="M320" s="48">
        <v>1.25</v>
      </c>
      <c r="N320" s="57">
        <v>0.30000000000000004</v>
      </c>
      <c r="O320" s="27">
        <v>91</v>
      </c>
      <c r="P320" s="57">
        <v>0.35</v>
      </c>
      <c r="Q320" s="57">
        <v>0.5</v>
      </c>
      <c r="R320" s="29">
        <v>4</v>
      </c>
      <c r="S320" s="30">
        <v>625</v>
      </c>
      <c r="T320" s="30">
        <v>400</v>
      </c>
      <c r="U320" s="31">
        <v>5490</v>
      </c>
      <c r="V320" s="222">
        <v>36400</v>
      </c>
      <c r="W320" s="222">
        <v>24</v>
      </c>
      <c r="X320" s="222">
        <v>131760</v>
      </c>
      <c r="Y320" s="222">
        <v>96</v>
      </c>
      <c r="Z320" s="223">
        <v>63000</v>
      </c>
      <c r="AA320" s="207">
        <v>0</v>
      </c>
      <c r="AB320" s="208">
        <v>0</v>
      </c>
      <c r="AC320" s="208">
        <v>168160</v>
      </c>
      <c r="AD320" s="208">
        <v>15</v>
      </c>
      <c r="AE320" s="208">
        <v>10</v>
      </c>
      <c r="AF320" s="208">
        <v>43000</v>
      </c>
      <c r="AG320" s="138">
        <v>125160</v>
      </c>
    </row>
    <row r="321" spans="1:33" x14ac:dyDescent="0.3">
      <c r="A321" t="s">
        <v>8</v>
      </c>
      <c r="B321" t="s">
        <v>184</v>
      </c>
      <c r="C321" t="s">
        <v>133</v>
      </c>
      <c r="D321" t="str">
        <f t="shared" si="24"/>
        <v>ПлатинумПессиместичный вариантИтого (промоутеры+ФБ/инстаграмм)5</v>
      </c>
      <c r="E321" s="60">
        <v>700</v>
      </c>
      <c r="F321" s="23">
        <v>10</v>
      </c>
      <c r="G321" s="24">
        <v>35</v>
      </c>
      <c r="H321" s="25">
        <v>7</v>
      </c>
      <c r="I321" s="98">
        <v>0.15</v>
      </c>
      <c r="J321" s="81">
        <v>52.5</v>
      </c>
      <c r="K321" s="81">
        <v>10</v>
      </c>
      <c r="L321" s="80">
        <v>5.25</v>
      </c>
      <c r="M321" s="74">
        <v>1.25</v>
      </c>
      <c r="N321" s="99">
        <v>0.30000000000000004</v>
      </c>
      <c r="O321" s="80">
        <v>91</v>
      </c>
      <c r="P321" s="99">
        <v>0.35</v>
      </c>
      <c r="Q321" s="99">
        <v>0.5</v>
      </c>
      <c r="R321" s="100">
        <v>5</v>
      </c>
      <c r="S321" s="76">
        <v>625</v>
      </c>
      <c r="T321" s="76">
        <v>400</v>
      </c>
      <c r="U321" s="101">
        <v>5490</v>
      </c>
      <c r="V321" s="241">
        <v>36400</v>
      </c>
      <c r="W321" s="241">
        <v>24</v>
      </c>
      <c r="X321" s="241">
        <v>131760</v>
      </c>
      <c r="Y321" s="241">
        <v>108</v>
      </c>
      <c r="Z321" s="242">
        <v>63000</v>
      </c>
      <c r="AA321" s="243">
        <v>12</v>
      </c>
      <c r="AB321" s="211">
        <v>65880</v>
      </c>
      <c r="AC321" s="211">
        <v>234040</v>
      </c>
      <c r="AD321" s="211">
        <v>18</v>
      </c>
      <c r="AE321" s="211">
        <v>10</v>
      </c>
      <c r="AF321" s="211">
        <v>48160</v>
      </c>
      <c r="AG321" s="244">
        <v>185880</v>
      </c>
    </row>
    <row r="322" spans="1:33" x14ac:dyDescent="0.3">
      <c r="A322" t="s">
        <v>8</v>
      </c>
      <c r="B322" t="s">
        <v>184</v>
      </c>
      <c r="C322" t="s">
        <v>133</v>
      </c>
      <c r="D322" t="str">
        <f t="shared" si="24"/>
        <v>ПлатинумПессиместичный вариантИтого (промоутеры+ФБ/инстаграмм)6</v>
      </c>
      <c r="E322" s="60">
        <v>700</v>
      </c>
      <c r="F322" s="23">
        <v>10</v>
      </c>
      <c r="G322" s="24">
        <v>35</v>
      </c>
      <c r="H322" s="25">
        <v>7</v>
      </c>
      <c r="I322" s="56">
        <v>0.15</v>
      </c>
      <c r="J322" s="24">
        <v>52.5</v>
      </c>
      <c r="K322" s="24">
        <v>10</v>
      </c>
      <c r="L322" s="27">
        <v>5.25</v>
      </c>
      <c r="M322" s="48">
        <v>1.25</v>
      </c>
      <c r="N322" s="57">
        <v>0.30000000000000004</v>
      </c>
      <c r="O322" s="27">
        <v>91</v>
      </c>
      <c r="P322" s="57">
        <v>0.35</v>
      </c>
      <c r="Q322" s="57">
        <v>0.5</v>
      </c>
      <c r="R322" s="29">
        <v>6</v>
      </c>
      <c r="S322" s="30">
        <v>625</v>
      </c>
      <c r="T322" s="30">
        <v>400</v>
      </c>
      <c r="U322" s="31">
        <v>5490</v>
      </c>
      <c r="V322" s="222">
        <v>36400</v>
      </c>
      <c r="W322" s="222">
        <v>24</v>
      </c>
      <c r="X322" s="222">
        <v>131760</v>
      </c>
      <c r="Y322" s="222">
        <v>120</v>
      </c>
      <c r="Z322" s="223">
        <v>63000</v>
      </c>
      <c r="AA322" s="207">
        <v>12</v>
      </c>
      <c r="AB322" s="208">
        <v>65880</v>
      </c>
      <c r="AC322" s="208">
        <v>234040</v>
      </c>
      <c r="AD322" s="208">
        <v>19</v>
      </c>
      <c r="AE322" s="208">
        <v>10</v>
      </c>
      <c r="AF322" s="208">
        <v>49880</v>
      </c>
      <c r="AG322" s="138">
        <v>184160</v>
      </c>
    </row>
    <row r="323" spans="1:33" x14ac:dyDescent="0.3">
      <c r="A323" t="s">
        <v>8</v>
      </c>
      <c r="B323" t="s">
        <v>184</v>
      </c>
      <c r="C323" t="s">
        <v>133</v>
      </c>
      <c r="D323" t="str">
        <f t="shared" si="24"/>
        <v>ПлатинумПессиместичный вариантИтого (промоутеры+ФБ/инстаграмм)7</v>
      </c>
      <c r="E323" s="60">
        <v>700</v>
      </c>
      <c r="F323" s="23">
        <v>10</v>
      </c>
      <c r="G323" s="24">
        <v>35</v>
      </c>
      <c r="H323" s="25">
        <v>7</v>
      </c>
      <c r="I323" s="56">
        <v>0.15</v>
      </c>
      <c r="J323" s="24">
        <v>52.5</v>
      </c>
      <c r="K323" s="24">
        <v>10</v>
      </c>
      <c r="L323" s="27">
        <v>5.25</v>
      </c>
      <c r="M323" s="48">
        <v>1.25</v>
      </c>
      <c r="N323" s="57">
        <v>0.30000000000000004</v>
      </c>
      <c r="O323" s="27">
        <v>91</v>
      </c>
      <c r="P323" s="57">
        <v>0.35</v>
      </c>
      <c r="Q323" s="57">
        <v>0.5</v>
      </c>
      <c r="R323" s="29">
        <v>7</v>
      </c>
      <c r="S323" s="30">
        <v>625</v>
      </c>
      <c r="T323" s="30">
        <v>400</v>
      </c>
      <c r="U323" s="31">
        <v>5490</v>
      </c>
      <c r="V323" s="222">
        <v>36400</v>
      </c>
      <c r="W323" s="222">
        <v>24</v>
      </c>
      <c r="X323" s="222">
        <v>131760</v>
      </c>
      <c r="Y323" s="222">
        <v>132</v>
      </c>
      <c r="Z323" s="223">
        <v>63000</v>
      </c>
      <c r="AA323" s="207">
        <v>12</v>
      </c>
      <c r="AB323" s="208">
        <v>65880</v>
      </c>
      <c r="AC323" s="208">
        <v>234040</v>
      </c>
      <c r="AD323" s="208">
        <v>20</v>
      </c>
      <c r="AE323" s="208">
        <v>10</v>
      </c>
      <c r="AF323" s="208">
        <v>51600</v>
      </c>
      <c r="AG323" s="138">
        <v>182440</v>
      </c>
    </row>
    <row r="324" spans="1:33" x14ac:dyDescent="0.3">
      <c r="A324" t="s">
        <v>8</v>
      </c>
      <c r="B324" t="s">
        <v>184</v>
      </c>
      <c r="C324" t="s">
        <v>133</v>
      </c>
      <c r="D324" t="str">
        <f t="shared" si="24"/>
        <v>ПлатинумПессиместичный вариантИтого (промоутеры+ФБ/инстаграмм)8</v>
      </c>
      <c r="E324" s="60">
        <v>700</v>
      </c>
      <c r="F324" s="23">
        <v>10</v>
      </c>
      <c r="G324" s="24">
        <v>35</v>
      </c>
      <c r="H324" s="25">
        <v>7</v>
      </c>
      <c r="I324" s="56">
        <v>0.15</v>
      </c>
      <c r="J324" s="24">
        <v>52.5</v>
      </c>
      <c r="K324" s="24">
        <v>10</v>
      </c>
      <c r="L324" s="27">
        <v>5.25</v>
      </c>
      <c r="M324" s="48">
        <v>1.25</v>
      </c>
      <c r="N324" s="57">
        <v>0.22500000000000003</v>
      </c>
      <c r="O324" s="27">
        <v>67.5</v>
      </c>
      <c r="P324" s="57">
        <v>0.35</v>
      </c>
      <c r="Q324" s="57">
        <v>0.35</v>
      </c>
      <c r="R324" s="29">
        <v>8</v>
      </c>
      <c r="S324" s="30">
        <v>600</v>
      </c>
      <c r="T324" s="30">
        <v>400</v>
      </c>
      <c r="U324" s="31">
        <v>5490</v>
      </c>
      <c r="V324" s="222">
        <v>27000.000000000004</v>
      </c>
      <c r="W324" s="222">
        <v>14</v>
      </c>
      <c r="X324" s="222">
        <v>76860</v>
      </c>
      <c r="Y324" s="222">
        <v>138</v>
      </c>
      <c r="Z324" s="223">
        <v>46125.000000000007</v>
      </c>
      <c r="AA324" s="207">
        <v>8</v>
      </c>
      <c r="AB324" s="208">
        <v>43920</v>
      </c>
      <c r="AC324" s="208">
        <v>147780</v>
      </c>
      <c r="AD324" s="208">
        <v>22</v>
      </c>
      <c r="AE324" s="208">
        <v>7</v>
      </c>
      <c r="AF324" s="208">
        <v>49880</v>
      </c>
      <c r="AG324" s="138">
        <v>97900</v>
      </c>
    </row>
    <row r="325" spans="1:33" x14ac:dyDescent="0.3">
      <c r="A325" t="s">
        <v>8</v>
      </c>
      <c r="B325" t="s">
        <v>184</v>
      </c>
      <c r="C325" t="s">
        <v>133</v>
      </c>
      <c r="D325" t="str">
        <f t="shared" si="24"/>
        <v>ПлатинумПессиместичный вариантИтого (промоутеры+ФБ/инстаграмм)9</v>
      </c>
      <c r="E325" s="60">
        <v>700</v>
      </c>
      <c r="F325" s="23">
        <v>10</v>
      </c>
      <c r="G325" s="24">
        <v>35</v>
      </c>
      <c r="H325" s="25">
        <v>7</v>
      </c>
      <c r="I325" s="56">
        <v>0.15</v>
      </c>
      <c r="J325" s="24">
        <v>52.5</v>
      </c>
      <c r="K325" s="24">
        <v>10</v>
      </c>
      <c r="L325" s="27">
        <v>5.25</v>
      </c>
      <c r="M325" s="48">
        <v>1.25</v>
      </c>
      <c r="N325" s="57">
        <v>0.15000000000000002</v>
      </c>
      <c r="O325" s="27">
        <v>45.000000000000007</v>
      </c>
      <c r="P325" s="57">
        <v>0.2</v>
      </c>
      <c r="Q325" s="57">
        <v>0.2</v>
      </c>
      <c r="R325" s="29">
        <v>9</v>
      </c>
      <c r="S325" s="102">
        <v>600</v>
      </c>
      <c r="T325" s="30">
        <v>400</v>
      </c>
      <c r="U325" s="31">
        <v>5490</v>
      </c>
      <c r="V325" s="222">
        <v>18000.000000000004</v>
      </c>
      <c r="W325" s="222">
        <v>7</v>
      </c>
      <c r="X325" s="222">
        <v>38430</v>
      </c>
      <c r="Y325" s="222">
        <v>141</v>
      </c>
      <c r="Z325" s="223">
        <v>30750.000000000004</v>
      </c>
      <c r="AA325" s="207">
        <v>4</v>
      </c>
      <c r="AB325" s="208">
        <v>21960</v>
      </c>
      <c r="AC325" s="208">
        <v>78390</v>
      </c>
      <c r="AD325" s="208">
        <v>23</v>
      </c>
      <c r="AE325" s="208">
        <v>5</v>
      </c>
      <c r="AF325" s="208">
        <v>48160</v>
      </c>
      <c r="AG325" s="138">
        <v>30230</v>
      </c>
    </row>
    <row r="326" spans="1:33" ht="16.2" thickBot="1" x14ac:dyDescent="0.35">
      <c r="E326" s="61"/>
      <c r="F326" s="39"/>
      <c r="G326" s="40"/>
      <c r="H326" s="41"/>
      <c r="I326" s="58"/>
      <c r="J326" s="40"/>
      <c r="K326" s="40"/>
      <c r="L326" s="43"/>
      <c r="M326" s="53"/>
      <c r="N326" s="59"/>
      <c r="O326" s="43"/>
      <c r="P326" s="59"/>
      <c r="Q326" s="59"/>
      <c r="R326" s="45"/>
      <c r="S326" s="103"/>
      <c r="T326" s="46"/>
      <c r="U326" s="47"/>
      <c r="V326" s="234"/>
      <c r="W326" s="234"/>
      <c r="X326" s="234"/>
      <c r="Y326" s="234"/>
      <c r="Z326" s="236"/>
      <c r="AA326" s="245"/>
      <c r="AB326" s="214"/>
      <c r="AC326" s="214"/>
      <c r="AD326" s="214"/>
      <c r="AE326" s="214"/>
      <c r="AF326" s="214" t="s">
        <v>64</v>
      </c>
      <c r="AG326" s="139">
        <v>1154370</v>
      </c>
    </row>
    <row r="345" spans="1:1" x14ac:dyDescent="0.3">
      <c r="A345" t="s">
        <v>137</v>
      </c>
    </row>
    <row r="346" spans="1:1" x14ac:dyDescent="0.3">
      <c r="A346" t="s">
        <v>7</v>
      </c>
    </row>
    <row r="347" spans="1:1" x14ac:dyDescent="0.3">
      <c r="A347" t="s">
        <v>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227"/>
  <sheetViews>
    <sheetView topLeftCell="A43" workbookViewId="0">
      <selection activeCell="C76" sqref="C76:C84"/>
    </sheetView>
  </sheetViews>
  <sheetFormatPr defaultRowHeight="15.6" x14ac:dyDescent="0.3"/>
  <cols>
    <col min="2" max="2" width="15.09765625" customWidth="1"/>
    <col min="3" max="4" width="12.19921875" customWidth="1"/>
    <col min="5" max="5" width="11.59765625" customWidth="1"/>
    <col min="12" max="13" width="14.5" customWidth="1"/>
    <col min="14" max="14" width="31.8984375" customWidth="1"/>
    <col min="20" max="20" width="20.69921875" customWidth="1"/>
    <col min="21" max="21" width="13.8984375" customWidth="1"/>
    <col min="22" max="22" width="16.3984375" customWidth="1"/>
    <col min="23" max="23" width="11" bestFit="1" customWidth="1"/>
    <col min="24" max="24" width="12" bestFit="1" customWidth="1"/>
  </cols>
  <sheetData>
    <row r="1" spans="1:23" ht="21.6" thickBot="1" x14ac:dyDescent="0.45">
      <c r="E1">
        <v>2</v>
      </c>
      <c r="F1">
        <v>3</v>
      </c>
      <c r="G1">
        <v>4</v>
      </c>
      <c r="H1">
        <v>5</v>
      </c>
      <c r="N1" s="65" t="s">
        <v>154</v>
      </c>
    </row>
    <row r="2" spans="1:23" ht="84.6" thickBot="1" x14ac:dyDescent="0.45">
      <c r="C2" s="128" t="s">
        <v>144</v>
      </c>
      <c r="D2" s="128"/>
      <c r="E2" s="128" t="s">
        <v>153</v>
      </c>
      <c r="F2" s="129" t="s">
        <v>208</v>
      </c>
      <c r="G2" s="128" t="s">
        <v>209</v>
      </c>
      <c r="H2" s="130" t="s">
        <v>193</v>
      </c>
      <c r="M2" t="s">
        <v>245</v>
      </c>
      <c r="N2" s="131" t="s">
        <v>25</v>
      </c>
      <c r="O2" s="134" t="s">
        <v>155</v>
      </c>
      <c r="P2" s="132" t="s">
        <v>28</v>
      </c>
      <c r="Q2" s="133" t="s">
        <v>29</v>
      </c>
      <c r="S2" t="s">
        <v>236</v>
      </c>
      <c r="T2" t="s">
        <v>184</v>
      </c>
      <c r="U2" t="s">
        <v>215</v>
      </c>
      <c r="V2" t="str">
        <f>S2&amp;T2&amp;U2</f>
        <v>СТАРТПессиместичный вариантИнвестиции в пакет (долл.)</v>
      </c>
      <c r="W2">
        <v>10520.300751879699</v>
      </c>
    </row>
    <row r="3" spans="1:23" x14ac:dyDescent="0.3">
      <c r="A3" t="s">
        <v>236</v>
      </c>
      <c r="B3" t="s">
        <v>184</v>
      </c>
      <c r="C3" s="180">
        <v>1</v>
      </c>
      <c r="D3" s="180" t="str">
        <f>A3&amp;B3&amp;C3</f>
        <v>СТАРТПессиместичный вариант1</v>
      </c>
      <c r="E3" s="175">
        <v>35900</v>
      </c>
      <c r="F3" s="181">
        <v>36850</v>
      </c>
      <c r="G3" s="181">
        <v>2872</v>
      </c>
      <c r="H3" s="174">
        <v>-3822</v>
      </c>
      <c r="K3" t="s">
        <v>236</v>
      </c>
      <c r="L3" t="s">
        <v>184</v>
      </c>
      <c r="M3" t="str">
        <f>K3&amp;L3&amp;N3</f>
        <v>СТАРТПессиместичный вариантАренда</v>
      </c>
      <c r="N3" s="156" t="s">
        <v>156</v>
      </c>
      <c r="O3" s="174">
        <v>5000</v>
      </c>
      <c r="P3" s="156">
        <v>1</v>
      </c>
      <c r="Q3" s="174">
        <v>5000</v>
      </c>
      <c r="S3" t="s">
        <v>236</v>
      </c>
      <c r="T3" t="s">
        <v>184</v>
      </c>
      <c r="U3" t="s">
        <v>204</v>
      </c>
      <c r="V3" t="str">
        <f t="shared" ref="V3:V37" si="0">S3&amp;T3&amp;U3</f>
        <v>СТАРТПессиместичный вариантПаушальный взнос в пакет (долл.)</v>
      </c>
      <c r="W3">
        <v>4000</v>
      </c>
    </row>
    <row r="4" spans="1:23" x14ac:dyDescent="0.3">
      <c r="A4" t="s">
        <v>236</v>
      </c>
      <c r="B4" t="s">
        <v>184</v>
      </c>
      <c r="C4" s="180">
        <v>2</v>
      </c>
      <c r="D4" s="180" t="str">
        <f t="shared" ref="D4:D67" si="1">A4&amp;B4&amp;C4</f>
        <v>СТАРТПессиместичный вариант2</v>
      </c>
      <c r="E4" s="175">
        <v>62230</v>
      </c>
      <c r="F4" s="182">
        <v>36850</v>
      </c>
      <c r="G4" s="182">
        <v>4978.4000000000005</v>
      </c>
      <c r="H4" s="175">
        <v>20401.599999999999</v>
      </c>
      <c r="K4" t="s">
        <v>236</v>
      </c>
      <c r="L4" t="s">
        <v>184</v>
      </c>
      <c r="M4" t="str">
        <f t="shared" ref="M4:M67" si="2">K4&amp;L4&amp;N4</f>
        <v>СТАРТПессиместичный вариантКомунальные услуги</v>
      </c>
      <c r="N4" s="157" t="s">
        <v>157</v>
      </c>
      <c r="O4" s="175">
        <v>1500</v>
      </c>
      <c r="P4" s="157">
        <v>1</v>
      </c>
      <c r="Q4" s="175">
        <v>1500</v>
      </c>
      <c r="S4" t="s">
        <v>236</v>
      </c>
      <c r="T4" t="s">
        <v>184</v>
      </c>
      <c r="U4" t="s">
        <v>205</v>
      </c>
      <c r="V4" t="str">
        <f t="shared" si="0"/>
        <v>СТАРТПессиместичный вариантПрибыль за 9 мес (долл.)</v>
      </c>
      <c r="W4">
        <v>8601.5112781954886</v>
      </c>
    </row>
    <row r="5" spans="1:23" x14ac:dyDescent="0.3">
      <c r="A5" t="s">
        <v>236</v>
      </c>
      <c r="B5" t="s">
        <v>184</v>
      </c>
      <c r="C5" s="180">
        <v>3</v>
      </c>
      <c r="D5" s="180" t="str">
        <f t="shared" si="1"/>
        <v>СТАРТПессиместичный вариант3</v>
      </c>
      <c r="E5" s="175">
        <v>58790</v>
      </c>
      <c r="F5" s="182">
        <v>36850</v>
      </c>
      <c r="G5" s="182">
        <v>4703.2</v>
      </c>
      <c r="H5" s="175">
        <v>17236.8</v>
      </c>
      <c r="K5" t="s">
        <v>236</v>
      </c>
      <c r="L5" t="s">
        <v>184</v>
      </c>
      <c r="M5" t="str">
        <f t="shared" si="2"/>
        <v>СТАРТПессиместичный вариантКомиссия эквайринга</v>
      </c>
      <c r="N5" s="157" t="s">
        <v>159</v>
      </c>
      <c r="O5" s="175">
        <v>1000</v>
      </c>
      <c r="P5" s="157">
        <v>1</v>
      </c>
      <c r="Q5" s="175">
        <v>1000</v>
      </c>
      <c r="S5" t="s">
        <v>236</v>
      </c>
      <c r="T5" t="s">
        <v>184</v>
      </c>
      <c r="U5" t="s">
        <v>194</v>
      </c>
      <c r="V5" t="str">
        <f t="shared" si="0"/>
        <v>СТАРТПессиместичный вариантОкупаемость (мес)</v>
      </c>
      <c r="W5">
        <v>17</v>
      </c>
    </row>
    <row r="6" spans="1:23" x14ac:dyDescent="0.3">
      <c r="A6" t="s">
        <v>236</v>
      </c>
      <c r="B6" t="s">
        <v>184</v>
      </c>
      <c r="C6" s="180">
        <v>4</v>
      </c>
      <c r="D6" s="180" t="str">
        <f t="shared" si="1"/>
        <v>СТАРТПессиместичный вариант4</v>
      </c>
      <c r="E6" s="175">
        <v>57070</v>
      </c>
      <c r="F6" s="182">
        <v>36850</v>
      </c>
      <c r="G6" s="182">
        <v>4565.6000000000004</v>
      </c>
      <c r="H6" s="175">
        <v>15654.4</v>
      </c>
      <c r="K6" t="s">
        <v>236</v>
      </c>
      <c r="L6" t="s">
        <v>184</v>
      </c>
      <c r="M6" t="str">
        <f t="shared" si="2"/>
        <v>СТАРТПессиместичный вариантФиксированая ставка по эквайрингу</v>
      </c>
      <c r="N6" s="157" t="s">
        <v>164</v>
      </c>
      <c r="O6" s="175">
        <v>300</v>
      </c>
      <c r="P6" s="157">
        <v>1</v>
      </c>
      <c r="Q6" s="175">
        <v>300</v>
      </c>
      <c r="S6" t="s">
        <v>236</v>
      </c>
      <c r="T6" t="s">
        <v>182</v>
      </c>
      <c r="U6" t="s">
        <v>215</v>
      </c>
      <c r="V6" t="str">
        <f t="shared" si="0"/>
        <v>СТАРТОптимистичный вариантИнвестиции в пакет (долл.)</v>
      </c>
      <c r="W6">
        <v>10257.142857142857</v>
      </c>
    </row>
    <row r="7" spans="1:23" x14ac:dyDescent="0.3">
      <c r="A7" t="s">
        <v>236</v>
      </c>
      <c r="B7" t="s">
        <v>184</v>
      </c>
      <c r="C7" s="180">
        <v>5</v>
      </c>
      <c r="D7" s="180" t="str">
        <f t="shared" si="1"/>
        <v>СТАРТПессиместичный вариант5</v>
      </c>
      <c r="E7" s="175">
        <v>81080</v>
      </c>
      <c r="F7" s="182">
        <v>36850</v>
      </c>
      <c r="G7" s="182">
        <v>6486.4000000000005</v>
      </c>
      <c r="H7" s="175">
        <v>37743.599999999999</v>
      </c>
      <c r="K7" t="s">
        <v>236</v>
      </c>
      <c r="L7" t="s">
        <v>184</v>
      </c>
      <c r="M7" t="str">
        <f t="shared" si="2"/>
        <v>СТАРТПессиместичный вариантЗ/п МРК</v>
      </c>
      <c r="N7" s="157" t="s">
        <v>160</v>
      </c>
      <c r="O7" s="175">
        <v>12000</v>
      </c>
      <c r="P7" s="157">
        <v>1</v>
      </c>
      <c r="Q7" s="175">
        <v>12000</v>
      </c>
      <c r="S7" t="s">
        <v>236</v>
      </c>
      <c r="T7" t="s">
        <v>182</v>
      </c>
      <c r="U7" t="s">
        <v>204</v>
      </c>
      <c r="V7" t="str">
        <f t="shared" si="0"/>
        <v>СТАРТОптимистичный вариантПаушальный взнос в пакет (долл.)</v>
      </c>
      <c r="W7">
        <v>4000</v>
      </c>
    </row>
    <row r="8" spans="1:23" x14ac:dyDescent="0.3">
      <c r="A8" t="s">
        <v>236</v>
      </c>
      <c r="B8" t="s">
        <v>184</v>
      </c>
      <c r="C8" s="180">
        <v>6</v>
      </c>
      <c r="D8" s="180" t="str">
        <f t="shared" si="1"/>
        <v>СТАРТПессиместичный вариант6</v>
      </c>
      <c r="E8" s="175">
        <v>79360</v>
      </c>
      <c r="F8" s="182">
        <v>36850</v>
      </c>
      <c r="G8" s="182">
        <v>6348.8</v>
      </c>
      <c r="H8" s="175">
        <v>36161.199999999997</v>
      </c>
      <c r="K8" t="s">
        <v>236</v>
      </c>
      <c r="L8" t="s">
        <v>184</v>
      </c>
      <c r="M8" t="str">
        <f t="shared" si="2"/>
        <v>СТАРТПессиместичный вариантЗ/п уборщица</v>
      </c>
      <c r="N8" s="157" t="s">
        <v>161</v>
      </c>
      <c r="O8" s="175">
        <v>1500</v>
      </c>
      <c r="P8" s="157">
        <v>1</v>
      </c>
      <c r="Q8" s="175">
        <v>1500</v>
      </c>
      <c r="S8" t="s">
        <v>236</v>
      </c>
      <c r="T8" t="s">
        <v>182</v>
      </c>
      <c r="U8" t="s">
        <v>205</v>
      </c>
      <c r="V8" t="str">
        <f t="shared" si="0"/>
        <v>СТАРТОптимистичный вариантПрибыль за 9 мес (долл.)</v>
      </c>
      <c r="W8">
        <v>29722.255639097737</v>
      </c>
    </row>
    <row r="9" spans="1:23" x14ac:dyDescent="0.3">
      <c r="A9" t="s">
        <v>236</v>
      </c>
      <c r="B9" t="s">
        <v>184</v>
      </c>
      <c r="C9" s="180">
        <v>7</v>
      </c>
      <c r="D9" s="180" t="str">
        <f t="shared" si="1"/>
        <v>СТАРТПессиместичный вариант7</v>
      </c>
      <c r="E9" s="175">
        <v>79360</v>
      </c>
      <c r="F9" s="182">
        <v>36850</v>
      </c>
      <c r="G9" s="182">
        <v>6348.8</v>
      </c>
      <c r="H9" s="175">
        <v>36161.199999999997</v>
      </c>
      <c r="K9" t="s">
        <v>236</v>
      </c>
      <c r="L9" t="s">
        <v>184</v>
      </c>
      <c r="M9" t="str">
        <f t="shared" si="2"/>
        <v>СТАРТПессиместичный вариантНалоги ФОП</v>
      </c>
      <c r="N9" s="157" t="s">
        <v>162</v>
      </c>
      <c r="O9" s="175">
        <v>1800</v>
      </c>
      <c r="P9" s="157">
        <v>1</v>
      </c>
      <c r="Q9" s="175">
        <v>1800</v>
      </c>
      <c r="S9" t="s">
        <v>236</v>
      </c>
      <c r="T9" t="s">
        <v>182</v>
      </c>
      <c r="U9" t="s">
        <v>194</v>
      </c>
      <c r="V9" t="str">
        <f t="shared" si="0"/>
        <v>СТАРТОптимистичный вариантОкупаемость (мес)</v>
      </c>
      <c r="W9">
        <v>5</v>
      </c>
    </row>
    <row r="10" spans="1:23" x14ac:dyDescent="0.3">
      <c r="A10" t="s">
        <v>236</v>
      </c>
      <c r="B10" t="s">
        <v>184</v>
      </c>
      <c r="C10" s="180">
        <v>8</v>
      </c>
      <c r="D10" s="180" t="str">
        <f t="shared" si="1"/>
        <v>СТАРТПессиместичный вариант8</v>
      </c>
      <c r="E10" s="175">
        <v>75920</v>
      </c>
      <c r="F10" s="182">
        <v>36850</v>
      </c>
      <c r="G10" s="182">
        <v>6073.6</v>
      </c>
      <c r="H10" s="175">
        <v>32996.400000000001</v>
      </c>
      <c r="K10" t="s">
        <v>236</v>
      </c>
      <c r="L10" t="s">
        <v>184</v>
      </c>
      <c r="M10" t="str">
        <f t="shared" si="2"/>
        <v>СТАРТПессиместичный вариантНалоги зарплатные</v>
      </c>
      <c r="N10" s="157" t="s">
        <v>163</v>
      </c>
      <c r="O10" s="175">
        <v>1000</v>
      </c>
      <c r="P10" s="157">
        <v>1</v>
      </c>
      <c r="Q10" s="175">
        <v>1000</v>
      </c>
      <c r="S10" t="s">
        <v>236</v>
      </c>
      <c r="T10" t="s">
        <v>183</v>
      </c>
      <c r="U10" t="s">
        <v>215</v>
      </c>
      <c r="V10" t="str">
        <f t="shared" si="0"/>
        <v>СТАРТСтандартный вариантИнвестиции в пакет (долл.)</v>
      </c>
      <c r="W10">
        <v>10520.300751879699</v>
      </c>
    </row>
    <row r="11" spans="1:23" ht="16.2" thickBot="1" x14ac:dyDescent="0.35">
      <c r="A11" t="s">
        <v>236</v>
      </c>
      <c r="B11" t="s">
        <v>184</v>
      </c>
      <c r="C11" s="183">
        <v>9</v>
      </c>
      <c r="D11" s="180" t="str">
        <f t="shared" si="1"/>
        <v>СТАРТПессиместичный вариант9</v>
      </c>
      <c r="E11" s="177">
        <v>36730</v>
      </c>
      <c r="F11" s="184">
        <v>36850</v>
      </c>
      <c r="G11" s="184">
        <v>2938.4</v>
      </c>
      <c r="H11" s="177">
        <v>-3058.4</v>
      </c>
      <c r="K11" t="s">
        <v>236</v>
      </c>
      <c r="L11" t="s">
        <v>184</v>
      </c>
      <c r="M11" t="str">
        <f t="shared" si="2"/>
        <v>СТАРТПессиместичный вариантСвязь (пополнение счета)</v>
      </c>
      <c r="N11" s="157" t="s">
        <v>165</v>
      </c>
      <c r="O11" s="175">
        <v>500</v>
      </c>
      <c r="P11" s="157">
        <v>1</v>
      </c>
      <c r="Q11" s="175">
        <v>500</v>
      </c>
      <c r="S11" t="s">
        <v>236</v>
      </c>
      <c r="T11" t="s">
        <v>183</v>
      </c>
      <c r="U11" t="s">
        <v>204</v>
      </c>
      <c r="V11" t="str">
        <f t="shared" si="0"/>
        <v>СТАРТСтандартный вариантПаушальный взнос в пакет (долл.)</v>
      </c>
      <c r="W11">
        <v>4000</v>
      </c>
    </row>
    <row r="12" spans="1:23" ht="21.75" customHeight="1" thickBot="1" x14ac:dyDescent="0.45">
      <c r="C12" s="128" t="s">
        <v>144</v>
      </c>
      <c r="D12" s="180" t="str">
        <f t="shared" si="1"/>
        <v>Месяц</v>
      </c>
      <c r="E12" s="128" t="s">
        <v>153</v>
      </c>
      <c r="F12" s="129" t="s">
        <v>208</v>
      </c>
      <c r="G12" s="128" t="s">
        <v>209</v>
      </c>
      <c r="H12" s="130" t="s">
        <v>193</v>
      </c>
      <c r="K12" t="s">
        <v>236</v>
      </c>
      <c r="L12" t="s">
        <v>184</v>
      </c>
      <c r="M12" t="str">
        <f t="shared" si="2"/>
        <v xml:space="preserve">СТАРТПессиместичный вариантУслуги бинотел </v>
      </c>
      <c r="N12" s="157" t="s">
        <v>166</v>
      </c>
      <c r="O12" s="175">
        <v>1200</v>
      </c>
      <c r="P12" s="157">
        <v>1</v>
      </c>
      <c r="Q12" s="175">
        <v>1200</v>
      </c>
      <c r="S12" t="s">
        <v>236</v>
      </c>
      <c r="T12" t="s">
        <v>183</v>
      </c>
      <c r="U12" t="s">
        <v>205</v>
      </c>
      <c r="V12" t="str">
        <f t="shared" si="0"/>
        <v>СТАРТСтандартный вариантПрибыль за 9 мес (долл.)</v>
      </c>
      <c r="W12">
        <v>14158.691729323307</v>
      </c>
    </row>
    <row r="13" spans="1:23" x14ac:dyDescent="0.3">
      <c r="A13" t="s">
        <v>236</v>
      </c>
      <c r="B13" t="s">
        <v>182</v>
      </c>
      <c r="C13" s="180">
        <v>1</v>
      </c>
      <c r="D13" s="180" t="str">
        <f t="shared" si="1"/>
        <v>СТАРТОптимистичный вариант1</v>
      </c>
      <c r="E13" s="175">
        <v>97530</v>
      </c>
      <c r="F13" s="181">
        <v>36850</v>
      </c>
      <c r="G13" s="181">
        <v>7802.4000000000005</v>
      </c>
      <c r="H13" s="174">
        <v>52877.599999999999</v>
      </c>
      <c r="K13" t="s">
        <v>236</v>
      </c>
      <c r="L13" t="s">
        <v>184</v>
      </c>
      <c r="M13" t="str">
        <f t="shared" si="2"/>
        <v>СТАРТПессиместичный вариантРазмещение вакансий</v>
      </c>
      <c r="N13" s="185" t="s">
        <v>44</v>
      </c>
      <c r="O13" s="175">
        <v>1500</v>
      </c>
      <c r="P13" s="157">
        <v>1</v>
      </c>
      <c r="Q13" s="175">
        <v>1500</v>
      </c>
      <c r="S13" t="s">
        <v>236</v>
      </c>
      <c r="T13" t="s">
        <v>183</v>
      </c>
      <c r="U13" t="s">
        <v>194</v>
      </c>
      <c r="V13" t="str">
        <f t="shared" si="0"/>
        <v>СТАРТСтандартный вариантОкупаемость (мес)</v>
      </c>
      <c r="W13">
        <v>11</v>
      </c>
    </row>
    <row r="14" spans="1:23" x14ac:dyDescent="0.3">
      <c r="A14" t="s">
        <v>236</v>
      </c>
      <c r="B14" t="s">
        <v>182</v>
      </c>
      <c r="C14" s="180">
        <v>2</v>
      </c>
      <c r="D14" s="180" t="str">
        <f t="shared" si="1"/>
        <v>СТАРТОптимистичный вариант2</v>
      </c>
      <c r="E14" s="175">
        <v>125670</v>
      </c>
      <c r="F14" s="182">
        <v>36850</v>
      </c>
      <c r="G14" s="182">
        <v>10053.6</v>
      </c>
      <c r="H14" s="175">
        <v>78766.399999999994</v>
      </c>
      <c r="K14" t="s">
        <v>236</v>
      </c>
      <c r="L14" t="s">
        <v>184</v>
      </c>
      <c r="M14" t="str">
        <f t="shared" si="2"/>
        <v>СТАРТПессиместичный вариантИнтернет</v>
      </c>
      <c r="N14" s="185" t="s">
        <v>167</v>
      </c>
      <c r="O14" s="175">
        <v>250</v>
      </c>
      <c r="P14" s="157">
        <v>1</v>
      </c>
      <c r="Q14" s="175">
        <v>250</v>
      </c>
      <c r="S14" t="s">
        <v>7</v>
      </c>
      <c r="T14" t="s">
        <v>184</v>
      </c>
      <c r="U14" t="s">
        <v>215</v>
      </c>
      <c r="V14" t="str">
        <f t="shared" si="0"/>
        <v>БизнесПессиместичный вариантИнвестиции в пакет (долл.)</v>
      </c>
      <c r="W14">
        <v>20323.496240601504</v>
      </c>
    </row>
    <row r="15" spans="1:23" x14ac:dyDescent="0.3">
      <c r="A15" t="s">
        <v>236</v>
      </c>
      <c r="B15" t="s">
        <v>182</v>
      </c>
      <c r="C15" s="180">
        <v>3</v>
      </c>
      <c r="D15" s="180" t="str">
        <f t="shared" si="1"/>
        <v>СТАРТОптимистичный вариант3</v>
      </c>
      <c r="E15" s="175">
        <v>118790</v>
      </c>
      <c r="F15" s="182">
        <v>36850</v>
      </c>
      <c r="G15" s="182">
        <v>9503.2000000000007</v>
      </c>
      <c r="H15" s="175">
        <v>72436.800000000003</v>
      </c>
      <c r="K15" t="s">
        <v>236</v>
      </c>
      <c r="L15" t="s">
        <v>184</v>
      </c>
      <c r="M15" t="str">
        <f t="shared" si="2"/>
        <v>СТАРТПессиместичный вариантВода в офис</v>
      </c>
      <c r="N15" s="185" t="s">
        <v>168</v>
      </c>
      <c r="O15" s="175">
        <v>500</v>
      </c>
      <c r="P15" s="157">
        <v>1</v>
      </c>
      <c r="Q15" s="175">
        <v>500</v>
      </c>
      <c r="S15" t="s">
        <v>7</v>
      </c>
      <c r="T15" t="s">
        <v>184</v>
      </c>
      <c r="U15" t="s">
        <v>204</v>
      </c>
      <c r="V15" t="str">
        <f t="shared" si="0"/>
        <v>БизнесПессиместичный вариантПаушальный взнос в пакет (долл.)</v>
      </c>
      <c r="W15">
        <v>6000</v>
      </c>
    </row>
    <row r="16" spans="1:23" x14ac:dyDescent="0.3">
      <c r="A16" t="s">
        <v>236</v>
      </c>
      <c r="B16" t="s">
        <v>182</v>
      </c>
      <c r="C16" s="180">
        <v>4</v>
      </c>
      <c r="D16" s="180" t="str">
        <f t="shared" si="1"/>
        <v>СТАРТОптимистичный вариант4</v>
      </c>
      <c r="E16" s="175">
        <v>113630</v>
      </c>
      <c r="F16" s="182">
        <v>36850</v>
      </c>
      <c r="G16" s="182">
        <v>9090.4</v>
      </c>
      <c r="H16" s="175">
        <v>67689.600000000006</v>
      </c>
      <c r="K16" t="s">
        <v>236</v>
      </c>
      <c r="L16" t="s">
        <v>184</v>
      </c>
      <c r="M16" t="str">
        <f t="shared" si="2"/>
        <v>СТАРТПессиместичный вариантКанцтовары</v>
      </c>
      <c r="N16" s="157" t="s">
        <v>169</v>
      </c>
      <c r="O16" s="175">
        <v>250</v>
      </c>
      <c r="P16" s="157">
        <v>1</v>
      </c>
      <c r="Q16" s="175">
        <v>250</v>
      </c>
      <c r="S16" t="s">
        <v>7</v>
      </c>
      <c r="T16" t="s">
        <v>184</v>
      </c>
      <c r="U16" t="s">
        <v>205</v>
      </c>
      <c r="V16" t="str">
        <f t="shared" si="0"/>
        <v>БизнесПессиместичный вариантПрибыль за 9 мес (долл.)</v>
      </c>
      <c r="W16">
        <v>12933.578947368418</v>
      </c>
    </row>
    <row r="17" spans="1:25" x14ac:dyDescent="0.3">
      <c r="A17" t="s">
        <v>236</v>
      </c>
      <c r="B17" t="s">
        <v>182</v>
      </c>
      <c r="C17" s="180">
        <v>5</v>
      </c>
      <c r="D17" s="180" t="str">
        <f t="shared" si="1"/>
        <v>СТАРТОптимистичный вариант5</v>
      </c>
      <c r="E17" s="175">
        <v>172300</v>
      </c>
      <c r="F17" s="182">
        <v>36850</v>
      </c>
      <c r="G17" s="182">
        <v>13784</v>
      </c>
      <c r="H17" s="175">
        <v>121666</v>
      </c>
      <c r="K17" t="s">
        <v>236</v>
      </c>
      <c r="L17" t="s">
        <v>184</v>
      </c>
      <c r="M17" t="str">
        <f t="shared" si="2"/>
        <v>СТАРТПессиместичный вариантБатарейки</v>
      </c>
      <c r="N17" s="157" t="s">
        <v>65</v>
      </c>
      <c r="O17" s="175">
        <v>500</v>
      </c>
      <c r="P17" s="157">
        <v>1</v>
      </c>
      <c r="Q17" s="175">
        <v>500</v>
      </c>
      <c r="S17" t="s">
        <v>7</v>
      </c>
      <c r="T17" t="s">
        <v>184</v>
      </c>
      <c r="U17" t="s">
        <v>194</v>
      </c>
      <c r="V17" t="str">
        <f t="shared" si="0"/>
        <v>БизнесПессиместичный вариантОкупаемость (мес)</v>
      </c>
      <c r="W17">
        <v>21</v>
      </c>
    </row>
    <row r="18" spans="1:25" x14ac:dyDescent="0.3">
      <c r="A18" t="s">
        <v>236</v>
      </c>
      <c r="B18" t="s">
        <v>182</v>
      </c>
      <c r="C18" s="180">
        <v>6</v>
      </c>
      <c r="D18" s="180" t="str">
        <f t="shared" si="1"/>
        <v>СТАРТОптимистичный вариант6</v>
      </c>
      <c r="E18" s="175">
        <v>167140</v>
      </c>
      <c r="F18" s="182">
        <v>36850</v>
      </c>
      <c r="G18" s="182">
        <v>13371.2</v>
      </c>
      <c r="H18" s="175">
        <v>116918.8</v>
      </c>
      <c r="K18" t="s">
        <v>236</v>
      </c>
      <c r="L18" t="s">
        <v>184</v>
      </c>
      <c r="M18" t="str">
        <f t="shared" si="2"/>
        <v>СТАРТПессиместичный вариантАльфа смс (в срм-системе)</v>
      </c>
      <c r="N18" s="157" t="s">
        <v>170</v>
      </c>
      <c r="O18" s="175">
        <v>300</v>
      </c>
      <c r="P18" s="157">
        <v>1</v>
      </c>
      <c r="Q18" s="175">
        <v>300</v>
      </c>
      <c r="S18" t="s">
        <v>7</v>
      </c>
      <c r="T18" t="s">
        <v>182</v>
      </c>
      <c r="U18" t="s">
        <v>215</v>
      </c>
      <c r="V18" t="str">
        <f t="shared" si="0"/>
        <v>БизнесОптимистичный вариантИнвестиции в пакет (долл.)</v>
      </c>
      <c r="W18">
        <v>20323.496240601504</v>
      </c>
    </row>
    <row r="19" spans="1:25" x14ac:dyDescent="0.3">
      <c r="A19" t="s">
        <v>236</v>
      </c>
      <c r="B19" t="s">
        <v>182</v>
      </c>
      <c r="C19" s="180">
        <v>7</v>
      </c>
      <c r="D19" s="180" t="str">
        <f t="shared" si="1"/>
        <v>СТАРТОптимистичный вариант7</v>
      </c>
      <c r="E19" s="175">
        <v>163700</v>
      </c>
      <c r="F19" s="182">
        <v>36850</v>
      </c>
      <c r="G19" s="182">
        <v>13096</v>
      </c>
      <c r="H19" s="175">
        <v>113754</v>
      </c>
      <c r="K19" t="s">
        <v>236</v>
      </c>
      <c r="L19" t="s">
        <v>184</v>
      </c>
      <c r="M19" t="str">
        <f t="shared" si="2"/>
        <v>СТАРТПессиместичный вариантПечать рекламных материалов</v>
      </c>
      <c r="N19" s="157" t="s">
        <v>171</v>
      </c>
      <c r="O19" s="175">
        <v>600</v>
      </c>
      <c r="P19" s="157">
        <v>1</v>
      </c>
      <c r="Q19" s="175">
        <v>600</v>
      </c>
      <c r="S19" t="s">
        <v>7</v>
      </c>
      <c r="T19" t="s">
        <v>182</v>
      </c>
      <c r="U19" t="s">
        <v>204</v>
      </c>
      <c r="V19" t="str">
        <f t="shared" si="0"/>
        <v>БизнесОптимистичный вариантПаушальный взнос в пакет (долл.)</v>
      </c>
      <c r="W19">
        <v>6000</v>
      </c>
    </row>
    <row r="20" spans="1:25" x14ac:dyDescent="0.3">
      <c r="A20" t="s">
        <v>236</v>
      </c>
      <c r="B20" t="s">
        <v>182</v>
      </c>
      <c r="C20" s="180">
        <v>8</v>
      </c>
      <c r="D20" s="180" t="str">
        <f t="shared" si="1"/>
        <v>СТАРТОптимистичный вариант8</v>
      </c>
      <c r="E20" s="175">
        <v>161980</v>
      </c>
      <c r="F20" s="182">
        <v>36850</v>
      </c>
      <c r="G20" s="182">
        <v>12958.4</v>
      </c>
      <c r="H20" s="175">
        <v>112171.6</v>
      </c>
      <c r="K20" t="s">
        <v>236</v>
      </c>
      <c r="L20" t="s">
        <v>184</v>
      </c>
      <c r="M20" t="str">
        <f t="shared" si="2"/>
        <v>СТАРТПессиместичный вариантЧай/кофе</v>
      </c>
      <c r="N20" s="157" t="s">
        <v>172</v>
      </c>
      <c r="O20" s="175">
        <v>250</v>
      </c>
      <c r="P20" s="157">
        <v>1</v>
      </c>
      <c r="Q20" s="175">
        <v>250</v>
      </c>
      <c r="S20" t="s">
        <v>7</v>
      </c>
      <c r="T20" t="s">
        <v>182</v>
      </c>
      <c r="U20" t="s">
        <v>205</v>
      </c>
      <c r="V20" t="str">
        <f t="shared" si="0"/>
        <v>БизнесОптимистичный вариантПрибыль за 9 мес (долл.)</v>
      </c>
      <c r="W20">
        <v>39085.789473684206</v>
      </c>
    </row>
    <row r="21" spans="1:25" ht="16.2" thickBot="1" x14ac:dyDescent="0.35">
      <c r="A21" t="s">
        <v>236</v>
      </c>
      <c r="B21" t="s">
        <v>182</v>
      </c>
      <c r="C21" s="183">
        <v>9</v>
      </c>
      <c r="D21" s="180" t="str">
        <f t="shared" si="1"/>
        <v>СТАРТОптимистичный вариант9</v>
      </c>
      <c r="E21" s="177">
        <v>99110</v>
      </c>
      <c r="F21" s="184">
        <v>36850</v>
      </c>
      <c r="G21" s="184">
        <v>7928.8</v>
      </c>
      <c r="H21" s="177">
        <v>54331.199999999997</v>
      </c>
      <c r="K21" t="s">
        <v>236</v>
      </c>
      <c r="L21" t="s">
        <v>184</v>
      </c>
      <c r="M21" t="str">
        <f t="shared" si="2"/>
        <v>СТАРТПессиместичный вариантБытовая химия и прочее</v>
      </c>
      <c r="N21" s="157" t="s">
        <v>173</v>
      </c>
      <c r="O21" s="175">
        <v>400</v>
      </c>
      <c r="P21" s="157">
        <v>1</v>
      </c>
      <c r="Q21" s="175">
        <v>400</v>
      </c>
      <c r="S21" t="s">
        <v>7</v>
      </c>
      <c r="T21" t="s">
        <v>182</v>
      </c>
      <c r="U21" t="s">
        <v>194</v>
      </c>
      <c r="V21" t="str">
        <f t="shared" si="0"/>
        <v>БизнесОптимистичный вариантОкупаемость (мес)</v>
      </c>
      <c r="W21">
        <v>7</v>
      </c>
    </row>
    <row r="22" spans="1:25" x14ac:dyDescent="0.3">
      <c r="A22" t="s">
        <v>236</v>
      </c>
      <c r="B22" t="s">
        <v>183</v>
      </c>
      <c r="C22" s="180">
        <v>1</v>
      </c>
      <c r="D22" s="180" t="str">
        <f t="shared" si="1"/>
        <v>СТАРТСтандартный вариант1</v>
      </c>
      <c r="E22" s="175">
        <v>62830</v>
      </c>
      <c r="F22" s="181">
        <v>36850</v>
      </c>
      <c r="G22" s="181">
        <v>5026.4000000000005</v>
      </c>
      <c r="H22" s="174">
        <v>20953.599999999999</v>
      </c>
      <c r="K22" t="s">
        <v>236</v>
      </c>
      <c r="L22" t="s">
        <v>184</v>
      </c>
      <c r="M22" t="str">
        <f t="shared" si="2"/>
        <v>СТАРТПессиместичный вариантПриобретение мелких комплектующих</v>
      </c>
      <c r="N22" s="157" t="s">
        <v>174</v>
      </c>
      <c r="O22" s="175">
        <v>500</v>
      </c>
      <c r="P22" s="157">
        <v>1</v>
      </c>
      <c r="Q22" s="175">
        <v>500</v>
      </c>
      <c r="S22" t="s">
        <v>7</v>
      </c>
      <c r="T22" t="s">
        <v>183</v>
      </c>
      <c r="U22" t="s">
        <v>215</v>
      </c>
      <c r="V22" t="str">
        <f t="shared" si="0"/>
        <v>БизнесСтандартный вариантИнвестиции в пакет (долл.)</v>
      </c>
      <c r="W22">
        <v>20323.496240601504</v>
      </c>
    </row>
    <row r="23" spans="1:25" x14ac:dyDescent="0.3">
      <c r="A23" t="s">
        <v>236</v>
      </c>
      <c r="B23" t="s">
        <v>183</v>
      </c>
      <c r="C23" s="180">
        <v>2</v>
      </c>
      <c r="D23" s="180" t="str">
        <f t="shared" si="1"/>
        <v>СТАРТСтандартный вариант2</v>
      </c>
      <c r="E23" s="175">
        <v>89120</v>
      </c>
      <c r="F23" s="182">
        <v>36850</v>
      </c>
      <c r="G23" s="182">
        <v>7129.6</v>
      </c>
      <c r="H23" s="175">
        <v>45140.4</v>
      </c>
      <c r="K23" t="s">
        <v>236</v>
      </c>
      <c r="L23" t="s">
        <v>184</v>
      </c>
      <c r="M23" t="str">
        <f t="shared" si="2"/>
        <v>СТАРТПессиместичный вариантРемонт тех комплектующих</v>
      </c>
      <c r="N23" s="157" t="s">
        <v>175</v>
      </c>
      <c r="O23" s="175">
        <v>1000</v>
      </c>
      <c r="P23" s="157">
        <v>1</v>
      </c>
      <c r="Q23" s="175">
        <v>1000</v>
      </c>
      <c r="S23" t="s">
        <v>7</v>
      </c>
      <c r="T23" t="s">
        <v>183</v>
      </c>
      <c r="U23" t="s">
        <v>204</v>
      </c>
      <c r="V23" t="str">
        <f t="shared" si="0"/>
        <v>БизнесСтандартный вариантПаушальный взнос в пакет (долл.)</v>
      </c>
      <c r="W23">
        <v>6000</v>
      </c>
      <c r="Y23" t="s">
        <v>184</v>
      </c>
    </row>
    <row r="24" spans="1:25" x14ac:dyDescent="0.3">
      <c r="A24" t="s">
        <v>236</v>
      </c>
      <c r="B24" t="s">
        <v>183</v>
      </c>
      <c r="C24" s="180">
        <v>3</v>
      </c>
      <c r="D24" s="180" t="str">
        <f t="shared" si="1"/>
        <v>СТАРТСтандартный вариант3</v>
      </c>
      <c r="E24" s="175">
        <v>85680</v>
      </c>
      <c r="F24" s="182">
        <v>36850</v>
      </c>
      <c r="G24" s="182">
        <v>6854.4000000000005</v>
      </c>
      <c r="H24" s="175">
        <v>41975.6</v>
      </c>
      <c r="K24" t="s">
        <v>236</v>
      </c>
      <c r="L24" t="s">
        <v>184</v>
      </c>
      <c r="M24" t="str">
        <f t="shared" si="2"/>
        <v>СТАРТПессиместичный вариантПриобретение деталей лего</v>
      </c>
      <c r="N24" s="157" t="s">
        <v>176</v>
      </c>
      <c r="O24" s="175">
        <v>500</v>
      </c>
      <c r="P24" s="157">
        <v>1</v>
      </c>
      <c r="Q24" s="175">
        <v>500</v>
      </c>
      <c r="S24" t="s">
        <v>7</v>
      </c>
      <c r="T24" t="s">
        <v>183</v>
      </c>
      <c r="U24" t="s">
        <v>205</v>
      </c>
      <c r="V24" t="str">
        <f t="shared" si="0"/>
        <v>БизнесСтандартный вариантПрибыль за 9 мес (долл.)</v>
      </c>
      <c r="W24">
        <v>18089.729323308267</v>
      </c>
      <c r="Y24" t="s">
        <v>182</v>
      </c>
    </row>
    <row r="25" spans="1:25" x14ac:dyDescent="0.3">
      <c r="A25" t="s">
        <v>236</v>
      </c>
      <c r="B25" t="s">
        <v>183</v>
      </c>
      <c r="C25" s="180">
        <v>4</v>
      </c>
      <c r="D25" s="180" t="str">
        <f t="shared" si="1"/>
        <v>СТАРТСтандартный вариант4</v>
      </c>
      <c r="E25" s="175">
        <v>80520</v>
      </c>
      <c r="F25" s="182">
        <v>36850</v>
      </c>
      <c r="G25" s="182">
        <v>6441.6</v>
      </c>
      <c r="H25" s="175">
        <v>37228.400000000001</v>
      </c>
      <c r="K25" t="s">
        <v>236</v>
      </c>
      <c r="L25" t="s">
        <v>184</v>
      </c>
      <c r="M25" t="str">
        <f t="shared" si="2"/>
        <v>СТАРТПессиместичный вариантДругое</v>
      </c>
      <c r="N25" s="157" t="s">
        <v>11</v>
      </c>
      <c r="O25" s="175">
        <v>1000</v>
      </c>
      <c r="P25" s="157">
        <v>1</v>
      </c>
      <c r="Q25" s="175">
        <v>1000</v>
      </c>
      <c r="S25" t="s">
        <v>7</v>
      </c>
      <c r="T25" t="s">
        <v>183</v>
      </c>
      <c r="U25" t="s">
        <v>194</v>
      </c>
      <c r="V25" t="str">
        <f t="shared" si="0"/>
        <v>БизнесСтандартный вариантОкупаемость (мес)</v>
      </c>
      <c r="W25">
        <v>15</v>
      </c>
      <c r="Y25" t="s">
        <v>183</v>
      </c>
    </row>
    <row r="26" spans="1:25" x14ac:dyDescent="0.3">
      <c r="A26" t="s">
        <v>236</v>
      </c>
      <c r="B26" t="s">
        <v>183</v>
      </c>
      <c r="C26" s="180">
        <v>5</v>
      </c>
      <c r="D26" s="180" t="str">
        <f t="shared" si="1"/>
        <v>СТАРТСтандартный вариант5</v>
      </c>
      <c r="E26" s="175">
        <v>122720</v>
      </c>
      <c r="F26" s="182">
        <v>36850</v>
      </c>
      <c r="G26" s="182">
        <v>9817.6</v>
      </c>
      <c r="H26" s="175">
        <v>76052.399999999994</v>
      </c>
      <c r="K26" t="s">
        <v>236</v>
      </c>
      <c r="L26" t="s">
        <v>184</v>
      </c>
      <c r="M26" t="str">
        <f t="shared" si="2"/>
        <v>СТАРТПессиместичный вариантМаркетинговые отчисления</v>
      </c>
      <c r="N26" s="85" t="s">
        <v>206</v>
      </c>
      <c r="O26" s="135">
        <v>3500</v>
      </c>
      <c r="P26" s="85">
        <v>1</v>
      </c>
      <c r="Q26" s="135">
        <v>3500</v>
      </c>
      <c r="S26" t="s">
        <v>8</v>
      </c>
      <c r="T26" t="s">
        <v>184</v>
      </c>
      <c r="U26" t="s">
        <v>215</v>
      </c>
      <c r="V26" t="str">
        <f t="shared" si="0"/>
        <v>ПлатинумПессиместичный вариантИнвестиции в пакет (долл.)</v>
      </c>
      <c r="W26">
        <v>21664.774436090225</v>
      </c>
    </row>
    <row r="27" spans="1:25" ht="16.2" thickBot="1" x14ac:dyDescent="0.35">
      <c r="A27" t="s">
        <v>236</v>
      </c>
      <c r="B27" t="s">
        <v>183</v>
      </c>
      <c r="C27" s="180">
        <v>6</v>
      </c>
      <c r="D27" s="180" t="str">
        <f t="shared" si="1"/>
        <v>СТАРТСтандартный вариант6</v>
      </c>
      <c r="E27" s="175">
        <v>119280</v>
      </c>
      <c r="F27" s="182">
        <v>36850</v>
      </c>
      <c r="G27" s="182">
        <v>9542.4</v>
      </c>
      <c r="H27" s="175">
        <v>72887.600000000006</v>
      </c>
      <c r="K27" t="s">
        <v>236</v>
      </c>
      <c r="L27" t="s">
        <v>184</v>
      </c>
      <c r="M27" t="str">
        <f t="shared" si="2"/>
        <v>СТАРТПессиместичный вариантРоялти (от выручки)</v>
      </c>
      <c r="N27" s="86" t="s">
        <v>207</v>
      </c>
      <c r="O27" s="86"/>
      <c r="P27" s="87">
        <v>0.08</v>
      </c>
      <c r="Q27" s="136">
        <v>0</v>
      </c>
      <c r="S27" t="s">
        <v>8</v>
      </c>
      <c r="T27" t="s">
        <v>184</v>
      </c>
      <c r="U27" t="s">
        <v>204</v>
      </c>
      <c r="V27" t="str">
        <f t="shared" si="0"/>
        <v>ПлатинумПессиместичный вариантПаушальный взнос в пакет (долл.)</v>
      </c>
      <c r="W27">
        <v>8000</v>
      </c>
    </row>
    <row r="28" spans="1:25" x14ac:dyDescent="0.3">
      <c r="A28" t="s">
        <v>236</v>
      </c>
      <c r="B28" t="s">
        <v>183</v>
      </c>
      <c r="C28" s="180">
        <v>7</v>
      </c>
      <c r="D28" s="180" t="str">
        <f t="shared" si="1"/>
        <v>СТАРТСтандартный вариант7</v>
      </c>
      <c r="E28" s="175">
        <v>119280</v>
      </c>
      <c r="F28" s="182">
        <v>36850</v>
      </c>
      <c r="G28" s="182">
        <v>9542.4</v>
      </c>
      <c r="H28" s="175">
        <v>72887.600000000006</v>
      </c>
      <c r="K28" t="s">
        <v>236</v>
      </c>
      <c r="L28" t="s">
        <v>182</v>
      </c>
      <c r="M28" t="str">
        <f t="shared" si="2"/>
        <v>СТАРТОптимистичный вариантАренда</v>
      </c>
      <c r="N28" s="156" t="s">
        <v>156</v>
      </c>
      <c r="O28" s="174">
        <v>5000</v>
      </c>
      <c r="P28" s="156">
        <v>1</v>
      </c>
      <c r="Q28" s="174">
        <f>O28*P28</f>
        <v>5000</v>
      </c>
      <c r="S28" t="s">
        <v>8</v>
      </c>
      <c r="T28" t="s">
        <v>184</v>
      </c>
      <c r="U28" t="s">
        <v>205</v>
      </c>
      <c r="V28" t="str">
        <f t="shared" si="0"/>
        <v>ПлатинумПессиместичный вариантПрибыль за 9 мес (долл.)</v>
      </c>
      <c r="W28">
        <v>13179.33834586466</v>
      </c>
    </row>
    <row r="29" spans="1:25" x14ac:dyDescent="0.3">
      <c r="A29" t="s">
        <v>236</v>
      </c>
      <c r="B29" t="s">
        <v>183</v>
      </c>
      <c r="C29" s="180">
        <v>8</v>
      </c>
      <c r="D29" s="180" t="str">
        <f t="shared" si="1"/>
        <v>СТАРТСтандартный вариант8</v>
      </c>
      <c r="E29" s="175">
        <v>117560</v>
      </c>
      <c r="F29" s="182">
        <v>36850</v>
      </c>
      <c r="G29" s="182">
        <v>9404.8000000000011</v>
      </c>
      <c r="H29" s="175">
        <v>71305.2</v>
      </c>
      <c r="K29" t="s">
        <v>236</v>
      </c>
      <c r="L29" t="s">
        <v>182</v>
      </c>
      <c r="M29" t="str">
        <f t="shared" si="2"/>
        <v>СТАРТОптимистичный вариантКомунальные услуги</v>
      </c>
      <c r="N29" s="157" t="s">
        <v>157</v>
      </c>
      <c r="O29" s="175">
        <v>1500</v>
      </c>
      <c r="P29" s="157">
        <v>1</v>
      </c>
      <c r="Q29" s="175">
        <f t="shared" ref="Q29:Q52" si="3">O29*P29</f>
        <v>1500</v>
      </c>
      <c r="S29" t="s">
        <v>8</v>
      </c>
      <c r="T29" t="s">
        <v>184</v>
      </c>
      <c r="U29" t="s">
        <v>194</v>
      </c>
      <c r="V29" t="str">
        <f t="shared" si="0"/>
        <v>ПлатинумПессиместичный вариантОкупаемость (мес)</v>
      </c>
      <c r="W29">
        <v>23</v>
      </c>
    </row>
    <row r="30" spans="1:25" ht="16.2" thickBot="1" x14ac:dyDescent="0.35">
      <c r="A30" t="s">
        <v>236</v>
      </c>
      <c r="B30" t="s">
        <v>183</v>
      </c>
      <c r="C30" s="183">
        <v>9</v>
      </c>
      <c r="D30" s="180" t="str">
        <f t="shared" si="1"/>
        <v>СТАРТСтандартный вариант9</v>
      </c>
      <c r="E30" s="177">
        <v>63950</v>
      </c>
      <c r="F30" s="184">
        <v>36850</v>
      </c>
      <c r="G30" s="184">
        <v>5116</v>
      </c>
      <c r="H30" s="177">
        <v>21984</v>
      </c>
      <c r="K30" t="s">
        <v>236</v>
      </c>
      <c r="L30" t="s">
        <v>182</v>
      </c>
      <c r="M30" t="str">
        <f t="shared" si="2"/>
        <v>СТАРТОптимистичный вариантКомиссия эквайринга</v>
      </c>
      <c r="N30" s="157" t="s">
        <v>159</v>
      </c>
      <c r="O30" s="175">
        <v>1000</v>
      </c>
      <c r="P30" s="157">
        <v>1</v>
      </c>
      <c r="Q30" s="175">
        <f t="shared" si="3"/>
        <v>1000</v>
      </c>
      <c r="S30" t="s">
        <v>8</v>
      </c>
      <c r="T30" t="s">
        <v>182</v>
      </c>
      <c r="U30" t="s">
        <v>215</v>
      </c>
      <c r="V30" t="str">
        <f t="shared" si="0"/>
        <v>ПлатинумОптимистичный вариантИнвестиции в пакет (долл.)</v>
      </c>
      <c r="W30">
        <v>21664.774436090225</v>
      </c>
    </row>
    <row r="31" spans="1:25" x14ac:dyDescent="0.3">
      <c r="A31" t="s">
        <v>7</v>
      </c>
      <c r="B31" t="s">
        <v>184</v>
      </c>
      <c r="C31" s="180">
        <v>1</v>
      </c>
      <c r="D31" s="180" t="str">
        <f t="shared" si="1"/>
        <v>БизнесПессиместичный вариант1</v>
      </c>
      <c r="E31">
        <v>85030</v>
      </c>
      <c r="F31">
        <v>73550</v>
      </c>
      <c r="G31">
        <v>6802.4000000000005</v>
      </c>
      <c r="H31">
        <v>4677.5999999999995</v>
      </c>
      <c r="K31" t="s">
        <v>236</v>
      </c>
      <c r="L31" t="s">
        <v>182</v>
      </c>
      <c r="M31" t="str">
        <f t="shared" si="2"/>
        <v>СТАРТОптимистичный вариантФиксированая ставка по эквайрингу</v>
      </c>
      <c r="N31" s="157" t="s">
        <v>164</v>
      </c>
      <c r="O31" s="175">
        <v>300</v>
      </c>
      <c r="P31" s="157">
        <v>1</v>
      </c>
      <c r="Q31" s="175">
        <f t="shared" si="3"/>
        <v>300</v>
      </c>
      <c r="S31" t="s">
        <v>8</v>
      </c>
      <c r="T31" t="s">
        <v>182</v>
      </c>
      <c r="U31" t="s">
        <v>204</v>
      </c>
      <c r="V31" t="str">
        <f t="shared" si="0"/>
        <v>ПлатинумОптимистичный вариантПаушальный взнос в пакет (долл.)</v>
      </c>
      <c r="W31">
        <v>8000</v>
      </c>
    </row>
    <row r="32" spans="1:25" x14ac:dyDescent="0.3">
      <c r="A32" t="s">
        <v>7</v>
      </c>
      <c r="B32" t="s">
        <v>184</v>
      </c>
      <c r="C32" s="180">
        <v>2</v>
      </c>
      <c r="D32" s="180" t="str">
        <f t="shared" si="1"/>
        <v>БизнесПессиместичный вариант2</v>
      </c>
      <c r="E32">
        <v>129350</v>
      </c>
      <c r="F32">
        <v>73550</v>
      </c>
      <c r="G32">
        <v>10348</v>
      </c>
      <c r="H32">
        <v>45452</v>
      </c>
      <c r="K32" t="s">
        <v>236</v>
      </c>
      <c r="L32" t="s">
        <v>182</v>
      </c>
      <c r="M32" t="str">
        <f t="shared" si="2"/>
        <v>СТАРТОптимистичный вариантЗ/п МРК</v>
      </c>
      <c r="N32" s="157" t="s">
        <v>160</v>
      </c>
      <c r="O32" s="175">
        <v>12000</v>
      </c>
      <c r="P32" s="157">
        <v>1</v>
      </c>
      <c r="Q32" s="175">
        <f t="shared" si="3"/>
        <v>12000</v>
      </c>
      <c r="S32" t="s">
        <v>8</v>
      </c>
      <c r="T32" t="s">
        <v>182</v>
      </c>
      <c r="U32" t="s">
        <v>205</v>
      </c>
      <c r="V32" t="str">
        <f t="shared" si="0"/>
        <v>ПлатинумОптимистичный вариантПрибыль за 9 мес (долл.)</v>
      </c>
      <c r="W32">
        <v>45827.406015037603</v>
      </c>
    </row>
    <row r="33" spans="1:23" x14ac:dyDescent="0.3">
      <c r="A33" t="s">
        <v>7</v>
      </c>
      <c r="B33" t="s">
        <v>184</v>
      </c>
      <c r="C33" s="180">
        <v>3</v>
      </c>
      <c r="D33" s="180" t="str">
        <f t="shared" si="1"/>
        <v>БизнесПессиместичный вариант3</v>
      </c>
      <c r="E33">
        <v>124190</v>
      </c>
      <c r="F33">
        <v>73550</v>
      </c>
      <c r="G33">
        <v>9935.2000000000007</v>
      </c>
      <c r="H33">
        <v>40704.800000000003</v>
      </c>
      <c r="K33" t="s">
        <v>236</v>
      </c>
      <c r="L33" t="s">
        <v>182</v>
      </c>
      <c r="M33" t="str">
        <f t="shared" si="2"/>
        <v>СТАРТОптимистичный вариантЗ/п уборщица</v>
      </c>
      <c r="N33" s="157" t="s">
        <v>161</v>
      </c>
      <c r="O33" s="175">
        <v>1500</v>
      </c>
      <c r="P33" s="157">
        <v>1</v>
      </c>
      <c r="Q33" s="175">
        <f t="shared" si="3"/>
        <v>1500</v>
      </c>
      <c r="S33" t="s">
        <v>8</v>
      </c>
      <c r="T33" t="s">
        <v>182</v>
      </c>
      <c r="U33" t="s">
        <v>194</v>
      </c>
      <c r="V33" t="str">
        <f t="shared" si="0"/>
        <v>ПлатинумОптимистичный вариантОкупаемость (мес)</v>
      </c>
      <c r="W33">
        <v>7</v>
      </c>
    </row>
    <row r="34" spans="1:23" x14ac:dyDescent="0.3">
      <c r="A34" t="s">
        <v>7</v>
      </c>
      <c r="B34" t="s">
        <v>184</v>
      </c>
      <c r="C34" s="180">
        <v>4</v>
      </c>
      <c r="D34" s="180" t="str">
        <f t="shared" si="1"/>
        <v>БизнесПессиместичный вариант4</v>
      </c>
      <c r="E34">
        <v>117310</v>
      </c>
      <c r="F34">
        <v>73550</v>
      </c>
      <c r="G34">
        <v>9384.8000000000011</v>
      </c>
      <c r="H34">
        <v>34375.199999999997</v>
      </c>
      <c r="K34" t="s">
        <v>236</v>
      </c>
      <c r="L34" t="s">
        <v>182</v>
      </c>
      <c r="M34" t="str">
        <f t="shared" si="2"/>
        <v>СТАРТОптимистичный вариантНалоги ФОП</v>
      </c>
      <c r="N34" s="157" t="s">
        <v>162</v>
      </c>
      <c r="O34" s="175">
        <v>1800</v>
      </c>
      <c r="P34" s="157">
        <v>1</v>
      </c>
      <c r="Q34" s="175">
        <f t="shared" si="3"/>
        <v>1800</v>
      </c>
      <c r="S34" t="s">
        <v>8</v>
      </c>
      <c r="T34" t="s">
        <v>183</v>
      </c>
      <c r="U34" t="s">
        <v>215</v>
      </c>
      <c r="V34" t="str">
        <f t="shared" si="0"/>
        <v>ПлатинумСтандартный вариантИнвестиции в пакет (долл.)</v>
      </c>
      <c r="W34">
        <v>21664.774436090225</v>
      </c>
    </row>
    <row r="35" spans="1:23" x14ac:dyDescent="0.3">
      <c r="A35" t="s">
        <v>7</v>
      </c>
      <c r="B35" t="s">
        <v>184</v>
      </c>
      <c r="C35" s="180">
        <v>5</v>
      </c>
      <c r="D35" s="180" t="str">
        <f t="shared" si="1"/>
        <v>БизнесПессиместичный вариант5</v>
      </c>
      <c r="E35">
        <v>174260</v>
      </c>
      <c r="F35">
        <v>73550</v>
      </c>
      <c r="G35">
        <v>13940.800000000001</v>
      </c>
      <c r="H35">
        <v>86769.2</v>
      </c>
      <c r="K35" t="s">
        <v>236</v>
      </c>
      <c r="L35" t="s">
        <v>182</v>
      </c>
      <c r="M35" t="str">
        <f t="shared" si="2"/>
        <v>СТАРТОптимистичный вариантНалоги зарплатные</v>
      </c>
      <c r="N35" s="157" t="s">
        <v>163</v>
      </c>
      <c r="O35" s="175">
        <v>1000</v>
      </c>
      <c r="P35" s="157">
        <v>1</v>
      </c>
      <c r="Q35" s="175">
        <f t="shared" si="3"/>
        <v>1000</v>
      </c>
      <c r="S35" t="s">
        <v>8</v>
      </c>
      <c r="T35" t="s">
        <v>183</v>
      </c>
      <c r="U35" t="s">
        <v>204</v>
      </c>
      <c r="V35" t="str">
        <f t="shared" si="0"/>
        <v>ПлатинумСтандартный вариантПаушальный взнос в пакет (долл.)</v>
      </c>
      <c r="W35">
        <v>8000</v>
      </c>
    </row>
    <row r="36" spans="1:23" x14ac:dyDescent="0.3">
      <c r="A36" t="s">
        <v>7</v>
      </c>
      <c r="B36" t="s">
        <v>184</v>
      </c>
      <c r="C36" s="180">
        <v>6</v>
      </c>
      <c r="D36" s="180" t="str">
        <f t="shared" si="1"/>
        <v>БизнесПессиместичный вариант6</v>
      </c>
      <c r="E36">
        <v>170820</v>
      </c>
      <c r="F36">
        <v>73550</v>
      </c>
      <c r="G36">
        <v>13665.6</v>
      </c>
      <c r="H36">
        <v>83604.399999999994</v>
      </c>
      <c r="K36" t="s">
        <v>236</v>
      </c>
      <c r="L36" t="s">
        <v>182</v>
      </c>
      <c r="M36" t="str">
        <f t="shared" si="2"/>
        <v>СТАРТОптимистичный вариантСвязь (пополнение счета)</v>
      </c>
      <c r="N36" s="157" t="s">
        <v>165</v>
      </c>
      <c r="O36" s="175">
        <v>500</v>
      </c>
      <c r="P36" s="157">
        <v>1</v>
      </c>
      <c r="Q36" s="175">
        <f t="shared" si="3"/>
        <v>500</v>
      </c>
      <c r="S36" t="s">
        <v>8</v>
      </c>
      <c r="T36" t="s">
        <v>183</v>
      </c>
      <c r="U36" t="s">
        <v>205</v>
      </c>
      <c r="V36" t="str">
        <f t="shared" si="0"/>
        <v>ПлатинумСтандартный вариантПрибыль за 9 мес (долл.)</v>
      </c>
      <c r="W36">
        <v>20059.624060150378</v>
      </c>
    </row>
    <row r="37" spans="1:23" x14ac:dyDescent="0.3">
      <c r="A37" t="s">
        <v>7</v>
      </c>
      <c r="B37" t="s">
        <v>184</v>
      </c>
      <c r="C37" s="180">
        <v>7</v>
      </c>
      <c r="D37" s="180" t="str">
        <f t="shared" si="1"/>
        <v>БизнесПессиместичный вариант7</v>
      </c>
      <c r="E37">
        <v>169100</v>
      </c>
      <c r="F37">
        <v>73550</v>
      </c>
      <c r="G37">
        <v>13528</v>
      </c>
      <c r="H37">
        <v>82022</v>
      </c>
      <c r="K37" t="s">
        <v>236</v>
      </c>
      <c r="L37" t="s">
        <v>182</v>
      </c>
      <c r="M37" t="str">
        <f t="shared" si="2"/>
        <v xml:space="preserve">СТАРТОптимистичный вариантУслуги бинотел </v>
      </c>
      <c r="N37" s="157" t="s">
        <v>166</v>
      </c>
      <c r="O37" s="175">
        <v>1200</v>
      </c>
      <c r="P37" s="157">
        <v>1</v>
      </c>
      <c r="Q37" s="175">
        <f t="shared" si="3"/>
        <v>1200</v>
      </c>
      <c r="S37" t="s">
        <v>8</v>
      </c>
      <c r="T37" t="s">
        <v>183</v>
      </c>
      <c r="U37" t="s">
        <v>194</v>
      </c>
      <c r="V37" t="str">
        <f t="shared" si="0"/>
        <v>ПлатинумСтандартный вариантОкупаемость (мес)</v>
      </c>
      <c r="W37">
        <v>15</v>
      </c>
    </row>
    <row r="38" spans="1:23" x14ac:dyDescent="0.3">
      <c r="A38" t="s">
        <v>7</v>
      </c>
      <c r="B38" t="s">
        <v>184</v>
      </c>
      <c r="C38" s="180">
        <v>8</v>
      </c>
      <c r="D38" s="180" t="str">
        <f t="shared" si="1"/>
        <v>БизнесПессиместичный вариант8</v>
      </c>
      <c r="E38">
        <v>90730</v>
      </c>
      <c r="F38">
        <v>73550</v>
      </c>
      <c r="G38">
        <v>7258.4000000000005</v>
      </c>
      <c r="H38">
        <v>9921.5999999999985</v>
      </c>
      <c r="K38" t="s">
        <v>236</v>
      </c>
      <c r="L38" t="s">
        <v>182</v>
      </c>
      <c r="M38" t="str">
        <f t="shared" si="2"/>
        <v>СТАРТОптимистичный вариантРазмещение вакансий</v>
      </c>
      <c r="N38" s="185" t="s">
        <v>44</v>
      </c>
      <c r="O38" s="175">
        <v>1500</v>
      </c>
      <c r="P38" s="157">
        <v>1</v>
      </c>
      <c r="Q38" s="175">
        <f t="shared" si="3"/>
        <v>1500</v>
      </c>
    </row>
    <row r="39" spans="1:23" ht="16.2" thickBot="1" x14ac:dyDescent="0.35">
      <c r="A39" t="s">
        <v>7</v>
      </c>
      <c r="B39" t="s">
        <v>184</v>
      </c>
      <c r="C39" s="183">
        <v>9</v>
      </c>
      <c r="D39" s="180" t="str">
        <f t="shared" si="1"/>
        <v>БизнесПессиместичный вариант9</v>
      </c>
      <c r="E39">
        <v>32670</v>
      </c>
      <c r="F39">
        <v>73550</v>
      </c>
      <c r="G39">
        <v>2613.6</v>
      </c>
      <c r="H39">
        <v>-43493.599999999999</v>
      </c>
      <c r="K39" t="s">
        <v>236</v>
      </c>
      <c r="L39" t="s">
        <v>182</v>
      </c>
      <c r="M39" t="str">
        <f t="shared" si="2"/>
        <v>СТАРТОптимистичный вариантИнтернет</v>
      </c>
      <c r="N39" s="185" t="s">
        <v>167</v>
      </c>
      <c r="O39" s="175">
        <v>250</v>
      </c>
      <c r="P39" s="157">
        <v>1</v>
      </c>
      <c r="Q39" s="175">
        <f t="shared" si="3"/>
        <v>250</v>
      </c>
    </row>
    <row r="40" spans="1:23" x14ac:dyDescent="0.3">
      <c r="A40" t="s">
        <v>7</v>
      </c>
      <c r="B40" t="s">
        <v>182</v>
      </c>
      <c r="C40" s="180">
        <v>1</v>
      </c>
      <c r="D40" s="180" t="str">
        <f t="shared" si="1"/>
        <v>БизнесОптимистичный вариант1</v>
      </c>
      <c r="E40">
        <v>164210</v>
      </c>
      <c r="F40">
        <v>73550</v>
      </c>
      <c r="G40">
        <v>13136.800000000001</v>
      </c>
      <c r="H40">
        <v>77523.199999999997</v>
      </c>
      <c r="K40" t="s">
        <v>236</v>
      </c>
      <c r="L40" t="s">
        <v>182</v>
      </c>
      <c r="M40" t="str">
        <f t="shared" si="2"/>
        <v>СТАРТОптимистичный вариантВода в офис</v>
      </c>
      <c r="N40" s="185" t="s">
        <v>168</v>
      </c>
      <c r="O40" s="175">
        <v>500</v>
      </c>
      <c r="P40" s="157">
        <v>1</v>
      </c>
      <c r="Q40" s="175">
        <f t="shared" si="3"/>
        <v>500</v>
      </c>
    </row>
    <row r="41" spans="1:23" x14ac:dyDescent="0.3">
      <c r="A41" t="s">
        <v>7</v>
      </c>
      <c r="B41" t="s">
        <v>182</v>
      </c>
      <c r="C41" s="180">
        <v>2</v>
      </c>
      <c r="D41" s="180" t="str">
        <f t="shared" si="1"/>
        <v>БизнесОптимистичный вариант2</v>
      </c>
      <c r="E41">
        <v>209740</v>
      </c>
      <c r="F41">
        <v>73550</v>
      </c>
      <c r="G41">
        <v>16779.2</v>
      </c>
      <c r="H41">
        <v>119410.8</v>
      </c>
      <c r="K41" t="s">
        <v>236</v>
      </c>
      <c r="L41" t="s">
        <v>182</v>
      </c>
      <c r="M41" t="str">
        <f t="shared" si="2"/>
        <v>СТАРТОптимистичный вариантКанцтовары</v>
      </c>
      <c r="N41" s="157" t="s">
        <v>169</v>
      </c>
      <c r="O41" s="175">
        <v>250</v>
      </c>
      <c r="P41" s="157">
        <v>1</v>
      </c>
      <c r="Q41" s="175">
        <f t="shared" si="3"/>
        <v>250</v>
      </c>
    </row>
    <row r="42" spans="1:23" x14ac:dyDescent="0.3">
      <c r="A42" t="s">
        <v>7</v>
      </c>
      <c r="B42" t="s">
        <v>182</v>
      </c>
      <c r="C42" s="180">
        <v>3</v>
      </c>
      <c r="D42" s="180" t="str">
        <f t="shared" si="1"/>
        <v>БизнесОптимистичный вариант3</v>
      </c>
      <c r="E42">
        <v>201140</v>
      </c>
      <c r="F42">
        <v>73550</v>
      </c>
      <c r="G42">
        <v>16091.2</v>
      </c>
      <c r="H42">
        <v>111498.8</v>
      </c>
      <c r="K42" t="s">
        <v>236</v>
      </c>
      <c r="L42" t="s">
        <v>182</v>
      </c>
      <c r="M42" t="str">
        <f t="shared" si="2"/>
        <v>СТАРТОптимистичный вариантБатарейки</v>
      </c>
      <c r="N42" s="157" t="s">
        <v>65</v>
      </c>
      <c r="O42" s="175">
        <v>500</v>
      </c>
      <c r="P42" s="157">
        <v>1</v>
      </c>
      <c r="Q42" s="175">
        <f t="shared" si="3"/>
        <v>500</v>
      </c>
    </row>
    <row r="43" spans="1:23" x14ac:dyDescent="0.3">
      <c r="A43" t="s">
        <v>7</v>
      </c>
      <c r="B43" t="s">
        <v>182</v>
      </c>
      <c r="C43" s="180">
        <v>4</v>
      </c>
      <c r="D43" s="180" t="str">
        <f t="shared" si="1"/>
        <v>БизнесОптимистичный вариант4</v>
      </c>
      <c r="E43">
        <v>190820</v>
      </c>
      <c r="F43">
        <v>73550</v>
      </c>
      <c r="G43">
        <v>15265.6</v>
      </c>
      <c r="H43">
        <v>102004.4</v>
      </c>
      <c r="K43" t="s">
        <v>236</v>
      </c>
      <c r="L43" t="s">
        <v>182</v>
      </c>
      <c r="M43" t="str">
        <f t="shared" si="2"/>
        <v>СТАРТОптимистичный вариантАльфа смс (в срм-системе)</v>
      </c>
      <c r="N43" s="157" t="s">
        <v>170</v>
      </c>
      <c r="O43" s="175">
        <v>300</v>
      </c>
      <c r="P43" s="157">
        <v>1</v>
      </c>
      <c r="Q43" s="175">
        <f t="shared" si="3"/>
        <v>300</v>
      </c>
    </row>
    <row r="44" spans="1:23" x14ac:dyDescent="0.3">
      <c r="A44" t="s">
        <v>7</v>
      </c>
      <c r="B44" t="s">
        <v>182</v>
      </c>
      <c r="C44" s="180">
        <v>5</v>
      </c>
      <c r="D44" s="180" t="str">
        <f t="shared" si="1"/>
        <v>БизнесОптимистичный вариант5</v>
      </c>
      <c r="E44">
        <v>284480</v>
      </c>
      <c r="F44">
        <v>73550</v>
      </c>
      <c r="G44">
        <v>22758.400000000001</v>
      </c>
      <c r="H44">
        <v>188171.6</v>
      </c>
      <c r="K44" t="s">
        <v>236</v>
      </c>
      <c r="L44" t="s">
        <v>182</v>
      </c>
      <c r="M44" t="str">
        <f t="shared" si="2"/>
        <v>СТАРТОптимистичный вариантПечать рекламных материалов</v>
      </c>
      <c r="N44" s="157" t="s">
        <v>171</v>
      </c>
      <c r="O44" s="175">
        <v>600</v>
      </c>
      <c r="P44" s="157">
        <v>1</v>
      </c>
      <c r="Q44" s="175">
        <f t="shared" si="3"/>
        <v>600</v>
      </c>
    </row>
    <row r="45" spans="1:23" x14ac:dyDescent="0.3">
      <c r="A45" t="s">
        <v>7</v>
      </c>
      <c r="B45" t="s">
        <v>182</v>
      </c>
      <c r="C45" s="180">
        <v>6</v>
      </c>
      <c r="D45" s="180" t="str">
        <f t="shared" si="1"/>
        <v>БизнесОптимистичный вариант6</v>
      </c>
      <c r="E45">
        <v>279320</v>
      </c>
      <c r="F45">
        <v>73550</v>
      </c>
      <c r="G45">
        <v>22345.600000000002</v>
      </c>
      <c r="H45">
        <v>183424.4</v>
      </c>
      <c r="K45" t="s">
        <v>236</v>
      </c>
      <c r="L45" t="s">
        <v>182</v>
      </c>
      <c r="M45" t="str">
        <f t="shared" si="2"/>
        <v>СТАРТОптимистичный вариантЧай/кофе</v>
      </c>
      <c r="N45" s="157" t="s">
        <v>172</v>
      </c>
      <c r="O45" s="175">
        <v>250</v>
      </c>
      <c r="P45" s="157">
        <v>1</v>
      </c>
      <c r="Q45" s="175">
        <f t="shared" si="3"/>
        <v>250</v>
      </c>
    </row>
    <row r="46" spans="1:23" x14ac:dyDescent="0.3">
      <c r="A46" t="s">
        <v>7</v>
      </c>
      <c r="B46" t="s">
        <v>182</v>
      </c>
      <c r="C46" s="180">
        <v>7</v>
      </c>
      <c r="D46" s="180" t="str">
        <f t="shared" si="1"/>
        <v>БизнесОптимистичный вариант7</v>
      </c>
      <c r="E46">
        <v>274160</v>
      </c>
      <c r="F46">
        <v>73550</v>
      </c>
      <c r="G46">
        <v>21932.799999999999</v>
      </c>
      <c r="H46">
        <v>178677.2</v>
      </c>
      <c r="K46" t="s">
        <v>236</v>
      </c>
      <c r="L46" t="s">
        <v>182</v>
      </c>
      <c r="M46" t="str">
        <f t="shared" si="2"/>
        <v>СТАРТОптимистичный вариантБытовая химия и прочее</v>
      </c>
      <c r="N46" s="157" t="s">
        <v>173</v>
      </c>
      <c r="O46" s="175">
        <v>400</v>
      </c>
      <c r="P46" s="157">
        <v>1</v>
      </c>
      <c r="Q46" s="175">
        <f t="shared" si="3"/>
        <v>400</v>
      </c>
    </row>
    <row r="47" spans="1:23" x14ac:dyDescent="0.3">
      <c r="A47" t="s">
        <v>7</v>
      </c>
      <c r="B47" t="s">
        <v>182</v>
      </c>
      <c r="C47" s="180">
        <v>8</v>
      </c>
      <c r="D47" s="180" t="str">
        <f t="shared" si="1"/>
        <v>БизнесОптимистичный вариант8</v>
      </c>
      <c r="E47">
        <v>167940</v>
      </c>
      <c r="F47">
        <v>73550</v>
      </c>
      <c r="G47">
        <v>13435.2</v>
      </c>
      <c r="H47">
        <v>80954.8</v>
      </c>
      <c r="K47" t="s">
        <v>236</v>
      </c>
      <c r="L47" t="s">
        <v>182</v>
      </c>
      <c r="M47" t="str">
        <f t="shared" si="2"/>
        <v>СТАРТОптимистичный вариантПриобретение мелких комплектующих</v>
      </c>
      <c r="N47" s="157" t="s">
        <v>174</v>
      </c>
      <c r="O47" s="175">
        <v>500</v>
      </c>
      <c r="P47" s="157">
        <v>1</v>
      </c>
      <c r="Q47" s="175">
        <f t="shared" si="3"/>
        <v>500</v>
      </c>
    </row>
    <row r="48" spans="1:23" ht="16.2" thickBot="1" x14ac:dyDescent="0.35">
      <c r="A48" t="s">
        <v>7</v>
      </c>
      <c r="B48" t="s">
        <v>182</v>
      </c>
      <c r="C48" s="183">
        <v>9</v>
      </c>
      <c r="D48" s="180" t="str">
        <f t="shared" si="1"/>
        <v>БизнесОптимистичный вариант9</v>
      </c>
      <c r="E48">
        <v>77790</v>
      </c>
      <c r="F48">
        <v>73550</v>
      </c>
      <c r="G48">
        <v>6223.2</v>
      </c>
      <c r="H48">
        <v>-1983.1999999999998</v>
      </c>
      <c r="K48" t="s">
        <v>236</v>
      </c>
      <c r="L48" t="s">
        <v>182</v>
      </c>
      <c r="M48" t="str">
        <f t="shared" si="2"/>
        <v>СТАРТОптимистичный вариантРемонт тех комплектующих</v>
      </c>
      <c r="N48" s="157" t="s">
        <v>175</v>
      </c>
      <c r="O48" s="175">
        <v>1000</v>
      </c>
      <c r="P48" s="157">
        <v>1</v>
      </c>
      <c r="Q48" s="175">
        <f t="shared" si="3"/>
        <v>1000</v>
      </c>
    </row>
    <row r="49" spans="1:24" x14ac:dyDescent="0.3">
      <c r="A49" t="s">
        <v>7</v>
      </c>
      <c r="B49" t="s">
        <v>183</v>
      </c>
      <c r="C49" s="180">
        <v>1</v>
      </c>
      <c r="D49" s="180" t="str">
        <f t="shared" si="1"/>
        <v>БизнесСтандартный вариант1</v>
      </c>
      <c r="E49">
        <v>99910</v>
      </c>
      <c r="F49">
        <v>73550</v>
      </c>
      <c r="G49">
        <v>7992.8</v>
      </c>
      <c r="H49">
        <v>18367.2</v>
      </c>
      <c r="K49" t="s">
        <v>236</v>
      </c>
      <c r="L49" t="s">
        <v>182</v>
      </c>
      <c r="M49" t="str">
        <f t="shared" si="2"/>
        <v>СТАРТОптимистичный вариантПриобретение деталей лего</v>
      </c>
      <c r="N49" s="157" t="s">
        <v>176</v>
      </c>
      <c r="O49" s="175">
        <v>500</v>
      </c>
      <c r="P49" s="157">
        <v>1</v>
      </c>
      <c r="Q49" s="175">
        <f t="shared" si="3"/>
        <v>500</v>
      </c>
    </row>
    <row r="50" spans="1:24" x14ac:dyDescent="0.3">
      <c r="A50" t="s">
        <v>7</v>
      </c>
      <c r="B50" t="s">
        <v>183</v>
      </c>
      <c r="C50" s="180">
        <v>2</v>
      </c>
      <c r="D50" s="180" t="str">
        <f t="shared" si="1"/>
        <v>БизнесСтандартный вариант2</v>
      </c>
      <c r="E50">
        <v>145580</v>
      </c>
      <c r="F50">
        <v>73550</v>
      </c>
      <c r="G50">
        <v>11646.4</v>
      </c>
      <c r="H50">
        <v>60383.6</v>
      </c>
      <c r="K50" t="s">
        <v>236</v>
      </c>
      <c r="L50" t="s">
        <v>182</v>
      </c>
      <c r="M50" t="str">
        <f t="shared" si="2"/>
        <v>СТАРТОптимистичный вариантДругое</v>
      </c>
      <c r="N50" s="157" t="s">
        <v>11</v>
      </c>
      <c r="O50" s="175">
        <v>1000</v>
      </c>
      <c r="P50" s="157">
        <v>1</v>
      </c>
      <c r="Q50" s="175">
        <f t="shared" si="3"/>
        <v>1000</v>
      </c>
    </row>
    <row r="51" spans="1:24" x14ac:dyDescent="0.3">
      <c r="A51" t="s">
        <v>7</v>
      </c>
      <c r="B51" t="s">
        <v>183</v>
      </c>
      <c r="C51" s="180">
        <v>3</v>
      </c>
      <c r="D51" s="180" t="str">
        <f t="shared" si="1"/>
        <v>БизнесСтандартный вариант3</v>
      </c>
      <c r="E51">
        <v>138700</v>
      </c>
      <c r="F51">
        <v>73550</v>
      </c>
      <c r="G51">
        <v>11096</v>
      </c>
      <c r="H51">
        <v>54054</v>
      </c>
      <c r="K51" t="s">
        <v>236</v>
      </c>
      <c r="L51" t="s">
        <v>182</v>
      </c>
      <c r="M51" t="str">
        <f t="shared" si="2"/>
        <v>СТАРТОптимистичный вариантМаркетинговые отчисления</v>
      </c>
      <c r="N51" s="85" t="s">
        <v>206</v>
      </c>
      <c r="O51" s="135">
        <v>3500</v>
      </c>
      <c r="P51" s="85">
        <v>1</v>
      </c>
      <c r="Q51" s="135">
        <f t="shared" si="3"/>
        <v>3500</v>
      </c>
    </row>
    <row r="52" spans="1:24" ht="16.2" thickBot="1" x14ac:dyDescent="0.35">
      <c r="A52" t="s">
        <v>7</v>
      </c>
      <c r="B52" t="s">
        <v>183</v>
      </c>
      <c r="C52" s="180">
        <v>4</v>
      </c>
      <c r="D52" s="180" t="str">
        <f t="shared" si="1"/>
        <v>БизнесСтандартный вариант4</v>
      </c>
      <c r="E52">
        <v>131820</v>
      </c>
      <c r="F52">
        <v>73550</v>
      </c>
      <c r="G52">
        <v>10545.6</v>
      </c>
      <c r="H52">
        <v>47724.4</v>
      </c>
      <c r="K52" t="s">
        <v>236</v>
      </c>
      <c r="L52" t="s">
        <v>182</v>
      </c>
      <c r="M52" t="str">
        <f t="shared" si="2"/>
        <v>СТАРТОптимистичный вариантРоялти (от выручки)</v>
      </c>
      <c r="N52" s="86" t="s">
        <v>207</v>
      </c>
      <c r="O52" s="86"/>
      <c r="P52" s="87">
        <v>0.08</v>
      </c>
      <c r="Q52" s="136">
        <f t="shared" si="3"/>
        <v>0</v>
      </c>
      <c r="U52" s="114"/>
      <c r="V52" s="114"/>
      <c r="W52" s="114"/>
      <c r="X52" s="114"/>
    </row>
    <row r="53" spans="1:24" x14ac:dyDescent="0.3">
      <c r="A53" t="s">
        <v>7</v>
      </c>
      <c r="B53" t="s">
        <v>183</v>
      </c>
      <c r="C53" s="180">
        <v>5</v>
      </c>
      <c r="D53" s="180" t="str">
        <f t="shared" si="1"/>
        <v>БизнесСтандартный вариант5</v>
      </c>
      <c r="E53">
        <v>194260</v>
      </c>
      <c r="F53">
        <v>73550</v>
      </c>
      <c r="G53">
        <v>15540.800000000001</v>
      </c>
      <c r="H53">
        <v>105169.2</v>
      </c>
      <c r="K53" t="s">
        <v>236</v>
      </c>
      <c r="L53" t="s">
        <v>183</v>
      </c>
      <c r="M53" t="str">
        <f t="shared" si="2"/>
        <v>СТАРТСтандартный вариантАренда</v>
      </c>
      <c r="N53" s="156" t="s">
        <v>156</v>
      </c>
      <c r="O53" s="174">
        <v>5000</v>
      </c>
      <c r="P53" s="156">
        <v>1</v>
      </c>
      <c r="Q53" s="174">
        <v>5000</v>
      </c>
      <c r="U53" s="114"/>
      <c r="V53" s="114"/>
      <c r="W53" s="114"/>
      <c r="X53" s="114"/>
    </row>
    <row r="54" spans="1:24" x14ac:dyDescent="0.3">
      <c r="A54" t="s">
        <v>7</v>
      </c>
      <c r="B54" t="s">
        <v>183</v>
      </c>
      <c r="C54" s="180">
        <v>6</v>
      </c>
      <c r="D54" s="180" t="str">
        <f t="shared" si="1"/>
        <v>БизнесСтандартный вариант6</v>
      </c>
      <c r="E54">
        <v>190820</v>
      </c>
      <c r="F54">
        <v>73550</v>
      </c>
      <c r="G54">
        <v>15265.6</v>
      </c>
      <c r="H54">
        <v>102004.4</v>
      </c>
      <c r="K54" t="s">
        <v>236</v>
      </c>
      <c r="L54" t="s">
        <v>183</v>
      </c>
      <c r="M54" t="str">
        <f t="shared" si="2"/>
        <v>СТАРТСтандартный вариантКомунальные услуги</v>
      </c>
      <c r="N54" s="157" t="s">
        <v>157</v>
      </c>
      <c r="O54" s="175">
        <v>1500</v>
      </c>
      <c r="P54" s="157">
        <v>1</v>
      </c>
      <c r="Q54" s="175">
        <v>1500</v>
      </c>
      <c r="U54" s="114"/>
      <c r="V54" s="114"/>
      <c r="W54" s="114"/>
      <c r="X54" s="114"/>
    </row>
    <row r="55" spans="1:24" x14ac:dyDescent="0.3">
      <c r="A55" t="s">
        <v>7</v>
      </c>
      <c r="B55" t="s">
        <v>183</v>
      </c>
      <c r="C55" s="180">
        <v>7</v>
      </c>
      <c r="D55" s="180" t="str">
        <f t="shared" si="1"/>
        <v>БизнесСтандартный вариант7</v>
      </c>
      <c r="E55">
        <v>185660</v>
      </c>
      <c r="F55">
        <v>73550</v>
      </c>
      <c r="G55">
        <v>14852.800000000001</v>
      </c>
      <c r="H55">
        <v>97257.2</v>
      </c>
      <c r="K55" t="s">
        <v>236</v>
      </c>
      <c r="L55" t="s">
        <v>183</v>
      </c>
      <c r="M55" t="str">
        <f t="shared" si="2"/>
        <v>СТАРТСтандартный вариантКомиссия эквайринга</v>
      </c>
      <c r="N55" s="157" t="s">
        <v>159</v>
      </c>
      <c r="O55" s="175">
        <v>1000</v>
      </c>
      <c r="P55" s="157">
        <v>1</v>
      </c>
      <c r="Q55" s="175">
        <v>1000</v>
      </c>
      <c r="U55" s="114"/>
      <c r="V55" s="114"/>
      <c r="W55" s="114"/>
      <c r="X55" s="114"/>
    </row>
    <row r="56" spans="1:24" x14ac:dyDescent="0.3">
      <c r="A56" t="s">
        <v>7</v>
      </c>
      <c r="B56" t="s">
        <v>183</v>
      </c>
      <c r="C56" s="180">
        <v>8</v>
      </c>
      <c r="D56" s="180" t="str">
        <f t="shared" si="1"/>
        <v>БизнесСтандартный вариант8</v>
      </c>
      <c r="E56">
        <v>110730</v>
      </c>
      <c r="F56">
        <v>73550</v>
      </c>
      <c r="G56">
        <v>8858.4</v>
      </c>
      <c r="H56">
        <v>28321.599999999999</v>
      </c>
      <c r="K56" t="s">
        <v>236</v>
      </c>
      <c r="L56" t="s">
        <v>183</v>
      </c>
      <c r="M56" t="str">
        <f t="shared" si="2"/>
        <v>СТАРТСтандартный вариантФиксированая ставка по эквайрингу</v>
      </c>
      <c r="N56" s="157" t="s">
        <v>164</v>
      </c>
      <c r="O56" s="175">
        <v>300</v>
      </c>
      <c r="P56" s="157">
        <v>1</v>
      </c>
      <c r="Q56" s="175">
        <v>300</v>
      </c>
      <c r="U56" s="114"/>
      <c r="V56" s="114"/>
      <c r="W56" s="114"/>
      <c r="X56" s="114"/>
    </row>
    <row r="57" spans="1:24" ht="16.2" thickBot="1" x14ac:dyDescent="0.35">
      <c r="A57" t="s">
        <v>7</v>
      </c>
      <c r="B57" t="s">
        <v>183</v>
      </c>
      <c r="C57" s="183">
        <v>9</v>
      </c>
      <c r="D57" s="180" t="str">
        <f t="shared" si="1"/>
        <v>БизнесСтандартный вариант9</v>
      </c>
      <c r="E57">
        <v>45060</v>
      </c>
      <c r="F57">
        <v>73550</v>
      </c>
      <c r="G57">
        <v>3604.8</v>
      </c>
      <c r="H57">
        <v>-32094.799999999999</v>
      </c>
      <c r="K57" t="s">
        <v>236</v>
      </c>
      <c r="L57" t="s">
        <v>183</v>
      </c>
      <c r="M57" t="str">
        <f t="shared" si="2"/>
        <v>СТАРТСтандартный вариантЗ/п МРК</v>
      </c>
      <c r="N57" s="157" t="s">
        <v>160</v>
      </c>
      <c r="O57" s="175">
        <v>12000</v>
      </c>
      <c r="P57" s="157">
        <v>1</v>
      </c>
      <c r="Q57" s="175">
        <v>12000</v>
      </c>
      <c r="U57" s="114"/>
      <c r="V57" s="114"/>
      <c r="W57" s="114"/>
      <c r="X57" s="114"/>
    </row>
    <row r="58" spans="1:24" x14ac:dyDescent="0.3">
      <c r="A58" t="s">
        <v>8</v>
      </c>
      <c r="B58" t="s">
        <v>182</v>
      </c>
      <c r="C58" s="180">
        <v>1</v>
      </c>
      <c r="D58" s="180" t="str">
        <f t="shared" si="1"/>
        <v>ПлатинумОптимистичный вариант1</v>
      </c>
      <c r="E58">
        <v>176325</v>
      </c>
      <c r="F58">
        <v>79050</v>
      </c>
      <c r="G58">
        <v>14106</v>
      </c>
      <c r="H58">
        <v>83169</v>
      </c>
      <c r="K58" t="s">
        <v>236</v>
      </c>
      <c r="L58" t="s">
        <v>183</v>
      </c>
      <c r="M58" t="str">
        <f t="shared" si="2"/>
        <v>СТАРТСтандартный вариантЗ/п уборщица</v>
      </c>
      <c r="N58" s="157" t="s">
        <v>161</v>
      </c>
      <c r="O58" s="175">
        <v>1500</v>
      </c>
      <c r="P58" s="157">
        <v>1</v>
      </c>
      <c r="Q58" s="175">
        <v>1500</v>
      </c>
      <c r="U58" s="114"/>
      <c r="V58" s="114"/>
      <c r="W58" s="114"/>
      <c r="X58" s="114"/>
    </row>
    <row r="59" spans="1:24" x14ac:dyDescent="0.3">
      <c r="A59" t="s">
        <v>8</v>
      </c>
      <c r="B59" t="s">
        <v>182</v>
      </c>
      <c r="C59" s="180">
        <v>2</v>
      </c>
      <c r="D59" s="180" t="str">
        <f t="shared" si="1"/>
        <v>ПлатинумОптимистичный вариант2</v>
      </c>
      <c r="E59">
        <v>240110</v>
      </c>
      <c r="F59">
        <v>79050</v>
      </c>
      <c r="G59">
        <v>19208.8</v>
      </c>
      <c r="H59">
        <v>141851.20000000001</v>
      </c>
      <c r="K59" t="s">
        <v>236</v>
      </c>
      <c r="L59" t="s">
        <v>183</v>
      </c>
      <c r="M59" t="str">
        <f t="shared" si="2"/>
        <v>СТАРТСтандартный вариантНалоги ФОП</v>
      </c>
      <c r="N59" s="157" t="s">
        <v>162</v>
      </c>
      <c r="O59" s="175">
        <v>1800</v>
      </c>
      <c r="P59" s="157">
        <v>1</v>
      </c>
      <c r="Q59" s="175">
        <v>1800</v>
      </c>
      <c r="U59" s="114"/>
      <c r="V59" s="114"/>
      <c r="W59" s="114"/>
      <c r="X59" s="114"/>
    </row>
    <row r="60" spans="1:24" x14ac:dyDescent="0.3">
      <c r="A60" t="s">
        <v>8</v>
      </c>
      <c r="B60" t="s">
        <v>182</v>
      </c>
      <c r="C60" s="180">
        <v>3</v>
      </c>
      <c r="D60" s="180" t="str">
        <f t="shared" si="1"/>
        <v>ПлатинумОптимистичный вариант3</v>
      </c>
      <c r="E60">
        <v>228070</v>
      </c>
      <c r="F60">
        <v>79050</v>
      </c>
      <c r="G60">
        <v>18245.600000000002</v>
      </c>
      <c r="H60">
        <v>130774.39999999999</v>
      </c>
      <c r="K60" t="s">
        <v>236</v>
      </c>
      <c r="L60" t="s">
        <v>183</v>
      </c>
      <c r="M60" t="str">
        <f t="shared" si="2"/>
        <v>СТАРТСтандартный вариантНалоги зарплатные</v>
      </c>
      <c r="N60" s="157" t="s">
        <v>163</v>
      </c>
      <c r="O60" s="175">
        <v>1000</v>
      </c>
      <c r="P60" s="157">
        <v>1</v>
      </c>
      <c r="Q60" s="175">
        <v>1000</v>
      </c>
      <c r="U60" s="114"/>
      <c r="V60" s="114"/>
      <c r="W60" s="114"/>
      <c r="X60" s="114"/>
    </row>
    <row r="61" spans="1:24" x14ac:dyDescent="0.3">
      <c r="A61" t="s">
        <v>8</v>
      </c>
      <c r="B61" t="s">
        <v>182</v>
      </c>
      <c r="C61" s="180">
        <v>4</v>
      </c>
      <c r="D61" s="180" t="str">
        <f t="shared" si="1"/>
        <v>ПлатинумОптимистичный вариант4</v>
      </c>
      <c r="E61">
        <v>217750</v>
      </c>
      <c r="F61">
        <v>79050</v>
      </c>
      <c r="G61">
        <v>17420</v>
      </c>
      <c r="H61">
        <v>121280</v>
      </c>
      <c r="K61" t="s">
        <v>236</v>
      </c>
      <c r="L61" t="s">
        <v>183</v>
      </c>
      <c r="M61" t="str">
        <f t="shared" si="2"/>
        <v>СТАРТСтандартный вариантСвязь (пополнение счета)</v>
      </c>
      <c r="N61" s="157" t="s">
        <v>165</v>
      </c>
      <c r="O61" s="175">
        <v>500</v>
      </c>
      <c r="P61" s="157">
        <v>1</v>
      </c>
      <c r="Q61" s="175">
        <v>500</v>
      </c>
      <c r="U61" s="114"/>
      <c r="V61" s="114"/>
      <c r="W61" s="114"/>
      <c r="X61" s="114"/>
    </row>
    <row r="62" spans="1:24" x14ac:dyDescent="0.3">
      <c r="A62" t="s">
        <v>8</v>
      </c>
      <c r="B62" t="s">
        <v>182</v>
      </c>
      <c r="C62" s="180">
        <v>5</v>
      </c>
      <c r="D62" s="180" t="str">
        <f t="shared" si="1"/>
        <v>ПлатинумОптимистичный вариант5</v>
      </c>
      <c r="E62">
        <v>326160</v>
      </c>
      <c r="F62">
        <v>79050</v>
      </c>
      <c r="G62">
        <v>26092.799999999999</v>
      </c>
      <c r="H62">
        <v>221017.2</v>
      </c>
      <c r="K62" t="s">
        <v>236</v>
      </c>
      <c r="L62" t="s">
        <v>183</v>
      </c>
      <c r="M62" t="str">
        <f t="shared" si="2"/>
        <v xml:space="preserve">СТАРТСтандартный вариантУслуги бинотел </v>
      </c>
      <c r="N62" s="157" t="s">
        <v>166</v>
      </c>
      <c r="O62" s="175">
        <v>1200</v>
      </c>
      <c r="P62" s="157">
        <v>1</v>
      </c>
      <c r="Q62" s="175">
        <v>1200</v>
      </c>
      <c r="U62" s="114"/>
      <c r="V62" s="114"/>
      <c r="W62" s="114"/>
      <c r="X62" s="114"/>
    </row>
    <row r="63" spans="1:24" x14ac:dyDescent="0.3">
      <c r="A63" t="s">
        <v>8</v>
      </c>
      <c r="B63" t="s">
        <v>182</v>
      </c>
      <c r="C63" s="180">
        <v>6</v>
      </c>
      <c r="D63" s="180" t="str">
        <f t="shared" si="1"/>
        <v>ПлатинумОптимистичный вариант6</v>
      </c>
      <c r="E63">
        <v>321000</v>
      </c>
      <c r="F63">
        <v>79050</v>
      </c>
      <c r="G63">
        <v>25680</v>
      </c>
      <c r="H63">
        <v>216270</v>
      </c>
      <c r="K63" t="s">
        <v>236</v>
      </c>
      <c r="L63" t="s">
        <v>183</v>
      </c>
      <c r="M63" t="str">
        <f t="shared" si="2"/>
        <v>СТАРТСтандартный вариантРазмещение вакансий</v>
      </c>
      <c r="N63" s="185" t="s">
        <v>44</v>
      </c>
      <c r="O63" s="175">
        <v>1500</v>
      </c>
      <c r="P63" s="157">
        <v>1</v>
      </c>
      <c r="Q63" s="175">
        <v>1500</v>
      </c>
      <c r="U63" s="114"/>
      <c r="V63" s="114"/>
      <c r="W63" s="114"/>
      <c r="X63" s="114"/>
    </row>
    <row r="64" spans="1:24" x14ac:dyDescent="0.3">
      <c r="A64" t="s">
        <v>8</v>
      </c>
      <c r="B64" t="s">
        <v>182</v>
      </c>
      <c r="C64" s="180">
        <v>7</v>
      </c>
      <c r="D64" s="180" t="str">
        <f t="shared" si="1"/>
        <v>ПлатинумОптимистичный вариант7</v>
      </c>
      <c r="E64">
        <v>315840</v>
      </c>
      <c r="F64">
        <v>79050</v>
      </c>
      <c r="G64">
        <v>25267.200000000001</v>
      </c>
      <c r="H64">
        <v>211522.8</v>
      </c>
      <c r="K64" t="s">
        <v>236</v>
      </c>
      <c r="L64" t="s">
        <v>183</v>
      </c>
      <c r="M64" t="str">
        <f t="shared" si="2"/>
        <v>СТАРТСтандартный вариантИнтернет</v>
      </c>
      <c r="N64" s="185" t="s">
        <v>167</v>
      </c>
      <c r="O64" s="175">
        <v>250</v>
      </c>
      <c r="P64" s="157">
        <v>1</v>
      </c>
      <c r="Q64" s="175">
        <v>250</v>
      </c>
      <c r="U64" s="114"/>
      <c r="V64" s="114"/>
      <c r="W64" s="114"/>
      <c r="X64" s="114"/>
    </row>
    <row r="65" spans="1:24" x14ac:dyDescent="0.3">
      <c r="A65" t="s">
        <v>8</v>
      </c>
      <c r="B65" t="s">
        <v>182</v>
      </c>
      <c r="C65" s="180">
        <v>8</v>
      </c>
      <c r="D65" s="180" t="str">
        <f t="shared" si="1"/>
        <v>ПлатинумОптимистичный вариант8</v>
      </c>
      <c r="E65">
        <v>186580</v>
      </c>
      <c r="F65">
        <v>79050</v>
      </c>
      <c r="G65">
        <v>14926.4</v>
      </c>
      <c r="H65">
        <v>92603.6</v>
      </c>
      <c r="K65" t="s">
        <v>236</v>
      </c>
      <c r="L65" t="s">
        <v>183</v>
      </c>
      <c r="M65" t="str">
        <f t="shared" si="2"/>
        <v>СТАРТСтандартный вариантВода в офис</v>
      </c>
      <c r="N65" s="185" t="s">
        <v>168</v>
      </c>
      <c r="O65" s="175">
        <v>500</v>
      </c>
      <c r="P65" s="157">
        <v>1</v>
      </c>
      <c r="Q65" s="175">
        <v>500</v>
      </c>
      <c r="U65" s="114"/>
      <c r="V65" s="114"/>
      <c r="W65" s="114"/>
      <c r="X65" s="114"/>
    </row>
    <row r="66" spans="1:24" ht="16.2" thickBot="1" x14ac:dyDescent="0.35">
      <c r="A66" t="s">
        <v>8</v>
      </c>
      <c r="B66" t="s">
        <v>182</v>
      </c>
      <c r="C66" s="183">
        <v>9</v>
      </c>
      <c r="D66" s="180" t="str">
        <f t="shared" si="1"/>
        <v>ПлатинумОптимистичный вариант9</v>
      </c>
      <c r="E66">
        <v>86490</v>
      </c>
      <c r="F66">
        <v>79050</v>
      </c>
      <c r="G66">
        <v>6919.2</v>
      </c>
      <c r="H66">
        <v>520.80000000000018</v>
      </c>
      <c r="K66" t="s">
        <v>236</v>
      </c>
      <c r="L66" t="s">
        <v>183</v>
      </c>
      <c r="M66" t="str">
        <f t="shared" si="2"/>
        <v>СТАРТСтандартный вариантКанцтовары</v>
      </c>
      <c r="N66" s="157" t="s">
        <v>169</v>
      </c>
      <c r="O66" s="175">
        <v>250</v>
      </c>
      <c r="P66" s="157">
        <v>1</v>
      </c>
      <c r="Q66" s="175">
        <v>250</v>
      </c>
      <c r="U66" s="114"/>
      <c r="V66" s="114"/>
      <c r="W66" s="114"/>
      <c r="X66" s="114"/>
    </row>
    <row r="67" spans="1:24" x14ac:dyDescent="0.3">
      <c r="A67" t="s">
        <v>8</v>
      </c>
      <c r="B67" t="s">
        <v>184</v>
      </c>
      <c r="C67" s="180">
        <v>1</v>
      </c>
      <c r="D67" s="180" t="str">
        <f t="shared" si="1"/>
        <v>ПлатинумПессиместичный вариант1</v>
      </c>
      <c r="E67">
        <v>81080</v>
      </c>
      <c r="F67">
        <v>79050</v>
      </c>
      <c r="G67">
        <v>6486.4000000000005</v>
      </c>
      <c r="H67">
        <v>-4456.4000000000005</v>
      </c>
      <c r="K67" t="s">
        <v>236</v>
      </c>
      <c r="L67" t="s">
        <v>183</v>
      </c>
      <c r="M67" t="str">
        <f t="shared" si="2"/>
        <v>СТАРТСтандартный вариантБатарейки</v>
      </c>
      <c r="N67" s="157" t="s">
        <v>65</v>
      </c>
      <c r="O67" s="175">
        <v>500</v>
      </c>
      <c r="P67" s="157">
        <v>1</v>
      </c>
      <c r="Q67" s="175">
        <v>500</v>
      </c>
      <c r="U67" s="114"/>
      <c r="V67" s="114"/>
      <c r="W67" s="114"/>
      <c r="X67" s="114"/>
    </row>
    <row r="68" spans="1:24" x14ac:dyDescent="0.3">
      <c r="A68" t="s">
        <v>8</v>
      </c>
      <c r="B68" t="s">
        <v>184</v>
      </c>
      <c r="C68" s="180">
        <v>2</v>
      </c>
      <c r="D68" s="180" t="str">
        <f t="shared" ref="D68:D84" si="4">A68&amp;B68&amp;C68</f>
        <v>ПлатинумПессиместичный вариант2</v>
      </c>
      <c r="E68">
        <v>137200</v>
      </c>
      <c r="F68">
        <v>79050</v>
      </c>
      <c r="G68">
        <v>10976</v>
      </c>
      <c r="H68">
        <v>47174</v>
      </c>
      <c r="K68" t="s">
        <v>236</v>
      </c>
      <c r="L68" t="s">
        <v>183</v>
      </c>
      <c r="M68" t="str">
        <f t="shared" ref="M68:M131" si="5">K68&amp;L68&amp;N68</f>
        <v>СТАРТСтандартный вариантАльфа смс (в срм-системе)</v>
      </c>
      <c r="N68" s="157" t="s">
        <v>170</v>
      </c>
      <c r="O68" s="175">
        <v>300</v>
      </c>
      <c r="P68" s="157">
        <v>1</v>
      </c>
      <c r="Q68" s="175">
        <v>300</v>
      </c>
      <c r="U68" s="114"/>
      <c r="V68" s="114"/>
      <c r="W68" s="114"/>
      <c r="X68" s="114"/>
    </row>
    <row r="69" spans="1:24" x14ac:dyDescent="0.3">
      <c r="A69" t="s">
        <v>8</v>
      </c>
      <c r="B69" t="s">
        <v>184</v>
      </c>
      <c r="C69" s="180">
        <v>3</v>
      </c>
      <c r="D69" s="180" t="str">
        <f t="shared" si="4"/>
        <v>ПлатинумПессиместичный вариант3</v>
      </c>
      <c r="E69">
        <v>130320</v>
      </c>
      <c r="F69">
        <v>79050</v>
      </c>
      <c r="G69">
        <v>10425.6</v>
      </c>
      <c r="H69">
        <v>40844.400000000001</v>
      </c>
      <c r="K69" t="s">
        <v>236</v>
      </c>
      <c r="L69" t="s">
        <v>183</v>
      </c>
      <c r="M69" t="str">
        <f t="shared" si="5"/>
        <v>СТАРТСтандартный вариантПечать рекламных материалов</v>
      </c>
      <c r="N69" s="157" t="s">
        <v>171</v>
      </c>
      <c r="O69" s="175">
        <v>600</v>
      </c>
      <c r="P69" s="157">
        <v>1</v>
      </c>
      <c r="Q69" s="175">
        <v>600</v>
      </c>
      <c r="U69" s="114"/>
      <c r="V69" s="114"/>
      <c r="W69" s="114"/>
      <c r="X69" s="114"/>
    </row>
    <row r="70" spans="1:24" x14ac:dyDescent="0.3">
      <c r="A70" t="s">
        <v>8</v>
      </c>
      <c r="B70" t="s">
        <v>184</v>
      </c>
      <c r="C70" s="180">
        <v>4</v>
      </c>
      <c r="D70" s="180" t="str">
        <f t="shared" si="4"/>
        <v>ПлатинумПессиместичный вариант4</v>
      </c>
      <c r="E70">
        <v>125160</v>
      </c>
      <c r="F70">
        <v>79050</v>
      </c>
      <c r="G70">
        <v>10012.800000000001</v>
      </c>
      <c r="H70">
        <v>36097.199999999997</v>
      </c>
      <c r="K70" t="s">
        <v>236</v>
      </c>
      <c r="L70" t="s">
        <v>183</v>
      </c>
      <c r="M70" t="str">
        <f t="shared" si="5"/>
        <v>СТАРТСтандартный вариантЧай/кофе</v>
      </c>
      <c r="N70" s="157" t="s">
        <v>172</v>
      </c>
      <c r="O70" s="175">
        <v>250</v>
      </c>
      <c r="P70" s="157">
        <v>1</v>
      </c>
      <c r="Q70" s="175">
        <v>250</v>
      </c>
      <c r="U70" s="114"/>
      <c r="V70" s="114"/>
      <c r="W70" s="114"/>
      <c r="X70" s="114"/>
    </row>
    <row r="71" spans="1:24" x14ac:dyDescent="0.3">
      <c r="A71" t="s">
        <v>8</v>
      </c>
      <c r="B71" t="s">
        <v>184</v>
      </c>
      <c r="C71" s="180">
        <v>5</v>
      </c>
      <c r="D71" s="180" t="str">
        <f t="shared" si="4"/>
        <v>ПлатинумПессиместичный вариант5</v>
      </c>
      <c r="E71">
        <v>185880</v>
      </c>
      <c r="F71">
        <v>79050</v>
      </c>
      <c r="G71">
        <v>14870.4</v>
      </c>
      <c r="H71">
        <v>91959.6</v>
      </c>
      <c r="K71" t="s">
        <v>236</v>
      </c>
      <c r="L71" t="s">
        <v>183</v>
      </c>
      <c r="M71" t="str">
        <f t="shared" si="5"/>
        <v>СТАРТСтандартный вариантБытовая химия и прочее</v>
      </c>
      <c r="N71" s="157" t="s">
        <v>173</v>
      </c>
      <c r="O71" s="175">
        <v>400</v>
      </c>
      <c r="P71" s="157">
        <v>1</v>
      </c>
      <c r="Q71" s="175">
        <v>400</v>
      </c>
      <c r="U71" s="114"/>
      <c r="V71" s="114"/>
      <c r="W71" s="114"/>
      <c r="X71" s="114"/>
    </row>
    <row r="72" spans="1:24" x14ac:dyDescent="0.3">
      <c r="A72" t="s">
        <v>8</v>
      </c>
      <c r="B72" t="s">
        <v>184</v>
      </c>
      <c r="C72" s="180">
        <v>6</v>
      </c>
      <c r="D72" s="180" t="str">
        <f t="shared" si="4"/>
        <v>ПлатинумПессиместичный вариант6</v>
      </c>
      <c r="E72">
        <v>184160</v>
      </c>
      <c r="F72">
        <v>79050</v>
      </c>
      <c r="G72">
        <v>14732.800000000001</v>
      </c>
      <c r="H72">
        <v>90377.2</v>
      </c>
      <c r="K72" t="s">
        <v>236</v>
      </c>
      <c r="L72" t="s">
        <v>183</v>
      </c>
      <c r="M72" t="str">
        <f t="shared" si="5"/>
        <v>СТАРТСтандартный вариантПриобретение мелких комплектующих</v>
      </c>
      <c r="N72" s="157" t="s">
        <v>174</v>
      </c>
      <c r="O72" s="175">
        <v>500</v>
      </c>
      <c r="P72" s="157">
        <v>1</v>
      </c>
      <c r="Q72" s="175">
        <v>500</v>
      </c>
      <c r="U72" s="114"/>
      <c r="V72" s="114"/>
      <c r="W72" s="114"/>
      <c r="X72" s="114"/>
    </row>
    <row r="73" spans="1:24" x14ac:dyDescent="0.3">
      <c r="A73" t="s">
        <v>8</v>
      </c>
      <c r="B73" t="s">
        <v>184</v>
      </c>
      <c r="C73" s="180">
        <v>7</v>
      </c>
      <c r="D73" s="180" t="str">
        <f t="shared" si="4"/>
        <v>ПлатинумПессиместичный вариант7</v>
      </c>
      <c r="E73">
        <v>182440</v>
      </c>
      <c r="F73">
        <v>79050</v>
      </c>
      <c r="G73">
        <v>14595.2</v>
      </c>
      <c r="H73">
        <v>88794.8</v>
      </c>
      <c r="K73" t="s">
        <v>236</v>
      </c>
      <c r="L73" t="s">
        <v>183</v>
      </c>
      <c r="M73" t="str">
        <f t="shared" si="5"/>
        <v>СТАРТСтандартный вариантРемонт тех комплектующих</v>
      </c>
      <c r="N73" s="157" t="s">
        <v>175</v>
      </c>
      <c r="O73" s="175">
        <v>1000</v>
      </c>
      <c r="P73" s="157">
        <v>1</v>
      </c>
      <c r="Q73" s="175">
        <v>1000</v>
      </c>
      <c r="U73" s="114"/>
      <c r="V73" s="114"/>
      <c r="W73" s="114"/>
      <c r="X73" s="114"/>
    </row>
    <row r="74" spans="1:24" x14ac:dyDescent="0.3">
      <c r="A74" t="s">
        <v>8</v>
      </c>
      <c r="B74" t="s">
        <v>184</v>
      </c>
      <c r="C74" s="180">
        <v>8</v>
      </c>
      <c r="D74" s="180" t="str">
        <f t="shared" si="4"/>
        <v>ПлатинумПессиместичный вариант8</v>
      </c>
      <c r="E74">
        <v>97900</v>
      </c>
      <c r="F74">
        <v>79050</v>
      </c>
      <c r="G74">
        <v>7832</v>
      </c>
      <c r="H74">
        <v>11018</v>
      </c>
      <c r="K74" t="s">
        <v>236</v>
      </c>
      <c r="L74" t="s">
        <v>183</v>
      </c>
      <c r="M74" t="str">
        <f t="shared" si="5"/>
        <v>СТАРТСтандартный вариантПриобретение деталей лего</v>
      </c>
      <c r="N74" s="157" t="s">
        <v>176</v>
      </c>
      <c r="O74" s="175">
        <v>500</v>
      </c>
      <c r="P74" s="157">
        <v>1</v>
      </c>
      <c r="Q74" s="175">
        <v>500</v>
      </c>
      <c r="U74" s="114"/>
      <c r="V74" s="114"/>
      <c r="W74" s="114"/>
      <c r="X74" s="114"/>
    </row>
    <row r="75" spans="1:24" ht="16.2" thickBot="1" x14ac:dyDescent="0.35">
      <c r="A75" t="s">
        <v>8</v>
      </c>
      <c r="B75" t="s">
        <v>184</v>
      </c>
      <c r="C75" s="183">
        <v>9</v>
      </c>
      <c r="D75" s="180" t="str">
        <f t="shared" si="4"/>
        <v>ПлатинумПессиместичный вариант9</v>
      </c>
      <c r="E75">
        <v>30230</v>
      </c>
      <c r="F75">
        <v>79050</v>
      </c>
      <c r="G75">
        <v>2418.4</v>
      </c>
      <c r="H75">
        <v>-51238.400000000001</v>
      </c>
      <c r="K75" t="s">
        <v>236</v>
      </c>
      <c r="L75" t="s">
        <v>183</v>
      </c>
      <c r="M75" t="str">
        <f t="shared" si="5"/>
        <v>СТАРТСтандартный вариантДругое</v>
      </c>
      <c r="N75" s="157" t="s">
        <v>11</v>
      </c>
      <c r="O75" s="175">
        <v>1000</v>
      </c>
      <c r="P75" s="157">
        <v>1</v>
      </c>
      <c r="Q75" s="175">
        <v>1000</v>
      </c>
      <c r="U75" s="114"/>
      <c r="V75" s="114"/>
      <c r="W75" s="114"/>
      <c r="X75" s="114"/>
    </row>
    <row r="76" spans="1:24" x14ac:dyDescent="0.3">
      <c r="A76" t="s">
        <v>8</v>
      </c>
      <c r="B76" t="s">
        <v>183</v>
      </c>
      <c r="C76" s="180">
        <v>1</v>
      </c>
      <c r="D76" s="180" t="str">
        <f t="shared" si="4"/>
        <v>ПлатинумСтандартный вариант1</v>
      </c>
      <c r="E76">
        <v>101900</v>
      </c>
      <c r="F76">
        <v>79050</v>
      </c>
      <c r="G76">
        <v>8152</v>
      </c>
      <c r="H76">
        <v>14698</v>
      </c>
      <c r="K76" t="s">
        <v>236</v>
      </c>
      <c r="L76" t="s">
        <v>183</v>
      </c>
      <c r="M76" t="str">
        <f t="shared" si="5"/>
        <v>СТАРТСтандартный вариантМаркетинговые отчисления</v>
      </c>
      <c r="N76" s="85" t="s">
        <v>206</v>
      </c>
      <c r="O76" s="135">
        <v>3500</v>
      </c>
      <c r="P76" s="85">
        <v>1</v>
      </c>
      <c r="Q76" s="135">
        <v>3500</v>
      </c>
      <c r="U76" s="114"/>
      <c r="V76" s="114"/>
      <c r="W76" s="114"/>
      <c r="X76" s="114"/>
    </row>
    <row r="77" spans="1:24" ht="16.2" thickBot="1" x14ac:dyDescent="0.35">
      <c r="A77" t="s">
        <v>8</v>
      </c>
      <c r="B77" t="s">
        <v>183</v>
      </c>
      <c r="C77" s="180">
        <v>2</v>
      </c>
      <c r="D77" s="180" t="str">
        <f t="shared" si="4"/>
        <v>ПлатинумСтандартный вариант2</v>
      </c>
      <c r="E77">
        <v>159720</v>
      </c>
      <c r="F77">
        <v>79050</v>
      </c>
      <c r="G77">
        <v>12777.6</v>
      </c>
      <c r="H77">
        <v>67892.399999999994</v>
      </c>
      <c r="K77" t="s">
        <v>236</v>
      </c>
      <c r="L77" t="s">
        <v>183</v>
      </c>
      <c r="M77" t="str">
        <f t="shared" si="5"/>
        <v>СТАРТСтандартный вариантРоялти (от выручки)</v>
      </c>
      <c r="N77" s="86" t="s">
        <v>207</v>
      </c>
      <c r="O77" s="86"/>
      <c r="P77" s="87">
        <v>0.08</v>
      </c>
      <c r="Q77" s="136">
        <v>0</v>
      </c>
      <c r="U77" s="114"/>
      <c r="V77" s="114"/>
      <c r="W77" s="114"/>
      <c r="X77" s="114"/>
    </row>
    <row r="78" spans="1:24" x14ac:dyDescent="0.3">
      <c r="A78" t="s">
        <v>8</v>
      </c>
      <c r="B78" t="s">
        <v>183</v>
      </c>
      <c r="C78" s="180">
        <v>3</v>
      </c>
      <c r="D78" s="180" t="str">
        <f t="shared" si="4"/>
        <v>ПлатинумСтандартный вариант3</v>
      </c>
      <c r="E78">
        <v>152840</v>
      </c>
      <c r="F78">
        <v>79050</v>
      </c>
      <c r="G78">
        <v>12227.2</v>
      </c>
      <c r="H78">
        <v>61562.8</v>
      </c>
      <c r="K78" t="s">
        <v>7</v>
      </c>
      <c r="L78" t="s">
        <v>183</v>
      </c>
      <c r="M78" t="str">
        <f t="shared" si="5"/>
        <v>БизнесСтандартный вариантАренда</v>
      </c>
      <c r="N78" t="s">
        <v>156</v>
      </c>
      <c r="O78">
        <v>20000</v>
      </c>
      <c r="P78">
        <v>1</v>
      </c>
      <c r="Q78">
        <v>20000</v>
      </c>
      <c r="U78" s="114"/>
      <c r="V78" s="114"/>
      <c r="W78" s="114"/>
      <c r="X78" s="114"/>
    </row>
    <row r="79" spans="1:24" x14ac:dyDescent="0.3">
      <c r="A79" t="s">
        <v>8</v>
      </c>
      <c r="B79" t="s">
        <v>183</v>
      </c>
      <c r="C79" s="180">
        <v>4</v>
      </c>
      <c r="D79" s="180" t="str">
        <f t="shared" si="4"/>
        <v>ПлатинумСтандартный вариант4</v>
      </c>
      <c r="E79">
        <v>145960</v>
      </c>
      <c r="F79">
        <v>79050</v>
      </c>
      <c r="G79">
        <v>11676.800000000001</v>
      </c>
      <c r="H79">
        <v>55233.2</v>
      </c>
      <c r="K79" t="s">
        <v>7</v>
      </c>
      <c r="L79" t="s">
        <v>183</v>
      </c>
      <c r="M79" t="str">
        <f t="shared" si="5"/>
        <v>БизнесСтандартный вариантКомунальные услуги</v>
      </c>
      <c r="N79" t="s">
        <v>157</v>
      </c>
      <c r="O79">
        <v>4000</v>
      </c>
      <c r="P79">
        <v>1</v>
      </c>
      <c r="Q79">
        <v>4000</v>
      </c>
    </row>
    <row r="80" spans="1:24" x14ac:dyDescent="0.3">
      <c r="A80" t="s">
        <v>8</v>
      </c>
      <c r="B80" t="s">
        <v>183</v>
      </c>
      <c r="C80" s="180">
        <v>5</v>
      </c>
      <c r="D80" s="180" t="str">
        <f t="shared" si="4"/>
        <v>ПлатинумСтандартный вариант5</v>
      </c>
      <c r="E80">
        <v>213890</v>
      </c>
      <c r="F80">
        <v>79050</v>
      </c>
      <c r="G80">
        <v>17111.2</v>
      </c>
      <c r="H80">
        <v>117728.8</v>
      </c>
      <c r="K80" t="s">
        <v>7</v>
      </c>
      <c r="L80" t="s">
        <v>183</v>
      </c>
      <c r="M80" t="str">
        <f t="shared" si="5"/>
        <v>БизнесСтандартный вариантКомиссия эквайринга</v>
      </c>
      <c r="N80" t="s">
        <v>159</v>
      </c>
      <c r="O80">
        <v>1500</v>
      </c>
      <c r="P80">
        <v>1</v>
      </c>
      <c r="Q80">
        <v>1500</v>
      </c>
    </row>
    <row r="81" spans="1:17" x14ac:dyDescent="0.3">
      <c r="A81" t="s">
        <v>8</v>
      </c>
      <c r="B81" t="s">
        <v>183</v>
      </c>
      <c r="C81" s="180">
        <v>6</v>
      </c>
      <c r="D81" s="180" t="str">
        <f t="shared" si="4"/>
        <v>ПлатинумСтандартный вариант6</v>
      </c>
      <c r="E81">
        <v>208730</v>
      </c>
      <c r="F81">
        <v>79050</v>
      </c>
      <c r="G81">
        <v>16698.400000000001</v>
      </c>
      <c r="H81">
        <v>112981.6</v>
      </c>
      <c r="K81" t="s">
        <v>7</v>
      </c>
      <c r="L81" t="s">
        <v>183</v>
      </c>
      <c r="M81" t="str">
        <f t="shared" si="5"/>
        <v>БизнесСтандартный вариантФиксированая ставка по эквайрингу</v>
      </c>
      <c r="N81" t="s">
        <v>164</v>
      </c>
      <c r="O81">
        <v>300</v>
      </c>
      <c r="P81">
        <v>1</v>
      </c>
      <c r="Q81">
        <v>300</v>
      </c>
    </row>
    <row r="82" spans="1:17" x14ac:dyDescent="0.3">
      <c r="A82" t="s">
        <v>8</v>
      </c>
      <c r="B82" t="s">
        <v>183</v>
      </c>
      <c r="C82" s="180">
        <v>7</v>
      </c>
      <c r="D82" s="180" t="str">
        <f t="shared" si="4"/>
        <v>ПлатинумСтандартный вариант7</v>
      </c>
      <c r="E82">
        <v>205290</v>
      </c>
      <c r="F82">
        <v>79050</v>
      </c>
      <c r="G82">
        <v>16423.2</v>
      </c>
      <c r="H82">
        <v>109816.8</v>
      </c>
      <c r="K82" t="s">
        <v>7</v>
      </c>
      <c r="L82" t="s">
        <v>183</v>
      </c>
      <c r="M82" t="str">
        <f t="shared" si="5"/>
        <v>БизнесСтандартный вариантЗ/п МРК</v>
      </c>
      <c r="N82" t="s">
        <v>160</v>
      </c>
      <c r="O82">
        <v>15000</v>
      </c>
      <c r="P82">
        <v>2</v>
      </c>
      <c r="Q82">
        <v>30000</v>
      </c>
    </row>
    <row r="83" spans="1:17" x14ac:dyDescent="0.3">
      <c r="A83" t="s">
        <v>8</v>
      </c>
      <c r="B83" t="s">
        <v>183</v>
      </c>
      <c r="C83" s="180">
        <v>8</v>
      </c>
      <c r="D83" s="180" t="str">
        <f t="shared" si="4"/>
        <v>ПлатинумСтандартный вариант8</v>
      </c>
      <c r="E83">
        <v>121150</v>
      </c>
      <c r="F83">
        <v>79050</v>
      </c>
      <c r="G83">
        <v>9692</v>
      </c>
      <c r="H83">
        <v>32408</v>
      </c>
      <c r="K83" t="s">
        <v>7</v>
      </c>
      <c r="L83" t="s">
        <v>183</v>
      </c>
      <c r="M83" t="str">
        <f t="shared" si="5"/>
        <v>БизнесСтандартный вариантЗ/п уборщица</v>
      </c>
      <c r="N83" t="s">
        <v>161</v>
      </c>
      <c r="O83">
        <v>1500</v>
      </c>
      <c r="P83">
        <v>1</v>
      </c>
      <c r="Q83">
        <v>1500</v>
      </c>
    </row>
    <row r="84" spans="1:17" ht="16.2" thickBot="1" x14ac:dyDescent="0.35">
      <c r="A84" t="s">
        <v>8</v>
      </c>
      <c r="B84" t="s">
        <v>183</v>
      </c>
      <c r="C84" s="183">
        <v>9</v>
      </c>
      <c r="D84" s="180" t="str">
        <f t="shared" si="4"/>
        <v>ПлатинумСтандартный вариант9</v>
      </c>
      <c r="E84">
        <v>43820</v>
      </c>
      <c r="F84">
        <v>79050</v>
      </c>
      <c r="G84">
        <v>3505.6</v>
      </c>
      <c r="H84">
        <v>-38735.599999999999</v>
      </c>
      <c r="K84" t="s">
        <v>7</v>
      </c>
      <c r="L84" t="s">
        <v>183</v>
      </c>
      <c r="M84" t="str">
        <f t="shared" si="5"/>
        <v>БизнесСтандартный вариантНалоги ФОП</v>
      </c>
      <c r="N84" t="s">
        <v>162</v>
      </c>
      <c r="O84">
        <v>1800</v>
      </c>
      <c r="P84">
        <v>1</v>
      </c>
      <c r="Q84">
        <v>1800</v>
      </c>
    </row>
    <row r="85" spans="1:17" x14ac:dyDescent="0.3">
      <c r="K85" t="s">
        <v>7</v>
      </c>
      <c r="L85" t="s">
        <v>183</v>
      </c>
      <c r="M85" t="str">
        <f t="shared" si="5"/>
        <v>БизнесСтандартный вариантНалоги зарплатные</v>
      </c>
      <c r="N85" t="s">
        <v>163</v>
      </c>
      <c r="O85">
        <v>1000</v>
      </c>
      <c r="P85">
        <v>2</v>
      </c>
      <c r="Q85">
        <v>2000</v>
      </c>
    </row>
    <row r="86" spans="1:17" x14ac:dyDescent="0.3">
      <c r="K86" t="s">
        <v>7</v>
      </c>
      <c r="L86" t="s">
        <v>183</v>
      </c>
      <c r="M86" t="str">
        <f t="shared" si="5"/>
        <v>БизнесСтандартный вариантСвязь (пополнение счета)</v>
      </c>
      <c r="N86" t="s">
        <v>165</v>
      </c>
      <c r="O86">
        <v>500</v>
      </c>
      <c r="P86">
        <v>1</v>
      </c>
      <c r="Q86">
        <v>500</v>
      </c>
    </row>
    <row r="87" spans="1:17" x14ac:dyDescent="0.3">
      <c r="K87" t="s">
        <v>7</v>
      </c>
      <c r="L87" t="s">
        <v>183</v>
      </c>
      <c r="M87" t="str">
        <f t="shared" si="5"/>
        <v xml:space="preserve">БизнесСтандартный вариантУслуги бинотел </v>
      </c>
      <c r="N87" t="s">
        <v>166</v>
      </c>
      <c r="O87">
        <v>1200</v>
      </c>
      <c r="P87">
        <v>1</v>
      </c>
      <c r="Q87">
        <v>1200</v>
      </c>
    </row>
    <row r="88" spans="1:17" x14ac:dyDescent="0.3">
      <c r="K88" t="s">
        <v>7</v>
      </c>
      <c r="L88" t="s">
        <v>183</v>
      </c>
      <c r="M88" t="str">
        <f t="shared" si="5"/>
        <v>БизнесСтандартный вариантРазмещение вакансий</v>
      </c>
      <c r="N88" t="s">
        <v>44</v>
      </c>
      <c r="O88">
        <v>1500</v>
      </c>
      <c r="P88">
        <v>1</v>
      </c>
      <c r="Q88">
        <v>1500</v>
      </c>
    </row>
    <row r="89" spans="1:17" x14ac:dyDescent="0.3">
      <c r="K89" t="s">
        <v>7</v>
      </c>
      <c r="L89" t="s">
        <v>183</v>
      </c>
      <c r="M89" t="str">
        <f t="shared" si="5"/>
        <v>БизнесСтандартный вариантИнтернет</v>
      </c>
      <c r="N89" t="s">
        <v>167</v>
      </c>
      <c r="O89">
        <v>250</v>
      </c>
      <c r="P89">
        <v>1</v>
      </c>
      <c r="Q89">
        <v>250</v>
      </c>
    </row>
    <row r="90" spans="1:17" x14ac:dyDescent="0.3">
      <c r="K90" t="s">
        <v>7</v>
      </c>
      <c r="L90" t="s">
        <v>183</v>
      </c>
      <c r="M90" t="str">
        <f t="shared" si="5"/>
        <v>БизнесСтандартный вариантВода в офис</v>
      </c>
      <c r="N90" t="s">
        <v>168</v>
      </c>
      <c r="O90">
        <v>800</v>
      </c>
      <c r="P90">
        <v>1</v>
      </c>
      <c r="Q90">
        <v>800</v>
      </c>
    </row>
    <row r="91" spans="1:17" x14ac:dyDescent="0.3">
      <c r="K91" t="s">
        <v>7</v>
      </c>
      <c r="L91" t="s">
        <v>183</v>
      </c>
      <c r="M91" t="str">
        <f t="shared" si="5"/>
        <v>БизнесСтандартный вариантКанцтовары</v>
      </c>
      <c r="N91" t="s">
        <v>169</v>
      </c>
      <c r="O91">
        <v>400</v>
      </c>
      <c r="P91">
        <v>1</v>
      </c>
      <c r="Q91">
        <v>400</v>
      </c>
    </row>
    <row r="92" spans="1:17" x14ac:dyDescent="0.3">
      <c r="K92" t="s">
        <v>7</v>
      </c>
      <c r="L92" t="s">
        <v>183</v>
      </c>
      <c r="M92" t="str">
        <f t="shared" si="5"/>
        <v>БизнесСтандартный вариантБатарейки</v>
      </c>
      <c r="N92" t="s">
        <v>65</v>
      </c>
      <c r="O92">
        <v>500</v>
      </c>
      <c r="P92">
        <v>1</v>
      </c>
      <c r="Q92">
        <v>500</v>
      </c>
    </row>
    <row r="93" spans="1:17" x14ac:dyDescent="0.3">
      <c r="K93" t="s">
        <v>7</v>
      </c>
      <c r="L93" t="s">
        <v>183</v>
      </c>
      <c r="M93" t="str">
        <f t="shared" si="5"/>
        <v>БизнесСтандартный вариантАльфа смс (в срм-системе)</v>
      </c>
      <c r="N93" t="s">
        <v>170</v>
      </c>
      <c r="O93">
        <v>450</v>
      </c>
      <c r="P93">
        <v>1</v>
      </c>
      <c r="Q93">
        <v>450</v>
      </c>
    </row>
    <row r="94" spans="1:17" x14ac:dyDescent="0.3">
      <c r="K94" t="s">
        <v>7</v>
      </c>
      <c r="L94" t="s">
        <v>183</v>
      </c>
      <c r="M94" t="str">
        <f t="shared" si="5"/>
        <v>БизнесСтандартный вариантПечать рекламных материалов</v>
      </c>
      <c r="N94" t="s">
        <v>171</v>
      </c>
      <c r="O94">
        <v>600</v>
      </c>
      <c r="P94">
        <v>1</v>
      </c>
      <c r="Q94">
        <v>600</v>
      </c>
    </row>
    <row r="95" spans="1:17" x14ac:dyDescent="0.3">
      <c r="K95" t="s">
        <v>7</v>
      </c>
      <c r="L95" t="s">
        <v>183</v>
      </c>
      <c r="M95" t="str">
        <f t="shared" si="5"/>
        <v>БизнесСтандартный вариантЧай/кофе</v>
      </c>
      <c r="N95" t="s">
        <v>172</v>
      </c>
      <c r="O95">
        <v>250</v>
      </c>
      <c r="P95">
        <v>1</v>
      </c>
      <c r="Q95">
        <v>250</v>
      </c>
    </row>
    <row r="96" spans="1:17" x14ac:dyDescent="0.3">
      <c r="K96" t="s">
        <v>7</v>
      </c>
      <c r="L96" t="s">
        <v>183</v>
      </c>
      <c r="M96" t="str">
        <f t="shared" si="5"/>
        <v>БизнесСтандартный вариантБытовая химия и прочее</v>
      </c>
      <c r="N96" t="s">
        <v>173</v>
      </c>
      <c r="O96">
        <v>500</v>
      </c>
      <c r="P96">
        <v>1</v>
      </c>
      <c r="Q96">
        <v>500</v>
      </c>
    </row>
    <row r="97" spans="11:17" x14ac:dyDescent="0.3">
      <c r="K97" t="s">
        <v>7</v>
      </c>
      <c r="L97" t="s">
        <v>183</v>
      </c>
      <c r="M97" t="str">
        <f t="shared" si="5"/>
        <v>БизнесСтандартный вариантПриобретение мелких комплектующих</v>
      </c>
      <c r="N97" t="s">
        <v>174</v>
      </c>
      <c r="O97">
        <v>1000</v>
      </c>
      <c r="P97">
        <v>1</v>
      </c>
      <c r="Q97">
        <v>1000</v>
      </c>
    </row>
    <row r="98" spans="11:17" x14ac:dyDescent="0.3">
      <c r="K98" t="s">
        <v>7</v>
      </c>
      <c r="L98" t="s">
        <v>183</v>
      </c>
      <c r="M98" t="str">
        <f t="shared" si="5"/>
        <v>БизнесСтандартный вариантРемонт тех комплектующих</v>
      </c>
      <c r="N98" t="s">
        <v>175</v>
      </c>
      <c r="O98">
        <v>1500</v>
      </c>
      <c r="P98">
        <v>1</v>
      </c>
      <c r="Q98">
        <v>1500</v>
      </c>
    </row>
    <row r="99" spans="11:17" x14ac:dyDescent="0.3">
      <c r="K99" t="s">
        <v>7</v>
      </c>
      <c r="L99" t="s">
        <v>183</v>
      </c>
      <c r="M99" t="str">
        <f t="shared" si="5"/>
        <v>БизнесСтандартный вариантПриобретение деталей лего</v>
      </c>
      <c r="N99" t="s">
        <v>176</v>
      </c>
      <c r="O99">
        <v>1000</v>
      </c>
      <c r="P99">
        <v>1</v>
      </c>
      <c r="Q99">
        <v>1000</v>
      </c>
    </row>
    <row r="100" spans="11:17" x14ac:dyDescent="0.3">
      <c r="K100" t="s">
        <v>7</v>
      </c>
      <c r="L100" t="s">
        <v>183</v>
      </c>
      <c r="M100" t="str">
        <f t="shared" si="5"/>
        <v>БизнесСтандартный вариантДругое</v>
      </c>
      <c r="N100" t="s">
        <v>11</v>
      </c>
      <c r="O100">
        <v>2000</v>
      </c>
      <c r="P100">
        <v>1</v>
      </c>
      <c r="Q100">
        <v>2000</v>
      </c>
    </row>
    <row r="101" spans="11:17" x14ac:dyDescent="0.3">
      <c r="K101" t="s">
        <v>7</v>
      </c>
      <c r="L101" t="s">
        <v>183</v>
      </c>
      <c r="M101" t="str">
        <f t="shared" si="5"/>
        <v>БизнесСтандартный вариантМаркетинговые отчисления</v>
      </c>
      <c r="N101" t="s">
        <v>206</v>
      </c>
      <c r="O101">
        <v>3500</v>
      </c>
      <c r="P101">
        <v>1</v>
      </c>
      <c r="Q101">
        <v>4500</v>
      </c>
    </row>
    <row r="102" spans="11:17" x14ac:dyDescent="0.3">
      <c r="K102" t="s">
        <v>7</v>
      </c>
      <c r="L102" t="s">
        <v>183</v>
      </c>
      <c r="M102" t="str">
        <f t="shared" si="5"/>
        <v>БизнесСтандартный вариантРоялти (от выручки)</v>
      </c>
      <c r="N102" t="s">
        <v>207</v>
      </c>
      <c r="P102">
        <v>0.08</v>
      </c>
      <c r="Q102">
        <v>0</v>
      </c>
    </row>
    <row r="103" spans="11:17" x14ac:dyDescent="0.3">
      <c r="K103" t="s">
        <v>7</v>
      </c>
      <c r="L103" t="s">
        <v>182</v>
      </c>
      <c r="M103" t="str">
        <f t="shared" si="5"/>
        <v>БизнесОптимистичный вариантАренда</v>
      </c>
      <c r="N103" t="s">
        <v>156</v>
      </c>
      <c r="O103">
        <v>20000</v>
      </c>
      <c r="P103">
        <v>1</v>
      </c>
      <c r="Q103">
        <v>20000</v>
      </c>
    </row>
    <row r="104" spans="11:17" x14ac:dyDescent="0.3">
      <c r="K104" t="s">
        <v>7</v>
      </c>
      <c r="L104" t="s">
        <v>182</v>
      </c>
      <c r="M104" t="str">
        <f t="shared" si="5"/>
        <v>БизнесОптимистичный вариантКомунальные услуги</v>
      </c>
      <c r="N104" t="s">
        <v>157</v>
      </c>
      <c r="O104">
        <v>4000</v>
      </c>
      <c r="P104">
        <v>1</v>
      </c>
      <c r="Q104">
        <v>4000</v>
      </c>
    </row>
    <row r="105" spans="11:17" x14ac:dyDescent="0.3">
      <c r="K105" t="s">
        <v>7</v>
      </c>
      <c r="L105" t="s">
        <v>182</v>
      </c>
      <c r="M105" t="str">
        <f t="shared" si="5"/>
        <v>БизнесОптимистичный вариантКомиссия эквайринга</v>
      </c>
      <c r="N105" t="s">
        <v>159</v>
      </c>
      <c r="O105">
        <v>1500</v>
      </c>
      <c r="P105">
        <v>1</v>
      </c>
      <c r="Q105">
        <v>1500</v>
      </c>
    </row>
    <row r="106" spans="11:17" x14ac:dyDescent="0.3">
      <c r="K106" t="s">
        <v>7</v>
      </c>
      <c r="L106" t="s">
        <v>182</v>
      </c>
      <c r="M106" t="str">
        <f t="shared" si="5"/>
        <v>БизнесОптимистичный вариантФиксированая ставка по эквайрингу</v>
      </c>
      <c r="N106" t="s">
        <v>164</v>
      </c>
      <c r="O106">
        <v>300</v>
      </c>
      <c r="P106">
        <v>1</v>
      </c>
      <c r="Q106">
        <v>300</v>
      </c>
    </row>
    <row r="107" spans="11:17" x14ac:dyDescent="0.3">
      <c r="K107" t="s">
        <v>7</v>
      </c>
      <c r="L107" t="s">
        <v>182</v>
      </c>
      <c r="M107" t="str">
        <f t="shared" si="5"/>
        <v>БизнесОптимистичный вариантЗ/п МРК</v>
      </c>
      <c r="N107" t="s">
        <v>160</v>
      </c>
      <c r="O107">
        <v>15000</v>
      </c>
      <c r="P107">
        <v>2</v>
      </c>
      <c r="Q107">
        <v>30000</v>
      </c>
    </row>
    <row r="108" spans="11:17" x14ac:dyDescent="0.3">
      <c r="K108" t="s">
        <v>7</v>
      </c>
      <c r="L108" t="s">
        <v>182</v>
      </c>
      <c r="M108" t="str">
        <f t="shared" si="5"/>
        <v>БизнесОптимистичный вариантЗ/п уборщица</v>
      </c>
      <c r="N108" t="s">
        <v>161</v>
      </c>
      <c r="O108">
        <v>1500</v>
      </c>
      <c r="P108">
        <v>1</v>
      </c>
      <c r="Q108">
        <v>1500</v>
      </c>
    </row>
    <row r="109" spans="11:17" x14ac:dyDescent="0.3">
      <c r="K109" t="s">
        <v>7</v>
      </c>
      <c r="L109" t="s">
        <v>182</v>
      </c>
      <c r="M109" t="str">
        <f t="shared" si="5"/>
        <v>БизнесОптимистичный вариантНалоги ФОП</v>
      </c>
      <c r="N109" t="s">
        <v>162</v>
      </c>
      <c r="O109">
        <v>1800</v>
      </c>
      <c r="P109">
        <v>1</v>
      </c>
      <c r="Q109">
        <v>1800</v>
      </c>
    </row>
    <row r="110" spans="11:17" x14ac:dyDescent="0.3">
      <c r="K110" t="s">
        <v>7</v>
      </c>
      <c r="L110" t="s">
        <v>182</v>
      </c>
      <c r="M110" t="str">
        <f t="shared" si="5"/>
        <v>БизнесОптимистичный вариантНалоги зарплатные</v>
      </c>
      <c r="N110" t="s">
        <v>163</v>
      </c>
      <c r="O110">
        <v>1000</v>
      </c>
      <c r="P110">
        <v>2</v>
      </c>
      <c r="Q110">
        <v>2000</v>
      </c>
    </row>
    <row r="111" spans="11:17" x14ac:dyDescent="0.3">
      <c r="K111" t="s">
        <v>7</v>
      </c>
      <c r="L111" t="s">
        <v>182</v>
      </c>
      <c r="M111" t="str">
        <f t="shared" si="5"/>
        <v>БизнесОптимистичный вариантСвязь (пополнение счета)</v>
      </c>
      <c r="N111" t="s">
        <v>165</v>
      </c>
      <c r="O111">
        <v>500</v>
      </c>
      <c r="P111">
        <v>1</v>
      </c>
      <c r="Q111">
        <v>500</v>
      </c>
    </row>
    <row r="112" spans="11:17" x14ac:dyDescent="0.3">
      <c r="K112" t="s">
        <v>7</v>
      </c>
      <c r="L112" t="s">
        <v>182</v>
      </c>
      <c r="M112" t="str">
        <f t="shared" si="5"/>
        <v xml:space="preserve">БизнесОптимистичный вариантУслуги бинотел </v>
      </c>
      <c r="N112" t="s">
        <v>166</v>
      </c>
      <c r="O112">
        <v>1200</v>
      </c>
      <c r="P112">
        <v>1</v>
      </c>
      <c r="Q112">
        <v>1200</v>
      </c>
    </row>
    <row r="113" spans="11:17" x14ac:dyDescent="0.3">
      <c r="K113" t="s">
        <v>7</v>
      </c>
      <c r="L113" t="s">
        <v>182</v>
      </c>
      <c r="M113" t="str">
        <f t="shared" si="5"/>
        <v>БизнесОптимистичный вариантРазмещение вакансий</v>
      </c>
      <c r="N113" t="s">
        <v>44</v>
      </c>
      <c r="O113">
        <v>1500</v>
      </c>
      <c r="P113">
        <v>1</v>
      </c>
      <c r="Q113">
        <v>1500</v>
      </c>
    </row>
    <row r="114" spans="11:17" x14ac:dyDescent="0.3">
      <c r="K114" t="s">
        <v>7</v>
      </c>
      <c r="L114" t="s">
        <v>182</v>
      </c>
      <c r="M114" t="str">
        <f t="shared" si="5"/>
        <v>БизнесОптимистичный вариантИнтернет</v>
      </c>
      <c r="N114" t="s">
        <v>167</v>
      </c>
      <c r="O114">
        <v>250</v>
      </c>
      <c r="P114">
        <v>1</v>
      </c>
      <c r="Q114">
        <v>250</v>
      </c>
    </row>
    <row r="115" spans="11:17" x14ac:dyDescent="0.3">
      <c r="K115" t="s">
        <v>7</v>
      </c>
      <c r="L115" t="s">
        <v>182</v>
      </c>
      <c r="M115" t="str">
        <f t="shared" si="5"/>
        <v>БизнесОптимистичный вариантВода в офис</v>
      </c>
      <c r="N115" t="s">
        <v>168</v>
      </c>
      <c r="O115">
        <v>800</v>
      </c>
      <c r="P115">
        <v>1</v>
      </c>
      <c r="Q115">
        <v>800</v>
      </c>
    </row>
    <row r="116" spans="11:17" x14ac:dyDescent="0.3">
      <c r="K116" t="s">
        <v>7</v>
      </c>
      <c r="L116" t="s">
        <v>182</v>
      </c>
      <c r="M116" t="str">
        <f t="shared" si="5"/>
        <v>БизнесОптимистичный вариантКанцтовары</v>
      </c>
      <c r="N116" t="s">
        <v>169</v>
      </c>
      <c r="O116">
        <v>400</v>
      </c>
      <c r="P116">
        <v>1</v>
      </c>
      <c r="Q116">
        <v>400</v>
      </c>
    </row>
    <row r="117" spans="11:17" x14ac:dyDescent="0.3">
      <c r="K117" t="s">
        <v>7</v>
      </c>
      <c r="L117" t="s">
        <v>182</v>
      </c>
      <c r="M117" t="str">
        <f t="shared" si="5"/>
        <v>БизнесОптимистичный вариантБатарейки</v>
      </c>
      <c r="N117" t="s">
        <v>65</v>
      </c>
      <c r="O117">
        <v>500</v>
      </c>
      <c r="P117">
        <v>1</v>
      </c>
      <c r="Q117">
        <v>500</v>
      </c>
    </row>
    <row r="118" spans="11:17" x14ac:dyDescent="0.3">
      <c r="K118" t="s">
        <v>7</v>
      </c>
      <c r="L118" t="s">
        <v>182</v>
      </c>
      <c r="M118" t="str">
        <f t="shared" si="5"/>
        <v>БизнесОптимистичный вариантАльфа смс (в срм-системе)</v>
      </c>
      <c r="N118" t="s">
        <v>170</v>
      </c>
      <c r="O118">
        <v>450</v>
      </c>
      <c r="P118">
        <v>1</v>
      </c>
      <c r="Q118">
        <v>450</v>
      </c>
    </row>
    <row r="119" spans="11:17" x14ac:dyDescent="0.3">
      <c r="K119" t="s">
        <v>7</v>
      </c>
      <c r="L119" t="s">
        <v>182</v>
      </c>
      <c r="M119" t="str">
        <f t="shared" si="5"/>
        <v>БизнесОптимистичный вариантПечать рекламных материалов</v>
      </c>
      <c r="N119" t="s">
        <v>171</v>
      </c>
      <c r="O119">
        <v>600</v>
      </c>
      <c r="P119">
        <v>1</v>
      </c>
      <c r="Q119">
        <v>600</v>
      </c>
    </row>
    <row r="120" spans="11:17" x14ac:dyDescent="0.3">
      <c r="K120" t="s">
        <v>7</v>
      </c>
      <c r="L120" t="s">
        <v>182</v>
      </c>
      <c r="M120" t="str">
        <f t="shared" si="5"/>
        <v>БизнесОптимистичный вариантЧай/кофе</v>
      </c>
      <c r="N120" t="s">
        <v>172</v>
      </c>
      <c r="O120">
        <v>250</v>
      </c>
      <c r="P120">
        <v>1</v>
      </c>
      <c r="Q120">
        <v>250</v>
      </c>
    </row>
    <row r="121" spans="11:17" x14ac:dyDescent="0.3">
      <c r="K121" t="s">
        <v>7</v>
      </c>
      <c r="L121" t="s">
        <v>182</v>
      </c>
      <c r="M121" t="str">
        <f t="shared" si="5"/>
        <v>БизнесОптимистичный вариантБытовая химия и прочее</v>
      </c>
      <c r="N121" t="s">
        <v>173</v>
      </c>
      <c r="O121">
        <v>500</v>
      </c>
      <c r="P121">
        <v>1</v>
      </c>
      <c r="Q121">
        <v>500</v>
      </c>
    </row>
    <row r="122" spans="11:17" x14ac:dyDescent="0.3">
      <c r="K122" t="s">
        <v>7</v>
      </c>
      <c r="L122" t="s">
        <v>182</v>
      </c>
      <c r="M122" t="str">
        <f t="shared" si="5"/>
        <v>БизнесОптимистичный вариантПриобретение мелких комплектующих</v>
      </c>
      <c r="N122" t="s">
        <v>174</v>
      </c>
      <c r="O122">
        <v>1000</v>
      </c>
      <c r="P122">
        <v>1</v>
      </c>
      <c r="Q122">
        <v>1000</v>
      </c>
    </row>
    <row r="123" spans="11:17" x14ac:dyDescent="0.3">
      <c r="K123" t="s">
        <v>7</v>
      </c>
      <c r="L123" t="s">
        <v>182</v>
      </c>
      <c r="M123" t="str">
        <f t="shared" si="5"/>
        <v>БизнесОптимистичный вариантРемонт тех комплектующих</v>
      </c>
      <c r="N123" t="s">
        <v>175</v>
      </c>
      <c r="O123">
        <v>1500</v>
      </c>
      <c r="P123">
        <v>1</v>
      </c>
      <c r="Q123">
        <v>1500</v>
      </c>
    </row>
    <row r="124" spans="11:17" x14ac:dyDescent="0.3">
      <c r="K124" t="s">
        <v>7</v>
      </c>
      <c r="L124" t="s">
        <v>182</v>
      </c>
      <c r="M124" t="str">
        <f t="shared" si="5"/>
        <v>БизнесОптимистичный вариантПриобретение деталей лего</v>
      </c>
      <c r="N124" t="s">
        <v>176</v>
      </c>
      <c r="O124">
        <v>1000</v>
      </c>
      <c r="P124">
        <v>1</v>
      </c>
      <c r="Q124">
        <v>1000</v>
      </c>
    </row>
    <row r="125" spans="11:17" x14ac:dyDescent="0.3">
      <c r="K125" t="s">
        <v>7</v>
      </c>
      <c r="L125" t="s">
        <v>182</v>
      </c>
      <c r="M125" t="str">
        <f t="shared" si="5"/>
        <v>БизнесОптимистичный вариантДругое</v>
      </c>
      <c r="N125" t="s">
        <v>11</v>
      </c>
      <c r="O125">
        <v>2000</v>
      </c>
      <c r="P125">
        <v>1</v>
      </c>
      <c r="Q125">
        <v>2000</v>
      </c>
    </row>
    <row r="126" spans="11:17" x14ac:dyDescent="0.3">
      <c r="K126" t="s">
        <v>7</v>
      </c>
      <c r="L126" t="s">
        <v>182</v>
      </c>
      <c r="M126" t="str">
        <f t="shared" si="5"/>
        <v>БизнесОптимистичный вариантМаркетинговые отчисления</v>
      </c>
      <c r="N126" t="s">
        <v>206</v>
      </c>
      <c r="O126">
        <v>3500</v>
      </c>
      <c r="P126">
        <v>1</v>
      </c>
      <c r="Q126">
        <v>4500</v>
      </c>
    </row>
    <row r="127" spans="11:17" x14ac:dyDescent="0.3">
      <c r="K127" t="s">
        <v>7</v>
      </c>
      <c r="L127" t="s">
        <v>182</v>
      </c>
      <c r="M127" t="str">
        <f t="shared" si="5"/>
        <v>БизнесОптимистичный вариантРоялти (от выручки)</v>
      </c>
      <c r="N127" t="s">
        <v>207</v>
      </c>
      <c r="P127">
        <v>0.08</v>
      </c>
      <c r="Q127">
        <v>0</v>
      </c>
    </row>
    <row r="128" spans="11:17" x14ac:dyDescent="0.3">
      <c r="K128" t="s">
        <v>7</v>
      </c>
      <c r="L128" t="s">
        <v>184</v>
      </c>
      <c r="M128" t="str">
        <f t="shared" si="5"/>
        <v>БизнесПессиместичный вариантАренда</v>
      </c>
      <c r="N128" t="s">
        <v>156</v>
      </c>
      <c r="O128">
        <v>20000</v>
      </c>
      <c r="P128">
        <v>1</v>
      </c>
      <c r="Q128">
        <v>20000</v>
      </c>
    </row>
    <row r="129" spans="11:17" x14ac:dyDescent="0.3">
      <c r="K129" t="s">
        <v>7</v>
      </c>
      <c r="L129" t="s">
        <v>184</v>
      </c>
      <c r="M129" t="str">
        <f t="shared" si="5"/>
        <v>БизнесПессиместичный вариантКомунальные услуги</v>
      </c>
      <c r="N129" t="s">
        <v>157</v>
      </c>
      <c r="O129">
        <v>4000</v>
      </c>
      <c r="P129">
        <v>1</v>
      </c>
      <c r="Q129">
        <v>4000</v>
      </c>
    </row>
    <row r="130" spans="11:17" x14ac:dyDescent="0.3">
      <c r="K130" t="s">
        <v>7</v>
      </c>
      <c r="L130" t="s">
        <v>184</v>
      </c>
      <c r="M130" t="str">
        <f t="shared" si="5"/>
        <v>БизнесПессиместичный вариантКомиссия эквайринга</v>
      </c>
      <c r="N130" t="s">
        <v>159</v>
      </c>
      <c r="O130">
        <v>1500</v>
      </c>
      <c r="P130">
        <v>1</v>
      </c>
      <c r="Q130">
        <v>1500</v>
      </c>
    </row>
    <row r="131" spans="11:17" x14ac:dyDescent="0.3">
      <c r="K131" t="s">
        <v>7</v>
      </c>
      <c r="L131" t="s">
        <v>184</v>
      </c>
      <c r="M131" t="str">
        <f t="shared" si="5"/>
        <v>БизнесПессиместичный вариантФиксированая ставка по эквайрингу</v>
      </c>
      <c r="N131" t="s">
        <v>164</v>
      </c>
      <c r="O131">
        <v>300</v>
      </c>
      <c r="P131">
        <v>1</v>
      </c>
      <c r="Q131">
        <v>300</v>
      </c>
    </row>
    <row r="132" spans="11:17" x14ac:dyDescent="0.3">
      <c r="K132" t="s">
        <v>7</v>
      </c>
      <c r="L132" t="s">
        <v>184</v>
      </c>
      <c r="M132" t="str">
        <f t="shared" ref="M132:M195" si="6">K132&amp;L132&amp;N132</f>
        <v>БизнесПессиместичный вариантЗ/п МРК</v>
      </c>
      <c r="N132" t="s">
        <v>160</v>
      </c>
      <c r="O132">
        <v>15000</v>
      </c>
      <c r="P132">
        <v>2</v>
      </c>
      <c r="Q132">
        <v>30000</v>
      </c>
    </row>
    <row r="133" spans="11:17" x14ac:dyDescent="0.3">
      <c r="K133" t="s">
        <v>7</v>
      </c>
      <c r="L133" t="s">
        <v>184</v>
      </c>
      <c r="M133" t="str">
        <f t="shared" si="6"/>
        <v>БизнесПессиместичный вариантЗ/п уборщица</v>
      </c>
      <c r="N133" t="s">
        <v>161</v>
      </c>
      <c r="O133">
        <v>1500</v>
      </c>
      <c r="P133">
        <v>1</v>
      </c>
      <c r="Q133">
        <v>1500</v>
      </c>
    </row>
    <row r="134" spans="11:17" x14ac:dyDescent="0.3">
      <c r="K134" t="s">
        <v>7</v>
      </c>
      <c r="L134" t="s">
        <v>184</v>
      </c>
      <c r="M134" t="str">
        <f t="shared" si="6"/>
        <v>БизнесПессиместичный вариантНалоги ФОП</v>
      </c>
      <c r="N134" t="s">
        <v>162</v>
      </c>
      <c r="O134">
        <v>1800</v>
      </c>
      <c r="P134">
        <v>1</v>
      </c>
      <c r="Q134">
        <v>1800</v>
      </c>
    </row>
    <row r="135" spans="11:17" x14ac:dyDescent="0.3">
      <c r="K135" t="s">
        <v>7</v>
      </c>
      <c r="L135" t="s">
        <v>184</v>
      </c>
      <c r="M135" t="str">
        <f t="shared" si="6"/>
        <v>БизнесПессиместичный вариантНалоги зарплатные</v>
      </c>
      <c r="N135" t="s">
        <v>163</v>
      </c>
      <c r="O135">
        <v>1000</v>
      </c>
      <c r="P135">
        <v>2</v>
      </c>
      <c r="Q135">
        <v>2000</v>
      </c>
    </row>
    <row r="136" spans="11:17" x14ac:dyDescent="0.3">
      <c r="K136" t="s">
        <v>7</v>
      </c>
      <c r="L136" t="s">
        <v>184</v>
      </c>
      <c r="M136" t="str">
        <f t="shared" si="6"/>
        <v>БизнесПессиместичный вариантСвязь (пополнение счета)</v>
      </c>
      <c r="N136" t="s">
        <v>165</v>
      </c>
      <c r="O136">
        <v>500</v>
      </c>
      <c r="P136">
        <v>1</v>
      </c>
      <c r="Q136">
        <v>500</v>
      </c>
    </row>
    <row r="137" spans="11:17" x14ac:dyDescent="0.3">
      <c r="K137" t="s">
        <v>7</v>
      </c>
      <c r="L137" t="s">
        <v>184</v>
      </c>
      <c r="M137" t="str">
        <f t="shared" si="6"/>
        <v xml:space="preserve">БизнесПессиместичный вариантУслуги бинотел </v>
      </c>
      <c r="N137" t="s">
        <v>166</v>
      </c>
      <c r="O137">
        <v>1200</v>
      </c>
      <c r="P137">
        <v>1</v>
      </c>
      <c r="Q137">
        <v>1200</v>
      </c>
    </row>
    <row r="138" spans="11:17" x14ac:dyDescent="0.3">
      <c r="K138" t="s">
        <v>7</v>
      </c>
      <c r="L138" t="s">
        <v>184</v>
      </c>
      <c r="M138" t="str">
        <f t="shared" si="6"/>
        <v>БизнесПессиместичный вариантРазмещение вакансий</v>
      </c>
      <c r="N138" t="s">
        <v>44</v>
      </c>
      <c r="O138">
        <v>1500</v>
      </c>
      <c r="P138">
        <v>1</v>
      </c>
      <c r="Q138">
        <v>1500</v>
      </c>
    </row>
    <row r="139" spans="11:17" x14ac:dyDescent="0.3">
      <c r="K139" t="s">
        <v>7</v>
      </c>
      <c r="L139" t="s">
        <v>184</v>
      </c>
      <c r="M139" t="str">
        <f t="shared" si="6"/>
        <v>БизнесПессиместичный вариантИнтернет</v>
      </c>
      <c r="N139" t="s">
        <v>167</v>
      </c>
      <c r="O139">
        <v>250</v>
      </c>
      <c r="P139">
        <v>1</v>
      </c>
      <c r="Q139">
        <v>250</v>
      </c>
    </row>
    <row r="140" spans="11:17" x14ac:dyDescent="0.3">
      <c r="K140" t="s">
        <v>7</v>
      </c>
      <c r="L140" t="s">
        <v>184</v>
      </c>
      <c r="M140" t="str">
        <f t="shared" si="6"/>
        <v>БизнесПессиместичный вариантВода в офис</v>
      </c>
      <c r="N140" t="s">
        <v>168</v>
      </c>
      <c r="O140">
        <v>800</v>
      </c>
      <c r="P140">
        <v>1</v>
      </c>
      <c r="Q140">
        <v>800</v>
      </c>
    </row>
    <row r="141" spans="11:17" x14ac:dyDescent="0.3">
      <c r="K141" t="s">
        <v>7</v>
      </c>
      <c r="L141" t="s">
        <v>184</v>
      </c>
      <c r="M141" t="str">
        <f t="shared" si="6"/>
        <v>БизнесПессиместичный вариантКанцтовары</v>
      </c>
      <c r="N141" t="s">
        <v>169</v>
      </c>
      <c r="O141">
        <v>400</v>
      </c>
      <c r="P141">
        <v>1</v>
      </c>
      <c r="Q141">
        <v>400</v>
      </c>
    </row>
    <row r="142" spans="11:17" x14ac:dyDescent="0.3">
      <c r="K142" t="s">
        <v>7</v>
      </c>
      <c r="L142" t="s">
        <v>184</v>
      </c>
      <c r="M142" t="str">
        <f t="shared" si="6"/>
        <v>БизнесПессиместичный вариантБатарейки</v>
      </c>
      <c r="N142" t="s">
        <v>65</v>
      </c>
      <c r="O142">
        <v>500</v>
      </c>
      <c r="P142">
        <v>1</v>
      </c>
      <c r="Q142">
        <v>500</v>
      </c>
    </row>
    <row r="143" spans="11:17" x14ac:dyDescent="0.3">
      <c r="K143" t="s">
        <v>7</v>
      </c>
      <c r="L143" t="s">
        <v>184</v>
      </c>
      <c r="M143" t="str">
        <f t="shared" si="6"/>
        <v>БизнесПессиместичный вариантАльфа смс (в срм-системе)</v>
      </c>
      <c r="N143" t="s">
        <v>170</v>
      </c>
      <c r="O143">
        <v>450</v>
      </c>
      <c r="P143">
        <v>1</v>
      </c>
      <c r="Q143">
        <v>450</v>
      </c>
    </row>
    <row r="144" spans="11:17" x14ac:dyDescent="0.3">
      <c r="K144" t="s">
        <v>7</v>
      </c>
      <c r="L144" t="s">
        <v>184</v>
      </c>
      <c r="M144" t="str">
        <f t="shared" si="6"/>
        <v>БизнесПессиместичный вариантПечать рекламных материалов</v>
      </c>
      <c r="N144" t="s">
        <v>171</v>
      </c>
      <c r="O144">
        <v>600</v>
      </c>
      <c r="P144">
        <v>1</v>
      </c>
      <c r="Q144">
        <v>600</v>
      </c>
    </row>
    <row r="145" spans="11:17" x14ac:dyDescent="0.3">
      <c r="K145" t="s">
        <v>7</v>
      </c>
      <c r="L145" t="s">
        <v>184</v>
      </c>
      <c r="M145" t="str">
        <f t="shared" si="6"/>
        <v>БизнесПессиместичный вариантЧай/кофе</v>
      </c>
      <c r="N145" t="s">
        <v>172</v>
      </c>
      <c r="O145">
        <v>250</v>
      </c>
      <c r="P145">
        <v>1</v>
      </c>
      <c r="Q145">
        <v>250</v>
      </c>
    </row>
    <row r="146" spans="11:17" x14ac:dyDescent="0.3">
      <c r="K146" t="s">
        <v>7</v>
      </c>
      <c r="L146" t="s">
        <v>184</v>
      </c>
      <c r="M146" t="str">
        <f t="shared" si="6"/>
        <v>БизнесПессиместичный вариантБытовая химия и прочее</v>
      </c>
      <c r="N146" t="s">
        <v>173</v>
      </c>
      <c r="O146">
        <v>500</v>
      </c>
      <c r="P146">
        <v>1</v>
      </c>
      <c r="Q146">
        <v>500</v>
      </c>
    </row>
    <row r="147" spans="11:17" x14ac:dyDescent="0.3">
      <c r="K147" t="s">
        <v>7</v>
      </c>
      <c r="L147" t="s">
        <v>184</v>
      </c>
      <c r="M147" t="str">
        <f t="shared" si="6"/>
        <v>БизнесПессиместичный вариантПриобретение мелких комплектующих</v>
      </c>
      <c r="N147" t="s">
        <v>174</v>
      </c>
      <c r="O147">
        <v>1000</v>
      </c>
      <c r="P147">
        <v>1</v>
      </c>
      <c r="Q147">
        <v>1000</v>
      </c>
    </row>
    <row r="148" spans="11:17" x14ac:dyDescent="0.3">
      <c r="K148" t="s">
        <v>7</v>
      </c>
      <c r="L148" t="s">
        <v>184</v>
      </c>
      <c r="M148" t="str">
        <f t="shared" si="6"/>
        <v>БизнесПессиместичный вариантРемонт тех комплектующих</v>
      </c>
      <c r="N148" t="s">
        <v>175</v>
      </c>
      <c r="O148">
        <v>1500</v>
      </c>
      <c r="P148">
        <v>1</v>
      </c>
      <c r="Q148">
        <v>1500</v>
      </c>
    </row>
    <row r="149" spans="11:17" x14ac:dyDescent="0.3">
      <c r="K149" t="s">
        <v>7</v>
      </c>
      <c r="L149" t="s">
        <v>184</v>
      </c>
      <c r="M149" t="str">
        <f t="shared" si="6"/>
        <v>БизнесПессиместичный вариантПриобретение деталей лего</v>
      </c>
      <c r="N149" t="s">
        <v>176</v>
      </c>
      <c r="O149">
        <v>1000</v>
      </c>
      <c r="P149">
        <v>1</v>
      </c>
      <c r="Q149">
        <v>1000</v>
      </c>
    </row>
    <row r="150" spans="11:17" x14ac:dyDescent="0.3">
      <c r="K150" t="s">
        <v>7</v>
      </c>
      <c r="L150" t="s">
        <v>184</v>
      </c>
      <c r="M150" t="str">
        <f t="shared" si="6"/>
        <v>БизнесПессиместичный вариантДругое</v>
      </c>
      <c r="N150" t="s">
        <v>11</v>
      </c>
      <c r="O150">
        <v>2000</v>
      </c>
      <c r="P150">
        <v>1</v>
      </c>
      <c r="Q150">
        <v>2000</v>
      </c>
    </row>
    <row r="151" spans="11:17" x14ac:dyDescent="0.3">
      <c r="K151" t="s">
        <v>7</v>
      </c>
      <c r="L151" t="s">
        <v>184</v>
      </c>
      <c r="M151" t="str">
        <f t="shared" si="6"/>
        <v>БизнесПессиместичный вариантМаркетинговые отчисления</v>
      </c>
      <c r="N151" t="s">
        <v>206</v>
      </c>
      <c r="O151">
        <v>3500</v>
      </c>
      <c r="P151">
        <v>1</v>
      </c>
      <c r="Q151">
        <v>4500</v>
      </c>
    </row>
    <row r="152" spans="11:17" x14ac:dyDescent="0.3">
      <c r="K152" t="s">
        <v>7</v>
      </c>
      <c r="L152" t="s">
        <v>184</v>
      </c>
      <c r="M152" t="str">
        <f t="shared" si="6"/>
        <v>БизнесПессиместичный вариантРоялти (от выручки)</v>
      </c>
      <c r="N152" t="s">
        <v>207</v>
      </c>
      <c r="P152">
        <v>0.08</v>
      </c>
      <c r="Q152">
        <v>0</v>
      </c>
    </row>
    <row r="153" spans="11:17" x14ac:dyDescent="0.3">
      <c r="K153" t="s">
        <v>8</v>
      </c>
      <c r="L153" t="s">
        <v>183</v>
      </c>
      <c r="M153" t="str">
        <f t="shared" si="6"/>
        <v>ПлатинумСтандартный вариантАренда</v>
      </c>
      <c r="N153" t="s">
        <v>156</v>
      </c>
      <c r="O153">
        <v>20000</v>
      </c>
      <c r="P153">
        <v>1</v>
      </c>
      <c r="Q153">
        <v>20000</v>
      </c>
    </row>
    <row r="154" spans="11:17" x14ac:dyDescent="0.3">
      <c r="K154" t="s">
        <v>8</v>
      </c>
      <c r="L154" t="s">
        <v>183</v>
      </c>
      <c r="M154" t="str">
        <f t="shared" si="6"/>
        <v>ПлатинумСтандартный вариантКомунальные услуги</v>
      </c>
      <c r="N154" t="s">
        <v>157</v>
      </c>
      <c r="O154">
        <v>4000</v>
      </c>
      <c r="P154">
        <v>1</v>
      </c>
      <c r="Q154">
        <v>4000</v>
      </c>
    </row>
    <row r="155" spans="11:17" x14ac:dyDescent="0.3">
      <c r="K155" t="s">
        <v>8</v>
      </c>
      <c r="L155" t="s">
        <v>183</v>
      </c>
      <c r="M155" t="str">
        <f t="shared" si="6"/>
        <v>ПлатинумСтандартный вариантКомиссия эквайринга</v>
      </c>
      <c r="N155" t="s">
        <v>159</v>
      </c>
      <c r="O155">
        <v>1500</v>
      </c>
      <c r="P155">
        <v>1</v>
      </c>
      <c r="Q155">
        <v>1500</v>
      </c>
    </row>
    <row r="156" spans="11:17" x14ac:dyDescent="0.3">
      <c r="K156" t="s">
        <v>8</v>
      </c>
      <c r="L156" t="s">
        <v>183</v>
      </c>
      <c r="M156" t="str">
        <f t="shared" si="6"/>
        <v>ПлатинумСтандартный вариантФиксированая ставка по эквайрингу</v>
      </c>
      <c r="N156" t="s">
        <v>164</v>
      </c>
      <c r="O156">
        <v>300</v>
      </c>
      <c r="P156">
        <v>1</v>
      </c>
      <c r="Q156">
        <v>300</v>
      </c>
    </row>
    <row r="157" spans="11:17" x14ac:dyDescent="0.3">
      <c r="K157" t="s">
        <v>8</v>
      </c>
      <c r="L157" t="s">
        <v>183</v>
      </c>
      <c r="M157" t="str">
        <f t="shared" si="6"/>
        <v>ПлатинумСтандартный вариантЗ/п МРК</v>
      </c>
      <c r="N157" t="s">
        <v>160</v>
      </c>
      <c r="O157">
        <v>15000</v>
      </c>
      <c r="P157">
        <v>2</v>
      </c>
      <c r="Q157">
        <v>30000</v>
      </c>
    </row>
    <row r="158" spans="11:17" x14ac:dyDescent="0.3">
      <c r="K158" t="s">
        <v>8</v>
      </c>
      <c r="L158" t="s">
        <v>183</v>
      </c>
      <c r="M158" t="str">
        <f t="shared" si="6"/>
        <v>ПлатинумСтандартный вариантЗ/п уборщица</v>
      </c>
      <c r="N158" t="s">
        <v>161</v>
      </c>
      <c r="O158">
        <v>1500</v>
      </c>
      <c r="P158">
        <v>1</v>
      </c>
      <c r="Q158">
        <v>1500</v>
      </c>
    </row>
    <row r="159" spans="11:17" x14ac:dyDescent="0.3">
      <c r="K159" t="s">
        <v>8</v>
      </c>
      <c r="L159" t="s">
        <v>183</v>
      </c>
      <c r="M159" t="str">
        <f t="shared" si="6"/>
        <v>ПлатинумСтандартный вариантНалоги ФОП</v>
      </c>
      <c r="N159" t="s">
        <v>162</v>
      </c>
      <c r="O159">
        <v>1800</v>
      </c>
      <c r="P159">
        <v>1</v>
      </c>
      <c r="Q159">
        <v>1800</v>
      </c>
    </row>
    <row r="160" spans="11:17" x14ac:dyDescent="0.3">
      <c r="K160" t="s">
        <v>8</v>
      </c>
      <c r="L160" t="s">
        <v>183</v>
      </c>
      <c r="M160" t="str">
        <f t="shared" si="6"/>
        <v>ПлатинумСтандартный вариантНалоги зарплатные</v>
      </c>
      <c r="N160" t="s">
        <v>163</v>
      </c>
      <c r="O160">
        <v>1000</v>
      </c>
      <c r="P160">
        <v>2</v>
      </c>
      <c r="Q160">
        <v>2000</v>
      </c>
    </row>
    <row r="161" spans="11:17" x14ac:dyDescent="0.3">
      <c r="K161" t="s">
        <v>8</v>
      </c>
      <c r="L161" t="s">
        <v>183</v>
      </c>
      <c r="M161" t="str">
        <f t="shared" si="6"/>
        <v>ПлатинумСтандартный вариантСвязь (пополнение счета)</v>
      </c>
      <c r="N161" t="s">
        <v>165</v>
      </c>
      <c r="O161">
        <v>500</v>
      </c>
      <c r="P161">
        <v>1</v>
      </c>
      <c r="Q161">
        <v>500</v>
      </c>
    </row>
    <row r="162" spans="11:17" x14ac:dyDescent="0.3">
      <c r="K162" t="s">
        <v>8</v>
      </c>
      <c r="L162" t="s">
        <v>183</v>
      </c>
      <c r="M162" t="str">
        <f t="shared" si="6"/>
        <v xml:space="preserve">ПлатинумСтандартный вариантУслуги бинотел </v>
      </c>
      <c r="N162" t="s">
        <v>166</v>
      </c>
      <c r="O162">
        <v>1200</v>
      </c>
      <c r="P162">
        <v>1</v>
      </c>
      <c r="Q162">
        <v>1200</v>
      </c>
    </row>
    <row r="163" spans="11:17" x14ac:dyDescent="0.3">
      <c r="K163" t="s">
        <v>8</v>
      </c>
      <c r="L163" t="s">
        <v>183</v>
      </c>
      <c r="M163" t="str">
        <f t="shared" si="6"/>
        <v>ПлатинумСтандартный вариантРазмещение вакансий</v>
      </c>
      <c r="N163" t="s">
        <v>44</v>
      </c>
      <c r="O163">
        <v>1500</v>
      </c>
      <c r="P163">
        <v>1</v>
      </c>
      <c r="Q163">
        <v>1500</v>
      </c>
    </row>
    <row r="164" spans="11:17" x14ac:dyDescent="0.3">
      <c r="K164" t="s">
        <v>8</v>
      </c>
      <c r="L164" t="s">
        <v>183</v>
      </c>
      <c r="M164" t="str">
        <f t="shared" si="6"/>
        <v>ПлатинумСтандартный вариантИнтернет</v>
      </c>
      <c r="N164" t="s">
        <v>167</v>
      </c>
      <c r="O164">
        <v>250</v>
      </c>
      <c r="P164">
        <v>1</v>
      </c>
      <c r="Q164">
        <v>250</v>
      </c>
    </row>
    <row r="165" spans="11:17" x14ac:dyDescent="0.3">
      <c r="K165" t="s">
        <v>8</v>
      </c>
      <c r="L165" t="s">
        <v>183</v>
      </c>
      <c r="M165" t="str">
        <f t="shared" si="6"/>
        <v>ПлатинумСтандартный вариантВода в офис</v>
      </c>
      <c r="N165" t="s">
        <v>168</v>
      </c>
      <c r="O165">
        <v>800</v>
      </c>
      <c r="P165">
        <v>1</v>
      </c>
      <c r="Q165">
        <v>800</v>
      </c>
    </row>
    <row r="166" spans="11:17" x14ac:dyDescent="0.3">
      <c r="K166" t="s">
        <v>8</v>
      </c>
      <c r="L166" t="s">
        <v>183</v>
      </c>
      <c r="M166" t="str">
        <f t="shared" si="6"/>
        <v>ПлатинумСтандартный вариантКанцтовары</v>
      </c>
      <c r="N166" t="s">
        <v>169</v>
      </c>
      <c r="O166">
        <v>400</v>
      </c>
      <c r="P166">
        <v>1</v>
      </c>
      <c r="Q166">
        <v>400</v>
      </c>
    </row>
    <row r="167" spans="11:17" x14ac:dyDescent="0.3">
      <c r="K167" t="s">
        <v>8</v>
      </c>
      <c r="L167" t="s">
        <v>183</v>
      </c>
      <c r="M167" t="str">
        <f t="shared" si="6"/>
        <v>ПлатинумСтандартный вариантБатарейки</v>
      </c>
      <c r="N167" t="s">
        <v>65</v>
      </c>
      <c r="O167">
        <v>500</v>
      </c>
      <c r="P167">
        <v>1</v>
      </c>
      <c r="Q167">
        <v>500</v>
      </c>
    </row>
    <row r="168" spans="11:17" x14ac:dyDescent="0.3">
      <c r="K168" t="s">
        <v>8</v>
      </c>
      <c r="L168" t="s">
        <v>183</v>
      </c>
      <c r="M168" t="str">
        <f t="shared" si="6"/>
        <v>ПлатинумСтандартный вариантАльфа смс (в срм-системе)</v>
      </c>
      <c r="N168" t="s">
        <v>170</v>
      </c>
      <c r="O168">
        <v>450</v>
      </c>
      <c r="P168">
        <v>1</v>
      </c>
      <c r="Q168">
        <v>450</v>
      </c>
    </row>
    <row r="169" spans="11:17" x14ac:dyDescent="0.3">
      <c r="K169" t="s">
        <v>8</v>
      </c>
      <c r="L169" t="s">
        <v>183</v>
      </c>
      <c r="M169" t="str">
        <f t="shared" si="6"/>
        <v>ПлатинумСтандартный вариантПечать рекламных материалов</v>
      </c>
      <c r="N169" t="s">
        <v>171</v>
      </c>
      <c r="O169">
        <v>600</v>
      </c>
      <c r="P169">
        <v>1</v>
      </c>
      <c r="Q169">
        <v>600</v>
      </c>
    </row>
    <row r="170" spans="11:17" x14ac:dyDescent="0.3">
      <c r="K170" t="s">
        <v>8</v>
      </c>
      <c r="L170" t="s">
        <v>183</v>
      </c>
      <c r="M170" t="str">
        <f t="shared" si="6"/>
        <v>ПлатинумСтандартный вариантЧай/кофе</v>
      </c>
      <c r="N170" t="s">
        <v>172</v>
      </c>
      <c r="O170">
        <v>250</v>
      </c>
      <c r="P170">
        <v>1</v>
      </c>
      <c r="Q170">
        <v>250</v>
      </c>
    </row>
    <row r="171" spans="11:17" x14ac:dyDescent="0.3">
      <c r="K171" t="s">
        <v>8</v>
      </c>
      <c r="L171" t="s">
        <v>183</v>
      </c>
      <c r="M171" t="str">
        <f t="shared" si="6"/>
        <v>ПлатинумСтандартный вариантБытовая химия и прочее</v>
      </c>
      <c r="N171" t="s">
        <v>173</v>
      </c>
      <c r="O171">
        <v>500</v>
      </c>
      <c r="P171">
        <v>1</v>
      </c>
      <c r="Q171">
        <v>500</v>
      </c>
    </row>
    <row r="172" spans="11:17" x14ac:dyDescent="0.3">
      <c r="K172" t="s">
        <v>8</v>
      </c>
      <c r="L172" t="s">
        <v>183</v>
      </c>
      <c r="M172" t="str">
        <f t="shared" si="6"/>
        <v>ПлатинумСтандартный вариантПриобретение мелких комплектующих</v>
      </c>
      <c r="N172" t="s">
        <v>174</v>
      </c>
      <c r="O172">
        <v>1000</v>
      </c>
      <c r="P172">
        <v>1</v>
      </c>
      <c r="Q172">
        <v>1000</v>
      </c>
    </row>
    <row r="173" spans="11:17" x14ac:dyDescent="0.3">
      <c r="K173" t="s">
        <v>8</v>
      </c>
      <c r="L173" t="s">
        <v>183</v>
      </c>
      <c r="M173" t="str">
        <f t="shared" si="6"/>
        <v>ПлатинумСтандартный вариантРемонт тех комплектующих</v>
      </c>
      <c r="N173" t="s">
        <v>175</v>
      </c>
      <c r="O173">
        <v>1500</v>
      </c>
      <c r="P173">
        <v>1</v>
      </c>
      <c r="Q173">
        <v>1500</v>
      </c>
    </row>
    <row r="174" spans="11:17" x14ac:dyDescent="0.3">
      <c r="K174" t="s">
        <v>8</v>
      </c>
      <c r="L174" t="s">
        <v>183</v>
      </c>
      <c r="M174" t="str">
        <f t="shared" si="6"/>
        <v>ПлатинумСтандартный вариантПриобретение деталей лего</v>
      </c>
      <c r="N174" t="s">
        <v>176</v>
      </c>
      <c r="O174">
        <v>1000</v>
      </c>
      <c r="P174">
        <v>1</v>
      </c>
      <c r="Q174">
        <v>1000</v>
      </c>
    </row>
    <row r="175" spans="11:17" x14ac:dyDescent="0.3">
      <c r="K175" t="s">
        <v>8</v>
      </c>
      <c r="L175" t="s">
        <v>183</v>
      </c>
      <c r="M175" t="str">
        <f t="shared" si="6"/>
        <v>ПлатинумСтандартный вариантДругое</v>
      </c>
      <c r="N175" t="s">
        <v>11</v>
      </c>
      <c r="O175">
        <v>2000</v>
      </c>
      <c r="P175">
        <v>1</v>
      </c>
      <c r="Q175">
        <v>2000</v>
      </c>
    </row>
    <row r="176" spans="11:17" x14ac:dyDescent="0.3">
      <c r="K176" t="s">
        <v>8</v>
      </c>
      <c r="L176" t="s">
        <v>183</v>
      </c>
      <c r="M176" t="str">
        <f t="shared" si="6"/>
        <v>ПлатинумСтандартный вариантМаркетинговые отчисления</v>
      </c>
      <c r="N176" t="s">
        <v>206</v>
      </c>
      <c r="O176">
        <v>4500</v>
      </c>
      <c r="P176">
        <v>1</v>
      </c>
      <c r="Q176">
        <v>5500</v>
      </c>
    </row>
    <row r="177" spans="11:17" x14ac:dyDescent="0.3">
      <c r="K177" t="s">
        <v>8</v>
      </c>
      <c r="L177" t="s">
        <v>183</v>
      </c>
      <c r="M177" t="str">
        <f t="shared" si="6"/>
        <v>ПлатинумСтандартный вариантРоялти (от выручки)</v>
      </c>
      <c r="N177" t="s">
        <v>207</v>
      </c>
      <c r="P177">
        <v>0.08</v>
      </c>
      <c r="Q177">
        <v>0</v>
      </c>
    </row>
    <row r="178" spans="11:17" x14ac:dyDescent="0.3">
      <c r="K178" t="s">
        <v>8</v>
      </c>
      <c r="L178" t="s">
        <v>182</v>
      </c>
      <c r="M178" t="str">
        <f t="shared" si="6"/>
        <v>ПлатинумОптимистичный вариантАренда</v>
      </c>
      <c r="N178" t="s">
        <v>156</v>
      </c>
      <c r="O178">
        <v>20000</v>
      </c>
      <c r="P178">
        <v>1</v>
      </c>
      <c r="Q178">
        <v>20000</v>
      </c>
    </row>
    <row r="179" spans="11:17" x14ac:dyDescent="0.3">
      <c r="K179" t="s">
        <v>8</v>
      </c>
      <c r="L179" t="s">
        <v>182</v>
      </c>
      <c r="M179" t="str">
        <f t="shared" si="6"/>
        <v>ПлатинумОптимистичный вариантКомунальные услуги</v>
      </c>
      <c r="N179" t="s">
        <v>157</v>
      </c>
      <c r="O179">
        <v>4000</v>
      </c>
      <c r="P179">
        <v>1</v>
      </c>
      <c r="Q179">
        <v>4000</v>
      </c>
    </row>
    <row r="180" spans="11:17" x14ac:dyDescent="0.3">
      <c r="K180" t="s">
        <v>8</v>
      </c>
      <c r="L180" t="s">
        <v>182</v>
      </c>
      <c r="M180" t="str">
        <f t="shared" si="6"/>
        <v>ПлатинумОптимистичный вариантКомиссия эквайринга</v>
      </c>
      <c r="N180" t="s">
        <v>159</v>
      </c>
      <c r="O180">
        <v>1500</v>
      </c>
      <c r="P180">
        <v>1</v>
      </c>
      <c r="Q180">
        <v>1500</v>
      </c>
    </row>
    <row r="181" spans="11:17" x14ac:dyDescent="0.3">
      <c r="K181" t="s">
        <v>8</v>
      </c>
      <c r="L181" t="s">
        <v>182</v>
      </c>
      <c r="M181" t="str">
        <f t="shared" si="6"/>
        <v>ПлатинумОптимистичный вариантФиксированая ставка по эквайрингу</v>
      </c>
      <c r="N181" t="s">
        <v>164</v>
      </c>
      <c r="O181">
        <v>300</v>
      </c>
      <c r="P181">
        <v>1</v>
      </c>
      <c r="Q181">
        <v>300</v>
      </c>
    </row>
    <row r="182" spans="11:17" x14ac:dyDescent="0.3">
      <c r="K182" t="s">
        <v>8</v>
      </c>
      <c r="L182" t="s">
        <v>182</v>
      </c>
      <c r="M182" t="str">
        <f t="shared" si="6"/>
        <v>ПлатинумОптимистичный вариантЗ/п МРК</v>
      </c>
      <c r="N182" t="s">
        <v>160</v>
      </c>
      <c r="O182">
        <v>15000</v>
      </c>
      <c r="P182">
        <v>2</v>
      </c>
      <c r="Q182">
        <v>30000</v>
      </c>
    </row>
    <row r="183" spans="11:17" x14ac:dyDescent="0.3">
      <c r="K183" t="s">
        <v>8</v>
      </c>
      <c r="L183" t="s">
        <v>182</v>
      </c>
      <c r="M183" t="str">
        <f t="shared" si="6"/>
        <v>ПлатинумОптимистичный вариантЗ/п уборщица</v>
      </c>
      <c r="N183" t="s">
        <v>161</v>
      </c>
      <c r="O183">
        <v>1500</v>
      </c>
      <c r="P183">
        <v>1</v>
      </c>
      <c r="Q183">
        <v>1500</v>
      </c>
    </row>
    <row r="184" spans="11:17" x14ac:dyDescent="0.3">
      <c r="K184" t="s">
        <v>8</v>
      </c>
      <c r="L184" t="s">
        <v>182</v>
      </c>
      <c r="M184" t="str">
        <f t="shared" si="6"/>
        <v>ПлатинумОптимистичный вариантНалоги ФОП</v>
      </c>
      <c r="N184" t="s">
        <v>162</v>
      </c>
      <c r="O184">
        <v>1800</v>
      </c>
      <c r="P184">
        <v>1</v>
      </c>
      <c r="Q184">
        <v>1800</v>
      </c>
    </row>
    <row r="185" spans="11:17" x14ac:dyDescent="0.3">
      <c r="K185" t="s">
        <v>8</v>
      </c>
      <c r="L185" t="s">
        <v>182</v>
      </c>
      <c r="M185" t="str">
        <f t="shared" si="6"/>
        <v>ПлатинумОптимистичный вариантНалоги зарплатные</v>
      </c>
      <c r="N185" t="s">
        <v>163</v>
      </c>
      <c r="O185">
        <v>1000</v>
      </c>
      <c r="P185">
        <v>2</v>
      </c>
      <c r="Q185">
        <v>2000</v>
      </c>
    </row>
    <row r="186" spans="11:17" x14ac:dyDescent="0.3">
      <c r="K186" t="s">
        <v>8</v>
      </c>
      <c r="L186" t="s">
        <v>182</v>
      </c>
      <c r="M186" t="str">
        <f t="shared" si="6"/>
        <v>ПлатинумОптимистичный вариантСвязь (пополнение счета)</v>
      </c>
      <c r="N186" t="s">
        <v>165</v>
      </c>
      <c r="O186">
        <v>500</v>
      </c>
      <c r="P186">
        <v>1</v>
      </c>
      <c r="Q186">
        <v>500</v>
      </c>
    </row>
    <row r="187" spans="11:17" x14ac:dyDescent="0.3">
      <c r="K187" t="s">
        <v>8</v>
      </c>
      <c r="L187" t="s">
        <v>182</v>
      </c>
      <c r="M187" t="str">
        <f t="shared" si="6"/>
        <v xml:space="preserve">ПлатинумОптимистичный вариантУслуги бинотел </v>
      </c>
      <c r="N187" t="s">
        <v>166</v>
      </c>
      <c r="O187">
        <v>1200</v>
      </c>
      <c r="P187">
        <v>1</v>
      </c>
      <c r="Q187">
        <v>1200</v>
      </c>
    </row>
    <row r="188" spans="11:17" x14ac:dyDescent="0.3">
      <c r="K188" t="s">
        <v>8</v>
      </c>
      <c r="L188" t="s">
        <v>182</v>
      </c>
      <c r="M188" t="str">
        <f t="shared" si="6"/>
        <v>ПлатинумОптимистичный вариантРазмещение вакансий</v>
      </c>
      <c r="N188" t="s">
        <v>44</v>
      </c>
      <c r="O188">
        <v>1500</v>
      </c>
      <c r="P188">
        <v>1</v>
      </c>
      <c r="Q188">
        <v>1500</v>
      </c>
    </row>
    <row r="189" spans="11:17" x14ac:dyDescent="0.3">
      <c r="K189" t="s">
        <v>8</v>
      </c>
      <c r="L189" t="s">
        <v>182</v>
      </c>
      <c r="M189" t="str">
        <f t="shared" si="6"/>
        <v>ПлатинумОптимистичный вариантИнтернет</v>
      </c>
      <c r="N189" t="s">
        <v>167</v>
      </c>
      <c r="O189">
        <v>250</v>
      </c>
      <c r="P189">
        <v>1</v>
      </c>
      <c r="Q189">
        <v>250</v>
      </c>
    </row>
    <row r="190" spans="11:17" x14ac:dyDescent="0.3">
      <c r="K190" t="s">
        <v>8</v>
      </c>
      <c r="L190" t="s">
        <v>182</v>
      </c>
      <c r="M190" t="str">
        <f t="shared" si="6"/>
        <v>ПлатинумОптимистичный вариантВода в офис</v>
      </c>
      <c r="N190" t="s">
        <v>168</v>
      </c>
      <c r="O190">
        <v>800</v>
      </c>
      <c r="P190">
        <v>1</v>
      </c>
      <c r="Q190">
        <v>800</v>
      </c>
    </row>
    <row r="191" spans="11:17" x14ac:dyDescent="0.3">
      <c r="K191" t="s">
        <v>8</v>
      </c>
      <c r="L191" t="s">
        <v>182</v>
      </c>
      <c r="M191" t="str">
        <f t="shared" si="6"/>
        <v>ПлатинумОптимистичный вариантКанцтовары</v>
      </c>
      <c r="N191" t="s">
        <v>169</v>
      </c>
      <c r="O191">
        <v>400</v>
      </c>
      <c r="P191">
        <v>1</v>
      </c>
      <c r="Q191">
        <v>400</v>
      </c>
    </row>
    <row r="192" spans="11:17" x14ac:dyDescent="0.3">
      <c r="K192" t="s">
        <v>8</v>
      </c>
      <c r="L192" t="s">
        <v>182</v>
      </c>
      <c r="M192" t="str">
        <f t="shared" si="6"/>
        <v>ПлатинумОптимистичный вариантБатарейки</v>
      </c>
      <c r="N192" t="s">
        <v>65</v>
      </c>
      <c r="O192">
        <v>500</v>
      </c>
      <c r="P192">
        <v>1</v>
      </c>
      <c r="Q192">
        <v>500</v>
      </c>
    </row>
    <row r="193" spans="11:17" x14ac:dyDescent="0.3">
      <c r="K193" t="s">
        <v>8</v>
      </c>
      <c r="L193" t="s">
        <v>182</v>
      </c>
      <c r="M193" t="str">
        <f t="shared" si="6"/>
        <v>ПлатинумОптимистичный вариантАльфа смс (в срм-системе)</v>
      </c>
      <c r="N193" t="s">
        <v>170</v>
      </c>
      <c r="O193">
        <v>450</v>
      </c>
      <c r="P193">
        <v>1</v>
      </c>
      <c r="Q193">
        <v>450</v>
      </c>
    </row>
    <row r="194" spans="11:17" x14ac:dyDescent="0.3">
      <c r="K194" t="s">
        <v>8</v>
      </c>
      <c r="L194" t="s">
        <v>182</v>
      </c>
      <c r="M194" t="str">
        <f t="shared" si="6"/>
        <v>ПлатинумОптимистичный вариантПечать рекламных материалов</v>
      </c>
      <c r="N194" t="s">
        <v>171</v>
      </c>
      <c r="O194">
        <v>600</v>
      </c>
      <c r="P194">
        <v>1</v>
      </c>
      <c r="Q194">
        <v>600</v>
      </c>
    </row>
    <row r="195" spans="11:17" x14ac:dyDescent="0.3">
      <c r="K195" t="s">
        <v>8</v>
      </c>
      <c r="L195" t="s">
        <v>182</v>
      </c>
      <c r="M195" t="str">
        <f t="shared" si="6"/>
        <v>ПлатинумОптимистичный вариантЧай/кофе</v>
      </c>
      <c r="N195" t="s">
        <v>172</v>
      </c>
      <c r="O195">
        <v>250</v>
      </c>
      <c r="P195">
        <v>1</v>
      </c>
      <c r="Q195">
        <v>250</v>
      </c>
    </row>
    <row r="196" spans="11:17" x14ac:dyDescent="0.3">
      <c r="K196" t="s">
        <v>8</v>
      </c>
      <c r="L196" t="s">
        <v>182</v>
      </c>
      <c r="M196" t="str">
        <f t="shared" ref="M196:M227" si="7">K196&amp;L196&amp;N196</f>
        <v>ПлатинумОптимистичный вариантБытовая химия и прочее</v>
      </c>
      <c r="N196" t="s">
        <v>173</v>
      </c>
      <c r="O196">
        <v>500</v>
      </c>
      <c r="P196">
        <v>1</v>
      </c>
      <c r="Q196">
        <v>500</v>
      </c>
    </row>
    <row r="197" spans="11:17" x14ac:dyDescent="0.3">
      <c r="K197" t="s">
        <v>8</v>
      </c>
      <c r="L197" t="s">
        <v>182</v>
      </c>
      <c r="M197" t="str">
        <f t="shared" si="7"/>
        <v>ПлатинумОптимистичный вариантПриобретение мелких комплектующих</v>
      </c>
      <c r="N197" t="s">
        <v>174</v>
      </c>
      <c r="O197">
        <v>1000</v>
      </c>
      <c r="P197">
        <v>1</v>
      </c>
      <c r="Q197">
        <v>1000</v>
      </c>
    </row>
    <row r="198" spans="11:17" x14ac:dyDescent="0.3">
      <c r="K198" t="s">
        <v>8</v>
      </c>
      <c r="L198" t="s">
        <v>182</v>
      </c>
      <c r="M198" t="str">
        <f t="shared" si="7"/>
        <v>ПлатинумОптимистичный вариантРемонт тех комплектующих</v>
      </c>
      <c r="N198" t="s">
        <v>175</v>
      </c>
      <c r="O198">
        <v>1500</v>
      </c>
      <c r="P198">
        <v>1</v>
      </c>
      <c r="Q198">
        <v>1500</v>
      </c>
    </row>
    <row r="199" spans="11:17" x14ac:dyDescent="0.3">
      <c r="K199" t="s">
        <v>8</v>
      </c>
      <c r="L199" t="s">
        <v>182</v>
      </c>
      <c r="M199" t="str">
        <f t="shared" si="7"/>
        <v>ПлатинумОптимистичный вариантПриобретение деталей лего</v>
      </c>
      <c r="N199" t="s">
        <v>176</v>
      </c>
      <c r="O199">
        <v>1000</v>
      </c>
      <c r="P199">
        <v>1</v>
      </c>
      <c r="Q199">
        <v>1000</v>
      </c>
    </row>
    <row r="200" spans="11:17" x14ac:dyDescent="0.3">
      <c r="K200" t="s">
        <v>8</v>
      </c>
      <c r="L200" t="s">
        <v>182</v>
      </c>
      <c r="M200" t="str">
        <f t="shared" si="7"/>
        <v>ПлатинумОптимистичный вариантДругое</v>
      </c>
      <c r="N200" t="s">
        <v>11</v>
      </c>
      <c r="O200">
        <v>2000</v>
      </c>
      <c r="P200">
        <v>1</v>
      </c>
      <c r="Q200">
        <v>2000</v>
      </c>
    </row>
    <row r="201" spans="11:17" x14ac:dyDescent="0.3">
      <c r="K201" t="s">
        <v>8</v>
      </c>
      <c r="L201" t="s">
        <v>182</v>
      </c>
      <c r="M201" t="str">
        <f t="shared" si="7"/>
        <v>ПлатинумОптимистичный вариантМаркетинговые отчисления</v>
      </c>
      <c r="N201" t="s">
        <v>206</v>
      </c>
      <c r="O201">
        <v>4500</v>
      </c>
      <c r="P201">
        <v>1</v>
      </c>
      <c r="Q201">
        <v>5500</v>
      </c>
    </row>
    <row r="202" spans="11:17" x14ac:dyDescent="0.3">
      <c r="K202" t="s">
        <v>8</v>
      </c>
      <c r="L202" t="s">
        <v>182</v>
      </c>
      <c r="M202" t="str">
        <f t="shared" si="7"/>
        <v>ПлатинумОптимистичный вариантРоялти (от выручки)</v>
      </c>
      <c r="N202" t="s">
        <v>207</v>
      </c>
      <c r="P202">
        <v>0.08</v>
      </c>
      <c r="Q202">
        <v>0</v>
      </c>
    </row>
    <row r="203" spans="11:17" x14ac:dyDescent="0.3">
      <c r="K203" t="s">
        <v>8</v>
      </c>
      <c r="L203" t="s">
        <v>184</v>
      </c>
      <c r="M203" t="str">
        <f t="shared" si="7"/>
        <v>ПлатинумПессиместичный вариантАренда</v>
      </c>
      <c r="N203" t="s">
        <v>156</v>
      </c>
      <c r="O203">
        <v>20000</v>
      </c>
      <c r="P203">
        <v>1</v>
      </c>
      <c r="Q203">
        <v>20000</v>
      </c>
    </row>
    <row r="204" spans="11:17" x14ac:dyDescent="0.3">
      <c r="K204" t="s">
        <v>8</v>
      </c>
      <c r="L204" t="s">
        <v>184</v>
      </c>
      <c r="M204" t="str">
        <f t="shared" si="7"/>
        <v>ПлатинумПессиместичный вариантКомунальные услуги</v>
      </c>
      <c r="N204" t="s">
        <v>157</v>
      </c>
      <c r="O204">
        <v>4000</v>
      </c>
      <c r="P204">
        <v>1</v>
      </c>
      <c r="Q204">
        <v>4000</v>
      </c>
    </row>
    <row r="205" spans="11:17" x14ac:dyDescent="0.3">
      <c r="K205" t="s">
        <v>8</v>
      </c>
      <c r="L205" t="s">
        <v>184</v>
      </c>
      <c r="M205" t="str">
        <f t="shared" si="7"/>
        <v>ПлатинумПессиместичный вариантКомиссия эквайринга</v>
      </c>
      <c r="N205" t="s">
        <v>159</v>
      </c>
      <c r="O205">
        <v>1500</v>
      </c>
      <c r="P205">
        <v>1</v>
      </c>
      <c r="Q205">
        <v>1500</v>
      </c>
    </row>
    <row r="206" spans="11:17" x14ac:dyDescent="0.3">
      <c r="K206" t="s">
        <v>8</v>
      </c>
      <c r="L206" t="s">
        <v>184</v>
      </c>
      <c r="M206" t="str">
        <f t="shared" si="7"/>
        <v>ПлатинумПессиместичный вариантФиксированая ставка по эквайрингу</v>
      </c>
      <c r="N206" t="s">
        <v>164</v>
      </c>
      <c r="O206">
        <v>300</v>
      </c>
      <c r="P206">
        <v>1</v>
      </c>
      <c r="Q206">
        <v>300</v>
      </c>
    </row>
    <row r="207" spans="11:17" x14ac:dyDescent="0.3">
      <c r="K207" t="s">
        <v>8</v>
      </c>
      <c r="L207" t="s">
        <v>184</v>
      </c>
      <c r="M207" t="str">
        <f t="shared" si="7"/>
        <v>ПлатинумПессиместичный вариантЗ/п МРК</v>
      </c>
      <c r="N207" t="s">
        <v>160</v>
      </c>
      <c r="O207">
        <v>15000</v>
      </c>
      <c r="P207">
        <v>2</v>
      </c>
      <c r="Q207">
        <v>30000</v>
      </c>
    </row>
    <row r="208" spans="11:17" x14ac:dyDescent="0.3">
      <c r="K208" t="s">
        <v>8</v>
      </c>
      <c r="L208" t="s">
        <v>184</v>
      </c>
      <c r="M208" t="str">
        <f t="shared" si="7"/>
        <v>ПлатинумПессиместичный вариантЗ/п уборщица</v>
      </c>
      <c r="N208" t="s">
        <v>161</v>
      </c>
      <c r="O208">
        <v>1500</v>
      </c>
      <c r="P208">
        <v>1</v>
      </c>
      <c r="Q208">
        <v>1500</v>
      </c>
    </row>
    <row r="209" spans="11:17" x14ac:dyDescent="0.3">
      <c r="K209" t="s">
        <v>8</v>
      </c>
      <c r="L209" t="s">
        <v>184</v>
      </c>
      <c r="M209" t="str">
        <f t="shared" si="7"/>
        <v>ПлатинумПессиместичный вариантНалоги ФОП</v>
      </c>
      <c r="N209" t="s">
        <v>162</v>
      </c>
      <c r="O209">
        <v>1800</v>
      </c>
      <c r="P209">
        <v>1</v>
      </c>
      <c r="Q209">
        <v>1800</v>
      </c>
    </row>
    <row r="210" spans="11:17" x14ac:dyDescent="0.3">
      <c r="K210" t="s">
        <v>8</v>
      </c>
      <c r="L210" t="s">
        <v>184</v>
      </c>
      <c r="M210" t="str">
        <f t="shared" si="7"/>
        <v>ПлатинумПессиместичный вариантНалоги зарплатные</v>
      </c>
      <c r="N210" t="s">
        <v>163</v>
      </c>
      <c r="O210">
        <v>1000</v>
      </c>
      <c r="P210">
        <v>2</v>
      </c>
      <c r="Q210">
        <v>2000</v>
      </c>
    </row>
    <row r="211" spans="11:17" x14ac:dyDescent="0.3">
      <c r="K211" t="s">
        <v>8</v>
      </c>
      <c r="L211" t="s">
        <v>184</v>
      </c>
      <c r="M211" t="str">
        <f t="shared" si="7"/>
        <v>ПлатинумПессиместичный вариантСвязь (пополнение счета)</v>
      </c>
      <c r="N211" t="s">
        <v>165</v>
      </c>
      <c r="O211">
        <v>500</v>
      </c>
      <c r="P211">
        <v>1</v>
      </c>
      <c r="Q211">
        <v>500</v>
      </c>
    </row>
    <row r="212" spans="11:17" x14ac:dyDescent="0.3">
      <c r="K212" t="s">
        <v>8</v>
      </c>
      <c r="L212" t="s">
        <v>184</v>
      </c>
      <c r="M212" t="str">
        <f t="shared" si="7"/>
        <v xml:space="preserve">ПлатинумПессиместичный вариантУслуги бинотел </v>
      </c>
      <c r="N212" t="s">
        <v>166</v>
      </c>
      <c r="O212">
        <v>1200</v>
      </c>
      <c r="P212">
        <v>1</v>
      </c>
      <c r="Q212">
        <v>1200</v>
      </c>
    </row>
    <row r="213" spans="11:17" x14ac:dyDescent="0.3">
      <c r="K213" t="s">
        <v>8</v>
      </c>
      <c r="L213" t="s">
        <v>184</v>
      </c>
      <c r="M213" t="str">
        <f t="shared" si="7"/>
        <v>ПлатинумПессиместичный вариантРазмещение вакансий</v>
      </c>
      <c r="N213" t="s">
        <v>44</v>
      </c>
      <c r="O213">
        <v>1500</v>
      </c>
      <c r="P213">
        <v>1</v>
      </c>
      <c r="Q213">
        <v>1500</v>
      </c>
    </row>
    <row r="214" spans="11:17" x14ac:dyDescent="0.3">
      <c r="K214" t="s">
        <v>8</v>
      </c>
      <c r="L214" t="s">
        <v>184</v>
      </c>
      <c r="M214" t="str">
        <f t="shared" si="7"/>
        <v>ПлатинумПессиместичный вариантИнтернет</v>
      </c>
      <c r="N214" t="s">
        <v>167</v>
      </c>
      <c r="O214">
        <v>250</v>
      </c>
      <c r="P214">
        <v>1</v>
      </c>
      <c r="Q214">
        <v>250</v>
      </c>
    </row>
    <row r="215" spans="11:17" x14ac:dyDescent="0.3">
      <c r="K215" t="s">
        <v>8</v>
      </c>
      <c r="L215" t="s">
        <v>184</v>
      </c>
      <c r="M215" t="str">
        <f t="shared" si="7"/>
        <v>ПлатинумПессиместичный вариантВода в офис</v>
      </c>
      <c r="N215" t="s">
        <v>168</v>
      </c>
      <c r="O215">
        <v>800</v>
      </c>
      <c r="P215">
        <v>1</v>
      </c>
      <c r="Q215">
        <v>800</v>
      </c>
    </row>
    <row r="216" spans="11:17" x14ac:dyDescent="0.3">
      <c r="K216" t="s">
        <v>8</v>
      </c>
      <c r="L216" t="s">
        <v>184</v>
      </c>
      <c r="M216" t="str">
        <f t="shared" si="7"/>
        <v>ПлатинумПессиместичный вариантКанцтовары</v>
      </c>
      <c r="N216" t="s">
        <v>169</v>
      </c>
      <c r="O216">
        <v>400</v>
      </c>
      <c r="P216">
        <v>1</v>
      </c>
      <c r="Q216">
        <v>400</v>
      </c>
    </row>
    <row r="217" spans="11:17" x14ac:dyDescent="0.3">
      <c r="K217" t="s">
        <v>8</v>
      </c>
      <c r="L217" t="s">
        <v>184</v>
      </c>
      <c r="M217" t="str">
        <f t="shared" si="7"/>
        <v>ПлатинумПессиместичный вариантБатарейки</v>
      </c>
      <c r="N217" t="s">
        <v>65</v>
      </c>
      <c r="O217">
        <v>500</v>
      </c>
      <c r="P217">
        <v>1</v>
      </c>
      <c r="Q217">
        <v>500</v>
      </c>
    </row>
    <row r="218" spans="11:17" x14ac:dyDescent="0.3">
      <c r="K218" t="s">
        <v>8</v>
      </c>
      <c r="L218" t="s">
        <v>184</v>
      </c>
      <c r="M218" t="str">
        <f t="shared" si="7"/>
        <v>ПлатинумПессиместичный вариантАльфа смс (в срм-системе)</v>
      </c>
      <c r="N218" t="s">
        <v>170</v>
      </c>
      <c r="O218">
        <v>450</v>
      </c>
      <c r="P218">
        <v>1</v>
      </c>
      <c r="Q218">
        <v>450</v>
      </c>
    </row>
    <row r="219" spans="11:17" x14ac:dyDescent="0.3">
      <c r="K219" t="s">
        <v>8</v>
      </c>
      <c r="L219" t="s">
        <v>184</v>
      </c>
      <c r="M219" t="str">
        <f t="shared" si="7"/>
        <v>ПлатинумПессиместичный вариантПечать рекламных материалов</v>
      </c>
      <c r="N219" t="s">
        <v>171</v>
      </c>
      <c r="O219">
        <v>600</v>
      </c>
      <c r="P219">
        <v>1</v>
      </c>
      <c r="Q219">
        <v>600</v>
      </c>
    </row>
    <row r="220" spans="11:17" x14ac:dyDescent="0.3">
      <c r="K220" t="s">
        <v>8</v>
      </c>
      <c r="L220" t="s">
        <v>184</v>
      </c>
      <c r="M220" t="str">
        <f t="shared" si="7"/>
        <v>ПлатинумПессиместичный вариантЧай/кофе</v>
      </c>
      <c r="N220" t="s">
        <v>172</v>
      </c>
      <c r="O220">
        <v>250</v>
      </c>
      <c r="P220">
        <v>1</v>
      </c>
      <c r="Q220">
        <v>250</v>
      </c>
    </row>
    <row r="221" spans="11:17" x14ac:dyDescent="0.3">
      <c r="K221" t="s">
        <v>8</v>
      </c>
      <c r="L221" t="s">
        <v>184</v>
      </c>
      <c r="M221" t="str">
        <f t="shared" si="7"/>
        <v>ПлатинумПессиместичный вариантБытовая химия и прочее</v>
      </c>
      <c r="N221" t="s">
        <v>173</v>
      </c>
      <c r="O221">
        <v>500</v>
      </c>
      <c r="P221">
        <v>1</v>
      </c>
      <c r="Q221">
        <v>500</v>
      </c>
    </row>
    <row r="222" spans="11:17" x14ac:dyDescent="0.3">
      <c r="K222" t="s">
        <v>8</v>
      </c>
      <c r="L222" t="s">
        <v>184</v>
      </c>
      <c r="M222" t="str">
        <f t="shared" si="7"/>
        <v>ПлатинумПессиместичный вариантПриобретение мелких комплектующих</v>
      </c>
      <c r="N222" t="s">
        <v>174</v>
      </c>
      <c r="O222">
        <v>1000</v>
      </c>
      <c r="P222">
        <v>1</v>
      </c>
      <c r="Q222">
        <v>1000</v>
      </c>
    </row>
    <row r="223" spans="11:17" x14ac:dyDescent="0.3">
      <c r="K223" t="s">
        <v>8</v>
      </c>
      <c r="L223" t="s">
        <v>184</v>
      </c>
      <c r="M223" t="str">
        <f t="shared" si="7"/>
        <v>ПлатинумПессиместичный вариантРемонт тех комплектующих</v>
      </c>
      <c r="N223" t="s">
        <v>175</v>
      </c>
      <c r="O223">
        <v>1500</v>
      </c>
      <c r="P223">
        <v>1</v>
      </c>
      <c r="Q223">
        <v>1500</v>
      </c>
    </row>
    <row r="224" spans="11:17" x14ac:dyDescent="0.3">
      <c r="K224" t="s">
        <v>8</v>
      </c>
      <c r="L224" t="s">
        <v>184</v>
      </c>
      <c r="M224" t="str">
        <f t="shared" si="7"/>
        <v>ПлатинумПессиместичный вариантПриобретение деталей лего</v>
      </c>
      <c r="N224" t="s">
        <v>176</v>
      </c>
      <c r="O224">
        <v>1000</v>
      </c>
      <c r="P224">
        <v>1</v>
      </c>
      <c r="Q224">
        <v>1000</v>
      </c>
    </row>
    <row r="225" spans="11:17" x14ac:dyDescent="0.3">
      <c r="K225" t="s">
        <v>8</v>
      </c>
      <c r="L225" t="s">
        <v>184</v>
      </c>
      <c r="M225" t="str">
        <f t="shared" si="7"/>
        <v>ПлатинумПессиместичный вариантДругое</v>
      </c>
      <c r="N225" t="s">
        <v>11</v>
      </c>
      <c r="O225">
        <v>2000</v>
      </c>
      <c r="P225">
        <v>1</v>
      </c>
      <c r="Q225">
        <v>2000</v>
      </c>
    </row>
    <row r="226" spans="11:17" x14ac:dyDescent="0.3">
      <c r="K226" t="s">
        <v>8</v>
      </c>
      <c r="L226" t="s">
        <v>184</v>
      </c>
      <c r="M226" t="str">
        <f t="shared" si="7"/>
        <v>ПлатинумПессиместичный вариантМаркетинговые отчисления</v>
      </c>
      <c r="N226" t="s">
        <v>206</v>
      </c>
      <c r="O226">
        <v>4500</v>
      </c>
      <c r="P226">
        <v>1</v>
      </c>
      <c r="Q226">
        <v>5500</v>
      </c>
    </row>
    <row r="227" spans="11:17" x14ac:dyDescent="0.3">
      <c r="K227" t="s">
        <v>8</v>
      </c>
      <c r="L227" t="s">
        <v>184</v>
      </c>
      <c r="M227" t="str">
        <f t="shared" si="7"/>
        <v>ПлатинумПессиместичный вариантРоялти (от выручки)</v>
      </c>
      <c r="N227" t="s">
        <v>207</v>
      </c>
      <c r="P227">
        <v>0.08</v>
      </c>
      <c r="Q227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K18"/>
  <sheetViews>
    <sheetView showGridLines="0" workbookViewId="0">
      <selection sqref="A1:XFD1048576"/>
    </sheetView>
  </sheetViews>
  <sheetFormatPr defaultRowHeight="15.6" x14ac:dyDescent="0.3"/>
  <cols>
    <col min="1" max="1" width="29.59765625" customWidth="1"/>
    <col min="2" max="2" width="8.09765625" customWidth="1"/>
    <col min="3" max="3" width="11.8984375" customWidth="1"/>
    <col min="4" max="4" width="13.09765625" customWidth="1"/>
    <col min="5" max="8" width="11.8984375" customWidth="1"/>
  </cols>
  <sheetData>
    <row r="1" spans="1:11" ht="55.5" customHeight="1" thickBot="1" x14ac:dyDescent="0.35">
      <c r="A1" s="105" t="s">
        <v>185</v>
      </c>
      <c r="B1" s="106" t="s">
        <v>186</v>
      </c>
      <c r="C1" s="106" t="s">
        <v>187</v>
      </c>
      <c r="D1" s="106" t="s">
        <v>188</v>
      </c>
      <c r="E1" s="106" t="s">
        <v>189</v>
      </c>
      <c r="F1" s="106" t="s">
        <v>190</v>
      </c>
      <c r="G1" s="106" t="s">
        <v>191</v>
      </c>
      <c r="H1" s="107" t="s">
        <v>192</v>
      </c>
    </row>
    <row r="2" spans="1:11" x14ac:dyDescent="0.3">
      <c r="A2" s="149" t="s">
        <v>182</v>
      </c>
      <c r="B2" s="150"/>
      <c r="C2" s="151">
        <v>0.25</v>
      </c>
      <c r="D2" s="151">
        <v>0.5</v>
      </c>
      <c r="E2" s="151">
        <v>0.3</v>
      </c>
      <c r="F2" s="151">
        <v>0.35</v>
      </c>
      <c r="G2" s="150">
        <v>350</v>
      </c>
      <c r="H2" s="152">
        <v>600</v>
      </c>
    </row>
    <row r="3" spans="1:11" x14ac:dyDescent="0.3">
      <c r="A3" s="149" t="s">
        <v>183</v>
      </c>
      <c r="B3" s="150"/>
      <c r="C3" s="151">
        <v>0.2</v>
      </c>
      <c r="D3" s="151">
        <v>0.45</v>
      </c>
      <c r="E3" s="151">
        <v>0.25</v>
      </c>
      <c r="F3" s="151">
        <v>0.3</v>
      </c>
      <c r="G3" s="150">
        <v>400</v>
      </c>
      <c r="H3" s="152">
        <v>700</v>
      </c>
    </row>
    <row r="4" spans="1:11" ht="16.2" thickBot="1" x14ac:dyDescent="0.35">
      <c r="A4" s="153" t="s">
        <v>184</v>
      </c>
      <c r="B4" s="154"/>
      <c r="C4" s="155">
        <v>0.17</v>
      </c>
      <c r="D4" s="155">
        <v>0.42</v>
      </c>
      <c r="E4" s="155">
        <v>0.23</v>
      </c>
      <c r="F4" s="155">
        <v>0.27</v>
      </c>
      <c r="G4" s="154">
        <v>450</v>
      </c>
      <c r="H4" s="10">
        <v>750</v>
      </c>
    </row>
    <row r="5" spans="1:11" ht="16.2" thickBot="1" x14ac:dyDescent="0.35"/>
    <row r="6" spans="1:11" ht="73.5" customHeight="1" thickBot="1" x14ac:dyDescent="0.35">
      <c r="A6" s="108" t="s">
        <v>221</v>
      </c>
      <c r="B6" s="109" t="s">
        <v>186</v>
      </c>
      <c r="C6" s="109" t="s">
        <v>187</v>
      </c>
      <c r="D6" s="109" t="s">
        <v>188</v>
      </c>
      <c r="E6" s="109" t="s">
        <v>189</v>
      </c>
      <c r="F6" s="109" t="s">
        <v>190</v>
      </c>
      <c r="G6" s="109" t="s">
        <v>191</v>
      </c>
      <c r="H6" s="110" t="s">
        <v>192</v>
      </c>
      <c r="J6" s="104"/>
      <c r="K6" s="104"/>
    </row>
    <row r="7" spans="1:11" x14ac:dyDescent="0.3">
      <c r="A7" s="149" t="s">
        <v>182</v>
      </c>
      <c r="B7" s="150"/>
      <c r="C7" s="151">
        <v>0.25</v>
      </c>
      <c r="D7" s="151">
        <v>0.5</v>
      </c>
      <c r="E7" s="151">
        <v>0.3</v>
      </c>
      <c r="F7" s="151">
        <v>0.35</v>
      </c>
      <c r="G7" s="150">
        <v>350</v>
      </c>
      <c r="H7" s="152">
        <v>600</v>
      </c>
    </row>
    <row r="8" spans="1:11" x14ac:dyDescent="0.3">
      <c r="A8" s="149" t="s">
        <v>183</v>
      </c>
      <c r="B8" s="150"/>
      <c r="C8" s="151">
        <v>0.2</v>
      </c>
      <c r="D8" s="151">
        <v>0.45</v>
      </c>
      <c r="E8" s="151">
        <v>0.25</v>
      </c>
      <c r="F8" s="151">
        <v>0.3</v>
      </c>
      <c r="G8" s="150">
        <v>400</v>
      </c>
      <c r="H8" s="152">
        <v>700</v>
      </c>
    </row>
    <row r="9" spans="1:11" ht="16.2" thickBot="1" x14ac:dyDescent="0.35">
      <c r="A9" s="153" t="s">
        <v>184</v>
      </c>
      <c r="B9" s="154"/>
      <c r="C9" s="155">
        <v>0.18</v>
      </c>
      <c r="D9" s="155">
        <v>0.43</v>
      </c>
      <c r="E9" s="155">
        <v>0.23</v>
      </c>
      <c r="F9" s="155">
        <v>0.28000000000000003</v>
      </c>
      <c r="G9" s="154">
        <v>425</v>
      </c>
      <c r="H9" s="10">
        <v>750</v>
      </c>
    </row>
    <row r="10" spans="1:11" ht="16.2" thickBot="1" x14ac:dyDescent="0.35">
      <c r="C10" s="68"/>
      <c r="D10" s="68"/>
      <c r="E10" s="68"/>
      <c r="F10" s="68"/>
    </row>
    <row r="11" spans="1:11" ht="72" customHeight="1" thickBot="1" x14ac:dyDescent="0.35">
      <c r="A11" s="111" t="s">
        <v>222</v>
      </c>
      <c r="B11" s="112" t="s">
        <v>186</v>
      </c>
      <c r="C11" s="112" t="s">
        <v>187</v>
      </c>
      <c r="D11" s="112" t="s">
        <v>188</v>
      </c>
      <c r="E11" s="112" t="s">
        <v>189</v>
      </c>
      <c r="F11" s="112" t="s">
        <v>190</v>
      </c>
      <c r="G11" s="112" t="s">
        <v>191</v>
      </c>
      <c r="H11" s="113" t="s">
        <v>192</v>
      </c>
    </row>
    <row r="12" spans="1:11" x14ac:dyDescent="0.3">
      <c r="A12" s="149" t="s">
        <v>182</v>
      </c>
      <c r="B12" s="150"/>
      <c r="C12" s="151">
        <v>0.22</v>
      </c>
      <c r="D12" s="151">
        <v>0.47</v>
      </c>
      <c r="E12" s="151">
        <v>0.27</v>
      </c>
      <c r="F12" s="151">
        <v>0.32</v>
      </c>
      <c r="G12" s="150">
        <v>400</v>
      </c>
      <c r="H12" s="152">
        <v>650</v>
      </c>
    </row>
    <row r="13" spans="1:11" x14ac:dyDescent="0.3">
      <c r="A13" s="149" t="s">
        <v>183</v>
      </c>
      <c r="B13" s="150"/>
      <c r="C13" s="151">
        <v>0.17</v>
      </c>
      <c r="D13" s="151">
        <v>0.42</v>
      </c>
      <c r="E13" s="151">
        <v>0.22</v>
      </c>
      <c r="F13" s="151">
        <v>0.27</v>
      </c>
      <c r="G13" s="150">
        <v>450</v>
      </c>
      <c r="H13" s="152">
        <v>700</v>
      </c>
    </row>
    <row r="14" spans="1:11" ht="16.2" thickBot="1" x14ac:dyDescent="0.35">
      <c r="A14" s="153" t="s">
        <v>184</v>
      </c>
      <c r="B14" s="154"/>
      <c r="C14" s="155">
        <v>0.15</v>
      </c>
      <c r="D14" s="155">
        <v>0.4</v>
      </c>
      <c r="E14" s="155">
        <v>0.2</v>
      </c>
      <c r="F14" s="155">
        <v>0.25</v>
      </c>
      <c r="G14" s="154">
        <v>500</v>
      </c>
      <c r="H14" s="10">
        <v>750</v>
      </c>
    </row>
    <row r="15" spans="1:11" ht="16.2" thickBot="1" x14ac:dyDescent="0.35">
      <c r="C15" s="68"/>
      <c r="D15" s="68"/>
      <c r="E15" s="68"/>
      <c r="F15" s="68"/>
    </row>
    <row r="16" spans="1:11" x14ac:dyDescent="0.3">
      <c r="A16" s="8"/>
      <c r="B16" s="5" t="s">
        <v>78</v>
      </c>
      <c r="C16" s="6" t="s">
        <v>77</v>
      </c>
    </row>
    <row r="17" spans="1:3" ht="16.2" thickBot="1" x14ac:dyDescent="0.35">
      <c r="A17" s="7" t="s">
        <v>88</v>
      </c>
      <c r="B17" s="9">
        <v>1</v>
      </c>
      <c r="C17" s="10">
        <v>26.6</v>
      </c>
    </row>
    <row r="18" spans="1:3" x14ac:dyDescent="0.3">
      <c r="A18" t="s">
        <v>219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>
      <selection activeCell="E1" sqref="E1"/>
    </sheetView>
  </sheetViews>
  <sheetFormatPr defaultRowHeight="15.6" x14ac:dyDescent="0.3"/>
  <sheetData>
    <row r="1" spans="1:19" ht="105.6" thickBot="1" x14ac:dyDescent="0.35">
      <c r="A1" s="161" t="s">
        <v>137</v>
      </c>
      <c r="B1" s="150" t="s">
        <v>182</v>
      </c>
      <c r="C1" s="150" t="str">
        <f>A1&amp;B1</f>
        <v>СтартОптимистичный вариант</v>
      </c>
      <c r="D1" s="162">
        <v>10520.300751879699</v>
      </c>
      <c r="E1" s="162">
        <v>4000</v>
      </c>
      <c r="F1" s="151">
        <v>0.08</v>
      </c>
      <c r="G1" s="162">
        <v>3500</v>
      </c>
      <c r="H1" s="162">
        <v>25798.766917293229</v>
      </c>
      <c r="I1" s="163">
        <v>6</v>
      </c>
      <c r="L1" s="84" t="s">
        <v>142</v>
      </c>
      <c r="M1" s="84" t="s">
        <v>1</v>
      </c>
      <c r="N1" s="84" t="s">
        <v>197</v>
      </c>
      <c r="O1" s="84" t="s">
        <v>143</v>
      </c>
      <c r="P1" s="84" t="s">
        <v>89</v>
      </c>
      <c r="Q1" s="84" t="s">
        <v>3</v>
      </c>
      <c r="R1" s="84" t="s">
        <v>84</v>
      </c>
      <c r="S1" s="84" t="s">
        <v>179</v>
      </c>
    </row>
    <row r="2" spans="1:19" x14ac:dyDescent="0.3">
      <c r="A2" s="161" t="s">
        <v>7</v>
      </c>
      <c r="B2" s="150" t="s">
        <v>182</v>
      </c>
      <c r="C2" s="150" t="str">
        <f t="shared" ref="C2:C9" si="0">A2&amp;B2</f>
        <v>БизнесОптимистичный вариант</v>
      </c>
      <c r="D2" s="162">
        <v>20323.496240601504</v>
      </c>
      <c r="E2" s="162">
        <v>6000</v>
      </c>
      <c r="F2" s="151">
        <v>0.08</v>
      </c>
      <c r="G2" s="162">
        <v>4500</v>
      </c>
      <c r="H2" s="162">
        <v>39085.789473684206</v>
      </c>
      <c r="I2" s="163">
        <v>7</v>
      </c>
      <c r="L2" s="156" t="s">
        <v>137</v>
      </c>
      <c r="M2" s="156" t="s">
        <v>4</v>
      </c>
      <c r="N2" s="156" t="s">
        <v>198</v>
      </c>
      <c r="O2" s="156" t="s">
        <v>83</v>
      </c>
      <c r="P2" s="156" t="s">
        <v>2</v>
      </c>
      <c r="Q2" s="156">
        <v>1</v>
      </c>
      <c r="R2" s="174">
        <v>10520.300751879699</v>
      </c>
      <c r="S2" s="188">
        <v>4000</v>
      </c>
    </row>
    <row r="3" spans="1:19" ht="16.2" thickBot="1" x14ac:dyDescent="0.35">
      <c r="A3" s="7" t="s">
        <v>8</v>
      </c>
      <c r="B3" s="154" t="s">
        <v>182</v>
      </c>
      <c r="C3" s="150" t="str">
        <f t="shared" si="0"/>
        <v>ПлатинумОптимистичный вариант</v>
      </c>
      <c r="D3" s="164">
        <v>21664.774436090225</v>
      </c>
      <c r="E3" s="164">
        <v>8000</v>
      </c>
      <c r="F3" s="155">
        <v>0.08</v>
      </c>
      <c r="G3" s="164">
        <v>5500</v>
      </c>
      <c r="H3" s="164">
        <v>45827.406015037603</v>
      </c>
      <c r="I3" s="165">
        <v>7</v>
      </c>
      <c r="L3" s="157" t="s">
        <v>7</v>
      </c>
      <c r="M3" s="157" t="s">
        <v>201</v>
      </c>
      <c r="N3" s="158" t="s">
        <v>199</v>
      </c>
      <c r="O3" s="157" t="s">
        <v>195</v>
      </c>
      <c r="P3" s="157" t="s">
        <v>2</v>
      </c>
      <c r="Q3" s="159" t="s">
        <v>5</v>
      </c>
      <c r="R3" s="175">
        <v>20323.496240601504</v>
      </c>
      <c r="S3" s="187">
        <v>6000</v>
      </c>
    </row>
    <row r="4" spans="1:19" ht="16.2" thickBot="1" x14ac:dyDescent="0.35">
      <c r="A4" s="161" t="s">
        <v>137</v>
      </c>
      <c r="B4" s="150" t="s">
        <v>183</v>
      </c>
      <c r="C4" s="150" t="str">
        <f t="shared" si="0"/>
        <v>СтартСтандартный вариант</v>
      </c>
      <c r="D4" s="162">
        <v>10520.300751879699</v>
      </c>
      <c r="E4" s="162">
        <v>4000</v>
      </c>
      <c r="F4" s="151">
        <v>0.08</v>
      </c>
      <c r="G4" s="162">
        <v>3500</v>
      </c>
      <c r="H4" s="162">
        <v>14158.691729323307</v>
      </c>
      <c r="I4" s="163">
        <v>11</v>
      </c>
      <c r="L4" s="160" t="s">
        <v>8</v>
      </c>
      <c r="M4" s="160" t="s">
        <v>202</v>
      </c>
      <c r="N4" s="160" t="s">
        <v>200</v>
      </c>
      <c r="O4" s="160" t="s">
        <v>196</v>
      </c>
      <c r="P4" s="160" t="s">
        <v>6</v>
      </c>
      <c r="Q4" s="160">
        <v>2</v>
      </c>
      <c r="R4" s="177">
        <v>21664.774436090225</v>
      </c>
      <c r="S4" s="189">
        <v>8000</v>
      </c>
    </row>
    <row r="5" spans="1:19" x14ac:dyDescent="0.3">
      <c r="A5" s="161" t="s">
        <v>7</v>
      </c>
      <c r="B5" s="150" t="s">
        <v>183</v>
      </c>
      <c r="C5" s="150" t="str">
        <f t="shared" si="0"/>
        <v>БизнесСтандартный вариант</v>
      </c>
      <c r="D5" s="162">
        <v>20323.496240601504</v>
      </c>
      <c r="E5" s="162">
        <v>6000</v>
      </c>
      <c r="F5" s="151">
        <v>0.08</v>
      </c>
      <c r="G5" s="162">
        <v>4500</v>
      </c>
      <c r="H5" s="162">
        <v>18089.729323308267</v>
      </c>
      <c r="I5" s="163">
        <v>15</v>
      </c>
    </row>
    <row r="6" spans="1:19" ht="16.2" thickBot="1" x14ac:dyDescent="0.35">
      <c r="A6" s="7" t="s">
        <v>8</v>
      </c>
      <c r="B6" s="154" t="s">
        <v>183</v>
      </c>
      <c r="C6" s="150" t="str">
        <f t="shared" si="0"/>
        <v>ПлатинумСтандартный вариант</v>
      </c>
      <c r="D6" s="164">
        <v>21664.774436090225</v>
      </c>
      <c r="E6" s="164">
        <v>8000</v>
      </c>
      <c r="F6" s="155">
        <v>0.08</v>
      </c>
      <c r="G6" s="164">
        <v>5500</v>
      </c>
      <c r="H6" s="164">
        <v>20059.624060150378</v>
      </c>
      <c r="I6" s="165">
        <v>15</v>
      </c>
    </row>
    <row r="7" spans="1:19" x14ac:dyDescent="0.3">
      <c r="A7" s="161" t="s">
        <v>137</v>
      </c>
      <c r="B7" s="150" t="s">
        <v>184</v>
      </c>
      <c r="C7" s="150" t="str">
        <f t="shared" si="0"/>
        <v>СтартПессиместичный вариант</v>
      </c>
      <c r="D7" s="162">
        <v>10520.300751879699</v>
      </c>
      <c r="E7" s="162">
        <v>4000</v>
      </c>
      <c r="F7" s="151">
        <v>0.08</v>
      </c>
      <c r="G7" s="162">
        <v>3500</v>
      </c>
      <c r="H7" s="162">
        <v>8601.5112781954886</v>
      </c>
      <c r="I7" s="163">
        <v>17</v>
      </c>
    </row>
    <row r="8" spans="1:19" x14ac:dyDescent="0.3">
      <c r="A8" s="161" t="s">
        <v>7</v>
      </c>
      <c r="B8" s="150" t="s">
        <v>184</v>
      </c>
      <c r="C8" s="150" t="str">
        <f t="shared" si="0"/>
        <v>БизнесПессиместичный вариант</v>
      </c>
      <c r="D8" s="162">
        <v>20323.496240601504</v>
      </c>
      <c r="E8" s="162">
        <v>6000</v>
      </c>
      <c r="F8" s="151">
        <v>0.08</v>
      </c>
      <c r="G8" s="162">
        <v>4500</v>
      </c>
      <c r="H8" s="162">
        <v>12933.578947368418</v>
      </c>
      <c r="I8" s="163">
        <v>21</v>
      </c>
    </row>
    <row r="9" spans="1:19" ht="16.2" thickBot="1" x14ac:dyDescent="0.35">
      <c r="A9" s="7" t="s">
        <v>8</v>
      </c>
      <c r="B9" s="154" t="s">
        <v>184</v>
      </c>
      <c r="C9" s="150" t="str">
        <f t="shared" si="0"/>
        <v>ПлатинумПессиместичный вариант</v>
      </c>
      <c r="D9" s="164">
        <v>21664.774436090225</v>
      </c>
      <c r="E9" s="164">
        <v>8000</v>
      </c>
      <c r="F9" s="155">
        <v>0.08</v>
      </c>
      <c r="G9" s="164">
        <v>5500</v>
      </c>
      <c r="H9" s="164">
        <v>13179.33834586466</v>
      </c>
      <c r="I9" s="165">
        <v>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81"/>
  <sheetViews>
    <sheetView showGridLines="0" topLeftCell="A48" zoomScaleNormal="100" workbookViewId="0">
      <selection activeCell="A21" sqref="A21:A22"/>
    </sheetView>
  </sheetViews>
  <sheetFormatPr defaultColWidth="11.19921875" defaultRowHeight="15.6" x14ac:dyDescent="0.3"/>
  <cols>
    <col min="1" max="1" width="26.69921875" customWidth="1"/>
    <col min="2" max="2" width="30.19921875" customWidth="1"/>
    <col min="3" max="3" width="17.69921875" style="1" customWidth="1"/>
    <col min="4" max="4" width="25.19921875" customWidth="1"/>
    <col min="5" max="5" width="6.3984375" customWidth="1"/>
    <col min="8" max="8" width="6.09765625" customWidth="1"/>
    <col min="9" max="9" width="4.8984375" customWidth="1"/>
  </cols>
  <sheetData>
    <row r="1" spans="1:9" ht="26.4" thickBot="1" x14ac:dyDescent="0.55000000000000004">
      <c r="A1" s="326" t="s">
        <v>141</v>
      </c>
      <c r="B1" s="327"/>
      <c r="C1" s="327"/>
      <c r="D1" s="328"/>
    </row>
    <row r="2" spans="1:9" ht="18.600000000000001" thickBot="1" x14ac:dyDescent="0.35">
      <c r="A2" s="12" t="s">
        <v>25</v>
      </c>
      <c r="B2" s="16" t="s">
        <v>27</v>
      </c>
      <c r="C2" s="21" t="s">
        <v>28</v>
      </c>
      <c r="D2" s="16" t="s">
        <v>29</v>
      </c>
    </row>
    <row r="3" spans="1:9" ht="18.600000000000001" thickBot="1" x14ac:dyDescent="0.4">
      <c r="A3" s="329" t="s">
        <v>54</v>
      </c>
      <c r="B3" s="330"/>
      <c r="C3" s="330"/>
      <c r="D3" s="331"/>
    </row>
    <row r="4" spans="1:9" x14ac:dyDescent="0.3">
      <c r="A4" s="174" t="s">
        <v>26</v>
      </c>
      <c r="B4" s="174">
        <v>7100</v>
      </c>
      <c r="C4" s="174">
        <v>5</v>
      </c>
      <c r="D4" s="174">
        <f>B4*C4</f>
        <v>35500</v>
      </c>
      <c r="E4" s="3"/>
      <c r="I4" s="3"/>
    </row>
    <row r="5" spans="1:9" x14ac:dyDescent="0.3">
      <c r="A5" s="175" t="s">
        <v>65</v>
      </c>
      <c r="B5" s="175">
        <v>15</v>
      </c>
      <c r="C5" s="175">
        <v>20</v>
      </c>
      <c r="D5" s="175">
        <f t="shared" ref="D5:D13" si="0">B5*C5</f>
        <v>300</v>
      </c>
    </row>
    <row r="6" spans="1:9" x14ac:dyDescent="0.3">
      <c r="A6" s="175" t="s">
        <v>30</v>
      </c>
      <c r="B6" s="175">
        <v>6000</v>
      </c>
      <c r="C6" s="175">
        <v>5</v>
      </c>
      <c r="D6" s="175">
        <f t="shared" si="0"/>
        <v>30000</v>
      </c>
    </row>
    <row r="7" spans="1:9" x14ac:dyDescent="0.3">
      <c r="A7" s="175" t="s">
        <v>62</v>
      </c>
      <c r="B7" s="175">
        <v>6000</v>
      </c>
      <c r="C7" s="175">
        <v>1</v>
      </c>
      <c r="D7" s="175">
        <f t="shared" si="0"/>
        <v>6000</v>
      </c>
    </row>
    <row r="8" spans="1:9" x14ac:dyDescent="0.3">
      <c r="A8" s="175" t="s">
        <v>32</v>
      </c>
      <c r="B8" s="175">
        <v>150</v>
      </c>
      <c r="C8" s="175">
        <v>6</v>
      </c>
      <c r="D8" s="175">
        <f t="shared" si="0"/>
        <v>900</v>
      </c>
    </row>
    <row r="9" spans="1:9" x14ac:dyDescent="0.3">
      <c r="A9" s="175" t="s">
        <v>63</v>
      </c>
      <c r="B9" s="175">
        <v>150</v>
      </c>
      <c r="C9" s="175">
        <v>1</v>
      </c>
      <c r="D9" s="175">
        <f t="shared" si="0"/>
        <v>150</v>
      </c>
    </row>
    <row r="10" spans="1:9" x14ac:dyDescent="0.3">
      <c r="A10" s="175" t="s">
        <v>9</v>
      </c>
      <c r="B10" s="175">
        <v>100</v>
      </c>
      <c r="C10" s="175">
        <v>5</v>
      </c>
      <c r="D10" s="175">
        <f t="shared" si="0"/>
        <v>500</v>
      </c>
    </row>
    <row r="11" spans="1:9" x14ac:dyDescent="0.3">
      <c r="A11" s="175" t="s">
        <v>14</v>
      </c>
      <c r="B11" s="175">
        <v>8000</v>
      </c>
      <c r="C11" s="175">
        <v>1</v>
      </c>
      <c r="D11" s="175">
        <f t="shared" si="0"/>
        <v>8000</v>
      </c>
    </row>
    <row r="12" spans="1:9" x14ac:dyDescent="0.3">
      <c r="A12" s="175" t="s">
        <v>15</v>
      </c>
      <c r="B12" s="175">
        <v>400</v>
      </c>
      <c r="C12" s="175">
        <v>1</v>
      </c>
      <c r="D12" s="175">
        <f t="shared" si="0"/>
        <v>400</v>
      </c>
    </row>
    <row r="13" spans="1:9" ht="16.2" thickBot="1" x14ac:dyDescent="0.35">
      <c r="A13" s="176" t="s">
        <v>39</v>
      </c>
      <c r="B13" s="177">
        <v>1600</v>
      </c>
      <c r="C13" s="177">
        <v>1</v>
      </c>
      <c r="D13" s="177">
        <f t="shared" si="0"/>
        <v>1600</v>
      </c>
    </row>
    <row r="14" spans="1:9" ht="16.2" thickBot="1" x14ac:dyDescent="0.35">
      <c r="A14" s="114"/>
      <c r="B14" s="115"/>
      <c r="C14" s="116" t="s">
        <v>43</v>
      </c>
      <c r="D14" s="117">
        <f>SUM(D4:D13)</f>
        <v>83350</v>
      </c>
    </row>
    <row r="15" spans="1:9" ht="16.2" thickBot="1" x14ac:dyDescent="0.35">
      <c r="A15" s="114"/>
      <c r="B15" s="115"/>
      <c r="C15" s="114"/>
      <c r="D15" s="114"/>
    </row>
    <row r="16" spans="1:9" ht="18.600000000000001" thickBot="1" x14ac:dyDescent="0.4">
      <c r="A16" s="314" t="s">
        <v>53</v>
      </c>
      <c r="B16" s="315"/>
      <c r="C16" s="315"/>
      <c r="D16" s="316"/>
    </row>
    <row r="17" spans="1:4" x14ac:dyDescent="0.3">
      <c r="A17" s="174" t="s">
        <v>31</v>
      </c>
      <c r="B17" s="174">
        <v>6000</v>
      </c>
      <c r="C17" s="174">
        <v>6</v>
      </c>
      <c r="D17" s="174">
        <f t="shared" ref="D17:D27" si="1">B17*C17</f>
        <v>36000</v>
      </c>
    </row>
    <row r="18" spans="1:4" x14ac:dyDescent="0.3">
      <c r="A18" s="175" t="s">
        <v>33</v>
      </c>
      <c r="B18" s="175">
        <v>150</v>
      </c>
      <c r="C18" s="175">
        <v>1</v>
      </c>
      <c r="D18" s="175">
        <f t="shared" si="1"/>
        <v>150</v>
      </c>
    </row>
    <row r="19" spans="1:4" x14ac:dyDescent="0.3">
      <c r="A19" s="175" t="s">
        <v>19</v>
      </c>
      <c r="B19" s="175">
        <v>1000</v>
      </c>
      <c r="C19" s="175">
        <v>1</v>
      </c>
      <c r="D19" s="175">
        <f t="shared" si="1"/>
        <v>1000</v>
      </c>
    </row>
    <row r="20" spans="1:4" x14ac:dyDescent="0.3">
      <c r="A20" s="175" t="s">
        <v>18</v>
      </c>
      <c r="B20" s="175">
        <v>760</v>
      </c>
      <c r="C20" s="175">
        <v>1</v>
      </c>
      <c r="D20" s="175">
        <f t="shared" si="1"/>
        <v>760</v>
      </c>
    </row>
    <row r="21" spans="1:4" x14ac:dyDescent="0.3">
      <c r="A21" s="175" t="s">
        <v>68</v>
      </c>
      <c r="B21" s="175">
        <v>200</v>
      </c>
      <c r="C21" s="175">
        <v>1</v>
      </c>
      <c r="D21" s="175">
        <f t="shared" si="1"/>
        <v>200</v>
      </c>
    </row>
    <row r="22" spans="1:4" x14ac:dyDescent="0.3">
      <c r="A22" s="175" t="s">
        <v>265</v>
      </c>
      <c r="B22" s="175">
        <v>80</v>
      </c>
      <c r="C22" s="175">
        <v>1</v>
      </c>
      <c r="D22" s="175">
        <f t="shared" si="1"/>
        <v>80</v>
      </c>
    </row>
    <row r="23" spans="1:4" x14ac:dyDescent="0.3">
      <c r="A23" s="175" t="s">
        <v>66</v>
      </c>
      <c r="B23" s="175">
        <v>700</v>
      </c>
      <c r="C23" s="175">
        <v>1</v>
      </c>
      <c r="D23" s="175">
        <f t="shared" si="1"/>
        <v>700</v>
      </c>
    </row>
    <row r="24" spans="1:4" x14ac:dyDescent="0.3">
      <c r="A24" s="175" t="s">
        <v>12</v>
      </c>
      <c r="B24" s="175">
        <v>6000</v>
      </c>
      <c r="C24" s="175">
        <v>1</v>
      </c>
      <c r="D24" s="175">
        <f t="shared" si="1"/>
        <v>6000</v>
      </c>
    </row>
    <row r="25" spans="1:4" x14ac:dyDescent="0.3">
      <c r="A25" s="175" t="s">
        <v>67</v>
      </c>
      <c r="B25" s="175">
        <v>1000</v>
      </c>
      <c r="C25" s="175">
        <v>1</v>
      </c>
      <c r="D25" s="175">
        <f t="shared" si="1"/>
        <v>1000</v>
      </c>
    </row>
    <row r="26" spans="1:4" x14ac:dyDescent="0.3">
      <c r="A26" s="175" t="s">
        <v>72</v>
      </c>
      <c r="B26" s="175">
        <v>4500</v>
      </c>
      <c r="C26" s="175">
        <v>1</v>
      </c>
      <c r="D26" s="175">
        <f t="shared" si="1"/>
        <v>4500</v>
      </c>
    </row>
    <row r="27" spans="1:4" ht="16.2" thickBot="1" x14ac:dyDescent="0.35">
      <c r="A27" s="177" t="s">
        <v>158</v>
      </c>
      <c r="B27" s="177">
        <v>0</v>
      </c>
      <c r="C27" s="177">
        <v>1</v>
      </c>
      <c r="D27" s="177">
        <f t="shared" si="1"/>
        <v>0</v>
      </c>
    </row>
    <row r="28" spans="1:4" ht="16.2" thickBot="1" x14ac:dyDescent="0.35">
      <c r="A28" s="118"/>
      <c r="B28" s="114"/>
      <c r="C28" s="119" t="s">
        <v>64</v>
      </c>
      <c r="D28" s="120">
        <f>SUM(D17:D27)</f>
        <v>50390</v>
      </c>
    </row>
    <row r="29" spans="1:4" s="1" customFormat="1" ht="16.2" thickBot="1" x14ac:dyDescent="0.35">
      <c r="A29" s="121"/>
      <c r="B29" s="115"/>
      <c r="C29" s="122"/>
      <c r="D29" s="115"/>
    </row>
    <row r="30" spans="1:4" ht="18.600000000000001" thickBot="1" x14ac:dyDescent="0.35">
      <c r="A30" s="332" t="s">
        <v>0</v>
      </c>
      <c r="B30" s="333"/>
      <c r="C30" s="333"/>
      <c r="D30" s="334"/>
    </row>
    <row r="31" spans="1:4" x14ac:dyDescent="0.3">
      <c r="A31" s="174" t="s">
        <v>16</v>
      </c>
      <c r="B31" s="174">
        <v>1000</v>
      </c>
      <c r="C31" s="174">
        <v>1</v>
      </c>
      <c r="D31" s="174">
        <f>B31*C31</f>
        <v>1000</v>
      </c>
    </row>
    <row r="32" spans="1:4" x14ac:dyDescent="0.3">
      <c r="A32" s="175" t="s">
        <v>17</v>
      </c>
      <c r="B32" s="175">
        <v>500</v>
      </c>
      <c r="C32" s="175">
        <v>1</v>
      </c>
      <c r="D32" s="175">
        <f t="shared" ref="D32:D38" si="2">B32*C32</f>
        <v>500</v>
      </c>
    </row>
    <row r="33" spans="1:4" x14ac:dyDescent="0.3">
      <c r="A33" s="175" t="s">
        <v>73</v>
      </c>
      <c r="B33" s="175">
        <v>1000</v>
      </c>
      <c r="C33" s="175">
        <v>5</v>
      </c>
      <c r="D33" s="175">
        <f t="shared" si="2"/>
        <v>5000</v>
      </c>
    </row>
    <row r="34" spans="1:4" x14ac:dyDescent="0.3">
      <c r="A34" s="175" t="s">
        <v>74</v>
      </c>
      <c r="B34" s="175">
        <v>1000</v>
      </c>
      <c r="C34" s="175">
        <v>1</v>
      </c>
      <c r="D34" s="175">
        <f t="shared" si="2"/>
        <v>1000</v>
      </c>
    </row>
    <row r="35" spans="1:4" x14ac:dyDescent="0.3">
      <c r="A35" s="175" t="s">
        <v>10</v>
      </c>
      <c r="B35" s="175">
        <v>400</v>
      </c>
      <c r="C35" s="175">
        <v>30</v>
      </c>
      <c r="D35" s="175">
        <f t="shared" si="2"/>
        <v>12000</v>
      </c>
    </row>
    <row r="36" spans="1:4" x14ac:dyDescent="0.3">
      <c r="A36" s="175" t="s">
        <v>20</v>
      </c>
      <c r="B36" s="175">
        <v>50</v>
      </c>
      <c r="C36" s="175">
        <v>1</v>
      </c>
      <c r="D36" s="175">
        <f t="shared" si="2"/>
        <v>50</v>
      </c>
    </row>
    <row r="37" spans="1:4" x14ac:dyDescent="0.3">
      <c r="A37" s="175" t="s">
        <v>21</v>
      </c>
      <c r="B37" s="175">
        <v>500</v>
      </c>
      <c r="C37" s="175">
        <v>2</v>
      </c>
      <c r="D37" s="175">
        <f t="shared" si="2"/>
        <v>1000</v>
      </c>
    </row>
    <row r="38" spans="1:4" ht="16.2" thickBot="1" x14ac:dyDescent="0.35">
      <c r="A38" s="177" t="s">
        <v>76</v>
      </c>
      <c r="B38" s="177">
        <v>150</v>
      </c>
      <c r="C38" s="177">
        <v>4</v>
      </c>
      <c r="D38" s="177">
        <f t="shared" si="2"/>
        <v>600</v>
      </c>
    </row>
    <row r="39" spans="1:4" ht="16.2" thickBot="1" x14ac:dyDescent="0.35">
      <c r="A39" s="118"/>
      <c r="B39" s="114"/>
      <c r="C39" s="116" t="s">
        <v>64</v>
      </c>
      <c r="D39" s="117">
        <f>SUM(D31:D38)</f>
        <v>21150</v>
      </c>
    </row>
    <row r="40" spans="1:4" ht="16.2" thickBot="1" x14ac:dyDescent="0.35">
      <c r="A40" s="118"/>
      <c r="B40" s="114"/>
      <c r="C40" s="122"/>
      <c r="D40" s="115"/>
    </row>
    <row r="41" spans="1:4" ht="18.600000000000001" customHeight="1" thickBot="1" x14ac:dyDescent="0.4">
      <c r="A41" s="335" t="s">
        <v>34</v>
      </c>
      <c r="B41" s="336"/>
      <c r="C41" s="336"/>
      <c r="D41" s="337"/>
    </row>
    <row r="42" spans="1:4" x14ac:dyDescent="0.3">
      <c r="A42" s="174" t="s">
        <v>22</v>
      </c>
      <c r="B42" s="174">
        <v>4500</v>
      </c>
      <c r="C42" s="174">
        <v>1</v>
      </c>
      <c r="D42" s="174">
        <f>B42*C42</f>
        <v>4500</v>
      </c>
    </row>
    <row r="43" spans="1:4" x14ac:dyDescent="0.3">
      <c r="A43" s="175" t="s">
        <v>23</v>
      </c>
      <c r="B43" s="175">
        <v>0</v>
      </c>
      <c r="C43" s="175">
        <v>0</v>
      </c>
      <c r="D43" s="175">
        <f>B43*C43</f>
        <v>0</v>
      </c>
    </row>
    <row r="44" spans="1:4" ht="16.2" thickBot="1" x14ac:dyDescent="0.35">
      <c r="A44" s="177" t="s">
        <v>24</v>
      </c>
      <c r="B44" s="177">
        <v>200</v>
      </c>
      <c r="C44" s="175">
        <v>3</v>
      </c>
      <c r="D44" s="175">
        <f>B44*C44</f>
        <v>600</v>
      </c>
    </row>
    <row r="45" spans="1:4" ht="16.2" thickBot="1" x14ac:dyDescent="0.35">
      <c r="A45" s="118"/>
      <c r="B45" s="114"/>
      <c r="C45" s="116" t="s">
        <v>64</v>
      </c>
      <c r="D45" s="117">
        <f>SUM(D42:D44)</f>
        <v>5100</v>
      </c>
    </row>
    <row r="46" spans="1:4" ht="16.2" thickBot="1" x14ac:dyDescent="0.35">
      <c r="A46" s="118"/>
      <c r="B46" s="114"/>
      <c r="C46" s="122"/>
      <c r="D46" s="115"/>
    </row>
    <row r="47" spans="1:4" ht="18.600000000000001" thickBot="1" x14ac:dyDescent="0.35">
      <c r="A47" s="332" t="s">
        <v>11</v>
      </c>
      <c r="B47" s="333"/>
      <c r="C47" s="333"/>
      <c r="D47" s="334"/>
    </row>
    <row r="48" spans="1:4" x14ac:dyDescent="0.3">
      <c r="A48" s="178" t="s">
        <v>13</v>
      </c>
      <c r="B48" s="174">
        <v>3000</v>
      </c>
      <c r="C48" s="174">
        <v>1</v>
      </c>
      <c r="D48" s="174">
        <f>B48*C48</f>
        <v>3000</v>
      </c>
    </row>
    <row r="49" spans="1:4" x14ac:dyDescent="0.3">
      <c r="A49" s="179" t="s">
        <v>35</v>
      </c>
      <c r="B49" s="175">
        <v>15000</v>
      </c>
      <c r="C49" s="175">
        <v>1</v>
      </c>
      <c r="D49" s="175">
        <f t="shared" ref="D49:D59" si="3">B49*C49</f>
        <v>15000</v>
      </c>
    </row>
    <row r="50" spans="1:4" x14ac:dyDescent="0.3">
      <c r="A50" s="179" t="s">
        <v>36</v>
      </c>
      <c r="B50" s="175">
        <v>35000</v>
      </c>
      <c r="C50" s="175">
        <v>1</v>
      </c>
      <c r="D50" s="175">
        <f t="shared" si="3"/>
        <v>35000</v>
      </c>
    </row>
    <row r="51" spans="1:4" x14ac:dyDescent="0.3">
      <c r="A51" s="179" t="s">
        <v>37</v>
      </c>
      <c r="B51" s="175">
        <v>10000</v>
      </c>
      <c r="C51" s="175">
        <v>2</v>
      </c>
      <c r="D51" s="175">
        <f t="shared" si="3"/>
        <v>20000</v>
      </c>
    </row>
    <row r="52" spans="1:4" x14ac:dyDescent="0.3">
      <c r="A52" s="179" t="s">
        <v>71</v>
      </c>
      <c r="B52" s="175">
        <v>3000</v>
      </c>
      <c r="C52" s="175">
        <v>1</v>
      </c>
      <c r="D52" s="175">
        <f t="shared" si="3"/>
        <v>3000</v>
      </c>
    </row>
    <row r="53" spans="1:4" x14ac:dyDescent="0.3">
      <c r="A53" s="179" t="s">
        <v>38</v>
      </c>
      <c r="B53" s="175">
        <v>350</v>
      </c>
      <c r="C53" s="175">
        <v>4</v>
      </c>
      <c r="D53" s="175">
        <f t="shared" si="3"/>
        <v>1400</v>
      </c>
    </row>
    <row r="54" spans="1:4" x14ac:dyDescent="0.3">
      <c r="A54" s="179" t="s">
        <v>40</v>
      </c>
      <c r="B54" s="175">
        <v>4000</v>
      </c>
      <c r="C54" s="175">
        <v>1</v>
      </c>
      <c r="D54" s="175">
        <f t="shared" si="3"/>
        <v>4000</v>
      </c>
    </row>
    <row r="55" spans="1:4" x14ac:dyDescent="0.3">
      <c r="A55" s="179" t="s">
        <v>41</v>
      </c>
      <c r="B55" s="175">
        <v>2000</v>
      </c>
      <c r="C55" s="175">
        <v>1</v>
      </c>
      <c r="D55" s="175">
        <f t="shared" si="3"/>
        <v>2000</v>
      </c>
    </row>
    <row r="56" spans="1:4" x14ac:dyDescent="0.3">
      <c r="A56" s="179" t="s">
        <v>42</v>
      </c>
      <c r="B56" s="175">
        <v>2000</v>
      </c>
      <c r="C56" s="175">
        <v>1</v>
      </c>
      <c r="D56" s="175">
        <f t="shared" si="3"/>
        <v>2000</v>
      </c>
    </row>
    <row r="57" spans="1:4" x14ac:dyDescent="0.3">
      <c r="A57" s="179" t="s">
        <v>70</v>
      </c>
      <c r="B57" s="175">
        <v>1500</v>
      </c>
      <c r="C57" s="175">
        <v>1</v>
      </c>
      <c r="D57" s="175">
        <f t="shared" si="3"/>
        <v>1500</v>
      </c>
    </row>
    <row r="58" spans="1:4" x14ac:dyDescent="0.3">
      <c r="A58" s="179" t="s">
        <v>44</v>
      </c>
      <c r="B58" s="175">
        <v>1500</v>
      </c>
      <c r="C58" s="175">
        <v>2</v>
      </c>
      <c r="D58" s="175">
        <f t="shared" si="3"/>
        <v>3000</v>
      </c>
    </row>
    <row r="59" spans="1:4" x14ac:dyDescent="0.3">
      <c r="A59" s="179" t="s">
        <v>51</v>
      </c>
      <c r="B59" s="175">
        <v>500</v>
      </c>
      <c r="C59" s="175">
        <v>1</v>
      </c>
      <c r="D59" s="175">
        <f t="shared" si="3"/>
        <v>500</v>
      </c>
    </row>
    <row r="60" spans="1:4" x14ac:dyDescent="0.3">
      <c r="A60" s="179" t="s">
        <v>45</v>
      </c>
      <c r="B60" s="175"/>
      <c r="C60" s="175">
        <v>0.05</v>
      </c>
      <c r="D60" s="175">
        <v>12250</v>
      </c>
    </row>
    <row r="61" spans="1:4" ht="16.2" thickBot="1" x14ac:dyDescent="0.35">
      <c r="A61" s="288" t="s">
        <v>261</v>
      </c>
      <c r="B61" s="177">
        <v>1000</v>
      </c>
      <c r="C61" s="177">
        <v>7</v>
      </c>
      <c r="D61" s="177">
        <f>B61*C61</f>
        <v>7000</v>
      </c>
    </row>
    <row r="62" spans="1:4" ht="16.2" thickBot="1" x14ac:dyDescent="0.35">
      <c r="A62" s="114"/>
      <c r="B62" s="114"/>
      <c r="C62" s="119" t="s">
        <v>64</v>
      </c>
      <c r="D62" s="120">
        <f>SUM(D48:D61)</f>
        <v>109650</v>
      </c>
    </row>
    <row r="63" spans="1:4" ht="16.2" thickBot="1" x14ac:dyDescent="0.35">
      <c r="A63" s="114"/>
      <c r="B63" s="114"/>
      <c r="C63" s="115"/>
      <c r="D63" s="114"/>
    </row>
    <row r="64" spans="1:4" ht="18.600000000000001" thickBot="1" x14ac:dyDescent="0.35">
      <c r="A64" s="319" t="s">
        <v>46</v>
      </c>
      <c r="B64" s="320"/>
      <c r="C64" s="320"/>
      <c r="D64" s="321"/>
    </row>
    <row r="65" spans="1:5" x14ac:dyDescent="0.3">
      <c r="A65" s="174" t="s">
        <v>47</v>
      </c>
      <c r="B65" s="174">
        <v>700</v>
      </c>
      <c r="C65" s="174">
        <v>6</v>
      </c>
      <c r="D65" s="174">
        <f>B65*C65</f>
        <v>4200</v>
      </c>
    </row>
    <row r="66" spans="1:5" x14ac:dyDescent="0.3">
      <c r="A66" s="175" t="s">
        <v>48</v>
      </c>
      <c r="B66" s="175">
        <v>2000</v>
      </c>
      <c r="C66" s="175">
        <v>1</v>
      </c>
      <c r="D66" s="175">
        <f>B66*C66</f>
        <v>2000</v>
      </c>
    </row>
    <row r="67" spans="1:5" x14ac:dyDescent="0.3">
      <c r="A67" s="175" t="s">
        <v>49</v>
      </c>
      <c r="B67" s="175">
        <v>2000</v>
      </c>
      <c r="C67" s="175">
        <v>1</v>
      </c>
      <c r="D67" s="175">
        <f>B67*C67</f>
        <v>2000</v>
      </c>
    </row>
    <row r="68" spans="1:5" x14ac:dyDescent="0.3">
      <c r="A68" s="175" t="s">
        <v>50</v>
      </c>
      <c r="B68" s="175">
        <v>500</v>
      </c>
      <c r="C68" s="175">
        <v>2</v>
      </c>
      <c r="D68" s="175">
        <f>B68*C68</f>
        <v>1000</v>
      </c>
    </row>
    <row r="69" spans="1:5" ht="16.2" thickBot="1" x14ac:dyDescent="0.35">
      <c r="A69" s="177" t="s">
        <v>52</v>
      </c>
      <c r="B69" s="177">
        <v>1000</v>
      </c>
      <c r="C69" s="177">
        <v>1</v>
      </c>
      <c r="D69" s="177">
        <f>B69*C69</f>
        <v>1000</v>
      </c>
    </row>
    <row r="70" spans="1:5" ht="16.2" thickBot="1" x14ac:dyDescent="0.35">
      <c r="A70" s="123" t="s">
        <v>75</v>
      </c>
      <c r="B70" s="114"/>
      <c r="C70" s="116" t="s">
        <v>64</v>
      </c>
      <c r="D70" s="117">
        <f>SUM(D65:D69)</f>
        <v>10200</v>
      </c>
    </row>
    <row r="71" spans="1:5" x14ac:dyDescent="0.3">
      <c r="A71" s="114"/>
      <c r="B71" s="114"/>
      <c r="C71" s="115"/>
      <c r="D71" s="114"/>
    </row>
    <row r="72" spans="1:5" x14ac:dyDescent="0.3">
      <c r="A72" s="114"/>
      <c r="B72" s="114"/>
      <c r="C72" s="115"/>
      <c r="D72" s="114"/>
    </row>
    <row r="73" spans="1:5" ht="16.2" thickBot="1" x14ac:dyDescent="0.35">
      <c r="A73" s="114"/>
      <c r="B73" s="114"/>
      <c r="C73" s="115"/>
      <c r="D73" s="114"/>
    </row>
    <row r="74" spans="1:5" x14ac:dyDescent="0.3">
      <c r="A74" s="114"/>
      <c r="B74" s="114"/>
      <c r="C74" s="338" t="s">
        <v>85</v>
      </c>
      <c r="D74" s="124">
        <f>D14+D28+D39+D45+D62+D70</f>
        <v>279840</v>
      </c>
      <c r="E74" s="3" t="s">
        <v>79</v>
      </c>
    </row>
    <row r="75" spans="1:5" ht="16.2" thickBot="1" x14ac:dyDescent="0.35">
      <c r="A75" s="114"/>
      <c r="B75" s="114"/>
      <c r="C75" s="339"/>
      <c r="D75" s="125">
        <f>D74/'[1]Технический лист'!$C$17</f>
        <v>10520.300751879699</v>
      </c>
      <c r="E75" s="3" t="s">
        <v>80</v>
      </c>
    </row>
    <row r="76" spans="1:5" ht="16.2" thickBot="1" x14ac:dyDescent="0.35">
      <c r="A76" s="114"/>
      <c r="B76" s="114"/>
      <c r="C76" s="115"/>
      <c r="D76" s="114"/>
    </row>
    <row r="77" spans="1:5" ht="15.6" customHeight="1" x14ac:dyDescent="0.3">
      <c r="A77" s="114"/>
      <c r="B77" s="114"/>
      <c r="C77" s="338" t="s">
        <v>86</v>
      </c>
      <c r="D77" s="124">
        <f>D78*'[1]Технический лист'!$C$17</f>
        <v>106400</v>
      </c>
      <c r="E77" s="3" t="s">
        <v>79</v>
      </c>
    </row>
    <row r="78" spans="1:5" ht="16.2" thickBot="1" x14ac:dyDescent="0.35">
      <c r="A78" s="114"/>
      <c r="B78" s="114"/>
      <c r="C78" s="339"/>
      <c r="D78" s="125">
        <v>4000</v>
      </c>
      <c r="E78" s="3" t="s">
        <v>80</v>
      </c>
    </row>
    <row r="79" spans="1:5" ht="16.2" thickBot="1" x14ac:dyDescent="0.35">
      <c r="A79" s="114"/>
      <c r="B79" s="114"/>
      <c r="C79" s="115"/>
      <c r="D79" s="114"/>
    </row>
    <row r="80" spans="1:5" x14ac:dyDescent="0.3">
      <c r="A80" s="114"/>
      <c r="B80" s="114"/>
      <c r="C80" s="338" t="s">
        <v>87</v>
      </c>
      <c r="D80" s="124">
        <f>D74+D77</f>
        <v>386240</v>
      </c>
      <c r="E80" s="3" t="s">
        <v>79</v>
      </c>
    </row>
    <row r="81" spans="1:5" ht="16.2" thickBot="1" x14ac:dyDescent="0.35">
      <c r="A81" s="114"/>
      <c r="B81" s="114"/>
      <c r="C81" s="339"/>
      <c r="D81" s="125">
        <f>D75+D78</f>
        <v>14520.300751879699</v>
      </c>
      <c r="E81" s="3" t="s">
        <v>80</v>
      </c>
    </row>
  </sheetData>
  <mergeCells count="10">
    <mergeCell ref="A16:D16"/>
    <mergeCell ref="A1:D1"/>
    <mergeCell ref="A3:D3"/>
    <mergeCell ref="A30:D30"/>
    <mergeCell ref="A41:D41"/>
    <mergeCell ref="A47:D47"/>
    <mergeCell ref="A64:D64"/>
    <mergeCell ref="C74:C75"/>
    <mergeCell ref="C77:C78"/>
    <mergeCell ref="C80:C81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Варианты пакетов</vt:lpstr>
      <vt:lpstr>Почему Франшиза</vt:lpstr>
      <vt:lpstr>Условия пакетов</vt:lpstr>
      <vt:lpstr>Инвестиции</vt:lpstr>
      <vt:lpstr>Доход</vt:lpstr>
      <vt:lpstr>Прибыль</vt:lpstr>
      <vt:lpstr>Технический лист</vt:lpstr>
      <vt:lpstr>вар пакетов доп</vt:lpstr>
      <vt:lpstr>Инвестиции. "СТАРТ"</vt:lpstr>
      <vt:lpstr>Доходы. "СТАРТ"</vt:lpstr>
      <vt:lpstr>Прибыль. "СТАРТ"</vt:lpstr>
      <vt:lpstr>Инвестиции. "БИЗНЕС"</vt:lpstr>
      <vt:lpstr>Доходы. "БИЗНЕС"</vt:lpstr>
      <vt:lpstr>Прибыль. "БИЗНЕС"</vt:lpstr>
      <vt:lpstr>Инвестиции "ПЛАТИНУМ"</vt:lpstr>
      <vt:lpstr>Доходы. "ПЛАТИНУМ"</vt:lpstr>
      <vt:lpstr>Прибыль "ПЛАТИНУМ"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Кирилович</dc:creator>
  <cp:lastModifiedBy>Пользователь Windows</cp:lastModifiedBy>
  <dcterms:created xsi:type="dcterms:W3CDTF">2019-06-05T06:52:22Z</dcterms:created>
  <dcterms:modified xsi:type="dcterms:W3CDTF">2019-06-27T11:36:02Z</dcterms:modified>
</cp:coreProperties>
</file>